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/>
  <mc:AlternateContent xmlns:mc="http://schemas.openxmlformats.org/markup-compatibility/2006">
    <mc:Choice Requires="x15">
      <x15ac:absPath xmlns:x15ac="http://schemas.microsoft.com/office/spreadsheetml/2010/11/ac" url="R:\Rate Case Filings\DEK Gas Case 2021-00190\COSS\"/>
    </mc:Choice>
  </mc:AlternateContent>
  <xr:revisionPtr revIDLastSave="0" documentId="8_{C7AC7A6D-2709-4682-AE65-8628596C94FB}" xr6:coauthVersionLast="45" xr6:coauthVersionMax="45" xr10:uidLastSave="{00000000-0000-0000-0000-000000000000}"/>
  <bookViews>
    <workbookView xWindow="-110" yWindow="-110" windowWidth="19420" windowHeight="10420" firstSheet="28" activeTab="30" xr2:uid="{00000000-000D-0000-FFFF-FFFF00000000}"/>
  </bookViews>
  <sheets>
    <sheet name="WP Data Req Summary" sheetId="40" r:id="rId1"/>
    <sheet name="Print &amp; Input" sheetId="4" r:id="rId2"/>
    <sheet name="Rev req link" sheetId="5" r:id="rId3"/>
    <sheet name="Customer Charge" sheetId="168" r:id="rId4"/>
    <sheet name="FR-16(7)(v)-1 Functional" sheetId="9" r:id="rId5"/>
    <sheet name="FR-16(7)(v)-2 PROD Classified" sheetId="157" r:id="rId6"/>
    <sheet name="FR-16(7)(v)-3 PROD Comm Alloc" sheetId="155" r:id="rId7"/>
    <sheet name="FR-16(7)(v)-4 DISTR Classified" sheetId="159" r:id="rId8"/>
    <sheet name="FR-16(7)(v)-5 DISTR Dem Alloc" sheetId="160" r:id="rId9"/>
    <sheet name="FR-16(7)(v)-6 DISTR Cust Alloc" sheetId="161" r:id="rId10"/>
    <sheet name="FR-16(7)(v)-7 STOR Classified" sheetId="158" state="hidden" r:id="rId11"/>
    <sheet name="FR-16(7)(v)-8 TOT CLASS Alloc" sheetId="162" r:id="rId12"/>
    <sheet name="FR-16(7)(v)-9 RES Classified" sheetId="164" r:id="rId13"/>
    <sheet name="FR-16(7)(v)-10 GS Classified" sheetId="165" r:id="rId14"/>
    <sheet name="FR-16(7)(v)-11 FTL Classified" sheetId="166" r:id="rId15"/>
    <sheet name="FR-16(7)(v)-12 IT Classified" sheetId="167" r:id="rId16"/>
    <sheet name="Alloc Factors Summary" sheetId="25" r:id="rId17"/>
    <sheet name="WP FR-16(7)(v)-Peak &amp; Avg" sheetId="26" r:id="rId18"/>
    <sheet name="WP FR-16(7)(v)-Daily Dem" sheetId="27" r:id="rId19"/>
    <sheet name="WP FR-16(7)(v)-Daily Gas Stats" sheetId="28" r:id="rId20"/>
    <sheet name="WP FR-16(7)(v)-IndustrialM&amp;R" sheetId="31" r:id="rId21"/>
    <sheet name="WP FR-16(7)(v)-Mains (Plastic)" sheetId="32" r:id="rId22"/>
    <sheet name="WP FR-16(7)(v)-Plastic Summary" sheetId="33" r:id="rId23"/>
    <sheet name="WP FR-16(7)(v)-Mains backup" sheetId="34" r:id="rId24"/>
    <sheet name="WP FR-16(7)(v)-Services" sheetId="35" r:id="rId25"/>
    <sheet name="WP FR-16(7)(v)-House Reg DEK" sheetId="169" r:id="rId26"/>
    <sheet name="WP FR-16(7)(v)-METERS 2020" sheetId="170" r:id="rId27"/>
    <sheet name="WP FR-16(7)(v)-CustAcctg" sheetId="38" r:id="rId28"/>
    <sheet name="WP FR-16(7)(v)-A&amp;G WP" sheetId="3" r:id="rId29"/>
    <sheet name="WP FR-16(7)(v) Pres NOI" sheetId="49" r:id="rId30"/>
    <sheet name="WP FR-16(7)(v)Rate Incr (40.0%)" sheetId="6" r:id="rId31"/>
    <sheet name="WP FR-16(7)(v)RateIncr (42.36%)" sheetId="7" state="hidden" r:id="rId32"/>
    <sheet name="WP FR-16(7)(v)Rate Incr (75%)" sheetId="24" state="hidden" r:id="rId33"/>
    <sheet name="WP FR-16(7)(v)Rate Incr (100%)" sheetId="8" state="hidden" r:id="rId34"/>
  </sheets>
  <externalReferences>
    <externalReference r:id="rId35"/>
  </externalReferences>
  <definedNames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29" hidden="1">#REF!</definedName>
    <definedName name="_Fill" localSheetId="25" hidden="1">#REF!</definedName>
    <definedName name="_Fill" hidden="1">#REF!</definedName>
    <definedName name="_Key1" localSheetId="8" hidden="1">'FR-16(7)(v)-5 DISTR Dem Alloc'!$D$766</definedName>
    <definedName name="_Key1" localSheetId="9" hidden="1">'FR-16(7)(v)-6 DISTR Cust Alloc'!$D$766</definedName>
    <definedName name="_Key1" localSheetId="11" hidden="1">'FR-16(7)(v)-8 TOT CLASS Alloc'!#REF!</definedName>
    <definedName name="_Key1" hidden="1">'FR-16(7)(v)-3 PROD Comm Alloc'!$D$766</definedName>
    <definedName name="_Order1" hidden="1">255</definedName>
    <definedName name="_Regression_Out" hidden="1">#N/A</definedName>
    <definedName name="_Sort" localSheetId="8" hidden="1">'FR-16(7)(v)-5 DISTR Dem Alloc'!$C$766:$L$771</definedName>
    <definedName name="_Sort" localSheetId="9" hidden="1">'FR-16(7)(v)-6 DISTR Cust Alloc'!$C$766:$L$771</definedName>
    <definedName name="_Sort" localSheetId="11" hidden="1">'FR-16(7)(v)-8 TOT CLASS Alloc'!#REF!</definedName>
    <definedName name="_Sort" hidden="1">'FR-16(7)(v)-3 PROD Comm Alloc'!$C$766:$L$771</definedName>
    <definedName name="ACwvu.Alloc._.Factors." localSheetId="16" hidden="1">'Alloc Factors Summary'!$E$30</definedName>
    <definedName name="ACwvu.AverageExcess." localSheetId="16" hidden="1">'Alloc Factors Summary'!$E$30</definedName>
    <definedName name="alloc_factors">'Print &amp; Input'!$A$9</definedName>
    <definedName name="Alloctable_Classified_Distribution">'FR-16(7)(v)-4 DISTR Classified'!$E$707:$I$844</definedName>
    <definedName name="AllocTable_Classified_Production">'FR-16(7)(v)-2 PROD Classified'!$E$707:$I$844</definedName>
    <definedName name="AllocTable_Classified_Storage">'FR-16(7)(v)-7 STOR Classified'!$E$707:$I$844</definedName>
    <definedName name="ALLOCTABLE_DISTR_CUSTOMER" localSheetId="9">'FR-16(7)(v)-6 DISTR Cust Alloc'!$E$707:$L$844</definedName>
    <definedName name="ALLOCTABLE_DISTR_DEMAND" localSheetId="8">'FR-16(7)(v)-5 DISTR Dem Alloc'!$E$707:$L$844</definedName>
    <definedName name="ALLOCTABLE_DISTR_DEMAND" localSheetId="9">'FR-16(7)(v)-6 DISTR Cust Alloc'!$E$707:$L$844</definedName>
    <definedName name="AllocTable_Functional">'FR-16(7)(v)-1 Functional'!$E$706:$I$845</definedName>
    <definedName name="ALLOCTABLE_Prod_Commodity">'FR-16(7)(v)-3 PROD Comm Alloc'!$E$707:$L$844</definedName>
    <definedName name="case_name">'Print &amp; Input'!$A$3</definedName>
    <definedName name="co_name">'Print &amp; Input'!$A$1</definedName>
    <definedName name="Composite_Tax_Rate">'FR-16(7)(v)-1 Functional'!$F$565</definedName>
    <definedName name="coss_type">'Print &amp; Input'!$A$2</definedName>
    <definedName name="custaccttable">'WP FR-16(7)(v)-CustAcctg'!$A$14:$F$67</definedName>
    <definedName name="data_filing">'Print &amp; Input'!$A$5</definedName>
    <definedName name="FIT">'FR-16(7)(v)-1 Functional'!$F$692</definedName>
    <definedName name="Mains">'WP FR-16(7)(v)-Mains backup'!$A$11:$C$19</definedName>
    <definedName name="Pages">'Print &amp; Input'!$D$2</definedName>
    <definedName name="Pages2">'Print &amp; Input'!$D$3</definedName>
    <definedName name="_xlnm.Print_Area" localSheetId="16">'Alloc Factors Summary'!$A$124:$H$176</definedName>
    <definedName name="_xlnm.Print_Area" localSheetId="4">'FR-16(7)(v)-1 Functional'!$A$805:$K$844</definedName>
    <definedName name="_xlnm.Print_Area" localSheetId="13">'FR-16(7)(v)-10 GS Classified'!$A$656:$K$694</definedName>
    <definedName name="_xlnm.Print_Area" localSheetId="14">'FR-16(7)(v)-11 FTL Classified'!$A$656:$K$694</definedName>
    <definedName name="_xlnm.Print_Area" localSheetId="15">'FR-16(7)(v)-12 IT Classified'!$A$656:$K$694</definedName>
    <definedName name="_xlnm.Print_Area" localSheetId="5">'FR-16(7)(v)-2 PROD Classified'!$A$805:$K$844</definedName>
    <definedName name="_xlnm.Print_Area" localSheetId="6">'FR-16(7)(v)-3 PROD Comm Alloc'!$A$805:$L$844</definedName>
    <definedName name="_xlnm.Print_Area" localSheetId="7">'FR-16(7)(v)-4 DISTR Classified'!$A$805:$K$844</definedName>
    <definedName name="_xlnm.Print_Area" localSheetId="8">'FR-16(7)(v)-5 DISTR Dem Alloc'!$A$805:$L$844</definedName>
    <definedName name="_xlnm.Print_Area" localSheetId="9">'FR-16(7)(v)-6 DISTR Cust Alloc'!$A$567:$L$612</definedName>
    <definedName name="_xlnm.Print_Area" localSheetId="11">'FR-16(7)(v)-8 TOT CLASS Alloc'!$A$656:$L$694</definedName>
    <definedName name="_xlnm.Print_Area" localSheetId="12">'FR-16(7)(v)-9 RES Classified'!$A$656:$K$694</definedName>
    <definedName name="_xlnm.Print_Area" localSheetId="29">'WP FR-16(7)(v) Pres NOI'!$A$1:$L$52</definedName>
    <definedName name="_xlnm.Print_Area" localSheetId="28">'WP FR-16(7)(v)-A&amp;G WP'!$A$1:$H$28</definedName>
    <definedName name="_xlnm.Print_Area" localSheetId="27">'WP FR-16(7)(v)-CustAcctg'!$A$1:$G$32</definedName>
    <definedName name="_xlnm.Print_Area" localSheetId="18">'WP FR-16(7)(v)-Daily Dem'!$A$49:$L$97</definedName>
    <definedName name="_xlnm.Print_Area" localSheetId="19">'WP FR-16(7)(v)-Daily Gas Stats'!$A$112:$S$147</definedName>
    <definedName name="_xlnm.Print_Area" localSheetId="25">'WP FR-16(7)(v)-House Reg DEK'!$G$53:$L$172</definedName>
    <definedName name="_xlnm.Print_Area" localSheetId="20">'WP FR-16(7)(v)-IndustrialM&amp;R'!$A$1:$G$19</definedName>
    <definedName name="_xlnm.Print_Area" localSheetId="21">'WP FR-16(7)(v)-Mains (Plastic)'!$A$1:$H$40</definedName>
    <definedName name="_xlnm.Print_Area" localSheetId="23">'WP FR-16(7)(v)-Mains backup'!$A$1:$G$29</definedName>
    <definedName name="_xlnm.Print_Area" localSheetId="26">'WP FR-16(7)(v)-METERS 2020'!$A$1:$M$77</definedName>
    <definedName name="_xlnm.Print_Area" localSheetId="17">'WP FR-16(7)(v)-Peak &amp; Avg'!$A$1:$S$48</definedName>
    <definedName name="_xlnm.Print_Area" localSheetId="22">'WP FR-16(7)(v)-Plastic Summary'!$A$1:$G$30</definedName>
    <definedName name="_xlnm.Print_Area" localSheetId="33">'WP FR-16(7)(v)Rate Incr (100%)'!$A$1:$N$35</definedName>
    <definedName name="_xlnm.Print_Area" localSheetId="30">'WP FR-16(7)(v)Rate Incr (40.0%)'!$A$1:$N$35</definedName>
    <definedName name="_xlnm.Print_Area" localSheetId="32">'WP FR-16(7)(v)Rate Incr (75%)'!$A$1:$N$35</definedName>
    <definedName name="_xlnm.Print_Area" localSheetId="31">'WP FR-16(7)(v)RateIncr (42.36%)'!$A$1:$N$35</definedName>
    <definedName name="_xlnm.Print_Area" localSheetId="24">'WP FR-16(7)(v)-Services'!$A$101:$G$159</definedName>
    <definedName name="Print_Commands">'Print &amp; Input'!$A$18</definedName>
    <definedName name="RegressionConstant">'WP FR-16(7)(v)-Mains (Plastic)'!$D$59</definedName>
    <definedName name="RegressionXcoefficient">'WP FR-16(7)(v)-Mains (Plastic)'!$C$65</definedName>
    <definedName name="RegulatorCost" localSheetId="25">'WP FR-16(7)(v)-House Reg DEK'!$J$62:$J$172</definedName>
    <definedName name="RegulatorCost">#REF!</definedName>
    <definedName name="RegulatorSize" localSheetId="25">'WP FR-16(7)(v)-House Reg DEK'!$K$62:$K$172</definedName>
    <definedName name="RegulatorSize">#REF!</definedName>
    <definedName name="RegulatorUnits" localSheetId="25">'WP FR-16(7)(v)-House Reg DEK'!$I$62:$I$172</definedName>
    <definedName name="RegulatorUnits">#REF!</definedName>
    <definedName name="RevTax">'FR-16(7)(v)-1 Functional'!$F$694</definedName>
    <definedName name="RofR">'FR-16(7)(v)-1 Functional'!$F$688</definedName>
    <definedName name="Sch_E3.1">'Customer Charge'!$A$1:$I$33</definedName>
    <definedName name="SCH_E3.2">'FR-16(7)(v)-1 Functional'!$A$1:$K$844</definedName>
    <definedName name="Sch_E3.2_Alloc_12">'FR-16(7)(v)-1 Functional'!$A$696:$K$745</definedName>
    <definedName name="Sch_E3.2_Alloc_12.1">'FR-16(7)(v)-1 Functional'!$A$747:$K$803</definedName>
    <definedName name="Sch_E3.2_Alloc_12.2">'FR-16(7)(v)-1 Functional'!$A$805:$K$844</definedName>
    <definedName name="Sch_E3.2_COS_Compute_10">'FR-16(7)(v)-1 Functional'!$A$614:$K$654</definedName>
    <definedName name="Sch_E3.2_Depreciation_Expense_7">'FR-16(7)(v)-1 Functional'!$A$435:$K$465</definedName>
    <definedName name="Sch_E3.2_Depreciation_Reserve_3">'FR-16(7)(v)-1 Functional'!$A$103:$K$151</definedName>
    <definedName name="Sch_E3.2_FIT_Return_9">'FR-16(7)(v)-1 Functional'!$A$503:$K$565</definedName>
    <definedName name="Sch_E3.2_FIT_Revenue_13">'FR-16(7)(v)-1 Functional'!$A$863:$K$900</definedName>
    <definedName name="Sch_E3.2_Gross_Plant_2">'FR-16(7)(v)-1 Functional'!$A$46:$K$101</definedName>
    <definedName name="Sch_E3.2_Net_Plant_4">'FR-16(7)(v)-1 Functional'!$A$153:$K$191</definedName>
    <definedName name="Sch_E3.2_OMEXP_6">'FR-16(7)(v)-1 Functional'!$A$336:$K$389</definedName>
    <definedName name="Sch_E3.2_OMEXP_6.1">'FR-16(7)(v)-1 Functional'!$A$391:$K$433</definedName>
    <definedName name="Sch_E3.2_RB_Additive_Adj_5.1">'FR-16(7)(v)-1 Functional'!$A$240:$K$283</definedName>
    <definedName name="Sch_E3.2_RB_Subtractive_Adj_5">'FR-16(7)(v)-1 Functional'!$A$193:$K$238</definedName>
    <definedName name="Sch_E3.2_RB_Total_5.2">'FR-16(7)(v)-1 Functional'!$A$285:$K$334</definedName>
    <definedName name="Sch_E3.2_RofR_11">'FR-16(7)(v)-1 Functional'!$A$656:$K$694</definedName>
    <definedName name="Sch_E3.2_SIT_Return_9.1">'FR-16(7)(v)-1 Functional'!$A$567:$K$612</definedName>
    <definedName name="Sch_E3.2_Summary_1">'FR-16(7)(v)-1 Functional'!$A$1:$K$28</definedName>
    <definedName name="Sch_E3.2_Taxes_Other_Than_Income_8">'FR-16(7)(v)-1 Functional'!$A$467:$K$501</definedName>
    <definedName name="SCH_E3.2a">'FR-16(7)(v)-2 PROD Classified'!$A$1:$K$844</definedName>
    <definedName name="Sch_E3.2a_Alloc_12">'FR-16(7)(v)-2 PROD Classified'!$A$696:$K$745</definedName>
    <definedName name="Sch_E3.2a_Alloc_12.1">'FR-16(7)(v)-2 PROD Classified'!$A$747:$K$803</definedName>
    <definedName name="Sch_E3.2a_Alloc_12.2">'FR-16(7)(v)-2 PROD Classified'!$A$805:$K$844</definedName>
    <definedName name="Sch_E3.2a_COS_Compute_10">'FR-16(7)(v)-2 PROD Classified'!$A$614:$K$654</definedName>
    <definedName name="Sch_E3.2a_Depreciation_Expense_7">'FR-16(7)(v)-2 PROD Classified'!$A$435:$K$465</definedName>
    <definedName name="Sch_E3.2a_Depreciation_Reserve_3">'FR-16(7)(v)-2 PROD Classified'!$A$103:$K$151</definedName>
    <definedName name="Sch_E3.2a_FIT_Return_9">'FR-16(7)(v)-2 PROD Classified'!$A$503:$K$565</definedName>
    <definedName name="Sch_E3.2a_FIT_Revenue_13">'FR-16(7)(v)-2 PROD Classified'!$A$863:$K$900</definedName>
    <definedName name="Sch_E3.2a_Gross_Plant_2">'FR-16(7)(v)-2 PROD Classified'!$A$46:$K$101</definedName>
    <definedName name="Sch_E3.2a_Net_Plant_4">'FR-16(7)(v)-2 PROD Classified'!$A$153:$K$191</definedName>
    <definedName name="Sch_E3.2a_OMEXP_6">'FR-16(7)(v)-2 PROD Classified'!$A$336:$K$389</definedName>
    <definedName name="Sch_E3.2a_OMEXP_6.1">'FR-16(7)(v)-2 PROD Classified'!$A$391:$K$433</definedName>
    <definedName name="Sch_E3.2a_RB_Additive_Adj_5.1">'FR-16(7)(v)-2 PROD Classified'!$A$240:$K$283</definedName>
    <definedName name="Sch_E3.2a_RB_Subtractive_Adj_5">'FR-16(7)(v)-2 PROD Classified'!$A$193:$K$238</definedName>
    <definedName name="Sch_E3.2a_RB_Total_5.2">'FR-16(7)(v)-2 PROD Classified'!$A$285:$K$334</definedName>
    <definedName name="Sch_E3.2a_RofR_11">'FR-16(7)(v)-2 PROD Classified'!$A$656:$K$694</definedName>
    <definedName name="Sch_E3.2a_SIT_Return_9.1">'FR-16(7)(v)-2 PROD Classified'!$A$567:$K$612</definedName>
    <definedName name="Sch_E3.2a_Summary_1">'FR-16(7)(v)-2 PROD Classified'!$A$1:$K$28</definedName>
    <definedName name="Sch_E3.2a_Taxes_Other_Than_Income_8">'FR-16(7)(v)-2 PROD Classified'!$A$467:$K$501</definedName>
    <definedName name="SCH_E3.2b">'FR-16(7)(v)-3 PROD Comm Alloc'!$A$1:$L$844</definedName>
    <definedName name="Sch_E3.2b_Alloc_12">'FR-16(7)(v)-3 PROD Comm Alloc'!$A$696:$L$746</definedName>
    <definedName name="Sch_E3.2b_Alloc_12.1">'FR-16(7)(v)-3 PROD Comm Alloc'!$A$747:$L$803</definedName>
    <definedName name="Sch_E3.2b_Alloc_12.2">'FR-16(7)(v)-3 PROD Comm Alloc'!$A$805:$L$844</definedName>
    <definedName name="Sch_E3.2b_COS_Compute_10">'FR-16(7)(v)-3 PROD Comm Alloc'!$A$614:$L$655</definedName>
    <definedName name="Sch_E3.2b_Depreciation_Expense_7">'FR-16(7)(v)-3 PROD Comm Alloc'!$A$435:$L$465</definedName>
    <definedName name="Sch_E3.2b_Depreciation_Reserve_3">'FR-16(7)(v)-3 PROD Comm Alloc'!$A$103:$L$151</definedName>
    <definedName name="Sch_E3.2b_FIT_Return_9">'FR-16(7)(v)-3 PROD Comm Alloc'!$A$503:$L$565</definedName>
    <definedName name="Sch_E3.2b_FIT_Revenue_13">'FR-16(7)(v)-3 PROD Comm Alloc'!$A$696:$L$900</definedName>
    <definedName name="Sch_E3.2b_Gross_Plant_2">'FR-16(7)(v)-3 PROD Comm Alloc'!$A$46:$L$101</definedName>
    <definedName name="Sch_E3.2b_Net_Plant_4">'FR-16(7)(v)-3 PROD Comm Alloc'!$A$153:$L$191</definedName>
    <definedName name="Sch_E3.2b_OMEXP_6">'FR-16(7)(v)-3 PROD Comm Alloc'!$A$336:$L$389</definedName>
    <definedName name="Sch_E3.2b_OMEXP_6.1">'FR-16(7)(v)-3 PROD Comm Alloc'!$A$391:$L$433</definedName>
    <definedName name="Sch_E3.2b_RB_Additive_Adj_5.1">'FR-16(7)(v)-3 PROD Comm Alloc'!$A$240:$L$283</definedName>
    <definedName name="Sch_E3.2b_RB_Subtractive_Adj_5">'FR-16(7)(v)-3 PROD Comm Alloc'!$A$193:$L$238</definedName>
    <definedName name="Sch_E3.2b_RB_Total_5.2">'FR-16(7)(v)-3 PROD Comm Alloc'!$A$285:$L$334</definedName>
    <definedName name="Sch_E3.2b_RofR_11">'FR-16(7)(v)-3 PROD Comm Alloc'!$A$656:$L$694</definedName>
    <definedName name="Sch_E3.2b_SIT_Return_9.1">'FR-16(7)(v)-3 PROD Comm Alloc'!$A$567:$L$612</definedName>
    <definedName name="Sch_E3.2b_Summary_1">'FR-16(7)(v)-3 PROD Comm Alloc'!$A$1:$L$28</definedName>
    <definedName name="Sch_E3.2b_Taxes_Other_Than_Income_8">'FR-16(7)(v)-3 PROD Comm Alloc'!$A$467:$L$501</definedName>
    <definedName name="SCH_E3.2c">'FR-16(7)(v)-4 DISTR Classified'!$A$1:$K$844</definedName>
    <definedName name="Sch_E3.2c_Alloc_12">'FR-16(7)(v)-4 DISTR Classified'!$A$696:$K$745</definedName>
    <definedName name="Sch_E3.2c_Alloc_12.1">'FR-16(7)(v)-4 DISTR Classified'!$A$747:$K$803</definedName>
    <definedName name="Sch_E3.2c_Alloc_12.2">'FR-16(7)(v)-4 DISTR Classified'!$A$805:$K$844</definedName>
    <definedName name="Sch_E3.2c_COS_Compute_10">'FR-16(7)(v)-4 DISTR Classified'!$A$614:$K$654</definedName>
    <definedName name="Sch_E3.2c_Depreciation_Expense_7">'FR-16(7)(v)-4 DISTR Classified'!$A$435:$K$465</definedName>
    <definedName name="Sch_E3.2c_Depreciation_Reserve_3">'FR-16(7)(v)-4 DISTR Classified'!$A$103:$K$151</definedName>
    <definedName name="Sch_E3.2c_FIT_Return_9">'FR-16(7)(v)-4 DISTR Classified'!$A$503:$K$565</definedName>
    <definedName name="Sch_E3.2c_FIT_Revenues_13">'FR-16(7)(v)-4 DISTR Classified'!$A$696:$K$745</definedName>
    <definedName name="Sch_E3.2c_Gross_Plant_2">'FR-16(7)(v)-4 DISTR Classified'!$A$46:$K$101</definedName>
    <definedName name="Sch_E3.2c_Net_Plant_4">'FR-16(7)(v)-4 DISTR Classified'!$A$153:$K$191</definedName>
    <definedName name="Sch_E3.2c_OMEXP_6">'FR-16(7)(v)-4 DISTR Classified'!$A$336:$K$389</definedName>
    <definedName name="SCH_E3.2c_OMEXP_6.1">'FR-16(7)(v)-4 DISTR Classified'!$A$391:$K$433</definedName>
    <definedName name="Sch_E3.2c_RB_Additive_Adj_5.1">'FR-16(7)(v)-4 DISTR Classified'!$A$240:$K$283</definedName>
    <definedName name="Sch_E3.2c_RB_Subtractive_Adj_5">'FR-16(7)(v)-4 DISTR Classified'!$A$193:$K$238</definedName>
    <definedName name="Sch_E3.2c_RB_Total_5.2">'FR-16(7)(v)-4 DISTR Classified'!$A$285:$K$334</definedName>
    <definedName name="Sch_E3.2c_RofR_11">'FR-16(7)(v)-4 DISTR Classified'!$A$656:$K$694</definedName>
    <definedName name="Sch_E3.2c_SIT_Return_9.1">'FR-16(7)(v)-4 DISTR Classified'!$A$567:$K$612</definedName>
    <definedName name="Sch_E3.2c_Summary_1">'FR-16(7)(v)-4 DISTR Classified'!$A$1:$K$28</definedName>
    <definedName name="Sch_E3.2c_Taxes_Other_Than_Income_8">'FR-16(7)(v)-4 DISTR Classified'!$A$467:$K$501</definedName>
    <definedName name="SCH_E3.2d">'FR-16(7)(v)-5 DISTR Dem Alloc'!$A$1:$L$844</definedName>
    <definedName name="Sch_E3.2d_Alloc_12">'FR-16(7)(v)-5 DISTR Dem Alloc'!$A$696:$L$746</definedName>
    <definedName name="Sch_E3.2d_Alloc_12.1">'FR-16(7)(v)-5 DISTR Dem Alloc'!$A$747:$L$803</definedName>
    <definedName name="Sch_E3.2d_Alloc_12.2">'FR-16(7)(v)-5 DISTR Dem Alloc'!$A$805:$L$844</definedName>
    <definedName name="Sch_E3.2d_COS_Compute_10">'FR-16(7)(v)-5 DISTR Dem Alloc'!$A$614:$L$655</definedName>
    <definedName name="Sch_E3.2d_Depreciation_Expense_7">'FR-16(7)(v)-5 DISTR Dem Alloc'!$A$435:$L$465</definedName>
    <definedName name="Sch_E3.2d_Depreciation_Reserve_3">'FR-16(7)(v)-5 DISTR Dem Alloc'!$A$103:$L$151</definedName>
    <definedName name="Sch_E3.2d_FIT_Return_9">'FR-16(7)(v)-5 DISTR Dem Alloc'!$A$503:$L$565</definedName>
    <definedName name="Sch_E3.2d_FIT_Revenue_13">'FR-16(7)(v)-5 DISTR Dem Alloc'!$A$696:$L$900</definedName>
    <definedName name="Sch_E3.2d_Gross_Plant_2">'FR-16(7)(v)-5 DISTR Dem Alloc'!$A$46:$L$101</definedName>
    <definedName name="Sch_E3.2d_Net_Plant_4">'FR-16(7)(v)-5 DISTR Dem Alloc'!$A$153:$L$191</definedName>
    <definedName name="Sch_E3.2d_OMEXP_6">'FR-16(7)(v)-5 DISTR Dem Alloc'!$A$336:$L$389</definedName>
    <definedName name="Sch_E3.2d_OMEXP_6.1">'FR-16(7)(v)-5 DISTR Dem Alloc'!$A$391:$L$433</definedName>
    <definedName name="Sch_E3.2d_RB_Additive_Adj_5.1">'FR-16(7)(v)-5 DISTR Dem Alloc'!$A$240:$L$283</definedName>
    <definedName name="Sch_E3.2d_RB_Subtractive_Adj_5">'FR-16(7)(v)-5 DISTR Dem Alloc'!$A$193:$L$238</definedName>
    <definedName name="Sch_E3.2d_RB_Total_5.2">'FR-16(7)(v)-5 DISTR Dem Alloc'!$A$285:$L$334</definedName>
    <definedName name="Sch_E3.2d_RofR_11">'FR-16(7)(v)-5 DISTR Dem Alloc'!$A$656:$L$694</definedName>
    <definedName name="Sch_E3.2d_SIT_Return_9.1">'FR-16(7)(v)-5 DISTR Dem Alloc'!$A$567:$L$612</definedName>
    <definedName name="Sch_E3.2d_Summary_1">'FR-16(7)(v)-5 DISTR Dem Alloc'!$A$1:$L$28</definedName>
    <definedName name="Sch_E3.2d_Taxes_Other_Than_Income_8">'FR-16(7)(v)-5 DISTR Dem Alloc'!$A$467:$L$501</definedName>
    <definedName name="SCH_E3.2e">'FR-16(7)(v)-6 DISTR Cust Alloc'!$A$1:$L$844</definedName>
    <definedName name="Sch_E3.2e_Alloc_12">'FR-16(7)(v)-6 DISTR Cust Alloc'!$A$695:$L$746</definedName>
    <definedName name="Sch_E3.2e_Alloc_12.1">'FR-16(7)(v)-6 DISTR Cust Alloc'!$A$747:$L$803</definedName>
    <definedName name="Sch_E3.2e_Alloc_12.2">'FR-16(7)(v)-6 DISTR Cust Alloc'!$A$805:$L$844</definedName>
    <definedName name="Sch_E3.2e_COS_Compute_10">'FR-16(7)(v)-6 DISTR Cust Alloc'!$A$614:$L$655</definedName>
    <definedName name="Sch_E3.2e_Depreciation_Expense_7">'FR-16(7)(v)-6 DISTR Cust Alloc'!$A$435:$L$465</definedName>
    <definedName name="Sch_E3.2e_Depreciation_Reserve_3">'FR-16(7)(v)-6 DISTR Cust Alloc'!$A$103:$L$151</definedName>
    <definedName name="Sch_E3.2e_FIT_Return_9">'FR-16(7)(v)-6 DISTR Cust Alloc'!$A$503:$L$565</definedName>
    <definedName name="Sch_E3.2e_FIT_Revenue_13">'FR-16(7)(v)-6 DISTR Cust Alloc'!$A$696:$L$900</definedName>
    <definedName name="Sch_E3.2e_Gross_Plant_2">'FR-16(7)(v)-6 DISTR Cust Alloc'!$A$46:$L$101</definedName>
    <definedName name="Sch_E3.2e_Net_Plant_4">'FR-16(7)(v)-6 DISTR Cust Alloc'!$A$153:$L$191</definedName>
    <definedName name="Sch_E3.2e_OMEXP_6">'FR-16(7)(v)-6 DISTR Cust Alloc'!$A$336:$L$389</definedName>
    <definedName name="Sch_E3.2e_OMEXP_6.1">'FR-16(7)(v)-6 DISTR Cust Alloc'!$A$391:$L$433</definedName>
    <definedName name="Sch_E3.2e_RB_Additive_Adj_5.1">'FR-16(7)(v)-6 DISTR Cust Alloc'!$A$240:$L$283</definedName>
    <definedName name="Sch_E3.2e_RB_Subtractive_Adj_5">'FR-16(7)(v)-6 DISTR Cust Alloc'!$A$193:$L$238</definedName>
    <definedName name="Sch_E3.2e_RB_Total_5.2">'FR-16(7)(v)-6 DISTR Cust Alloc'!$A$285:$L$334</definedName>
    <definedName name="Sch_E3.2e_RofR_11">'FR-16(7)(v)-6 DISTR Cust Alloc'!$A$656:$L$694</definedName>
    <definedName name="Sch_E3.2e_SIT_Return_9.1">'FR-16(7)(v)-6 DISTR Cust Alloc'!$A$614:$L$654</definedName>
    <definedName name="Sch_E3.2e_Summary_1">'FR-16(7)(v)-6 DISTR Cust Alloc'!$A$1:$L$28</definedName>
    <definedName name="Sch_E3.2e_Taxes_Other_Than_Income_8">'FR-16(7)(v)-6 DISTR Cust Alloc'!$A$467:$L$501</definedName>
    <definedName name="SCH_E3.2f">'FR-16(7)(v)-8 TOT CLASS Alloc'!$A$1:$L$694</definedName>
    <definedName name="Sch_E3.2f_COS_Compute_10">'FR-16(7)(v)-8 TOT CLASS Alloc'!$A$614:$L$655</definedName>
    <definedName name="Sch_E3.2f_Depreciation_Expense_7">'FR-16(7)(v)-8 TOT CLASS Alloc'!$A$435:$L$465</definedName>
    <definedName name="Sch_E3.2f_Depreciation_Reserve_3">'FR-16(7)(v)-8 TOT CLASS Alloc'!$A$103:$L$151</definedName>
    <definedName name="Sch_E3.2f_FIT_Return_9">'FR-16(7)(v)-8 TOT CLASS Alloc'!$A$503:$L$565</definedName>
    <definedName name="Sch_E3.2f_FIT_Revenue_13">'FR-16(7)(v)-8 TOT CLASS Alloc'!$A$861:$L$900</definedName>
    <definedName name="Sch_E3.2f_Gross_Plant_2">'FR-16(7)(v)-8 TOT CLASS Alloc'!$A$46:$L$101</definedName>
    <definedName name="Sch_E3.2f_Net_Plant_4">'FR-16(7)(v)-8 TOT CLASS Alloc'!$A$153:$L$191</definedName>
    <definedName name="Sch_E3.2f_OMEXP_6">'FR-16(7)(v)-8 TOT CLASS Alloc'!$A$336:$L$389</definedName>
    <definedName name="Sch_E3.2f_OMEXP_6.1">'FR-16(7)(v)-8 TOT CLASS Alloc'!$A$391:$L$433</definedName>
    <definedName name="Sch_E3.2f_RB_Additive_Adj_5.1">'FR-16(7)(v)-8 TOT CLASS Alloc'!$A$240:$L$283</definedName>
    <definedName name="Sch_E3.2f_RB_Subtractive_Adj_5">'FR-16(7)(v)-8 TOT CLASS Alloc'!$A$193:$L$238</definedName>
    <definedName name="Sch_E3.2f_RB_Total_5.2">'FR-16(7)(v)-8 TOT CLASS Alloc'!$A$285:$L$334</definedName>
    <definedName name="Sch_E3.2f_RofR_11">'FR-16(7)(v)-8 TOT CLASS Alloc'!$A$656:$L$694</definedName>
    <definedName name="Sch_E3.2f_SIT_Return_9.1">'FR-16(7)(v)-8 TOT CLASS Alloc'!$A$567:$L$612</definedName>
    <definedName name="Sch_E3.2f_Summary_1">'FR-16(7)(v)-8 TOT CLASS Alloc'!$A$1:$L$44</definedName>
    <definedName name="Sch_E3.2f_Taxes_Other_Than_Income_8">'FR-16(7)(v)-8 TOT CLASS Alloc'!$A$467:$L$501</definedName>
    <definedName name="SCH_E3.2g">'FR-16(7)(v)-9 RES Classified'!$A$1:$K$694</definedName>
    <definedName name="Sch_E3.2g_COS_Compute_10">'FR-16(7)(v)-9 RES Classified'!$A$614:$K$654</definedName>
    <definedName name="Sch_E3.2g_Depreciation_Expense_7">'FR-16(7)(v)-9 RES Classified'!$A$435:$K$465</definedName>
    <definedName name="Sch_E3.2g_Depreciation_Reserve_3">'FR-16(7)(v)-9 RES Classified'!$A$103:$K$151</definedName>
    <definedName name="Sch_E3.2g_FIT_Return_9">'FR-16(7)(v)-9 RES Classified'!$A$503:$K$565</definedName>
    <definedName name="Sch_E3.2g_FIT_Revenue_13">'FR-16(7)(v)-9 RES Classified'!$A$863:$K$899</definedName>
    <definedName name="Sch_E3.2g_Gross_Plant_2">'FR-16(7)(v)-9 RES Classified'!$A$46:$K$101</definedName>
    <definedName name="Sch_E3.2g_Net_Plant_4">'FR-16(7)(v)-9 RES Classified'!$A$153:$K$191</definedName>
    <definedName name="Sch_E3.2g_OMEXP_6">'FR-16(7)(v)-9 RES Classified'!$A$336:$K$389</definedName>
    <definedName name="Sch_E3.2g_OMEXP_6.1">'FR-16(7)(v)-9 RES Classified'!$A$391:$K$433</definedName>
    <definedName name="SCH_E3.2g_RB_ADDITIVE_ADJ_5.1">'FR-16(7)(v)-9 RES Classified'!$A$240:$K$283</definedName>
    <definedName name="Sch_E3.2g_RB_Subtractive_Adj_5">'FR-16(7)(v)-9 RES Classified'!$A$193:$K$238</definedName>
    <definedName name="Sch_E3.2g_RB_Total_5.2">'FR-16(7)(v)-9 RES Classified'!$A$285:$K$334</definedName>
    <definedName name="Sch_E3.2g_RofR_11">'FR-16(7)(v)-9 RES Classified'!$A$656:$K$694</definedName>
    <definedName name="Sch_E3.2g_SIT_Return_9.1">'FR-16(7)(v)-9 RES Classified'!$A$567:$K$612</definedName>
    <definedName name="Sch_E3.2g_Summary_1">'FR-16(7)(v)-9 RES Classified'!$A$1:$K$28</definedName>
    <definedName name="Sch_E3.2g_Taxes_Other_Than_Income_8">'FR-16(7)(v)-9 RES Classified'!$A$467:$K$501</definedName>
    <definedName name="SCH_E3.2h">'FR-16(7)(v)-10 GS Classified'!$A$1:$K$694</definedName>
    <definedName name="Sch_E3.2h_COS_Compute_10">'FR-16(7)(v)-10 GS Classified'!$A$614:$K$654</definedName>
    <definedName name="Sch_E3.2h_Depreciation_Expense_7">'FR-16(7)(v)-10 GS Classified'!$A$435:$K$465</definedName>
    <definedName name="Sch_E3.2h_Depreciation_Reserve_3">'FR-16(7)(v)-10 GS Classified'!$A$103:$K$151</definedName>
    <definedName name="Sch_E3.2h_FIT_Return_9">'FR-16(7)(v)-10 GS Classified'!$A$503:$K$565</definedName>
    <definedName name="Sch_E3.2h_FIT_Revenue_13">'FR-16(7)(v)-10 GS Classified'!$A$852:$K$899</definedName>
    <definedName name="Sch_E3.2h_Gross_Plant_2">'FR-16(7)(v)-10 GS Classified'!$A$46:$K$101</definedName>
    <definedName name="Sch_E3.2h_Net_Plant_4">'FR-16(7)(v)-10 GS Classified'!$A$153:$K$191</definedName>
    <definedName name="Sch_E3.2h_OMEXP_6">'FR-16(7)(v)-10 GS Classified'!$A$336:$K$389</definedName>
    <definedName name="Sch_E3.2h_OMEXP_6.1">'FR-16(7)(v)-10 GS Classified'!$A$391:$K$433</definedName>
    <definedName name="Sch_E3.2h_RB_Additive_Adj_5.1">'FR-16(7)(v)-10 GS Classified'!$A$240:$K$283</definedName>
    <definedName name="Sch_E3.2h_RB_Subtractive_Adj_5">'FR-16(7)(v)-10 GS Classified'!$A$193:$K$238</definedName>
    <definedName name="Sch_E3.2h_RB_Total_5.2">'FR-16(7)(v)-10 GS Classified'!$A$285:$K$334</definedName>
    <definedName name="Sch_E3.2h_RofR_11">'FR-16(7)(v)-10 GS Classified'!$A$656:$K$694</definedName>
    <definedName name="Sch_E3.2h_SIT_Return_9.1">'FR-16(7)(v)-10 GS Classified'!$A$567:$K$612</definedName>
    <definedName name="Sch_E3.2h_Summary_1">'FR-16(7)(v)-10 GS Classified'!$A$1:$K$28</definedName>
    <definedName name="Sch_E3.2h_Taxes_Other_Than_Income_8">'FR-16(7)(v)-10 GS Classified'!$A$467:$K$501</definedName>
    <definedName name="SCH_E3.2i">'FR-16(7)(v)-11 FTL Classified'!$A$1:$K$694</definedName>
    <definedName name="Sch_E3.2i_COS_Compute_10">'FR-16(7)(v)-11 FTL Classified'!$A$614:$K$654</definedName>
    <definedName name="Sch_E3.2i_Depreciation_Expense_7">'FR-16(7)(v)-11 FTL Classified'!$A$435:$K$465</definedName>
    <definedName name="Sch_E3.2i_Depreciation_Reserve_3">'FR-16(7)(v)-11 FTL Classified'!$A$103:$K$151</definedName>
    <definedName name="Sch_E3.2i_FIT_Return_9">'FR-16(7)(v)-11 FTL Classified'!$A$503:$K$565</definedName>
    <definedName name="Sch_E3.2i_FIT_Revenue_13">'FR-16(7)(v)-11 FTL Classified'!$A$863:$K$899</definedName>
    <definedName name="Sch_E3.2i_Gross_Plant_2">'FR-16(7)(v)-11 FTL Classified'!$A$46:$K$101</definedName>
    <definedName name="Sch_E3.2i_Net_Plant_4">'FR-16(7)(v)-11 FTL Classified'!$A$153:$K$191</definedName>
    <definedName name="Sch_E3.2i_OMEXP_6">'FR-16(7)(v)-11 FTL Classified'!$A$336:$K$389</definedName>
    <definedName name="Sch_E3.2i_OMEXP_6.1">'FR-16(7)(v)-11 FTL Classified'!$A$391:$K$433</definedName>
    <definedName name="Sch_E3.2i_RB_Additive_Adj_5.1">'FR-16(7)(v)-11 FTL Classified'!$A$240:$K$283</definedName>
    <definedName name="Sch_E3.2i_RB_Subtractive_Adj_5">'FR-16(7)(v)-11 FTL Classified'!$A$193:$K$238</definedName>
    <definedName name="Sch_E3.2i_RB_Total_5.2">'FR-16(7)(v)-11 FTL Classified'!$A$285:$K$334</definedName>
    <definedName name="Sch_E3.2i_RofR_11">'FR-16(7)(v)-11 FTL Classified'!$A$656:$K$694</definedName>
    <definedName name="Sch_E3.2i_SIT_Return_9.1">'FR-16(7)(v)-11 FTL Classified'!$A$567:$K$612</definedName>
    <definedName name="Sch_E3.2i_Summary_1">'FR-16(7)(v)-11 FTL Classified'!$A$1:$K$28</definedName>
    <definedName name="Sch_E3.2i_Taxes_Other_Than_Income_8">'FR-16(7)(v)-11 FTL Classified'!$A$467:$K$501</definedName>
    <definedName name="SCH_E3.2j">'FR-16(7)(v)-12 IT Classified'!$A$1:$K$694</definedName>
    <definedName name="Sch_E3.2j_COS_Compute_10">'FR-16(7)(v)-12 IT Classified'!$A$614:$K$654</definedName>
    <definedName name="Sch_E3.2j_Depreciation_Expense_7">'FR-16(7)(v)-12 IT Classified'!$A$435:$K$465</definedName>
    <definedName name="Sch_E3.2j_Depreciation_Reserve_3">'FR-16(7)(v)-12 IT Classified'!$A$103:$K$151</definedName>
    <definedName name="Sch_E3.2j_FIT_Return_9">'FR-16(7)(v)-12 IT Classified'!$A$503:$K$565</definedName>
    <definedName name="Sch_E3.2j_FIT_Revenue_13">'FR-16(7)(v)-12 IT Classified'!$A$863:$K$899</definedName>
    <definedName name="Sch_E3.2j_Gross_Plant_2">'FR-16(7)(v)-12 IT Classified'!$A$46:$K$101</definedName>
    <definedName name="Sch_E3.2j_Net_Plant_4">'FR-16(7)(v)-12 IT Classified'!$A$153:$K$191</definedName>
    <definedName name="Sch_E3.2j_OMEXP_6">'FR-16(7)(v)-12 IT Classified'!$A$336:$K$389</definedName>
    <definedName name="Sch_E3.2j_OMEXP_6.1">'FR-16(7)(v)-12 IT Classified'!$A$391:$K$433</definedName>
    <definedName name="Sch_E3.2j_RB_Additive_Adj_5.1">'FR-16(7)(v)-12 IT Classified'!$A$240:$K$283</definedName>
    <definedName name="Sch_E3.2j_RB_Subtractive_Adj_5">'FR-16(7)(v)-12 IT Classified'!$A$193:$K$238</definedName>
    <definedName name="Sch_E3.2j_RB_Total_5.2">'FR-16(7)(v)-12 IT Classified'!$A$285:$K$334</definedName>
    <definedName name="Sch_E3.2j_RofR_11">'FR-16(7)(v)-12 IT Classified'!$A$656:$K$694</definedName>
    <definedName name="Sch_E3.2j_SIT_Return_9.1">'FR-16(7)(v)-12 IT Classified'!$A$567:$K$612</definedName>
    <definedName name="Sch_E3.2j_Summary_1">'FR-16(7)(v)-12 IT Classified'!$A$1:$K$28</definedName>
    <definedName name="Sch_E3.2j_Taxes_Other_Than_Income_8">'FR-16(7)(v)-12 IT Classified'!$A$467:$K$501</definedName>
    <definedName name="Services_Cost">'WP FR-16(7)(v)-Services'!$D$109:$D$158</definedName>
    <definedName name="Services_Kind">'WP FR-16(7)(v)-Services'!$A$109:$A$158</definedName>
    <definedName name="Services_Quantity">'WP FR-16(7)(v)-Services'!$C$109:$C$158</definedName>
    <definedName name="Services_Size">'WP FR-16(7)(v)-Services'!$B$109:$B$158</definedName>
    <definedName name="Services_Type">'WP FR-16(7)(v)-Services'!$E$109:$E$158</definedName>
    <definedName name="SIT">'FR-16(7)(v)-1 Functional'!$F$693</definedName>
    <definedName name="solver_adj" localSheetId="4" hidden="1">'FR-16(7)(v)-1 Functional'!$F$528</definedName>
    <definedName name="solver_cvg" localSheetId="4" hidden="1">0.0001</definedName>
    <definedName name="solver_drv" localSheetId="4" hidden="1">1</definedName>
    <definedName name="solver_est" localSheetId="4" hidden="1">1</definedName>
    <definedName name="solver_itr" localSheetId="4" hidden="1">100</definedName>
    <definedName name="solver_lin" localSheetId="4" hidden="1">2</definedName>
    <definedName name="solver_neg" localSheetId="4" hidden="1">2</definedName>
    <definedName name="solver_num" localSheetId="4" hidden="1">0</definedName>
    <definedName name="solver_nwt" localSheetId="4" hidden="1">1</definedName>
    <definedName name="solver_opt" localSheetId="4" hidden="1">'FR-16(7)(v)-1 Functional'!$F$557</definedName>
    <definedName name="solver_pre" localSheetId="4" hidden="1">0.000001</definedName>
    <definedName name="solver_scl" localSheetId="4" hidden="1">2</definedName>
    <definedName name="solver_sho" localSheetId="4" hidden="1">2</definedName>
    <definedName name="solver_tim" localSheetId="4" hidden="1">100</definedName>
    <definedName name="solver_tol" localSheetId="4" hidden="1">0.05</definedName>
    <definedName name="solver_typ" localSheetId="4" hidden="1">3</definedName>
    <definedName name="solver_val" localSheetId="4" hidden="1">11876343</definedName>
    <definedName name="Swvu.Alloc._.Factors." localSheetId="16" hidden="1">'Alloc Factors Summary'!$E$30</definedName>
    <definedName name="Swvu.AverageExcess." localSheetId="16" hidden="1">'Alloc Factors Summary'!$E$30</definedName>
    <definedName name="test_period">'Print &amp; Input'!$A$4</definedName>
    <definedName name="time_period">'Print &amp; Input'!$A$10</definedName>
    <definedName name="type">'Print &amp; Input'!$A$8</definedName>
    <definedName name="Witness">'Print &amp; Input'!$A$6</definedName>
    <definedName name="Witness1">'Print &amp; Input'!$A$7</definedName>
    <definedName name="WorkingCap">'Print &amp; Input'!$D$1</definedName>
    <definedName name="WPE_3.2a_P1">'Alloc Factors Summary'!$A$1:$H$48</definedName>
    <definedName name="WPE_3.2a_P2">'Alloc Factors Summary'!$A$49:$H$122</definedName>
    <definedName name="WPE_3.2a_P3">'Alloc Factors Summary'!$A$124:$H$176</definedName>
    <definedName name="WPE_3.2b_P1">'WP FR-16(7)(v)-Peak &amp; Avg'!$A$1:$S$48</definedName>
    <definedName name="WPE_3.2c_P1">'WP FR-16(7)(v)-Daily Dem'!$A$1:$L$47</definedName>
    <definedName name="WPE_3.2c_P2">'WP FR-16(7)(v)-Daily Dem'!$A$49:$L$96</definedName>
    <definedName name="WPE_3.2c_P3">'WP FR-16(7)(v)-Daily Dem'!$A$98:$L$146</definedName>
    <definedName name="WPE_3.2c_P4">'WP FR-16(7)(v)-Daily Gas Stats'!$A$1:$S$35</definedName>
    <definedName name="WPE_3.2c_P5">'WP FR-16(7)(v)-Daily Gas Stats'!$A$38:$S$72</definedName>
    <definedName name="WPE_3.2c_P6">'WP FR-16(7)(v)-Daily Gas Stats'!$A$75:$S$110</definedName>
    <definedName name="WPE_3.2c_P7">'WP FR-16(7)(v)-Daily Gas Stats'!$A$112:$S$147</definedName>
    <definedName name="WPE_3.2d_P1">'WP FR-16(7)(v)-IndustrialM&amp;R'!$A$1:$G$19</definedName>
    <definedName name="WPE_3.2e_P1">'WP FR-16(7)(v)-Mains (Plastic)'!$A$1:$H$40</definedName>
    <definedName name="WPE_3.2e_P2">'WP FR-16(7)(v)-Plastic Summary'!$A$1:$G$30</definedName>
    <definedName name="WPE_3.2e_P3">'WP FR-16(7)(v)-Mains backup'!$A$1:$E$25</definedName>
    <definedName name="WPE_3.2f_P1">'WP FR-16(7)(v)-Services'!$A$1:$M$44</definedName>
    <definedName name="WPE_3.2f_P2">'WP FR-16(7)(v)-Services'!$A$46:$M$82</definedName>
    <definedName name="WPE_3.2f_P3">'WP FR-16(7)(v)-Services'!$A$84:$G$99</definedName>
    <definedName name="WPE_3.2f_P4">'WP FR-16(7)(v)-Services'!$A$101:$G$159</definedName>
    <definedName name="WPE_3.2g_P1" localSheetId="25">'WP FR-16(7)(v)-House Reg DEK'!$A$1:$E$50</definedName>
    <definedName name="WPE_3.2g_P1">#REF!</definedName>
    <definedName name="WPE_3.2g_P2" localSheetId="25">'WP FR-16(7)(v)-House Reg DEK'!$G$53:$J$128</definedName>
    <definedName name="WPE_3.2g_P2">#REF!</definedName>
    <definedName name="WPE_3.2i_P1">'WP FR-16(7)(v)-CustAcctg'!$A$1:$G$32</definedName>
    <definedName name="WPE_3.2j_P1">'WP FR-16(7)(v)-A&amp;G WP'!$A$1:$H$26</definedName>
    <definedName name="WPE_3.2k_P1">'WP FR-16(7)(v) Pres NOI'!$A$1:$L$52</definedName>
    <definedName name="WPE_3.2l_P1">'WP FR-16(7)(v)Rate Incr (40.0%)'!$A$1:$N$35</definedName>
    <definedName name="WPE_3.2l_P2">'WP FR-16(7)(v)RateIncr (42.36%)'!$A$1:$N$35</definedName>
    <definedName name="WPE_3.2l_P3">'WP FR-16(7)(v)Rate Incr (75%)'!$A$1:$N$35</definedName>
    <definedName name="WPE_3.2l_P4">'WP FR-16(7)(v)Rate Incr (100%)'!$A$1:$N$35</definedName>
    <definedName name="wrn.Allocation._.Factors." localSheetId="21" hidden="1">{#N/A,#N/A,FALSE,"Alloc Factors";#N/A,#N/A,FALSE,"AverageExcess";#N/A,#N/A,FALSE,"Monthly Data";#N/A,#N/A,FALSE,"HighPressure";#N/A,#N/A,FALSE,"IndustrialM&amp;R";#N/A,#N/A,FALSE,"Mains";#N/A,#N/A,FALSE,"Services"}</definedName>
    <definedName name="wrn.Allocation._.Factors." hidden="1">{#N/A,#N/A,FALSE,"Alloc Factors";#N/A,#N/A,FALSE,"AverageExcess";#N/A,#N/A,FALSE,"Monthly Data";#N/A,#N/A,FALSE,"HighPressure";#N/A,#N/A,FALSE,"IndustrialM&amp;R";#N/A,#N/A,FALSE,"Mains";#N/A,#N/A,FALSE,"Services"}</definedName>
    <definedName name="wvu.Alloc._.Factors." localSheetId="16" hidden="1">{TRUE,TRUE,-2.75,-17,484.5,254.25,FALSE,TRUE,TRUE,TRUE,0,1,#N/A,20,#N/A,8.30357142857143,18.5333333333333,1,FALSE,FALSE,3,TRUE,1,FALSE,100,"Swvu.Alloc._.Factors.","ACwvu.Alloc._.Factors.",#N/A,FALSE,FALSE,0.75,0.75,1,0.5,1,"","",TRUE,FALSE,FALSE,FALSE,1,86,#N/A,#N/A,"=R1C1:R188C8",FALSE,#N/A,#N/A,FALSE,FALSE,TRUE,1,600,600,FALSE,FALSE,TRUE,TRUE,TRUE}</definedName>
    <definedName name="wvu.AverageExcess." localSheetId="16" hidden="1">{TRUE,TRUE,-2.75,-17,484.5,254.25,FALSE,TRUE,TRUE,TRUE,0,1,#N/A,20,#N/A,8.30357142857143,18.5333333333333,1,FALSE,FALSE,3,TRUE,1,FALSE,100,"Swvu.AverageExcess.","ACwvu.AverageExcess.",#N/A,FALSE,FALSE,0.75,0.75,1,0.5,1,"","",TRUE,FALSE,FALSE,FALSE,1,86,#N/A,#N/A,"=R1C1:R188C8",FALSE,#N/A,#N/A,FALSE,FALSE,TRUE,1,600,600,FALSE,FALSE,TRUE,TRUE,TRUE}</definedName>
    <definedName name="Z_8C513297_24D7_11D4_A146_00508B02F8B2_.wvu.PrintArea" localSheetId="16" hidden="1">'Alloc Factors Summary'!$A$1:$H$161</definedName>
    <definedName name="Z_8C513298_24D7_11D4_A146_00508B02F8B2_.wvu.PrintArea" localSheetId="16" hidden="1">'Alloc Factors Summary'!$A$1:$H$161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6" i="32" l="1"/>
  <c r="C65" i="32"/>
  <c r="D61" i="32"/>
  <c r="D60" i="32"/>
  <c r="D59" i="32"/>
  <c r="D51" i="5" l="1"/>
  <c r="F584" i="9"/>
  <c r="F693" i="9" l="1"/>
  <c r="D50" i="5"/>
  <c r="D47" i="5"/>
  <c r="D57" i="5"/>
  <c r="D56" i="5"/>
  <c r="D55" i="5"/>
  <c r="F578" i="9"/>
  <c r="F527" i="9"/>
  <c r="F528" i="9"/>
  <c r="F530" i="9"/>
  <c r="F531" i="9"/>
  <c r="F535" i="9"/>
  <c r="F521" i="9"/>
  <c r="F520" i="9"/>
  <c r="F519" i="9"/>
  <c r="D38" i="5"/>
  <c r="F484" i="9"/>
  <c r="F479" i="9"/>
  <c r="F386" i="9"/>
  <c r="F384" i="9"/>
  <c r="F383" i="9"/>
  <c r="F382" i="9"/>
  <c r="F381" i="9"/>
  <c r="F377" i="9"/>
  <c r="F373" i="9"/>
  <c r="F372" i="9"/>
  <c r="F371" i="9"/>
  <c r="F370" i="9"/>
  <c r="F369" i="9"/>
  <c r="F368" i="9"/>
  <c r="F367" i="9"/>
  <c r="F235" i="9"/>
  <c r="F679" i="9" l="1"/>
  <c r="F678" i="9"/>
  <c r="F676" i="9"/>
  <c r="F671" i="9"/>
  <c r="F670" i="9"/>
  <c r="F668" i="9"/>
  <c r="F316" i="9"/>
  <c r="F312" i="9"/>
  <c r="F307" i="9"/>
  <c r="F302" i="9"/>
  <c r="F301" i="9"/>
  <c r="F125" i="9"/>
  <c r="F461" i="9"/>
  <c r="F457" i="9"/>
  <c r="F453" i="9"/>
  <c r="F446" i="9"/>
  <c r="G19" i="3"/>
  <c r="E19" i="3"/>
  <c r="F130" i="9"/>
  <c r="F129" i="9"/>
  <c r="F128" i="9"/>
  <c r="F127" i="9"/>
  <c r="F126" i="9"/>
  <c r="F124" i="9"/>
  <c r="F123" i="9"/>
  <c r="F122" i="9"/>
  <c r="F114" i="9"/>
  <c r="F19" i="3"/>
  <c r="D19" i="3"/>
  <c r="F77" i="9"/>
  <c r="F76" i="9"/>
  <c r="F75" i="9"/>
  <c r="F74" i="9"/>
  <c r="F73" i="9"/>
  <c r="F72" i="9"/>
  <c r="F71" i="9"/>
  <c r="F70" i="9"/>
  <c r="F69" i="9"/>
  <c r="F68" i="9"/>
  <c r="F57" i="9"/>
  <c r="D66" i="5"/>
  <c r="F515" i="9"/>
  <c r="D46" i="5"/>
  <c r="F491" i="9"/>
  <c r="D41" i="5"/>
  <c r="F419" i="9"/>
  <c r="F418" i="9"/>
  <c r="F417" i="9"/>
  <c r="H19" i="3" s="1"/>
  <c r="F385" i="9"/>
  <c r="F375" i="9"/>
  <c r="F421" i="9"/>
  <c r="F406" i="9"/>
  <c r="F402" i="9"/>
  <c r="F349" i="9"/>
  <c r="F348" i="9"/>
  <c r="D71" i="5"/>
  <c r="D63" i="5"/>
  <c r="D39" i="5"/>
  <c r="D37" i="5"/>
  <c r="D35" i="5"/>
  <c r="D34" i="5"/>
  <c r="D33" i="5"/>
  <c r="D32" i="5"/>
  <c r="D31" i="5"/>
  <c r="D29" i="5"/>
  <c r="F275" i="9"/>
  <c r="F229" i="9"/>
  <c r="F215" i="9"/>
  <c r="F206" i="9"/>
  <c r="I22" i="5"/>
  <c r="I21" i="5"/>
  <c r="I20" i="5"/>
  <c r="D22" i="5"/>
  <c r="D19" i="5"/>
  <c r="D18" i="5"/>
  <c r="F232" i="9"/>
  <c r="D17" i="5"/>
  <c r="D14" i="5"/>
  <c r="D10" i="5"/>
  <c r="D8" i="5"/>
  <c r="D4" i="5"/>
  <c r="D3" i="5"/>
  <c r="F554" i="9" l="1"/>
  <c r="H763" i="155"/>
  <c r="F625" i="9" l="1"/>
  <c r="D31" i="6" l="1"/>
  <c r="D30" i="6"/>
  <c r="F274" i="9" l="1"/>
  <c r="I23" i="5" l="1"/>
  <c r="I17" i="5"/>
  <c r="I25" i="5" s="1"/>
  <c r="I26" i="5" s="1"/>
  <c r="F214" i="9" l="1"/>
  <c r="F693" i="157" l="1"/>
  <c r="I14" i="170" l="1"/>
  <c r="I13" i="170"/>
  <c r="I12" i="170"/>
  <c r="I11" i="170"/>
  <c r="M26" i="170"/>
  <c r="H26" i="170"/>
  <c r="M25" i="170"/>
  <c r="K11" i="170" s="1"/>
  <c r="M24" i="170"/>
  <c r="K14" i="170" s="1"/>
  <c r="M23" i="170"/>
  <c r="M22" i="170"/>
  <c r="K13" i="170" s="1"/>
  <c r="M21" i="170"/>
  <c r="K12" i="170" s="1"/>
  <c r="I15" i="170" l="1"/>
  <c r="K15" i="170"/>
  <c r="J165" i="169" l="1"/>
  <c r="I165" i="169"/>
  <c r="J112" i="169" l="1"/>
  <c r="J172" i="169" s="1"/>
  <c r="I112" i="169"/>
  <c r="I172" i="169" s="1"/>
  <c r="K33" i="169"/>
  <c r="C19" i="34" l="1"/>
  <c r="C18" i="34"/>
  <c r="C17" i="34"/>
  <c r="C16" i="34"/>
  <c r="C15" i="34"/>
  <c r="C14" i="34"/>
  <c r="C13" i="34"/>
  <c r="C12" i="34"/>
  <c r="C11" i="34"/>
  <c r="B13" i="34"/>
  <c r="B19" i="34"/>
  <c r="B18" i="34"/>
  <c r="B17" i="34"/>
  <c r="B16" i="34"/>
  <c r="B15" i="34"/>
  <c r="B14" i="34"/>
  <c r="B12" i="34"/>
  <c r="B11" i="34"/>
  <c r="C19" i="27" l="1"/>
  <c r="E13" i="8" l="1"/>
  <c r="D13" i="8"/>
  <c r="C13" i="8"/>
  <c r="E13" i="24"/>
  <c r="D13" i="24"/>
  <c r="C13" i="24"/>
  <c r="E13" i="7"/>
  <c r="D13" i="7"/>
  <c r="C13" i="7"/>
  <c r="K570" i="162" l="1"/>
  <c r="K506" i="162"/>
  <c r="K470" i="162"/>
  <c r="K438" i="162"/>
  <c r="K394" i="162"/>
  <c r="K339" i="162"/>
  <c r="K288" i="162"/>
  <c r="K243" i="162"/>
  <c r="K196" i="162"/>
  <c r="K156" i="162"/>
  <c r="K106" i="162"/>
  <c r="K49" i="162"/>
  <c r="K4" i="162"/>
  <c r="K750" i="160"/>
  <c r="K750" i="161"/>
  <c r="K750" i="155"/>
  <c r="K699" i="160"/>
  <c r="K699" i="161"/>
  <c r="K699" i="155"/>
  <c r="K659" i="160"/>
  <c r="K659" i="161"/>
  <c r="K659" i="155"/>
  <c r="K617" i="160"/>
  <c r="K617" i="161"/>
  <c r="K617" i="155"/>
  <c r="K570" i="160"/>
  <c r="K570" i="161"/>
  <c r="K570" i="155"/>
  <c r="K506" i="160"/>
  <c r="K506" i="161"/>
  <c r="K506" i="155"/>
  <c r="K470" i="160"/>
  <c r="K470" i="161"/>
  <c r="K470" i="155"/>
  <c r="K438" i="160"/>
  <c r="K438" i="161"/>
  <c r="K438" i="155"/>
  <c r="K394" i="160"/>
  <c r="K394" i="161"/>
  <c r="K394" i="155"/>
  <c r="K339" i="160"/>
  <c r="K339" i="161"/>
  <c r="K339" i="155"/>
  <c r="K288" i="160"/>
  <c r="K288" i="161"/>
  <c r="K288" i="155"/>
  <c r="K243" i="160"/>
  <c r="K243" i="161"/>
  <c r="K243" i="155"/>
  <c r="K196" i="160"/>
  <c r="K196" i="161"/>
  <c r="K196" i="155"/>
  <c r="K156" i="160"/>
  <c r="K156" i="161"/>
  <c r="K156" i="155"/>
  <c r="K106" i="160"/>
  <c r="K106" i="161"/>
  <c r="K106" i="155"/>
  <c r="K49" i="160"/>
  <c r="K49" i="161"/>
  <c r="K49" i="155"/>
  <c r="K4" i="160"/>
  <c r="K4" i="161"/>
  <c r="K4" i="155"/>
  <c r="J750" i="157"/>
  <c r="J750" i="159"/>
  <c r="J750" i="9"/>
  <c r="J699" i="157"/>
  <c r="J699" i="159"/>
  <c r="J699" i="9"/>
  <c r="J659" i="157"/>
  <c r="J659" i="159"/>
  <c r="J659" i="9"/>
  <c r="J617" i="157"/>
  <c r="J617" i="159"/>
  <c r="J617" i="9"/>
  <c r="J570" i="157"/>
  <c r="J570" i="159"/>
  <c r="J570" i="9"/>
  <c r="J506" i="157"/>
  <c r="J506" i="159"/>
  <c r="J506" i="9"/>
  <c r="J470" i="157"/>
  <c r="J470" i="159"/>
  <c r="J470" i="9"/>
  <c r="J438" i="157"/>
  <c r="J438" i="159"/>
  <c r="J438" i="9"/>
  <c r="J394" i="157"/>
  <c r="J394" i="159"/>
  <c r="J394" i="9"/>
  <c r="J339" i="157"/>
  <c r="J339" i="159"/>
  <c r="J339" i="9"/>
  <c r="J288" i="157"/>
  <c r="J288" i="159"/>
  <c r="J288" i="9"/>
  <c r="J243" i="157"/>
  <c r="J243" i="159"/>
  <c r="J243" i="9"/>
  <c r="J196" i="157"/>
  <c r="J196" i="159"/>
  <c r="J196" i="9"/>
  <c r="J156" i="157"/>
  <c r="J156" i="159"/>
  <c r="J156" i="9"/>
  <c r="J106" i="157"/>
  <c r="J106" i="159"/>
  <c r="J106" i="9"/>
  <c r="J49" i="157"/>
  <c r="J49" i="159"/>
  <c r="J49" i="9"/>
  <c r="J4" i="157"/>
  <c r="J4" i="159"/>
  <c r="J4" i="9"/>
  <c r="J570" i="158"/>
  <c r="J570" i="164"/>
  <c r="J570" i="165"/>
  <c r="J570" i="166"/>
  <c r="J570" i="167"/>
  <c r="J506" i="158"/>
  <c r="J506" i="164"/>
  <c r="J506" i="165"/>
  <c r="J506" i="166"/>
  <c r="J506" i="167"/>
  <c r="J470" i="158"/>
  <c r="J470" i="164"/>
  <c r="J470" i="165"/>
  <c r="J470" i="166"/>
  <c r="J470" i="167"/>
  <c r="J438" i="158"/>
  <c r="J438" i="164"/>
  <c r="J438" i="165"/>
  <c r="J438" i="166"/>
  <c r="J438" i="167"/>
  <c r="J394" i="158"/>
  <c r="J394" i="164"/>
  <c r="J394" i="165"/>
  <c r="J394" i="166"/>
  <c r="J394" i="167"/>
  <c r="J339" i="158"/>
  <c r="J339" i="164"/>
  <c r="J339" i="165"/>
  <c r="J339" i="166"/>
  <c r="J339" i="167"/>
  <c r="J288" i="158"/>
  <c r="J288" i="164"/>
  <c r="J288" i="165"/>
  <c r="J288" i="166"/>
  <c r="J288" i="167"/>
  <c r="J243" i="158"/>
  <c r="J243" i="164"/>
  <c r="J243" i="165"/>
  <c r="J243" i="166"/>
  <c r="J243" i="167"/>
  <c r="J196" i="158"/>
  <c r="J196" i="164"/>
  <c r="J196" i="165"/>
  <c r="J196" i="166"/>
  <c r="J196" i="167"/>
  <c r="J156" i="158"/>
  <c r="J156" i="164"/>
  <c r="J156" i="165"/>
  <c r="J156" i="166"/>
  <c r="J156" i="167"/>
  <c r="J106" i="158"/>
  <c r="J106" i="164"/>
  <c r="J106" i="165"/>
  <c r="J106" i="166"/>
  <c r="J106" i="167"/>
  <c r="J49" i="158"/>
  <c r="J49" i="164"/>
  <c r="J49" i="165"/>
  <c r="J49" i="166"/>
  <c r="J49" i="167"/>
  <c r="J4" i="158"/>
  <c r="J4" i="164"/>
  <c r="J4" i="165"/>
  <c r="J4" i="166"/>
  <c r="J4" i="167"/>
  <c r="K32" i="8" l="1"/>
  <c r="D31" i="8"/>
  <c r="K31" i="8" s="1"/>
  <c r="K30" i="8"/>
  <c r="D29" i="8"/>
  <c r="K29" i="8" s="1"/>
  <c r="K28" i="8"/>
  <c r="K27" i="8"/>
  <c r="D26" i="8"/>
  <c r="D33" i="8" s="1"/>
  <c r="K32" i="24"/>
  <c r="D31" i="24"/>
  <c r="K31" i="24" s="1"/>
  <c r="K30" i="24"/>
  <c r="D29" i="24"/>
  <c r="K29" i="24" s="1"/>
  <c r="K28" i="24"/>
  <c r="K27" i="24"/>
  <c r="D26" i="24"/>
  <c r="K26" i="24" s="1"/>
  <c r="K32" i="7"/>
  <c r="D31" i="7"/>
  <c r="K31" i="7" s="1"/>
  <c r="K30" i="7"/>
  <c r="D29" i="7"/>
  <c r="K29" i="7" s="1"/>
  <c r="K28" i="7"/>
  <c r="K27" i="7"/>
  <c r="D26" i="7"/>
  <c r="K26" i="7" s="1"/>
  <c r="K26" i="8" l="1"/>
  <c r="D33" i="7"/>
  <c r="D33" i="24"/>
  <c r="K33" i="8"/>
  <c r="K33" i="24"/>
  <c r="K33" i="7"/>
  <c r="K763" i="155" l="1"/>
  <c r="L763" i="155" s="1"/>
  <c r="K32" i="6" l="1"/>
  <c r="F101" i="35" l="1"/>
  <c r="K46" i="35"/>
  <c r="Q38" i="28"/>
  <c r="Q75" i="28" s="1"/>
  <c r="Q112" i="28" s="1"/>
  <c r="F692" i="167" l="1"/>
  <c r="F680" i="167"/>
  <c r="F677" i="167"/>
  <c r="F672" i="167"/>
  <c r="F669" i="167"/>
  <c r="F692" i="166"/>
  <c r="F680" i="166"/>
  <c r="F677" i="166"/>
  <c r="F672" i="166"/>
  <c r="F669" i="166"/>
  <c r="F692" i="165"/>
  <c r="F680" i="165"/>
  <c r="F677" i="165"/>
  <c r="F672" i="165"/>
  <c r="F669" i="165"/>
  <c r="F692" i="164"/>
  <c r="F680" i="164"/>
  <c r="F677" i="164"/>
  <c r="F672" i="164"/>
  <c r="F669" i="164"/>
  <c r="D140" i="25"/>
  <c r="D139" i="25"/>
  <c r="D138" i="25"/>
  <c r="D137" i="25"/>
  <c r="L5" i="170"/>
  <c r="A5" i="170"/>
  <c r="A4" i="170"/>
  <c r="A3" i="170"/>
  <c r="L2" i="170"/>
  <c r="A2" i="170"/>
  <c r="A1" i="170"/>
  <c r="M13" i="170" l="1"/>
  <c r="M11" i="170"/>
  <c r="M12" i="170"/>
  <c r="M14" i="170"/>
  <c r="L609" i="162"/>
  <c r="K609" i="162"/>
  <c r="J609" i="162"/>
  <c r="I609" i="162"/>
  <c r="H609" i="162"/>
  <c r="G609" i="162"/>
  <c r="F609" i="162"/>
  <c r="F692" i="162"/>
  <c r="F680" i="162"/>
  <c r="F677" i="162"/>
  <c r="F672" i="162"/>
  <c r="F669" i="162"/>
  <c r="F588" i="162"/>
  <c r="F579" i="162"/>
  <c r="F680" i="161"/>
  <c r="F677" i="161"/>
  <c r="F672" i="161"/>
  <c r="F669" i="161"/>
  <c r="F692" i="161"/>
  <c r="F680" i="160"/>
  <c r="F677" i="160"/>
  <c r="F672" i="160"/>
  <c r="F669" i="160"/>
  <c r="F692" i="160"/>
  <c r="F692" i="159"/>
  <c r="M15" i="170" l="1"/>
  <c r="F588" i="159" l="1"/>
  <c r="F588" i="158"/>
  <c r="F588" i="157"/>
  <c r="C57" i="5" l="1"/>
  <c r="F693" i="167" l="1"/>
  <c r="F693" i="165"/>
  <c r="F693" i="166"/>
  <c r="F693" i="164"/>
  <c r="F693" i="162"/>
  <c r="I612" i="161"/>
  <c r="H602" i="155"/>
  <c r="G602" i="155"/>
  <c r="K612" i="162"/>
  <c r="J602" i="162"/>
  <c r="K612" i="161"/>
  <c r="J602" i="161"/>
  <c r="L602" i="160"/>
  <c r="K612" i="155"/>
  <c r="J602" i="155"/>
  <c r="H602" i="161"/>
  <c r="I612" i="155"/>
  <c r="H612" i="162"/>
  <c r="G602" i="161"/>
  <c r="J612" i="160"/>
  <c r="G612" i="162"/>
  <c r="F602" i="155"/>
  <c r="J612" i="162"/>
  <c r="I602" i="162"/>
  <c r="J612" i="161"/>
  <c r="I602" i="161"/>
  <c r="L612" i="160"/>
  <c r="K602" i="160"/>
  <c r="J612" i="155"/>
  <c r="I602" i="155"/>
  <c r="F693" i="159"/>
  <c r="J602" i="160"/>
  <c r="H612" i="161"/>
  <c r="I602" i="160"/>
  <c r="F602" i="162"/>
  <c r="F602" i="161"/>
  <c r="I612" i="160"/>
  <c r="G612" i="155"/>
  <c r="F612" i="162"/>
  <c r="F612" i="161"/>
  <c r="H612" i="160"/>
  <c r="G602" i="160"/>
  <c r="F612" i="155"/>
  <c r="L602" i="162"/>
  <c r="L602" i="161"/>
  <c r="G612" i="160"/>
  <c r="F602" i="160"/>
  <c r="L602" i="155"/>
  <c r="L612" i="162"/>
  <c r="K602" i="162"/>
  <c r="L612" i="161"/>
  <c r="K602" i="161"/>
  <c r="F693" i="161"/>
  <c r="F612" i="160"/>
  <c r="L612" i="155"/>
  <c r="K602" i="155"/>
  <c r="F693" i="160"/>
  <c r="I612" i="162"/>
  <c r="H602" i="162"/>
  <c r="K612" i="160"/>
  <c r="G602" i="162"/>
  <c r="H612" i="155"/>
  <c r="G612" i="161"/>
  <c r="H602" i="160"/>
  <c r="F693" i="155"/>
  <c r="F578" i="162"/>
  <c r="F580" i="162" s="1"/>
  <c r="F598" i="162" s="1"/>
  <c r="F578" i="158" l="1"/>
  <c r="K612" i="167"/>
  <c r="J612" i="167"/>
  <c r="I612" i="167"/>
  <c r="H612" i="167"/>
  <c r="G612" i="167"/>
  <c r="F612" i="167"/>
  <c r="K602" i="167"/>
  <c r="J602" i="167"/>
  <c r="I602" i="167"/>
  <c r="H602" i="167"/>
  <c r="G602" i="167"/>
  <c r="F602" i="167"/>
  <c r="I576" i="167"/>
  <c r="H576" i="167"/>
  <c r="G576" i="167"/>
  <c r="F575" i="167"/>
  <c r="A571" i="167"/>
  <c r="A570" i="167"/>
  <c r="J569" i="167"/>
  <c r="A569" i="167"/>
  <c r="J568" i="167"/>
  <c r="A568" i="167"/>
  <c r="J567" i="167"/>
  <c r="A567" i="167"/>
  <c r="K612" i="166"/>
  <c r="J612" i="166"/>
  <c r="I612" i="166"/>
  <c r="H612" i="166"/>
  <c r="G612" i="166"/>
  <c r="F612" i="166"/>
  <c r="K602" i="166"/>
  <c r="J602" i="166"/>
  <c r="I602" i="166"/>
  <c r="H602" i="166"/>
  <c r="G602" i="166"/>
  <c r="F602" i="166"/>
  <c r="I576" i="166"/>
  <c r="H576" i="166"/>
  <c r="G576" i="166"/>
  <c r="F575" i="166"/>
  <c r="A571" i="166"/>
  <c r="A570" i="166"/>
  <c r="J569" i="166"/>
  <c r="A569" i="166"/>
  <c r="J568" i="166"/>
  <c r="A568" i="166"/>
  <c r="J567" i="166"/>
  <c r="A567" i="166"/>
  <c r="K612" i="165"/>
  <c r="J612" i="165"/>
  <c r="I612" i="165"/>
  <c r="H612" i="165"/>
  <c r="G612" i="165"/>
  <c r="F612" i="165"/>
  <c r="K602" i="165"/>
  <c r="J602" i="165"/>
  <c r="I602" i="165"/>
  <c r="H602" i="165"/>
  <c r="G602" i="165"/>
  <c r="F602" i="165"/>
  <c r="I576" i="165"/>
  <c r="H576" i="165"/>
  <c r="G576" i="165"/>
  <c r="F575" i="165"/>
  <c r="A571" i="165"/>
  <c r="A570" i="165"/>
  <c r="J569" i="165"/>
  <c r="A569" i="165"/>
  <c r="J568" i="165"/>
  <c r="A568" i="165"/>
  <c r="J567" i="165"/>
  <c r="A567" i="165"/>
  <c r="K612" i="164"/>
  <c r="J612" i="164"/>
  <c r="I612" i="164"/>
  <c r="H612" i="164"/>
  <c r="G612" i="164"/>
  <c r="F612" i="164"/>
  <c r="K602" i="164"/>
  <c r="J602" i="164"/>
  <c r="I602" i="164"/>
  <c r="H602" i="164"/>
  <c r="G602" i="164"/>
  <c r="F602" i="164"/>
  <c r="I576" i="164"/>
  <c r="H576" i="164"/>
  <c r="G576" i="164"/>
  <c r="F575" i="164"/>
  <c r="A571" i="164"/>
  <c r="A570" i="164"/>
  <c r="J569" i="164"/>
  <c r="A569" i="164"/>
  <c r="J568" i="164"/>
  <c r="A568" i="164"/>
  <c r="J567" i="164"/>
  <c r="A567" i="164"/>
  <c r="J576" i="162"/>
  <c r="I576" i="162"/>
  <c r="H576" i="162"/>
  <c r="G576" i="162"/>
  <c r="F575" i="162"/>
  <c r="F574" i="162"/>
  <c r="F573" i="162"/>
  <c r="A571" i="162"/>
  <c r="A570" i="162"/>
  <c r="K569" i="162"/>
  <c r="A569" i="162"/>
  <c r="K568" i="162"/>
  <c r="A568" i="162"/>
  <c r="K567" i="162"/>
  <c r="A567" i="162"/>
  <c r="K612" i="158"/>
  <c r="J612" i="158"/>
  <c r="I612" i="158"/>
  <c r="H612" i="158"/>
  <c r="G612" i="158"/>
  <c r="F612" i="158"/>
  <c r="K602" i="158"/>
  <c r="J602" i="158"/>
  <c r="I602" i="158"/>
  <c r="H602" i="158"/>
  <c r="G602" i="158"/>
  <c r="F602" i="158"/>
  <c r="F589" i="158"/>
  <c r="F609" i="158" s="1"/>
  <c r="F580" i="158"/>
  <c r="F598" i="158" s="1"/>
  <c r="I576" i="158"/>
  <c r="H576" i="158"/>
  <c r="G576" i="158"/>
  <c r="F575" i="158"/>
  <c r="A571" i="158"/>
  <c r="A570" i="158"/>
  <c r="J569" i="158"/>
  <c r="A569" i="158"/>
  <c r="J568" i="158"/>
  <c r="A568" i="158"/>
  <c r="J567" i="158"/>
  <c r="A567" i="158"/>
  <c r="J576" i="161"/>
  <c r="I576" i="161"/>
  <c r="H576" i="161"/>
  <c r="G576" i="161"/>
  <c r="F575" i="161"/>
  <c r="F574" i="161"/>
  <c r="F573" i="161"/>
  <c r="A571" i="161"/>
  <c r="A570" i="161"/>
  <c r="K569" i="161"/>
  <c r="A569" i="161"/>
  <c r="K568" i="161"/>
  <c r="A568" i="161"/>
  <c r="K567" i="161"/>
  <c r="A567" i="161"/>
  <c r="J576" i="160"/>
  <c r="I576" i="160"/>
  <c r="H576" i="160"/>
  <c r="G576" i="160"/>
  <c r="F575" i="160"/>
  <c r="F574" i="160"/>
  <c r="F573" i="160"/>
  <c r="A571" i="160"/>
  <c r="A570" i="160"/>
  <c r="K569" i="160"/>
  <c r="A569" i="160"/>
  <c r="K568" i="160"/>
  <c r="A568" i="160"/>
  <c r="K567" i="160"/>
  <c r="A567" i="160"/>
  <c r="K612" i="159"/>
  <c r="J612" i="159"/>
  <c r="I612" i="159"/>
  <c r="H612" i="159"/>
  <c r="G612" i="159"/>
  <c r="F612" i="159"/>
  <c r="K602" i="159"/>
  <c r="J602" i="159"/>
  <c r="I602" i="159"/>
  <c r="H602" i="159"/>
  <c r="G602" i="159"/>
  <c r="F602" i="159"/>
  <c r="F589" i="159"/>
  <c r="F609" i="159" s="1"/>
  <c r="I576" i="159"/>
  <c r="H576" i="159"/>
  <c r="G576" i="159"/>
  <c r="F575" i="159"/>
  <c r="A571" i="159"/>
  <c r="A570" i="159"/>
  <c r="J569" i="159"/>
  <c r="A569" i="159"/>
  <c r="J568" i="159"/>
  <c r="A568" i="159"/>
  <c r="J567" i="159"/>
  <c r="A567" i="159"/>
  <c r="J576" i="155"/>
  <c r="I576" i="155"/>
  <c r="H576" i="155"/>
  <c r="G576" i="155"/>
  <c r="F575" i="155"/>
  <c r="F574" i="155"/>
  <c r="F573" i="155"/>
  <c r="A571" i="155"/>
  <c r="A570" i="155"/>
  <c r="K569" i="155"/>
  <c r="A569" i="155"/>
  <c r="K568" i="155"/>
  <c r="A568" i="155"/>
  <c r="K567" i="155"/>
  <c r="A567" i="155"/>
  <c r="K612" i="157"/>
  <c r="J612" i="157"/>
  <c r="I612" i="157"/>
  <c r="H612" i="157"/>
  <c r="G612" i="157"/>
  <c r="F612" i="157"/>
  <c r="K602" i="157"/>
  <c r="J602" i="157"/>
  <c r="I602" i="157"/>
  <c r="H602" i="157"/>
  <c r="G602" i="157"/>
  <c r="F602" i="157"/>
  <c r="F589" i="157"/>
  <c r="F609" i="157" s="1"/>
  <c r="I576" i="157"/>
  <c r="H576" i="157"/>
  <c r="G576" i="157"/>
  <c r="F575" i="157"/>
  <c r="A571" i="157"/>
  <c r="A570" i="157"/>
  <c r="J569" i="157"/>
  <c r="A569" i="157"/>
  <c r="J568" i="157"/>
  <c r="A568" i="157"/>
  <c r="J567" i="157"/>
  <c r="A567" i="157"/>
  <c r="K612" i="9"/>
  <c r="J612" i="9"/>
  <c r="I612" i="9"/>
  <c r="H612" i="9"/>
  <c r="G612" i="9"/>
  <c r="F612" i="9"/>
  <c r="K602" i="9"/>
  <c r="J602" i="9"/>
  <c r="I602" i="9"/>
  <c r="H602" i="9"/>
  <c r="G602" i="9"/>
  <c r="F602" i="9"/>
  <c r="F589" i="9"/>
  <c r="F609" i="9" s="1"/>
  <c r="F580" i="9"/>
  <c r="F598" i="9" s="1"/>
  <c r="I576" i="9"/>
  <c r="H576" i="9"/>
  <c r="G576" i="9"/>
  <c r="F575" i="9"/>
  <c r="A614" i="9"/>
  <c r="J614" i="9"/>
  <c r="A615" i="9"/>
  <c r="J615" i="9"/>
  <c r="A571" i="9"/>
  <c r="A570" i="9"/>
  <c r="J569" i="9"/>
  <c r="A569" i="9"/>
  <c r="J568" i="9"/>
  <c r="A568" i="9"/>
  <c r="J567" i="9"/>
  <c r="A567" i="9"/>
  <c r="B511" i="167" l="1"/>
  <c r="B511" i="166"/>
  <c r="B511" i="165"/>
  <c r="B511" i="164"/>
  <c r="B511" i="162"/>
  <c r="B511" i="158"/>
  <c r="B511" i="161"/>
  <c r="B511" i="160"/>
  <c r="B511" i="159"/>
  <c r="B511" i="155"/>
  <c r="B511" i="157"/>
  <c r="F668" i="166" l="1"/>
  <c r="F668" i="164"/>
  <c r="F668" i="167"/>
  <c r="F668" i="165"/>
  <c r="F668" i="161"/>
  <c r="F668" i="160"/>
  <c r="F668" i="162"/>
  <c r="F678" i="166"/>
  <c r="F678" i="164"/>
  <c r="F678" i="167"/>
  <c r="F678" i="165"/>
  <c r="F678" i="162"/>
  <c r="F678" i="161"/>
  <c r="F678" i="160"/>
  <c r="F670" i="166"/>
  <c r="F670" i="167"/>
  <c r="F670" i="165"/>
  <c r="F670" i="164"/>
  <c r="F670" i="162"/>
  <c r="F670" i="161"/>
  <c r="F670" i="160"/>
  <c r="F671" i="167"/>
  <c r="F671" i="165"/>
  <c r="F671" i="166"/>
  <c r="F671" i="164"/>
  <c r="F671" i="160"/>
  <c r="F671" i="162"/>
  <c r="F671" i="161"/>
  <c r="F676" i="167"/>
  <c r="F676" i="165"/>
  <c r="F676" i="166"/>
  <c r="F676" i="164"/>
  <c r="F676" i="161"/>
  <c r="F676" i="160"/>
  <c r="F676" i="162"/>
  <c r="F679" i="166"/>
  <c r="F679" i="164"/>
  <c r="F679" i="167"/>
  <c r="F679" i="165"/>
  <c r="F679" i="162"/>
  <c r="F679" i="161"/>
  <c r="F679" i="160"/>
  <c r="F673" i="160" l="1"/>
  <c r="G672" i="160" s="1"/>
  <c r="F687" i="160" s="1"/>
  <c r="F673" i="162"/>
  <c r="G671" i="162" s="1"/>
  <c r="F686" i="162" s="1"/>
  <c r="F673" i="161"/>
  <c r="G672" i="161" s="1"/>
  <c r="F687" i="161" s="1"/>
  <c r="F673" i="167"/>
  <c r="F673" i="164"/>
  <c r="F673" i="165"/>
  <c r="F673" i="166"/>
  <c r="G669" i="160" l="1"/>
  <c r="F684" i="160" s="1"/>
  <c r="G671" i="160"/>
  <c r="F686" i="160" s="1"/>
  <c r="G668" i="160"/>
  <c r="F683" i="160" s="1"/>
  <c r="G668" i="162"/>
  <c r="F683" i="162" s="1"/>
  <c r="G672" i="162"/>
  <c r="F687" i="162" s="1"/>
  <c r="G669" i="162"/>
  <c r="F684" i="162" s="1"/>
  <c r="G669" i="161"/>
  <c r="F684" i="161" s="1"/>
  <c r="G671" i="161"/>
  <c r="F686" i="161" s="1"/>
  <c r="G668" i="161"/>
  <c r="G672" i="166"/>
  <c r="F687" i="166" s="1"/>
  <c r="G671" i="166"/>
  <c r="F686" i="166" s="1"/>
  <c r="G669" i="166"/>
  <c r="F684" i="166" s="1"/>
  <c r="G668" i="166"/>
  <c r="G668" i="165"/>
  <c r="G669" i="165"/>
  <c r="F684" i="165" s="1"/>
  <c r="G671" i="165"/>
  <c r="F686" i="165" s="1"/>
  <c r="G672" i="165"/>
  <c r="F687" i="165" s="1"/>
  <c r="G672" i="164"/>
  <c r="F687" i="164" s="1"/>
  <c r="G668" i="164"/>
  <c r="G671" i="164"/>
  <c r="F686" i="164" s="1"/>
  <c r="G669" i="164"/>
  <c r="F684" i="164" s="1"/>
  <c r="G668" i="167"/>
  <c r="G671" i="167"/>
  <c r="F686" i="167" s="1"/>
  <c r="G672" i="167"/>
  <c r="F687" i="167" s="1"/>
  <c r="G669" i="167"/>
  <c r="F684" i="167" s="1"/>
  <c r="G670" i="162" l="1"/>
  <c r="F685" i="162" s="1"/>
  <c r="G670" i="160"/>
  <c r="F685" i="160" s="1"/>
  <c r="F688" i="160" s="1"/>
  <c r="G670" i="161"/>
  <c r="F685" i="161" s="1"/>
  <c r="F683" i="161"/>
  <c r="F683" i="165"/>
  <c r="G670" i="165"/>
  <c r="F685" i="165" s="1"/>
  <c r="F683" i="164"/>
  <c r="G670" i="164"/>
  <c r="F685" i="164" s="1"/>
  <c r="F683" i="167"/>
  <c r="G670" i="167"/>
  <c r="F685" i="167" s="1"/>
  <c r="F688" i="162"/>
  <c r="F683" i="166"/>
  <c r="G670" i="166"/>
  <c r="F685" i="166" s="1"/>
  <c r="G673" i="162"/>
  <c r="G673" i="160" l="1"/>
  <c r="F688" i="161"/>
  <c r="G673" i="161"/>
  <c r="F688" i="167"/>
  <c r="G673" i="164"/>
  <c r="G673" i="167"/>
  <c r="G673" i="166"/>
  <c r="G673" i="165"/>
  <c r="F688" i="166"/>
  <c r="F688" i="164"/>
  <c r="F688" i="165"/>
  <c r="B22" i="169" l="1"/>
  <c r="E22" i="169" s="1"/>
  <c r="B21" i="169"/>
  <c r="D21" i="169" s="1"/>
  <c r="E21" i="169" s="1"/>
  <c r="B20" i="169"/>
  <c r="B19" i="169"/>
  <c r="B18" i="169"/>
  <c r="B15" i="169"/>
  <c r="B12" i="169"/>
  <c r="B11" i="169"/>
  <c r="B10" i="169"/>
  <c r="B9" i="169"/>
  <c r="B13" i="169"/>
  <c r="E13" i="169" l="1"/>
  <c r="D13" i="169" s="1"/>
  <c r="D22" i="169"/>
  <c r="C9" i="169" l="1"/>
  <c r="B24" i="169" a="1"/>
  <c r="B24" i="169" s="1"/>
  <c r="B23" i="169" s="1"/>
  <c r="J57" i="169"/>
  <c r="G57" i="169"/>
  <c r="G56" i="169"/>
  <c r="G55" i="169"/>
  <c r="G54" i="169"/>
  <c r="G53" i="169"/>
  <c r="B46" i="169"/>
  <c r="B45" i="169"/>
  <c r="B44" i="169"/>
  <c r="B43" i="169"/>
  <c r="D5" i="169"/>
  <c r="A5" i="169"/>
  <c r="A4" i="169"/>
  <c r="A3" i="169"/>
  <c r="D2" i="169"/>
  <c r="J54" i="169" s="1"/>
  <c r="A2" i="169"/>
  <c r="A1" i="169"/>
  <c r="B47" i="169" l="1"/>
  <c r="C18" i="169"/>
  <c r="C25" i="169" s="1"/>
  <c r="D20" i="169"/>
  <c r="B32" i="169" a="1"/>
  <c r="B32" i="169" s="1"/>
  <c r="B30" i="169" a="1"/>
  <c r="B30" i="169" s="1"/>
  <c r="D10" i="169"/>
  <c r="D12" i="169"/>
  <c r="D11" i="169"/>
  <c r="D19" i="169" l="1"/>
  <c r="D25" i="169" s="1"/>
  <c r="E20" i="169"/>
  <c r="E12" i="169"/>
  <c r="B14" i="169"/>
  <c r="B36" i="169"/>
  <c r="E11" i="169"/>
  <c r="B38" i="169"/>
  <c r="D125" i="160"/>
  <c r="D125" i="161"/>
  <c r="E19" i="169" l="1"/>
  <c r="E25" i="169" s="1"/>
  <c r="E23" i="169" s="1"/>
  <c r="E16" i="169"/>
  <c r="E14" i="169" s="1"/>
  <c r="E15" i="169" s="1"/>
  <c r="C16" i="169"/>
  <c r="D16" i="169"/>
  <c r="D14" i="169" s="1"/>
  <c r="D15" i="169" s="1"/>
  <c r="D14" i="31"/>
  <c r="D40" i="25"/>
  <c r="D39" i="25"/>
  <c r="D32" i="169" l="1"/>
  <c r="D23" i="169"/>
  <c r="D24" i="169" s="1"/>
  <c r="D26" i="169" s="1"/>
  <c r="E32" i="169"/>
  <c r="E24" i="169"/>
  <c r="E26" i="169" s="1"/>
  <c r="B16" i="169"/>
  <c r="C30" i="169"/>
  <c r="C14" i="169"/>
  <c r="C15" i="169" s="1"/>
  <c r="B25" i="169"/>
  <c r="C32" i="169"/>
  <c r="C23" i="169"/>
  <c r="C24" i="169" s="1"/>
  <c r="D38" i="169" l="1"/>
  <c r="C26" i="169"/>
  <c r="D27" i="169" s="1"/>
  <c r="C38" i="169"/>
  <c r="C34" i="169"/>
  <c r="C36" i="169"/>
  <c r="E38" i="169"/>
  <c r="D30" i="169" l="1"/>
  <c r="D34" i="169" s="1"/>
  <c r="E27" i="169"/>
  <c r="C39" i="169"/>
  <c r="C40" i="169" s="1"/>
  <c r="C43" i="169" s="1"/>
  <c r="D43" i="169" s="1"/>
  <c r="D147" i="25" s="1"/>
  <c r="E30" i="169" l="1"/>
  <c r="E36" i="169" s="1"/>
  <c r="E39" i="169" s="1"/>
  <c r="E40" i="169" s="1"/>
  <c r="D36" i="169"/>
  <c r="D39" i="169" s="1"/>
  <c r="D40" i="169" s="1"/>
  <c r="C44" i="169" s="1"/>
  <c r="D44" i="169" s="1"/>
  <c r="D148" i="25" s="1"/>
  <c r="G19" i="40"/>
  <c r="G18" i="40"/>
  <c r="E34" i="169" l="1"/>
  <c r="C46" i="169"/>
  <c r="D46" i="169" s="1"/>
  <c r="D150" i="25" s="1"/>
  <c r="C45" i="169"/>
  <c r="D45" i="169" s="1"/>
  <c r="D149" i="25" s="1"/>
  <c r="D47" i="169" l="1"/>
  <c r="E44" i="169" s="1"/>
  <c r="G10" i="168"/>
  <c r="E46" i="169" l="1"/>
  <c r="E45" i="169"/>
  <c r="B31" i="49"/>
  <c r="K659" i="162"/>
  <c r="K617" i="162"/>
  <c r="J659" i="164"/>
  <c r="J659" i="165"/>
  <c r="J659" i="166"/>
  <c r="J617" i="164"/>
  <c r="J617" i="165"/>
  <c r="J617" i="166"/>
  <c r="J659" i="167"/>
  <c r="J617" i="167"/>
  <c r="F662" i="160"/>
  <c r="F662" i="155"/>
  <c r="J808" i="157"/>
  <c r="K808" i="155"/>
  <c r="J808" i="159"/>
  <c r="K808" i="160"/>
  <c r="K808" i="161"/>
  <c r="J808" i="158"/>
  <c r="J808" i="9"/>
  <c r="J750" i="158"/>
  <c r="J699" i="158"/>
  <c r="J659" i="158"/>
  <c r="J617" i="158"/>
  <c r="A809" i="157"/>
  <c r="A808" i="157"/>
  <c r="J807" i="157"/>
  <c r="A807" i="157"/>
  <c r="J806" i="157"/>
  <c r="A806" i="157"/>
  <c r="J805" i="157"/>
  <c r="A805" i="157"/>
  <c r="A751" i="157"/>
  <c r="A750" i="157"/>
  <c r="J749" i="157"/>
  <c r="A749" i="157"/>
  <c r="J748" i="157"/>
  <c r="A748" i="157"/>
  <c r="J747" i="157"/>
  <c r="A747" i="157"/>
  <c r="A700" i="157"/>
  <c r="A699" i="157"/>
  <c r="J698" i="157"/>
  <c r="A698" i="157"/>
  <c r="J697" i="157"/>
  <c r="A697" i="157"/>
  <c r="J696" i="157"/>
  <c r="A696" i="157"/>
  <c r="A660" i="157"/>
  <c r="A659" i="157"/>
  <c r="J658" i="157"/>
  <c r="A658" i="157"/>
  <c r="J657" i="157"/>
  <c r="A657" i="157"/>
  <c r="J656" i="157"/>
  <c r="A656" i="157"/>
  <c r="A618" i="157"/>
  <c r="A617" i="157"/>
  <c r="J616" i="157"/>
  <c r="A616" i="157"/>
  <c r="J615" i="157"/>
  <c r="A615" i="157"/>
  <c r="J614" i="157"/>
  <c r="A614" i="157"/>
  <c r="A507" i="157"/>
  <c r="A506" i="157"/>
  <c r="J505" i="157"/>
  <c r="A505" i="157"/>
  <c r="J504" i="157"/>
  <c r="A504" i="157"/>
  <c r="J503" i="157"/>
  <c r="A503" i="157"/>
  <c r="A471" i="157"/>
  <c r="A470" i="157"/>
  <c r="J469" i="157"/>
  <c r="A469" i="157"/>
  <c r="J468" i="157"/>
  <c r="A468" i="157"/>
  <c r="J467" i="157"/>
  <c r="A467" i="157"/>
  <c r="A439" i="157"/>
  <c r="A438" i="157"/>
  <c r="J437" i="157"/>
  <c r="A437" i="157"/>
  <c r="J436" i="157"/>
  <c r="A436" i="157"/>
  <c r="J435" i="157"/>
  <c r="A435" i="157"/>
  <c r="A395" i="157"/>
  <c r="A394" i="157"/>
  <c r="J393" i="157"/>
  <c r="A393" i="157"/>
  <c r="J392" i="157"/>
  <c r="A392" i="157"/>
  <c r="J391" i="157"/>
  <c r="A391" i="157"/>
  <c r="A340" i="157"/>
  <c r="A339" i="157"/>
  <c r="J338" i="157"/>
  <c r="A338" i="157"/>
  <c r="J337" i="157"/>
  <c r="A337" i="157"/>
  <c r="J336" i="157"/>
  <c r="A336" i="157"/>
  <c r="A289" i="157"/>
  <c r="A288" i="157"/>
  <c r="J287" i="157"/>
  <c r="A287" i="157"/>
  <c r="J286" i="157"/>
  <c r="A286" i="157"/>
  <c r="J285" i="157"/>
  <c r="A285" i="157"/>
  <c r="A244" i="157"/>
  <c r="A243" i="157"/>
  <c r="J242" i="157"/>
  <c r="A242" i="157"/>
  <c r="J241" i="157"/>
  <c r="A241" i="157"/>
  <c r="J240" i="157"/>
  <c r="A240" i="157"/>
  <c r="A197" i="157"/>
  <c r="A196" i="157"/>
  <c r="J195" i="157"/>
  <c r="A195" i="157"/>
  <c r="J194" i="157"/>
  <c r="A194" i="157"/>
  <c r="J193" i="157"/>
  <c r="A193" i="157"/>
  <c r="A157" i="157"/>
  <c r="A156" i="157"/>
  <c r="J155" i="157"/>
  <c r="A155" i="157"/>
  <c r="J154" i="157"/>
  <c r="A154" i="157"/>
  <c r="J153" i="157"/>
  <c r="A153" i="157"/>
  <c r="A107" i="157"/>
  <c r="A106" i="157"/>
  <c r="J105" i="157"/>
  <c r="A105" i="157"/>
  <c r="J104" i="157"/>
  <c r="A104" i="157"/>
  <c r="J103" i="157"/>
  <c r="A103" i="157"/>
  <c r="A809" i="155"/>
  <c r="A808" i="155"/>
  <c r="K807" i="155"/>
  <c r="A807" i="155"/>
  <c r="K806" i="155"/>
  <c r="A806" i="155"/>
  <c r="K805" i="155"/>
  <c r="A805" i="155"/>
  <c r="A751" i="155"/>
  <c r="A750" i="155"/>
  <c r="K749" i="155"/>
  <c r="A749" i="155"/>
  <c r="K748" i="155"/>
  <c r="A748" i="155"/>
  <c r="K747" i="155"/>
  <c r="A747" i="155"/>
  <c r="A700" i="155"/>
  <c r="A699" i="155"/>
  <c r="K698" i="155"/>
  <c r="A698" i="155"/>
  <c r="K697" i="155"/>
  <c r="A697" i="155"/>
  <c r="K696" i="155"/>
  <c r="A696" i="155"/>
  <c r="A660" i="155"/>
  <c r="A659" i="155"/>
  <c r="K658" i="155"/>
  <c r="A658" i="155"/>
  <c r="K657" i="155"/>
  <c r="A657" i="155"/>
  <c r="K656" i="155"/>
  <c r="A656" i="155"/>
  <c r="A618" i="155"/>
  <c r="A617" i="155"/>
  <c r="K616" i="155"/>
  <c r="A616" i="155"/>
  <c r="K615" i="155"/>
  <c r="A615" i="155"/>
  <c r="K614" i="155"/>
  <c r="A614" i="155"/>
  <c r="A507" i="155"/>
  <c r="A506" i="155"/>
  <c r="K505" i="155"/>
  <c r="A505" i="155"/>
  <c r="K504" i="155"/>
  <c r="A504" i="155"/>
  <c r="K503" i="155"/>
  <c r="A503" i="155"/>
  <c r="A471" i="155"/>
  <c r="A470" i="155"/>
  <c r="K469" i="155"/>
  <c r="A469" i="155"/>
  <c r="K468" i="155"/>
  <c r="A468" i="155"/>
  <c r="K467" i="155"/>
  <c r="A467" i="155"/>
  <c r="A439" i="155"/>
  <c r="A438" i="155"/>
  <c r="K437" i="155"/>
  <c r="A437" i="155"/>
  <c r="K436" i="155"/>
  <c r="A436" i="155"/>
  <c r="K435" i="155"/>
  <c r="A435" i="155"/>
  <c r="A395" i="155"/>
  <c r="A394" i="155"/>
  <c r="K393" i="155"/>
  <c r="A393" i="155"/>
  <c r="K392" i="155"/>
  <c r="A392" i="155"/>
  <c r="K391" i="155"/>
  <c r="A391" i="155"/>
  <c r="A340" i="155"/>
  <c r="A339" i="155"/>
  <c r="K338" i="155"/>
  <c r="A338" i="155"/>
  <c r="K337" i="155"/>
  <c r="A337" i="155"/>
  <c r="K336" i="155"/>
  <c r="A336" i="155"/>
  <c r="A289" i="155"/>
  <c r="A288" i="155"/>
  <c r="K287" i="155"/>
  <c r="A287" i="155"/>
  <c r="K286" i="155"/>
  <c r="A286" i="155"/>
  <c r="K285" i="155"/>
  <c r="A285" i="155"/>
  <c r="A244" i="155"/>
  <c r="A243" i="155"/>
  <c r="K242" i="155"/>
  <c r="A242" i="155"/>
  <c r="K241" i="155"/>
  <c r="A241" i="155"/>
  <c r="K240" i="155"/>
  <c r="A240" i="155"/>
  <c r="A197" i="155"/>
  <c r="A196" i="155"/>
  <c r="K195" i="155"/>
  <c r="A195" i="155"/>
  <c r="K194" i="155"/>
  <c r="A194" i="155"/>
  <c r="K193" i="155"/>
  <c r="A193" i="155"/>
  <c r="A157" i="155"/>
  <c r="A156" i="155"/>
  <c r="K155" i="155"/>
  <c r="A155" i="155"/>
  <c r="K154" i="155"/>
  <c r="A154" i="155"/>
  <c r="K153" i="155"/>
  <c r="A153" i="155"/>
  <c r="A107" i="155"/>
  <c r="A106" i="155"/>
  <c r="K105" i="155"/>
  <c r="A105" i="155"/>
  <c r="K104" i="155"/>
  <c r="A104" i="155"/>
  <c r="K103" i="155"/>
  <c r="A103" i="155"/>
  <c r="A809" i="159"/>
  <c r="A808" i="159"/>
  <c r="J807" i="159"/>
  <c r="A807" i="159"/>
  <c r="J806" i="159"/>
  <c r="A806" i="159"/>
  <c r="J805" i="159"/>
  <c r="A805" i="159"/>
  <c r="A751" i="159"/>
  <c r="A750" i="159"/>
  <c r="J749" i="159"/>
  <c r="A749" i="159"/>
  <c r="J748" i="159"/>
  <c r="A748" i="159"/>
  <c r="J747" i="159"/>
  <c r="A747" i="159"/>
  <c r="A700" i="159"/>
  <c r="A699" i="159"/>
  <c r="J698" i="159"/>
  <c r="A698" i="159"/>
  <c r="J697" i="159"/>
  <c r="A697" i="159"/>
  <c r="J696" i="159"/>
  <c r="A696" i="159"/>
  <c r="A660" i="159"/>
  <c r="A659" i="159"/>
  <c r="J658" i="159"/>
  <c r="A658" i="159"/>
  <c r="J657" i="159"/>
  <c r="A657" i="159"/>
  <c r="J656" i="159"/>
  <c r="A656" i="159"/>
  <c r="A618" i="159"/>
  <c r="A617" i="159"/>
  <c r="J616" i="159"/>
  <c r="A616" i="159"/>
  <c r="J615" i="159"/>
  <c r="A615" i="159"/>
  <c r="J614" i="159"/>
  <c r="A614" i="159"/>
  <c r="A507" i="159"/>
  <c r="A506" i="159"/>
  <c r="J505" i="159"/>
  <c r="A505" i="159"/>
  <c r="J504" i="159"/>
  <c r="A504" i="159"/>
  <c r="J503" i="159"/>
  <c r="A503" i="159"/>
  <c r="A471" i="159"/>
  <c r="A470" i="159"/>
  <c r="J469" i="159"/>
  <c r="A469" i="159"/>
  <c r="J468" i="159"/>
  <c r="A468" i="159"/>
  <c r="J467" i="159"/>
  <c r="A467" i="159"/>
  <c r="A439" i="159"/>
  <c r="A438" i="159"/>
  <c r="J437" i="159"/>
  <c r="A437" i="159"/>
  <c r="J436" i="159"/>
  <c r="A436" i="159"/>
  <c r="J435" i="159"/>
  <c r="A435" i="159"/>
  <c r="A395" i="159"/>
  <c r="A394" i="159"/>
  <c r="J393" i="159"/>
  <c r="A393" i="159"/>
  <c r="J392" i="159"/>
  <c r="A392" i="159"/>
  <c r="J391" i="159"/>
  <c r="A391" i="159"/>
  <c r="A340" i="159"/>
  <c r="A339" i="159"/>
  <c r="J338" i="159"/>
  <c r="A338" i="159"/>
  <c r="J337" i="159"/>
  <c r="A337" i="159"/>
  <c r="J336" i="159"/>
  <c r="A336" i="159"/>
  <c r="A289" i="159"/>
  <c r="A288" i="159"/>
  <c r="J287" i="159"/>
  <c r="A287" i="159"/>
  <c r="J286" i="159"/>
  <c r="A286" i="159"/>
  <c r="J285" i="159"/>
  <c r="A285" i="159"/>
  <c r="A244" i="159"/>
  <c r="A243" i="159"/>
  <c r="J242" i="159"/>
  <c r="A242" i="159"/>
  <c r="J241" i="159"/>
  <c r="A241" i="159"/>
  <c r="J240" i="159"/>
  <c r="A240" i="159"/>
  <c r="A197" i="159"/>
  <c r="A196" i="159"/>
  <c r="J195" i="159"/>
  <c r="A195" i="159"/>
  <c r="J194" i="159"/>
  <c r="A194" i="159"/>
  <c r="J193" i="159"/>
  <c r="A193" i="159"/>
  <c r="A157" i="159"/>
  <c r="A156" i="159"/>
  <c r="J155" i="159"/>
  <c r="A155" i="159"/>
  <c r="J154" i="159"/>
  <c r="A154" i="159"/>
  <c r="J153" i="159"/>
  <c r="A153" i="159"/>
  <c r="A107" i="159"/>
  <c r="A106" i="159"/>
  <c r="J105" i="159"/>
  <c r="A105" i="159"/>
  <c r="J104" i="159"/>
  <c r="A104" i="159"/>
  <c r="J103" i="159"/>
  <c r="A103" i="159"/>
  <c r="A809" i="160"/>
  <c r="A808" i="160"/>
  <c r="K807" i="160"/>
  <c r="A807" i="160"/>
  <c r="K806" i="160"/>
  <c r="A806" i="160"/>
  <c r="K805" i="160"/>
  <c r="A805" i="160"/>
  <c r="A751" i="160"/>
  <c r="A750" i="160"/>
  <c r="K749" i="160"/>
  <c r="A749" i="160"/>
  <c r="K748" i="160"/>
  <c r="A748" i="160"/>
  <c r="K747" i="160"/>
  <c r="A747" i="160"/>
  <c r="A700" i="160"/>
  <c r="A699" i="160"/>
  <c r="K698" i="160"/>
  <c r="A698" i="160"/>
  <c r="K697" i="160"/>
  <c r="A697" i="160"/>
  <c r="K696" i="160"/>
  <c r="A696" i="160"/>
  <c r="A660" i="160"/>
  <c r="A659" i="160"/>
  <c r="K658" i="160"/>
  <c r="A658" i="160"/>
  <c r="K657" i="160"/>
  <c r="A657" i="160"/>
  <c r="K656" i="160"/>
  <c r="A656" i="160"/>
  <c r="A618" i="160"/>
  <c r="A617" i="160"/>
  <c r="K616" i="160"/>
  <c r="A616" i="160"/>
  <c r="K615" i="160"/>
  <c r="A615" i="160"/>
  <c r="K614" i="160"/>
  <c r="A614" i="160"/>
  <c r="A507" i="160"/>
  <c r="A506" i="160"/>
  <c r="K505" i="160"/>
  <c r="A505" i="160"/>
  <c r="K504" i="160"/>
  <c r="A504" i="160"/>
  <c r="K503" i="160"/>
  <c r="A503" i="160"/>
  <c r="A471" i="160"/>
  <c r="A470" i="160"/>
  <c r="K469" i="160"/>
  <c r="A469" i="160"/>
  <c r="K468" i="160"/>
  <c r="A468" i="160"/>
  <c r="K467" i="160"/>
  <c r="A467" i="160"/>
  <c r="A439" i="160"/>
  <c r="A438" i="160"/>
  <c r="K437" i="160"/>
  <c r="A437" i="160"/>
  <c r="K436" i="160"/>
  <c r="A436" i="160"/>
  <c r="K435" i="160"/>
  <c r="A435" i="160"/>
  <c r="A395" i="160"/>
  <c r="A394" i="160"/>
  <c r="K393" i="160"/>
  <c r="A393" i="160"/>
  <c r="K392" i="160"/>
  <c r="A392" i="160"/>
  <c r="K391" i="160"/>
  <c r="A391" i="160"/>
  <c r="A340" i="160"/>
  <c r="A339" i="160"/>
  <c r="K338" i="160"/>
  <c r="A338" i="160"/>
  <c r="K337" i="160"/>
  <c r="A337" i="160"/>
  <c r="K336" i="160"/>
  <c r="A336" i="160"/>
  <c r="A289" i="160"/>
  <c r="A288" i="160"/>
  <c r="K287" i="160"/>
  <c r="A287" i="160"/>
  <c r="K286" i="160"/>
  <c r="A286" i="160"/>
  <c r="K285" i="160"/>
  <c r="A285" i="160"/>
  <c r="A244" i="160"/>
  <c r="A243" i="160"/>
  <c r="K242" i="160"/>
  <c r="A242" i="160"/>
  <c r="K241" i="160"/>
  <c r="A241" i="160"/>
  <c r="K240" i="160"/>
  <c r="A240" i="160"/>
  <c r="A197" i="160"/>
  <c r="A196" i="160"/>
  <c r="K195" i="160"/>
  <c r="A195" i="160"/>
  <c r="K194" i="160"/>
  <c r="A194" i="160"/>
  <c r="K193" i="160"/>
  <c r="A193" i="160"/>
  <c r="A157" i="160"/>
  <c r="A156" i="160"/>
  <c r="K155" i="160"/>
  <c r="A155" i="160"/>
  <c r="K154" i="160"/>
  <c r="A154" i="160"/>
  <c r="K153" i="160"/>
  <c r="A153" i="160"/>
  <c r="A107" i="160"/>
  <c r="A106" i="160"/>
  <c r="K105" i="160"/>
  <c r="A105" i="160"/>
  <c r="K104" i="160"/>
  <c r="A104" i="160"/>
  <c r="K103" i="160"/>
  <c r="A103" i="160"/>
  <c r="A809" i="161"/>
  <c r="A808" i="161"/>
  <c r="K807" i="161"/>
  <c r="A807" i="161"/>
  <c r="K806" i="161"/>
  <c r="A806" i="161"/>
  <c r="K805" i="161"/>
  <c r="A805" i="161"/>
  <c r="A751" i="161"/>
  <c r="A750" i="161"/>
  <c r="K749" i="161"/>
  <c r="A749" i="161"/>
  <c r="K748" i="161"/>
  <c r="A748" i="161"/>
  <c r="K747" i="161"/>
  <c r="A747" i="161"/>
  <c r="A700" i="161"/>
  <c r="A699" i="161"/>
  <c r="K698" i="161"/>
  <c r="A698" i="161"/>
  <c r="K697" i="161"/>
  <c r="A697" i="161"/>
  <c r="K696" i="161"/>
  <c r="A696" i="161"/>
  <c r="A660" i="161"/>
  <c r="A659" i="161"/>
  <c r="K658" i="161"/>
  <c r="A658" i="161"/>
  <c r="K657" i="161"/>
  <c r="A657" i="161"/>
  <c r="K656" i="161"/>
  <c r="A656" i="161"/>
  <c r="A618" i="161"/>
  <c r="A617" i="161"/>
  <c r="K616" i="161"/>
  <c r="A616" i="161"/>
  <c r="K615" i="161"/>
  <c r="A615" i="161"/>
  <c r="K614" i="161"/>
  <c r="A614" i="161"/>
  <c r="A507" i="161"/>
  <c r="A506" i="161"/>
  <c r="K505" i="161"/>
  <c r="A505" i="161"/>
  <c r="K504" i="161"/>
  <c r="A504" i="161"/>
  <c r="K503" i="161"/>
  <c r="A503" i="161"/>
  <c r="A471" i="161"/>
  <c r="A470" i="161"/>
  <c r="K469" i="161"/>
  <c r="A469" i="161"/>
  <c r="K468" i="161"/>
  <c r="A468" i="161"/>
  <c r="K467" i="161"/>
  <c r="A467" i="161"/>
  <c r="A439" i="161"/>
  <c r="A438" i="161"/>
  <c r="K437" i="161"/>
  <c r="A437" i="161"/>
  <c r="K436" i="161"/>
  <c r="A436" i="161"/>
  <c r="K435" i="161"/>
  <c r="A435" i="161"/>
  <c r="A395" i="161"/>
  <c r="A394" i="161"/>
  <c r="K393" i="161"/>
  <c r="A393" i="161"/>
  <c r="K392" i="161"/>
  <c r="A392" i="161"/>
  <c r="K391" i="161"/>
  <c r="A391" i="161"/>
  <c r="A340" i="161"/>
  <c r="A339" i="161"/>
  <c r="K338" i="161"/>
  <c r="A338" i="161"/>
  <c r="K337" i="161"/>
  <c r="A337" i="161"/>
  <c r="K336" i="161"/>
  <c r="A336" i="161"/>
  <c r="A289" i="161"/>
  <c r="A288" i="161"/>
  <c r="K287" i="161"/>
  <c r="A287" i="161"/>
  <c r="K286" i="161"/>
  <c r="A286" i="161"/>
  <c r="K285" i="161"/>
  <c r="A285" i="161"/>
  <c r="A244" i="161"/>
  <c r="A243" i="161"/>
  <c r="K242" i="161"/>
  <c r="A242" i="161"/>
  <c r="K241" i="161"/>
  <c r="A241" i="161"/>
  <c r="K240" i="161"/>
  <c r="A240" i="161"/>
  <c r="A197" i="161"/>
  <c r="A196" i="161"/>
  <c r="K195" i="161"/>
  <c r="A195" i="161"/>
  <c r="K194" i="161"/>
  <c r="A194" i="161"/>
  <c r="K193" i="161"/>
  <c r="A193" i="161"/>
  <c r="A157" i="161"/>
  <c r="A156" i="161"/>
  <c r="K155" i="161"/>
  <c r="A155" i="161"/>
  <c r="K154" i="161"/>
  <c r="A154" i="161"/>
  <c r="K153" i="161"/>
  <c r="A153" i="161"/>
  <c r="A107" i="161"/>
  <c r="A106" i="161"/>
  <c r="K105" i="161"/>
  <c r="A105" i="161"/>
  <c r="K104" i="161"/>
  <c r="A104" i="161"/>
  <c r="K103" i="161"/>
  <c r="A103" i="161"/>
  <c r="A809" i="158"/>
  <c r="A808" i="158"/>
  <c r="J807" i="158"/>
  <c r="A807" i="158"/>
  <c r="J806" i="158"/>
  <c r="A806" i="158"/>
  <c r="J805" i="158"/>
  <c r="A805" i="158"/>
  <c r="A751" i="158"/>
  <c r="A750" i="158"/>
  <c r="J749" i="158"/>
  <c r="A749" i="158"/>
  <c r="J748" i="158"/>
  <c r="A748" i="158"/>
  <c r="J747" i="158"/>
  <c r="A747" i="158"/>
  <c r="A700" i="158"/>
  <c r="A699" i="158"/>
  <c r="J698" i="158"/>
  <c r="A698" i="158"/>
  <c r="J697" i="158"/>
  <c r="A697" i="158"/>
  <c r="J696" i="158"/>
  <c r="A696" i="158"/>
  <c r="A660" i="158"/>
  <c r="A659" i="158"/>
  <c r="J658" i="158"/>
  <c r="A658" i="158"/>
  <c r="J657" i="158"/>
  <c r="A657" i="158"/>
  <c r="J656" i="158"/>
  <c r="A656" i="158"/>
  <c r="A618" i="158"/>
  <c r="A617" i="158"/>
  <c r="J616" i="158"/>
  <c r="A616" i="158"/>
  <c r="J615" i="158"/>
  <c r="A615" i="158"/>
  <c r="J614" i="158"/>
  <c r="A614" i="158"/>
  <c r="A507" i="158"/>
  <c r="A506" i="158"/>
  <c r="J505" i="158"/>
  <c r="A505" i="158"/>
  <c r="J504" i="158"/>
  <c r="A504" i="158"/>
  <c r="J503" i="158"/>
  <c r="A503" i="158"/>
  <c r="A471" i="158"/>
  <c r="A470" i="158"/>
  <c r="J469" i="158"/>
  <c r="A469" i="158"/>
  <c r="J468" i="158"/>
  <c r="A468" i="158"/>
  <c r="J467" i="158"/>
  <c r="A467" i="158"/>
  <c r="A439" i="158"/>
  <c r="A438" i="158"/>
  <c r="J437" i="158"/>
  <c r="A437" i="158"/>
  <c r="J436" i="158"/>
  <c r="A436" i="158"/>
  <c r="J435" i="158"/>
  <c r="A435" i="158"/>
  <c r="A395" i="158"/>
  <c r="A394" i="158"/>
  <c r="J393" i="158"/>
  <c r="A393" i="158"/>
  <c r="J392" i="158"/>
  <c r="A392" i="158"/>
  <c r="J391" i="158"/>
  <c r="A391" i="158"/>
  <c r="A340" i="158"/>
  <c r="A339" i="158"/>
  <c r="J338" i="158"/>
  <c r="A338" i="158"/>
  <c r="J337" i="158"/>
  <c r="A337" i="158"/>
  <c r="J336" i="158"/>
  <c r="A336" i="158"/>
  <c r="A289" i="158"/>
  <c r="A288" i="158"/>
  <c r="J287" i="158"/>
  <c r="A287" i="158"/>
  <c r="J286" i="158"/>
  <c r="A286" i="158"/>
  <c r="J285" i="158"/>
  <c r="A285" i="158"/>
  <c r="A244" i="158"/>
  <c r="A243" i="158"/>
  <c r="J242" i="158"/>
  <c r="A242" i="158"/>
  <c r="J241" i="158"/>
  <c r="A241" i="158"/>
  <c r="J240" i="158"/>
  <c r="A240" i="158"/>
  <c r="A197" i="158"/>
  <c r="A196" i="158"/>
  <c r="J195" i="158"/>
  <c r="A195" i="158"/>
  <c r="J194" i="158"/>
  <c r="A194" i="158"/>
  <c r="J193" i="158"/>
  <c r="A193" i="158"/>
  <c r="A157" i="158"/>
  <c r="A156" i="158"/>
  <c r="J155" i="158"/>
  <c r="A155" i="158"/>
  <c r="J154" i="158"/>
  <c r="A154" i="158"/>
  <c r="J153" i="158"/>
  <c r="A153" i="158"/>
  <c r="A107" i="158"/>
  <c r="A106" i="158"/>
  <c r="J105" i="158"/>
  <c r="A105" i="158"/>
  <c r="J104" i="158"/>
  <c r="A104" i="158"/>
  <c r="J103" i="158"/>
  <c r="A103" i="158"/>
  <c r="A660" i="162"/>
  <c r="A659" i="162"/>
  <c r="K658" i="162"/>
  <c r="A658" i="162"/>
  <c r="K657" i="162"/>
  <c r="A657" i="162"/>
  <c r="K656" i="162"/>
  <c r="A656" i="162"/>
  <c r="A618" i="162"/>
  <c r="A617" i="162"/>
  <c r="K616" i="162"/>
  <c r="A616" i="162"/>
  <c r="K615" i="162"/>
  <c r="A615" i="162"/>
  <c r="K614" i="162"/>
  <c r="A614" i="162"/>
  <c r="A507" i="162"/>
  <c r="A506" i="162"/>
  <c r="K505" i="162"/>
  <c r="A505" i="162"/>
  <c r="K504" i="162"/>
  <c r="A504" i="162"/>
  <c r="K503" i="162"/>
  <c r="A503" i="162"/>
  <c r="A471" i="162"/>
  <c r="A470" i="162"/>
  <c r="K469" i="162"/>
  <c r="A469" i="162"/>
  <c r="K468" i="162"/>
  <c r="A468" i="162"/>
  <c r="K467" i="162"/>
  <c r="A467" i="162"/>
  <c r="A439" i="162"/>
  <c r="A438" i="162"/>
  <c r="K437" i="162"/>
  <c r="A437" i="162"/>
  <c r="K436" i="162"/>
  <c r="A436" i="162"/>
  <c r="K435" i="162"/>
  <c r="A435" i="162"/>
  <c r="A395" i="162"/>
  <c r="A394" i="162"/>
  <c r="K393" i="162"/>
  <c r="A393" i="162"/>
  <c r="K392" i="162"/>
  <c r="A392" i="162"/>
  <c r="K391" i="162"/>
  <c r="A391" i="162"/>
  <c r="A340" i="162"/>
  <c r="A339" i="162"/>
  <c r="K338" i="162"/>
  <c r="A338" i="162"/>
  <c r="K337" i="162"/>
  <c r="A337" i="162"/>
  <c r="K336" i="162"/>
  <c r="A336" i="162"/>
  <c r="A289" i="162"/>
  <c r="A288" i="162"/>
  <c r="K287" i="162"/>
  <c r="A287" i="162"/>
  <c r="K286" i="162"/>
  <c r="A286" i="162"/>
  <c r="K285" i="162"/>
  <c r="A285" i="162"/>
  <c r="A244" i="162"/>
  <c r="A243" i="162"/>
  <c r="K242" i="162"/>
  <c r="A242" i="162"/>
  <c r="K241" i="162"/>
  <c r="A241" i="162"/>
  <c r="K240" i="162"/>
  <c r="A240" i="162"/>
  <c r="A197" i="162"/>
  <c r="A196" i="162"/>
  <c r="K195" i="162"/>
  <c r="A195" i="162"/>
  <c r="K194" i="162"/>
  <c r="A194" i="162"/>
  <c r="K193" i="162"/>
  <c r="A193" i="162"/>
  <c r="A157" i="162"/>
  <c r="A156" i="162"/>
  <c r="K155" i="162"/>
  <c r="A155" i="162"/>
  <c r="K154" i="162"/>
  <c r="A154" i="162"/>
  <c r="K153" i="162"/>
  <c r="A153" i="162"/>
  <c r="A107" i="162"/>
  <c r="A106" i="162"/>
  <c r="K105" i="162"/>
  <c r="A105" i="162"/>
  <c r="K104" i="162"/>
  <c r="A104" i="162"/>
  <c r="K103" i="162"/>
  <c r="A103" i="162"/>
  <c r="A660" i="164"/>
  <c r="A659" i="164"/>
  <c r="J658" i="164"/>
  <c r="A658" i="164"/>
  <c r="J657" i="164"/>
  <c r="A657" i="164"/>
  <c r="J656" i="164"/>
  <c r="A656" i="164"/>
  <c r="A618" i="164"/>
  <c r="A617" i="164"/>
  <c r="J616" i="164"/>
  <c r="A616" i="164"/>
  <c r="J615" i="164"/>
  <c r="A615" i="164"/>
  <c r="J614" i="164"/>
  <c r="A614" i="164"/>
  <c r="A507" i="164"/>
  <c r="A506" i="164"/>
  <c r="J505" i="164"/>
  <c r="A505" i="164"/>
  <c r="J504" i="164"/>
  <c r="A504" i="164"/>
  <c r="J503" i="164"/>
  <c r="A503" i="164"/>
  <c r="A471" i="164"/>
  <c r="A470" i="164"/>
  <c r="J469" i="164"/>
  <c r="A469" i="164"/>
  <c r="J468" i="164"/>
  <c r="A468" i="164"/>
  <c r="J467" i="164"/>
  <c r="A467" i="164"/>
  <c r="A439" i="164"/>
  <c r="A438" i="164"/>
  <c r="J437" i="164"/>
  <c r="A437" i="164"/>
  <c r="J436" i="164"/>
  <c r="A436" i="164"/>
  <c r="J435" i="164"/>
  <c r="A435" i="164"/>
  <c r="A395" i="164"/>
  <c r="A394" i="164"/>
  <c r="J393" i="164"/>
  <c r="A393" i="164"/>
  <c r="J392" i="164"/>
  <c r="A392" i="164"/>
  <c r="J391" i="164"/>
  <c r="A391" i="164"/>
  <c r="A340" i="164"/>
  <c r="A339" i="164"/>
  <c r="J338" i="164"/>
  <c r="A338" i="164"/>
  <c r="J337" i="164"/>
  <c r="A337" i="164"/>
  <c r="J336" i="164"/>
  <c r="A336" i="164"/>
  <c r="A289" i="164"/>
  <c r="A288" i="164"/>
  <c r="J287" i="164"/>
  <c r="A287" i="164"/>
  <c r="J286" i="164"/>
  <c r="A286" i="164"/>
  <c r="J285" i="164"/>
  <c r="A285" i="164"/>
  <c r="A244" i="164"/>
  <c r="A243" i="164"/>
  <c r="J242" i="164"/>
  <c r="A242" i="164"/>
  <c r="J241" i="164"/>
  <c r="A241" i="164"/>
  <c r="J240" i="164"/>
  <c r="A240" i="164"/>
  <c r="A197" i="164"/>
  <c r="A196" i="164"/>
  <c r="J195" i="164"/>
  <c r="A195" i="164"/>
  <c r="J194" i="164"/>
  <c r="A194" i="164"/>
  <c r="J193" i="164"/>
  <c r="A193" i="164"/>
  <c r="A157" i="164"/>
  <c r="A156" i="164"/>
  <c r="J155" i="164"/>
  <c r="A155" i="164"/>
  <c r="J154" i="164"/>
  <c r="A154" i="164"/>
  <c r="J153" i="164"/>
  <c r="A153" i="164"/>
  <c r="A107" i="164"/>
  <c r="A106" i="164"/>
  <c r="J105" i="164"/>
  <c r="A105" i="164"/>
  <c r="J104" i="164"/>
  <c r="A104" i="164"/>
  <c r="J103" i="164"/>
  <c r="A103" i="164"/>
  <c r="A660" i="165"/>
  <c r="A659" i="165"/>
  <c r="J658" i="165"/>
  <c r="A658" i="165"/>
  <c r="J657" i="165"/>
  <c r="A657" i="165"/>
  <c r="J656" i="165"/>
  <c r="A656" i="165"/>
  <c r="A618" i="165"/>
  <c r="A617" i="165"/>
  <c r="J616" i="165"/>
  <c r="A616" i="165"/>
  <c r="J615" i="165"/>
  <c r="A615" i="165"/>
  <c r="J614" i="165"/>
  <c r="A614" i="165"/>
  <c r="A507" i="165"/>
  <c r="A506" i="165"/>
  <c r="J505" i="165"/>
  <c r="A505" i="165"/>
  <c r="J504" i="165"/>
  <c r="A504" i="165"/>
  <c r="J503" i="165"/>
  <c r="A503" i="165"/>
  <c r="A471" i="165"/>
  <c r="A470" i="165"/>
  <c r="J469" i="165"/>
  <c r="A469" i="165"/>
  <c r="J468" i="165"/>
  <c r="A468" i="165"/>
  <c r="J467" i="165"/>
  <c r="A467" i="165"/>
  <c r="A439" i="165"/>
  <c r="A438" i="165"/>
  <c r="J437" i="165"/>
  <c r="A437" i="165"/>
  <c r="J436" i="165"/>
  <c r="A436" i="165"/>
  <c r="J435" i="165"/>
  <c r="A435" i="165"/>
  <c r="A395" i="165"/>
  <c r="A394" i="165"/>
  <c r="J393" i="165"/>
  <c r="A393" i="165"/>
  <c r="J392" i="165"/>
  <c r="A392" i="165"/>
  <c r="J391" i="165"/>
  <c r="A391" i="165"/>
  <c r="A340" i="165"/>
  <c r="A339" i="165"/>
  <c r="J338" i="165"/>
  <c r="A338" i="165"/>
  <c r="J337" i="165"/>
  <c r="A337" i="165"/>
  <c r="J336" i="165"/>
  <c r="A336" i="165"/>
  <c r="A289" i="165"/>
  <c r="A288" i="165"/>
  <c r="J287" i="165"/>
  <c r="A287" i="165"/>
  <c r="J286" i="165"/>
  <c r="A286" i="165"/>
  <c r="J285" i="165"/>
  <c r="A285" i="165"/>
  <c r="A244" i="165"/>
  <c r="A243" i="165"/>
  <c r="J242" i="165"/>
  <c r="A242" i="165"/>
  <c r="J241" i="165"/>
  <c r="A241" i="165"/>
  <c r="J240" i="165"/>
  <c r="A240" i="165"/>
  <c r="A197" i="165"/>
  <c r="A196" i="165"/>
  <c r="J195" i="165"/>
  <c r="A195" i="165"/>
  <c r="J194" i="165"/>
  <c r="A194" i="165"/>
  <c r="J193" i="165"/>
  <c r="A193" i="165"/>
  <c r="A157" i="165"/>
  <c r="A156" i="165"/>
  <c r="J155" i="165"/>
  <c r="A155" i="165"/>
  <c r="J154" i="165"/>
  <c r="A154" i="165"/>
  <c r="J153" i="165"/>
  <c r="A153" i="165"/>
  <c r="A107" i="165"/>
  <c r="A106" i="165"/>
  <c r="J105" i="165"/>
  <c r="A105" i="165"/>
  <c r="J104" i="165"/>
  <c r="A104" i="165"/>
  <c r="J103" i="165"/>
  <c r="A103" i="165"/>
  <c r="A660" i="166"/>
  <c r="A659" i="166"/>
  <c r="J658" i="166"/>
  <c r="A658" i="166"/>
  <c r="J657" i="166"/>
  <c r="A657" i="166"/>
  <c r="J656" i="166"/>
  <c r="A656" i="166"/>
  <c r="A618" i="166"/>
  <c r="A617" i="166"/>
  <c r="J616" i="166"/>
  <c r="A616" i="166"/>
  <c r="J615" i="166"/>
  <c r="A615" i="166"/>
  <c r="J614" i="166"/>
  <c r="A614" i="166"/>
  <c r="A507" i="166"/>
  <c r="A506" i="166"/>
  <c r="J505" i="166"/>
  <c r="A505" i="166"/>
  <c r="J504" i="166"/>
  <c r="A504" i="166"/>
  <c r="J503" i="166"/>
  <c r="A503" i="166"/>
  <c r="A471" i="166"/>
  <c r="A470" i="166"/>
  <c r="J469" i="166"/>
  <c r="A469" i="166"/>
  <c r="J468" i="166"/>
  <c r="A468" i="166"/>
  <c r="J467" i="166"/>
  <c r="A467" i="166"/>
  <c r="A439" i="166"/>
  <c r="A438" i="166"/>
  <c r="J437" i="166"/>
  <c r="A437" i="166"/>
  <c r="J436" i="166"/>
  <c r="A436" i="166"/>
  <c r="J435" i="166"/>
  <c r="A435" i="166"/>
  <c r="A395" i="166"/>
  <c r="A394" i="166"/>
  <c r="J393" i="166"/>
  <c r="A393" i="166"/>
  <c r="J392" i="166"/>
  <c r="A392" i="166"/>
  <c r="J391" i="166"/>
  <c r="A391" i="166"/>
  <c r="A340" i="166"/>
  <c r="A339" i="166"/>
  <c r="J338" i="166"/>
  <c r="A338" i="166"/>
  <c r="J337" i="166"/>
  <c r="A337" i="166"/>
  <c r="J336" i="166"/>
  <c r="A336" i="166"/>
  <c r="A289" i="166"/>
  <c r="A288" i="166"/>
  <c r="J287" i="166"/>
  <c r="A287" i="166"/>
  <c r="J286" i="166"/>
  <c r="A286" i="166"/>
  <c r="J285" i="166"/>
  <c r="A285" i="166"/>
  <c r="A244" i="166"/>
  <c r="A243" i="166"/>
  <c r="J242" i="166"/>
  <c r="A242" i="166"/>
  <c r="J241" i="166"/>
  <c r="A241" i="166"/>
  <c r="J240" i="166"/>
  <c r="A240" i="166"/>
  <c r="A197" i="166"/>
  <c r="A196" i="166"/>
  <c r="J195" i="166"/>
  <c r="A195" i="166"/>
  <c r="J194" i="166"/>
  <c r="A194" i="166"/>
  <c r="J193" i="166"/>
  <c r="A193" i="166"/>
  <c r="A157" i="166"/>
  <c r="A156" i="166"/>
  <c r="J155" i="166"/>
  <c r="A155" i="166"/>
  <c r="J154" i="166"/>
  <c r="A154" i="166"/>
  <c r="J153" i="166"/>
  <c r="A153" i="166"/>
  <c r="A107" i="166"/>
  <c r="A106" i="166"/>
  <c r="J105" i="166"/>
  <c r="A105" i="166"/>
  <c r="J104" i="166"/>
  <c r="A104" i="166"/>
  <c r="J103" i="166"/>
  <c r="A103" i="166"/>
  <c r="A660" i="167"/>
  <c r="A659" i="167"/>
  <c r="J658" i="167"/>
  <c r="A658" i="167"/>
  <c r="J657" i="167"/>
  <c r="A657" i="167"/>
  <c r="J656" i="167"/>
  <c r="A656" i="167"/>
  <c r="A618" i="167"/>
  <c r="A617" i="167"/>
  <c r="J616" i="167"/>
  <c r="A616" i="167"/>
  <c r="J615" i="167"/>
  <c r="A615" i="167"/>
  <c r="J614" i="167"/>
  <c r="A614" i="167"/>
  <c r="A507" i="167"/>
  <c r="A506" i="167"/>
  <c r="J505" i="167"/>
  <c r="A505" i="167"/>
  <c r="J504" i="167"/>
  <c r="A504" i="167"/>
  <c r="J503" i="167"/>
  <c r="A503" i="167"/>
  <c r="A471" i="167"/>
  <c r="A470" i="167"/>
  <c r="J469" i="167"/>
  <c r="A469" i="167"/>
  <c r="J468" i="167"/>
  <c r="A468" i="167"/>
  <c r="J467" i="167"/>
  <c r="A467" i="167"/>
  <c r="A439" i="167"/>
  <c r="A438" i="167"/>
  <c r="J437" i="167"/>
  <c r="A437" i="167"/>
  <c r="J436" i="167"/>
  <c r="A436" i="167"/>
  <c r="J435" i="167"/>
  <c r="A435" i="167"/>
  <c r="A395" i="167"/>
  <c r="A394" i="167"/>
  <c r="J393" i="167"/>
  <c r="A393" i="167"/>
  <c r="J392" i="167"/>
  <c r="A392" i="167"/>
  <c r="J391" i="167"/>
  <c r="A391" i="167"/>
  <c r="A340" i="167"/>
  <c r="A339" i="167"/>
  <c r="J338" i="167"/>
  <c r="A338" i="167"/>
  <c r="J337" i="167"/>
  <c r="A337" i="167"/>
  <c r="J336" i="167"/>
  <c r="A336" i="167"/>
  <c r="A289" i="167"/>
  <c r="A288" i="167"/>
  <c r="J287" i="167"/>
  <c r="A287" i="167"/>
  <c r="J286" i="167"/>
  <c r="A286" i="167"/>
  <c r="J285" i="167"/>
  <c r="A285" i="167"/>
  <c r="A244" i="167"/>
  <c r="A243" i="167"/>
  <c r="J242" i="167"/>
  <c r="A242" i="167"/>
  <c r="J241" i="167"/>
  <c r="A241" i="167"/>
  <c r="J240" i="167"/>
  <c r="A240" i="167"/>
  <c r="A197" i="167"/>
  <c r="A196" i="167"/>
  <c r="J195" i="167"/>
  <c r="A195" i="167"/>
  <c r="J194" i="167"/>
  <c r="A194" i="167"/>
  <c r="J193" i="167"/>
  <c r="A193" i="167"/>
  <c r="A157" i="167"/>
  <c r="A156" i="167"/>
  <c r="J155" i="167"/>
  <c r="A155" i="167"/>
  <c r="J154" i="167"/>
  <c r="A154" i="167"/>
  <c r="J153" i="167"/>
  <c r="A153" i="167"/>
  <c r="A107" i="167"/>
  <c r="A106" i="167"/>
  <c r="J105" i="167"/>
  <c r="A105" i="167"/>
  <c r="J104" i="167"/>
  <c r="A104" i="167"/>
  <c r="J103" i="167"/>
  <c r="A103" i="167"/>
  <c r="A809" i="9"/>
  <c r="A808" i="9"/>
  <c r="J807" i="9"/>
  <c r="A807" i="9"/>
  <c r="J806" i="9"/>
  <c r="A806" i="9"/>
  <c r="J805" i="9"/>
  <c r="A805" i="9"/>
  <c r="A751" i="9"/>
  <c r="A750" i="9"/>
  <c r="J749" i="9"/>
  <c r="A749" i="9"/>
  <c r="J748" i="9"/>
  <c r="A748" i="9"/>
  <c r="J747" i="9"/>
  <c r="A747" i="9"/>
  <c r="A700" i="9"/>
  <c r="A699" i="9"/>
  <c r="J698" i="9"/>
  <c r="A698" i="9"/>
  <c r="J697" i="9"/>
  <c r="A697" i="9"/>
  <c r="J696" i="9"/>
  <c r="A696" i="9"/>
  <c r="A660" i="9"/>
  <c r="A659" i="9"/>
  <c r="J658" i="9"/>
  <c r="A658" i="9"/>
  <c r="J657" i="9"/>
  <c r="A657" i="9"/>
  <c r="J656" i="9"/>
  <c r="A656" i="9"/>
  <c r="A618" i="9"/>
  <c r="A617" i="9"/>
  <c r="J616" i="9"/>
  <c r="A616" i="9"/>
  <c r="A507" i="9"/>
  <c r="A506" i="9"/>
  <c r="J505" i="9"/>
  <c r="A505" i="9"/>
  <c r="J504" i="9"/>
  <c r="A504" i="9"/>
  <c r="J503" i="9"/>
  <c r="A503" i="9"/>
  <c r="A471" i="9"/>
  <c r="A470" i="9"/>
  <c r="J469" i="9"/>
  <c r="A469" i="9"/>
  <c r="J468" i="9"/>
  <c r="A468" i="9"/>
  <c r="J467" i="9"/>
  <c r="A467" i="9"/>
  <c r="A439" i="9"/>
  <c r="A438" i="9"/>
  <c r="J437" i="9"/>
  <c r="A437" i="9"/>
  <c r="J436" i="9"/>
  <c r="A436" i="9"/>
  <c r="J435" i="9"/>
  <c r="A435" i="9"/>
  <c r="A395" i="9"/>
  <c r="A394" i="9"/>
  <c r="J393" i="9"/>
  <c r="A393" i="9"/>
  <c r="J392" i="9"/>
  <c r="A392" i="9"/>
  <c r="J391" i="9"/>
  <c r="A391" i="9"/>
  <c r="A340" i="9"/>
  <c r="A339" i="9"/>
  <c r="J338" i="9"/>
  <c r="A338" i="9"/>
  <c r="J337" i="9"/>
  <c r="A337" i="9"/>
  <c r="J336" i="9"/>
  <c r="A336" i="9"/>
  <c r="A289" i="9"/>
  <c r="A288" i="9"/>
  <c r="J287" i="9"/>
  <c r="A287" i="9"/>
  <c r="J286" i="9"/>
  <c r="A286" i="9"/>
  <c r="J285" i="9"/>
  <c r="A285" i="9"/>
  <c r="A244" i="9"/>
  <c r="A243" i="9"/>
  <c r="J242" i="9"/>
  <c r="A242" i="9"/>
  <c r="J241" i="9"/>
  <c r="A241" i="9"/>
  <c r="J240" i="9"/>
  <c r="A240" i="9"/>
  <c r="A197" i="9"/>
  <c r="A196" i="9"/>
  <c r="J195" i="9"/>
  <c r="A195" i="9"/>
  <c r="J194" i="9"/>
  <c r="A194" i="9"/>
  <c r="J193" i="9"/>
  <c r="A193" i="9"/>
  <c r="A157" i="9"/>
  <c r="A156" i="9"/>
  <c r="J155" i="9"/>
  <c r="A155" i="9"/>
  <c r="J154" i="9"/>
  <c r="A154" i="9"/>
  <c r="J153" i="9"/>
  <c r="A153" i="9"/>
  <c r="A107" i="9"/>
  <c r="A106" i="9"/>
  <c r="J105" i="9"/>
  <c r="A105" i="9"/>
  <c r="J104" i="9"/>
  <c r="A104" i="9"/>
  <c r="J103" i="9"/>
  <c r="A103" i="9"/>
  <c r="J48" i="157"/>
  <c r="K48" i="155"/>
  <c r="J48" i="159"/>
  <c r="K48" i="160"/>
  <c r="K48" i="161"/>
  <c r="J48" i="158"/>
  <c r="K48" i="162"/>
  <c r="J48" i="164"/>
  <c r="J48" i="165"/>
  <c r="J48" i="166"/>
  <c r="J48" i="167"/>
  <c r="J48" i="9"/>
  <c r="J47" i="157"/>
  <c r="K47" i="155"/>
  <c r="J47" i="159"/>
  <c r="K47" i="160"/>
  <c r="K47" i="161"/>
  <c r="J47" i="158"/>
  <c r="K47" i="162"/>
  <c r="J47" i="164"/>
  <c r="J47" i="165"/>
  <c r="J47" i="166"/>
  <c r="J47" i="167"/>
  <c r="J47" i="9"/>
  <c r="J46" i="157"/>
  <c r="K46" i="155"/>
  <c r="J46" i="159"/>
  <c r="K46" i="160"/>
  <c r="K46" i="161"/>
  <c r="J46" i="158"/>
  <c r="K46" i="162"/>
  <c r="J46" i="164"/>
  <c r="J46" i="165"/>
  <c r="J46" i="166"/>
  <c r="J46" i="167"/>
  <c r="J46" i="9"/>
  <c r="A50" i="157"/>
  <c r="A50" i="155"/>
  <c r="A50" i="159"/>
  <c r="A50" i="160"/>
  <c r="A50" i="161"/>
  <c r="A50" i="158"/>
  <c r="A50" i="162"/>
  <c r="A50" i="164"/>
  <c r="A50" i="165"/>
  <c r="A50" i="166"/>
  <c r="A50" i="167"/>
  <c r="A50" i="9"/>
  <c r="A49" i="157"/>
  <c r="A49" i="155"/>
  <c r="A49" i="159"/>
  <c r="A49" i="160"/>
  <c r="A49" i="161"/>
  <c r="A49" i="158"/>
  <c r="A49" i="162"/>
  <c r="A49" i="164"/>
  <c r="A49" i="165"/>
  <c r="A49" i="166"/>
  <c r="A49" i="167"/>
  <c r="A49" i="9"/>
  <c r="A48" i="157"/>
  <c r="A48" i="155"/>
  <c r="A48" i="159"/>
  <c r="A48" i="160"/>
  <c r="A48" i="161"/>
  <c r="A48" i="158"/>
  <c r="A48" i="162"/>
  <c r="A48" i="164"/>
  <c r="A48" i="165"/>
  <c r="A48" i="166"/>
  <c r="A48" i="167"/>
  <c r="A48" i="9"/>
  <c r="A47" i="157"/>
  <c r="A47" i="155"/>
  <c r="A47" i="159"/>
  <c r="A47" i="160"/>
  <c r="A47" i="161"/>
  <c r="A47" i="158"/>
  <c r="A47" i="162"/>
  <c r="A47" i="164"/>
  <c r="A47" i="165"/>
  <c r="A47" i="166"/>
  <c r="A47" i="167"/>
  <c r="A47" i="9"/>
  <c r="A46" i="157"/>
  <c r="A46" i="155"/>
  <c r="A46" i="159"/>
  <c r="A46" i="160"/>
  <c r="A46" i="161"/>
  <c r="A46" i="158"/>
  <c r="A46" i="162"/>
  <c r="A46" i="164"/>
  <c r="A46" i="165"/>
  <c r="A46" i="166"/>
  <c r="A46" i="167"/>
  <c r="A46" i="9"/>
  <c r="F52" i="162"/>
  <c r="F52" i="161"/>
  <c r="F52" i="160"/>
  <c r="F52" i="155"/>
  <c r="J3" i="157"/>
  <c r="K3" i="155"/>
  <c r="J3" i="159"/>
  <c r="K3" i="160"/>
  <c r="K3" i="161"/>
  <c r="J3" i="158"/>
  <c r="K3" i="162"/>
  <c r="J3" i="164"/>
  <c r="J3" i="165"/>
  <c r="J3" i="166"/>
  <c r="J3" i="167"/>
  <c r="J3" i="9"/>
  <c r="A5" i="157"/>
  <c r="A5" i="155"/>
  <c r="A5" i="159"/>
  <c r="A5" i="160"/>
  <c r="A5" i="161"/>
  <c r="A5" i="158"/>
  <c r="A5" i="162"/>
  <c r="A5" i="164"/>
  <c r="A5" i="165"/>
  <c r="A5" i="166"/>
  <c r="A5" i="167"/>
  <c r="A5" i="9"/>
  <c r="A4" i="157"/>
  <c r="A4" i="155"/>
  <c r="A4" i="159"/>
  <c r="A4" i="160"/>
  <c r="A4" i="161"/>
  <c r="A4" i="158"/>
  <c r="A4" i="162"/>
  <c r="A4" i="164"/>
  <c r="A4" i="165"/>
  <c r="A4" i="166"/>
  <c r="A4" i="167"/>
  <c r="A4" i="9"/>
  <c r="A3" i="157"/>
  <c r="A3" i="155"/>
  <c r="A3" i="159"/>
  <c r="A3" i="160"/>
  <c r="A3" i="161"/>
  <c r="A3" i="158"/>
  <c r="A3" i="162"/>
  <c r="A3" i="164"/>
  <c r="A3" i="165"/>
  <c r="A3" i="166"/>
  <c r="A3" i="167"/>
  <c r="A3" i="9"/>
  <c r="A1" i="157"/>
  <c r="A1" i="155"/>
  <c r="A1" i="159"/>
  <c r="A1" i="160"/>
  <c r="A1" i="161"/>
  <c r="A1" i="158"/>
  <c r="A1" i="162"/>
  <c r="A1" i="164"/>
  <c r="A1" i="165"/>
  <c r="A1" i="166"/>
  <c r="A1" i="167"/>
  <c r="A1" i="9"/>
  <c r="E53" i="8"/>
  <c r="F53" i="8" s="1"/>
  <c r="G53" i="8" s="1"/>
  <c r="E52" i="8"/>
  <c r="F52" i="8" s="1"/>
  <c r="G52" i="8" s="1"/>
  <c r="E43" i="169" l="1"/>
  <c r="E47" i="169" s="1"/>
  <c r="E51" i="8"/>
  <c r="F51" i="8" s="1"/>
  <c r="G51" i="8" s="1"/>
  <c r="E50" i="8"/>
  <c r="E55" i="8" l="1"/>
  <c r="F50" i="8"/>
  <c r="G50" i="8" s="1"/>
  <c r="I13" i="8"/>
  <c r="K10" i="8"/>
  <c r="M4" i="8"/>
  <c r="A3" i="8"/>
  <c r="A2" i="8"/>
  <c r="A1" i="8"/>
  <c r="I13" i="24" l="1"/>
  <c r="K10" i="24"/>
  <c r="M4" i="24"/>
  <c r="A3" i="24"/>
  <c r="A2" i="24"/>
  <c r="A1" i="24"/>
  <c r="I13" i="7" l="1"/>
  <c r="K10" i="7"/>
  <c r="M4" i="7"/>
  <c r="A3" i="7"/>
  <c r="A2" i="7"/>
  <c r="A1" i="7"/>
  <c r="K27" i="6" l="1"/>
  <c r="K30" i="6" l="1"/>
  <c r="K26" i="6"/>
  <c r="P19" i="6"/>
  <c r="I13" i="6"/>
  <c r="K10" i="6"/>
  <c r="M4" i="6"/>
  <c r="A3" i="6"/>
  <c r="A2" i="6"/>
  <c r="A1" i="6"/>
  <c r="K5" i="49" l="1"/>
  <c r="A6" i="49"/>
  <c r="K4" i="49"/>
  <c r="A5" i="49"/>
  <c r="K3" i="49"/>
  <c r="A4" i="49"/>
  <c r="A2" i="49"/>
  <c r="A1" i="49"/>
  <c r="B19" i="3" l="1"/>
  <c r="B21" i="3" s="1"/>
  <c r="D13" i="3"/>
  <c r="G5" i="3"/>
  <c r="F13" i="3" l="1"/>
  <c r="C14" i="3"/>
  <c r="G14" i="3"/>
  <c r="F15" i="3"/>
  <c r="E16" i="3"/>
  <c r="D17" i="3"/>
  <c r="E13" i="3"/>
  <c r="D14" i="3"/>
  <c r="C15" i="3"/>
  <c r="G15" i="3"/>
  <c r="F16" i="3"/>
  <c r="E17" i="3"/>
  <c r="E14" i="3"/>
  <c r="D15" i="3"/>
  <c r="C16" i="3"/>
  <c r="G16" i="3"/>
  <c r="F17" i="3"/>
  <c r="C13" i="3"/>
  <c r="G13" i="3"/>
  <c r="F14" i="3"/>
  <c r="E15" i="3"/>
  <c r="D16" i="3"/>
  <c r="C17" i="3"/>
  <c r="G17" i="3"/>
  <c r="C18" i="3"/>
  <c r="D18" i="3"/>
  <c r="E18" i="3"/>
  <c r="F18" i="3"/>
  <c r="G18" i="3"/>
  <c r="A5" i="3"/>
  <c r="A4" i="3"/>
  <c r="A3" i="3"/>
  <c r="G2" i="3"/>
  <c r="A2" i="3"/>
  <c r="A1" i="3"/>
  <c r="C12" i="3" l="1"/>
  <c r="C19" i="3" s="1"/>
  <c r="F12" i="3"/>
  <c r="F20" i="3" s="1"/>
  <c r="G12" i="3"/>
  <c r="G20" i="3" s="1"/>
  <c r="E12" i="3"/>
  <c r="D12" i="3" s="1"/>
  <c r="F28" i="38"/>
  <c r="E20" i="3" l="1"/>
  <c r="D20" i="3"/>
  <c r="F5" i="38"/>
  <c r="A5" i="38"/>
  <c r="A4" i="38"/>
  <c r="A3" i="38"/>
  <c r="F2" i="38"/>
  <c r="A2" i="38"/>
  <c r="A1" i="38"/>
  <c r="D156" i="35" l="1"/>
  <c r="C156" i="35"/>
  <c r="D139" i="35"/>
  <c r="C139" i="35"/>
  <c r="D125" i="35"/>
  <c r="C125" i="35"/>
  <c r="D114" i="35"/>
  <c r="C114" i="35"/>
  <c r="F105" i="35"/>
  <c r="A105" i="35"/>
  <c r="A104" i="35"/>
  <c r="A103" i="35"/>
  <c r="A102" i="35"/>
  <c r="A101" i="35"/>
  <c r="D158" i="35" l="1"/>
  <c r="C158" i="35"/>
  <c r="C97" i="35"/>
  <c r="F88" i="35" l="1"/>
  <c r="A88" i="35"/>
  <c r="A87" i="35"/>
  <c r="A86" i="35"/>
  <c r="A85" i="35"/>
  <c r="F84" i="35"/>
  <c r="A84" i="35"/>
  <c r="E76" i="35" a="1"/>
  <c r="D76" i="35" a="1"/>
  <c r="D76" i="35" s="1"/>
  <c r="E75" i="35" a="1"/>
  <c r="D75" i="35" a="1"/>
  <c r="E74" i="35" a="1"/>
  <c r="D74" i="35" a="1"/>
  <c r="D74" i="35" s="1"/>
  <c r="E73" i="35" a="1"/>
  <c r="D73" i="35" a="1"/>
  <c r="E72" i="35" a="1"/>
  <c r="D72" i="35" a="1"/>
  <c r="D72" i="35" s="1"/>
  <c r="E71" i="35" a="1"/>
  <c r="D71" i="35" a="1"/>
  <c r="E70" i="35" a="1"/>
  <c r="D70" i="35" a="1"/>
  <c r="D70" i="35" s="1"/>
  <c r="E69" i="35" a="1"/>
  <c r="D69" i="35" a="1"/>
  <c r="E68" i="35" a="1"/>
  <c r="D68" i="35" a="1"/>
  <c r="D68" i="35" s="1"/>
  <c r="E67" i="35" a="1"/>
  <c r="D67" i="35" a="1"/>
  <c r="E66" i="35" a="1"/>
  <c r="D66" i="35" a="1"/>
  <c r="E65" i="35" a="1"/>
  <c r="D65" i="35" a="1"/>
  <c r="E64" i="35" a="1"/>
  <c r="D64" i="35" a="1"/>
  <c r="D64" i="35" s="1"/>
  <c r="E63" i="35" a="1"/>
  <c r="D63" i="35" a="1"/>
  <c r="E62" i="35" a="1"/>
  <c r="D62" i="35" a="1"/>
  <c r="D62" i="35" s="1"/>
  <c r="E61" i="35" a="1"/>
  <c r="D61" i="35" a="1"/>
  <c r="E60" i="35" a="1"/>
  <c r="E60" i="35" s="1"/>
  <c r="D71" i="35" l="1"/>
  <c r="D65" i="35"/>
  <c r="D61" i="35"/>
  <c r="D63" i="35"/>
  <c r="E65" i="35"/>
  <c r="M65" i="35" s="1"/>
  <c r="D73" i="35"/>
  <c r="D66" i="35"/>
  <c r="D67" i="35"/>
  <c r="D69" i="35"/>
  <c r="D75" i="35"/>
  <c r="D60" i="35" a="1"/>
  <c r="D60" i="35" s="1"/>
  <c r="E59" i="35" a="1"/>
  <c r="E59" i="35" s="1"/>
  <c r="D59" i="35" a="1"/>
  <c r="D59" i="35" s="1"/>
  <c r="K50" i="35"/>
  <c r="A50" i="35"/>
  <c r="A49" i="35"/>
  <c r="A48" i="35"/>
  <c r="K47" i="35"/>
  <c r="A47" i="35"/>
  <c r="A46" i="35"/>
  <c r="E44" i="35" a="1"/>
  <c r="D44" i="35" a="1"/>
  <c r="E43" i="35" a="1"/>
  <c r="E43" i="35" s="1"/>
  <c r="D43" i="35" a="1"/>
  <c r="D43" i="35" s="1"/>
  <c r="H43" i="35" s="1"/>
  <c r="E42" i="35" a="1"/>
  <c r="E42" i="35" s="1"/>
  <c r="D42" i="35" a="1"/>
  <c r="E41" i="35" a="1"/>
  <c r="E41" i="35" s="1"/>
  <c r="D41" i="35" a="1"/>
  <c r="D41" i="35" s="1"/>
  <c r="D44" i="35" l="1"/>
  <c r="H44" i="35" s="1"/>
  <c r="J44" i="35" s="1"/>
  <c r="H60" i="35"/>
  <c r="J60" i="35" s="1"/>
  <c r="I60" i="35" s="1"/>
  <c r="K60" i="35" s="1"/>
  <c r="H41" i="35"/>
  <c r="H59" i="35"/>
  <c r="I59" i="35" s="1"/>
  <c r="K59" i="35" s="1"/>
  <c r="L65" i="35"/>
  <c r="J43" i="35"/>
  <c r="I43" i="35" s="1"/>
  <c r="K43" i="35" s="1"/>
  <c r="D42" i="35"/>
  <c r="H42" i="35" s="1"/>
  <c r="E44" i="35"/>
  <c r="E35" i="35" a="1"/>
  <c r="D35" i="35" a="1"/>
  <c r="I44" i="35" l="1"/>
  <c r="K44" i="35" s="1"/>
  <c r="D35" i="35"/>
  <c r="F35" i="35" s="1"/>
  <c r="E35" i="35" s="1"/>
  <c r="G35" i="35" s="1"/>
  <c r="D78" i="35"/>
  <c r="J59" i="35"/>
  <c r="E34" i="35" a="1"/>
  <c r="D34" i="35" a="1"/>
  <c r="D34" i="35" s="1"/>
  <c r="E33" i="35" a="1"/>
  <c r="D33" i="35" a="1"/>
  <c r="D33" i="35" s="1"/>
  <c r="E32" i="35" a="1"/>
  <c r="D32" i="35" a="1"/>
  <c r="D32" i="35" s="1"/>
  <c r="E31" i="35" a="1"/>
  <c r="D31" i="35" a="1"/>
  <c r="E28" i="35" a="1"/>
  <c r="E28" i="35" s="1"/>
  <c r="D28" i="35" a="1"/>
  <c r="E23" i="35" a="1"/>
  <c r="D23" i="35" a="1"/>
  <c r="E22" i="35" a="1"/>
  <c r="D22" i="35" a="1"/>
  <c r="D22" i="35" s="1"/>
  <c r="E21" i="35" a="1"/>
  <c r="D21" i="35" a="1"/>
  <c r="E20" i="35" a="1"/>
  <c r="D20" i="35" a="1"/>
  <c r="D20" i="35" s="1"/>
  <c r="E19" i="35" a="1"/>
  <c r="D19" i="35" a="1"/>
  <c r="D19" i="35" s="1"/>
  <c r="E18" i="35" a="1"/>
  <c r="D18" i="35" a="1"/>
  <c r="D18" i="35" s="1"/>
  <c r="E17" i="35" a="1"/>
  <c r="D17" i="35" a="1"/>
  <c r="E16" i="35" a="1"/>
  <c r="D16" i="35" a="1"/>
  <c r="D16" i="35" s="1"/>
  <c r="E15" i="35" a="1"/>
  <c r="D15" i="35" a="1"/>
  <c r="D15" i="35" s="1"/>
  <c r="E14" i="35" a="1"/>
  <c r="E14" i="35" s="1"/>
  <c r="D14" i="35" a="1"/>
  <c r="D14" i="35" s="1"/>
  <c r="K5" i="35"/>
  <c r="A5" i="35"/>
  <c r="A4" i="35"/>
  <c r="A3" i="35"/>
  <c r="K2" i="35"/>
  <c r="A2" i="35"/>
  <c r="A1" i="35"/>
  <c r="C20" i="34"/>
  <c r="B20" i="34" s="1"/>
  <c r="G5" i="34"/>
  <c r="A5" i="34"/>
  <c r="A4" i="34"/>
  <c r="A3" i="34"/>
  <c r="G2" i="34"/>
  <c r="A2" i="34"/>
  <c r="A1" i="34"/>
  <c r="H35" i="35" l="1"/>
  <c r="I35" i="35"/>
  <c r="K35" i="35"/>
  <c r="J35" i="35" s="1"/>
  <c r="K28" i="35"/>
  <c r="G28" i="35"/>
  <c r="F32" i="35"/>
  <c r="E32" i="35" s="1"/>
  <c r="J32" i="35"/>
  <c r="F34" i="35"/>
  <c r="E34" i="35" s="1"/>
  <c r="H34" i="35"/>
  <c r="F33" i="35"/>
  <c r="E33" i="35" s="1"/>
  <c r="H33" i="35"/>
  <c r="G14" i="35"/>
  <c r="F102" i="35"/>
  <c r="F85" i="35"/>
  <c r="D23" i="35"/>
  <c r="D28" i="35"/>
  <c r="D31" i="35"/>
  <c r="D17" i="35"/>
  <c r="D21" i="35"/>
  <c r="F14" i="35" l="1"/>
  <c r="D25" i="35"/>
  <c r="F28" i="35"/>
  <c r="H28" i="35"/>
  <c r="J28" i="35"/>
  <c r="I28" i="35" s="1"/>
  <c r="K33" i="35"/>
  <c r="J33" i="35" s="1"/>
  <c r="G33" i="35"/>
  <c r="I33" i="35"/>
  <c r="K32" i="35"/>
  <c r="G32" i="35"/>
  <c r="I32" i="35"/>
  <c r="H32" i="35" s="1"/>
  <c r="D37" i="35"/>
  <c r="H31" i="35"/>
  <c r="J31" i="35"/>
  <c r="F31" i="35"/>
  <c r="E31" i="35" s="1"/>
  <c r="I34" i="35"/>
  <c r="K34" i="35"/>
  <c r="J34" i="35" s="1"/>
  <c r="G34" i="35"/>
  <c r="C18" i="33"/>
  <c r="B18" i="33"/>
  <c r="C17" i="33"/>
  <c r="B17" i="33"/>
  <c r="C16" i="33"/>
  <c r="B16" i="33"/>
  <c r="C15" i="33"/>
  <c r="B15" i="33"/>
  <c r="C14" i="33"/>
  <c r="B14" i="33"/>
  <c r="D16" i="33" l="1"/>
  <c r="D80" i="35"/>
  <c r="D15" i="33"/>
  <c r="E37" i="35"/>
  <c r="K31" i="35"/>
  <c r="G31" i="35"/>
  <c r="I31" i="35"/>
  <c r="D14" i="33"/>
  <c r="D18" i="33"/>
  <c r="D17" i="33"/>
  <c r="C13" i="33"/>
  <c r="B13" i="33"/>
  <c r="C12" i="33"/>
  <c r="B12" i="33"/>
  <c r="C11" i="33"/>
  <c r="B11" i="33"/>
  <c r="F5" i="33"/>
  <c r="A5" i="33"/>
  <c r="A4" i="33"/>
  <c r="A3" i="33"/>
  <c r="F2" i="33"/>
  <c r="A2" i="33"/>
  <c r="A1" i="33"/>
  <c r="D13" i="33" l="1"/>
  <c r="B19" i="33"/>
  <c r="D24" i="33" s="1"/>
  <c r="D11" i="33"/>
  <c r="D12" i="33"/>
  <c r="D25" i="32"/>
  <c r="C25" i="32"/>
  <c r="D24" i="32"/>
  <c r="C24" i="32"/>
  <c r="D23" i="32"/>
  <c r="C23" i="32"/>
  <c r="D22" i="32"/>
  <c r="C22" i="32"/>
  <c r="D21" i="32"/>
  <c r="C21" i="32"/>
  <c r="D20" i="32"/>
  <c r="C20" i="32"/>
  <c r="D19" i="32"/>
  <c r="C19" i="32"/>
  <c r="D18" i="32"/>
  <c r="C18" i="32"/>
  <c r="D17" i="32"/>
  <c r="C17" i="32"/>
  <c r="D16" i="32"/>
  <c r="C16" i="32"/>
  <c r="F17" i="32" l="1"/>
  <c r="B53" i="32" s="1"/>
  <c r="F19" i="32"/>
  <c r="F22" i="32"/>
  <c r="F24" i="32"/>
  <c r="F20" i="32"/>
  <c r="D22" i="33"/>
  <c r="C19" i="33" s="1"/>
  <c r="F16" i="32"/>
  <c r="B52" i="32" s="1"/>
  <c r="F18" i="32"/>
  <c r="B54" i="32" s="1"/>
  <c r="F21" i="32"/>
  <c r="F23" i="32"/>
  <c r="D15" i="32"/>
  <c r="C15" i="32"/>
  <c r="D14" i="32"/>
  <c r="C14" i="32"/>
  <c r="D13" i="32"/>
  <c r="C13" i="32"/>
  <c r="D12" i="32"/>
  <c r="C12" i="32"/>
  <c r="D11" i="32"/>
  <c r="C11" i="32"/>
  <c r="A5" i="32"/>
  <c r="H4" i="32"/>
  <c r="A4" i="32"/>
  <c r="A3" i="32"/>
  <c r="H2" i="32"/>
  <c r="A2" i="32"/>
  <c r="A1" i="32"/>
  <c r="F5" i="31"/>
  <c r="A5" i="31"/>
  <c r="A4" i="31"/>
  <c r="A3" i="31"/>
  <c r="F2" i="31"/>
  <c r="A2" i="31"/>
  <c r="A1" i="31"/>
  <c r="Q116" i="28"/>
  <c r="A116" i="28"/>
  <c r="A115" i="28"/>
  <c r="A114" i="28"/>
  <c r="Q113" i="28"/>
  <c r="A113" i="28"/>
  <c r="A112" i="28"/>
  <c r="Q79" i="28"/>
  <c r="A79" i="28"/>
  <c r="A78" i="28"/>
  <c r="A77" i="28"/>
  <c r="Q76" i="28"/>
  <c r="A76" i="28"/>
  <c r="A75" i="28"/>
  <c r="Q42" i="28"/>
  <c r="A42" i="28"/>
  <c r="A41" i="28"/>
  <c r="A40" i="28"/>
  <c r="Q39" i="28"/>
  <c r="A39" i="28"/>
  <c r="A38" i="28"/>
  <c r="U29" i="28"/>
  <c r="U28" i="28"/>
  <c r="U27" i="28"/>
  <c r="U26" i="28"/>
  <c r="U25" i="28"/>
  <c r="U24" i="28"/>
  <c r="U23" i="28"/>
  <c r="U22" i="28"/>
  <c r="U21" i="28"/>
  <c r="U20" i="28"/>
  <c r="U19" i="28"/>
  <c r="U18" i="28"/>
  <c r="A5" i="28"/>
  <c r="A4" i="28"/>
  <c r="A3" i="28"/>
  <c r="Q2" i="28"/>
  <c r="A2" i="28"/>
  <c r="A1" i="28"/>
  <c r="E141" i="27"/>
  <c r="B141" i="27"/>
  <c r="A141" i="27"/>
  <c r="E140" i="27"/>
  <c r="B140" i="27"/>
  <c r="A140" i="27"/>
  <c r="E139" i="27"/>
  <c r="B139" i="27"/>
  <c r="A139" i="27"/>
  <c r="E138" i="27"/>
  <c r="B138" i="27"/>
  <c r="A138" i="27"/>
  <c r="E137" i="27"/>
  <c r="B137" i="27"/>
  <c r="A137" i="27"/>
  <c r="E136" i="27"/>
  <c r="B136" i="27"/>
  <c r="A136" i="27"/>
  <c r="E135" i="27"/>
  <c r="B135" i="27"/>
  <c r="A135" i="27"/>
  <c r="E134" i="27"/>
  <c r="B134" i="27"/>
  <c r="A134" i="27"/>
  <c r="E133" i="27"/>
  <c r="B133" i="27"/>
  <c r="A133" i="27"/>
  <c r="E132" i="27"/>
  <c r="B132" i="27"/>
  <c r="A132" i="27"/>
  <c r="E131" i="27"/>
  <c r="B131" i="27"/>
  <c r="A131" i="27"/>
  <c r="E130" i="27"/>
  <c r="B130" i="27"/>
  <c r="A130" i="27"/>
  <c r="J102" i="27"/>
  <c r="E142" i="27" l="1"/>
  <c r="U30" i="28"/>
  <c r="F10" i="32"/>
  <c r="B47" i="32" s="1"/>
  <c r="F12" i="32"/>
  <c r="B49" i="32" s="1"/>
  <c r="F15" i="32"/>
  <c r="B51" i="32" s="1"/>
  <c r="F14" i="32"/>
  <c r="F13" i="32"/>
  <c r="B50" i="32" s="1"/>
  <c r="D27" i="32"/>
  <c r="F11" i="32"/>
  <c r="C27" i="32"/>
  <c r="A102" i="27"/>
  <c r="A101" i="27"/>
  <c r="A100" i="27"/>
  <c r="J99" i="27"/>
  <c r="A99" i="27"/>
  <c r="A98" i="27"/>
  <c r="E92" i="27"/>
  <c r="K91" i="27"/>
  <c r="I91" i="27"/>
  <c r="G91" i="27"/>
  <c r="B91" i="27"/>
  <c r="F91" i="27" s="1"/>
  <c r="A91" i="27"/>
  <c r="K90" i="27"/>
  <c r="I90" i="27"/>
  <c r="G90" i="27"/>
  <c r="B90" i="27"/>
  <c r="F90" i="27" s="1"/>
  <c r="A90" i="27"/>
  <c r="K89" i="27"/>
  <c r="I89" i="27"/>
  <c r="G89" i="27"/>
  <c r="B89" i="27"/>
  <c r="F89" i="27" s="1"/>
  <c r="A89" i="27"/>
  <c r="K88" i="27"/>
  <c r="I88" i="27"/>
  <c r="G88" i="27"/>
  <c r="B88" i="27"/>
  <c r="F88" i="27" s="1"/>
  <c r="A88" i="27"/>
  <c r="K87" i="27"/>
  <c r="I87" i="27"/>
  <c r="G87" i="27"/>
  <c r="B87" i="27"/>
  <c r="F87" i="27" s="1"/>
  <c r="A87" i="27"/>
  <c r="K86" i="27"/>
  <c r="I86" i="27"/>
  <c r="G86" i="27"/>
  <c r="B86" i="27"/>
  <c r="F86" i="27" s="1"/>
  <c r="A86" i="27"/>
  <c r="K85" i="27"/>
  <c r="I85" i="27"/>
  <c r="G85" i="27"/>
  <c r="B85" i="27"/>
  <c r="F85" i="27" s="1"/>
  <c r="A85" i="27"/>
  <c r="K84" i="27"/>
  <c r="I84" i="27"/>
  <c r="G84" i="27"/>
  <c r="B84" i="27"/>
  <c r="F84" i="27" s="1"/>
  <c r="A84" i="27"/>
  <c r="K83" i="27"/>
  <c r="I83" i="27"/>
  <c r="G83" i="27"/>
  <c r="B83" i="27"/>
  <c r="F83" i="27" s="1"/>
  <c r="L83" i="27" s="1"/>
  <c r="A83" i="27"/>
  <c r="K82" i="27"/>
  <c r="I82" i="27"/>
  <c r="G82" i="27"/>
  <c r="B82" i="27"/>
  <c r="F82" i="27" s="1"/>
  <c r="A82" i="27"/>
  <c r="K81" i="27"/>
  <c r="I81" i="27"/>
  <c r="G81" i="27"/>
  <c r="B81" i="27"/>
  <c r="F81" i="27" s="1"/>
  <c r="A81" i="27"/>
  <c r="K80" i="27"/>
  <c r="I80" i="27"/>
  <c r="G80" i="27"/>
  <c r="B80" i="27"/>
  <c r="F80" i="27" s="1"/>
  <c r="A80" i="27"/>
  <c r="E72" i="27"/>
  <c r="K71" i="27"/>
  <c r="I71" i="27"/>
  <c r="G71" i="27"/>
  <c r="B71" i="27"/>
  <c r="F71" i="27" s="1"/>
  <c r="A71" i="27"/>
  <c r="K70" i="27"/>
  <c r="I70" i="27"/>
  <c r="G70" i="27"/>
  <c r="B70" i="27"/>
  <c r="F70" i="27" s="1"/>
  <c r="A70" i="27"/>
  <c r="K69" i="27"/>
  <c r="I69" i="27"/>
  <c r="G69" i="27"/>
  <c r="B69" i="27"/>
  <c r="F69" i="27" s="1"/>
  <c r="L69" i="27" s="1"/>
  <c r="A69" i="27"/>
  <c r="K68" i="27"/>
  <c r="I68" i="27"/>
  <c r="G68" i="27"/>
  <c r="B68" i="27"/>
  <c r="F68" i="27" s="1"/>
  <c r="A68" i="27"/>
  <c r="K67" i="27"/>
  <c r="I67" i="27"/>
  <c r="G67" i="27"/>
  <c r="B67" i="27"/>
  <c r="F67" i="27" s="1"/>
  <c r="A67" i="27"/>
  <c r="K66" i="27"/>
  <c r="I66" i="27"/>
  <c r="G66" i="27"/>
  <c r="B66" i="27"/>
  <c r="F66" i="27" s="1"/>
  <c r="A66" i="27"/>
  <c r="K65" i="27"/>
  <c r="I65" i="27"/>
  <c r="G65" i="27"/>
  <c r="B65" i="27"/>
  <c r="F65" i="27" s="1"/>
  <c r="A65" i="27"/>
  <c r="K64" i="27"/>
  <c r="I64" i="27"/>
  <c r="G64" i="27"/>
  <c r="B64" i="27"/>
  <c r="F64" i="27" s="1"/>
  <c r="A64" i="27"/>
  <c r="K63" i="27"/>
  <c r="I63" i="27"/>
  <c r="G63" i="27"/>
  <c r="B63" i="27"/>
  <c r="F63" i="27" s="1"/>
  <c r="A63" i="27"/>
  <c r="K62" i="27"/>
  <c r="I62" i="27"/>
  <c r="G62" i="27"/>
  <c r="B62" i="27"/>
  <c r="F62" i="27" s="1"/>
  <c r="A62" i="27"/>
  <c r="K61" i="27"/>
  <c r="I61" i="27"/>
  <c r="G61" i="27"/>
  <c r="B61" i="27"/>
  <c r="F61" i="27" s="1"/>
  <c r="A61" i="27"/>
  <c r="K60" i="27"/>
  <c r="I60" i="27"/>
  <c r="G60" i="27"/>
  <c r="B60" i="27"/>
  <c r="F60" i="27" s="1"/>
  <c r="A60" i="27"/>
  <c r="J53" i="27"/>
  <c r="A53" i="27"/>
  <c r="A52" i="27"/>
  <c r="A51" i="27"/>
  <c r="J50" i="27"/>
  <c r="A50" i="27"/>
  <c r="A49" i="27"/>
  <c r="P43" i="27"/>
  <c r="E43" i="27"/>
  <c r="K42" i="27"/>
  <c r="I42" i="27"/>
  <c r="G42" i="27"/>
  <c r="B42" i="27"/>
  <c r="F42" i="27" s="1"/>
  <c r="A42" i="27"/>
  <c r="Q41" i="27"/>
  <c r="K41" i="27"/>
  <c r="I41" i="27"/>
  <c r="G41" i="27"/>
  <c r="B41" i="27"/>
  <c r="F41" i="27" s="1"/>
  <c r="A41" i="27"/>
  <c r="Q40" i="27"/>
  <c r="K40" i="27"/>
  <c r="I40" i="27"/>
  <c r="G40" i="27"/>
  <c r="B40" i="27"/>
  <c r="F40" i="27" s="1"/>
  <c r="A40" i="27"/>
  <c r="K39" i="27"/>
  <c r="I39" i="27"/>
  <c r="G39" i="27"/>
  <c r="B39" i="27"/>
  <c r="F39" i="27" s="1"/>
  <c r="A39" i="27"/>
  <c r="Q38" i="27"/>
  <c r="K38" i="27"/>
  <c r="I38" i="27"/>
  <c r="G38" i="27"/>
  <c r="B38" i="27"/>
  <c r="F38" i="27" s="1"/>
  <c r="A38" i="27"/>
  <c r="K37" i="27"/>
  <c r="I37" i="27"/>
  <c r="G37" i="27"/>
  <c r="B37" i="27"/>
  <c r="F37" i="27" s="1"/>
  <c r="A37" i="27"/>
  <c r="K36" i="27"/>
  <c r="I36" i="27"/>
  <c r="G36" i="27"/>
  <c r="B36" i="27"/>
  <c r="F36" i="27" s="1"/>
  <c r="A36" i="27"/>
  <c r="L37" i="27" l="1"/>
  <c r="J64" i="27"/>
  <c r="H80" i="27"/>
  <c r="H84" i="27"/>
  <c r="J85" i="27"/>
  <c r="H88" i="27"/>
  <c r="J40" i="27"/>
  <c r="J84" i="27"/>
  <c r="J88" i="27"/>
  <c r="L38" i="27"/>
  <c r="L88" i="27"/>
  <c r="J86" i="27"/>
  <c r="H42" i="27"/>
  <c r="J60" i="27"/>
  <c r="L81" i="27"/>
  <c r="H40" i="27"/>
  <c r="J80" i="27"/>
  <c r="L89" i="27"/>
  <c r="L36" i="27"/>
  <c r="J62" i="27"/>
  <c r="J66" i="27"/>
  <c r="H82" i="27"/>
  <c r="J42" i="27"/>
  <c r="J68" i="27"/>
  <c r="L39" i="27"/>
  <c r="L70" i="27"/>
  <c r="J82" i="27"/>
  <c r="H86" i="27"/>
  <c r="L87" i="27"/>
  <c r="H90" i="27"/>
  <c r="L91" i="27"/>
  <c r="J71" i="27"/>
  <c r="L42" i="27"/>
  <c r="J61" i="27"/>
  <c r="J63" i="27"/>
  <c r="J65" i="27"/>
  <c r="J67" i="27"/>
  <c r="H36" i="27"/>
  <c r="H38" i="27"/>
  <c r="H41" i="27"/>
  <c r="J90" i="27"/>
  <c r="J83" i="27"/>
  <c r="L86" i="27"/>
  <c r="H87" i="27"/>
  <c r="H37" i="27"/>
  <c r="J69" i="27"/>
  <c r="L80" i="27"/>
  <c r="H85" i="27"/>
  <c r="J89" i="27"/>
  <c r="L90" i="27"/>
  <c r="J41" i="27"/>
  <c r="H61" i="27"/>
  <c r="H63" i="27"/>
  <c r="J70" i="27"/>
  <c r="L71" i="27"/>
  <c r="H60" i="27"/>
  <c r="H62" i="27"/>
  <c r="H64" i="27"/>
  <c r="J91" i="27"/>
  <c r="D35" i="32"/>
  <c r="D29" i="32"/>
  <c r="C29" i="32" s="1"/>
  <c r="H65" i="27"/>
  <c r="H66" i="27"/>
  <c r="H67" i="27"/>
  <c r="H68" i="27"/>
  <c r="H69" i="27"/>
  <c r="H70" i="27"/>
  <c r="H71" i="27"/>
  <c r="J81" i="27"/>
  <c r="H83" i="27"/>
  <c r="L84" i="27"/>
  <c r="H89" i="27"/>
  <c r="H91" i="27"/>
  <c r="F25" i="32"/>
  <c r="B48" i="32"/>
  <c r="F31" i="32"/>
  <c r="J39" i="27"/>
  <c r="H81" i="27"/>
  <c r="L82" i="27"/>
  <c r="L85" i="27"/>
  <c r="J87" i="27"/>
  <c r="J36" i="27"/>
  <c r="J37" i="27"/>
  <c r="J38" i="27"/>
  <c r="H39" i="27"/>
  <c r="L40" i="27"/>
  <c r="L41" i="27"/>
  <c r="L60" i="27"/>
  <c r="L61" i="27"/>
  <c r="L62" i="27"/>
  <c r="L63" i="27"/>
  <c r="L64" i="27"/>
  <c r="L65" i="27"/>
  <c r="L66" i="27"/>
  <c r="L67" i="27"/>
  <c r="L68" i="27"/>
  <c r="K35" i="27"/>
  <c r="I35" i="27"/>
  <c r="G35" i="27"/>
  <c r="B35" i="27"/>
  <c r="F35" i="27" s="1"/>
  <c r="A35" i="27"/>
  <c r="K34" i="27"/>
  <c r="I34" i="27"/>
  <c r="G34" i="27"/>
  <c r="B34" i="27"/>
  <c r="F34" i="27" s="1"/>
  <c r="A34" i="27"/>
  <c r="K33" i="27"/>
  <c r="I33" i="27"/>
  <c r="G33" i="27"/>
  <c r="B33" i="27"/>
  <c r="F33" i="27" s="1"/>
  <c r="A33" i="27"/>
  <c r="K32" i="27"/>
  <c r="I32" i="27"/>
  <c r="G32" i="27"/>
  <c r="B32" i="27"/>
  <c r="F32" i="27" s="1"/>
  <c r="A32" i="27"/>
  <c r="AD31" i="27"/>
  <c r="AB31" i="27"/>
  <c r="AA31" i="27"/>
  <c r="Z31" i="27"/>
  <c r="Y31" i="27"/>
  <c r="X31" i="27"/>
  <c r="W31" i="27"/>
  <c r="V31" i="27"/>
  <c r="U31" i="27"/>
  <c r="T31" i="27"/>
  <c r="S31" i="27"/>
  <c r="R31" i="27"/>
  <c r="Q31" i="27"/>
  <c r="P31" i="27"/>
  <c r="K31" i="27"/>
  <c r="I31" i="27"/>
  <c r="G31" i="27"/>
  <c r="B31" i="27"/>
  <c r="F31" i="27" s="1"/>
  <c r="A31" i="27"/>
  <c r="AD30" i="27"/>
  <c r="AB30" i="27"/>
  <c r="AA30" i="27"/>
  <c r="Z30" i="27"/>
  <c r="Y30" i="27"/>
  <c r="X30" i="27"/>
  <c r="W30" i="27"/>
  <c r="V30" i="27"/>
  <c r="U30" i="27"/>
  <c r="T30" i="27"/>
  <c r="S30" i="27"/>
  <c r="R30" i="27"/>
  <c r="Q30" i="27"/>
  <c r="P30" i="27"/>
  <c r="AD29" i="27"/>
  <c r="AB29" i="27"/>
  <c r="AA29" i="27"/>
  <c r="Z29" i="27"/>
  <c r="Y29" i="27"/>
  <c r="X29" i="27"/>
  <c r="W29" i="27"/>
  <c r="V29" i="27"/>
  <c r="U29" i="27"/>
  <c r="U32" i="27" s="1"/>
  <c r="T29" i="27"/>
  <c r="S29" i="27"/>
  <c r="R29" i="27"/>
  <c r="Q29" i="27"/>
  <c r="P29" i="27"/>
  <c r="AD28" i="27"/>
  <c r="AB28" i="27"/>
  <c r="AD27" i="27"/>
  <c r="AD32" i="27" s="1"/>
  <c r="AB27" i="27"/>
  <c r="E24" i="27"/>
  <c r="K23" i="27"/>
  <c r="I23" i="27"/>
  <c r="G23" i="27"/>
  <c r="F23" i="27"/>
  <c r="F141" i="27" s="1"/>
  <c r="C23" i="27"/>
  <c r="K22" i="27"/>
  <c r="I22" i="27"/>
  <c r="G22" i="27"/>
  <c r="F22" i="27"/>
  <c r="F140" i="27" s="1"/>
  <c r="C22" i="27"/>
  <c r="K21" i="27"/>
  <c r="I21" i="27"/>
  <c r="G21" i="27"/>
  <c r="F21" i="27"/>
  <c r="F139" i="27" s="1"/>
  <c r="C21" i="27"/>
  <c r="K20" i="27"/>
  <c r="I20" i="27"/>
  <c r="G20" i="27"/>
  <c r="F20" i="27"/>
  <c r="F138" i="27" s="1"/>
  <c r="C20" i="27"/>
  <c r="K19" i="27"/>
  <c r="I19" i="27"/>
  <c r="G19" i="27"/>
  <c r="F19" i="27"/>
  <c r="F137" i="27" s="1"/>
  <c r="K18" i="27"/>
  <c r="I18" i="27"/>
  <c r="G18" i="27"/>
  <c r="F18" i="27"/>
  <c r="F136" i="27" s="1"/>
  <c r="C18" i="27"/>
  <c r="K17" i="27"/>
  <c r="I17" i="27"/>
  <c r="G17" i="27"/>
  <c r="F17" i="27"/>
  <c r="F135" i="27" s="1"/>
  <c r="C17" i="27"/>
  <c r="K16" i="27"/>
  <c r="I16" i="27"/>
  <c r="G16" i="27"/>
  <c r="F16" i="27"/>
  <c r="C16" i="27"/>
  <c r="K15" i="27"/>
  <c r="I15" i="27"/>
  <c r="G15" i="27"/>
  <c r="F15" i="27"/>
  <c r="C15" i="27"/>
  <c r="K14" i="27"/>
  <c r="I14" i="27"/>
  <c r="G14" i="27"/>
  <c r="F14" i="27"/>
  <c r="C14" i="27"/>
  <c r="K13" i="27"/>
  <c r="I13" i="27"/>
  <c r="X32" i="27" l="1"/>
  <c r="L32" i="27"/>
  <c r="J18" i="27"/>
  <c r="H18" i="27"/>
  <c r="Q32" i="27"/>
  <c r="Y32" i="27"/>
  <c r="S32" i="27"/>
  <c r="AA32" i="27"/>
  <c r="P32" i="27"/>
  <c r="R32" i="27"/>
  <c r="Z32" i="27"/>
  <c r="T32" i="27"/>
  <c r="AB32" i="27"/>
  <c r="F132" i="27"/>
  <c r="V32" i="27"/>
  <c r="J21" i="27"/>
  <c r="W32" i="27"/>
  <c r="H20" i="27"/>
  <c r="J20" i="27"/>
  <c r="F133" i="27"/>
  <c r="H15" i="27"/>
  <c r="H23" i="27"/>
  <c r="L34" i="27"/>
  <c r="H22" i="27"/>
  <c r="F134" i="27"/>
  <c r="H19" i="27"/>
  <c r="J22" i="27"/>
  <c r="L15" i="27"/>
  <c r="H17" i="27"/>
  <c r="L23" i="27"/>
  <c r="H16" i="27"/>
  <c r="L31" i="27"/>
  <c r="L33" i="27"/>
  <c r="H14" i="27"/>
  <c r="J17" i="27"/>
  <c r="J14" i="27"/>
  <c r="J16" i="27"/>
  <c r="L19" i="27"/>
  <c r="H21" i="27"/>
  <c r="L35" i="27"/>
  <c r="H31" i="27"/>
  <c r="J72" i="27"/>
  <c r="J92" i="27"/>
  <c r="J32" i="27"/>
  <c r="H33" i="27"/>
  <c r="H35" i="27"/>
  <c r="H92" i="27"/>
  <c r="H34" i="27"/>
  <c r="L72" i="27"/>
  <c r="H72" i="27"/>
  <c r="L22" i="27"/>
  <c r="L92" i="27"/>
  <c r="D33" i="32"/>
  <c r="H33" i="32" s="1"/>
  <c r="D37" i="32" s="1"/>
  <c r="H37" i="32" s="1"/>
  <c r="L16" i="27"/>
  <c r="C135" i="27"/>
  <c r="C65" i="27"/>
  <c r="C85" i="27"/>
  <c r="C36" i="27"/>
  <c r="L21" i="27"/>
  <c r="C140" i="27"/>
  <c r="C90" i="27"/>
  <c r="C70" i="27"/>
  <c r="C41" i="27"/>
  <c r="J15" i="27"/>
  <c r="C137" i="27"/>
  <c r="C67" i="27"/>
  <c r="C38" i="27"/>
  <c r="C87" i="27"/>
  <c r="C132" i="27"/>
  <c r="C62" i="27"/>
  <c r="C82" i="27"/>
  <c r="C133" i="27"/>
  <c r="C83" i="27"/>
  <c r="C63" i="27"/>
  <c r="C138" i="27"/>
  <c r="C68" i="27"/>
  <c r="C88" i="27"/>
  <c r="C39" i="27"/>
  <c r="F37" i="32"/>
  <c r="L18" i="27"/>
  <c r="H32" i="27"/>
  <c r="C134" i="27"/>
  <c r="C84" i="27"/>
  <c r="C64" i="27"/>
  <c r="L20" i="27"/>
  <c r="C139" i="27"/>
  <c r="C89" i="27"/>
  <c r="C69" i="27"/>
  <c r="C40" i="27"/>
  <c r="J23" i="27"/>
  <c r="L14" i="27"/>
  <c r="J31" i="27"/>
  <c r="C33" i="27"/>
  <c r="J33" i="27"/>
  <c r="C34" i="27"/>
  <c r="J34" i="27"/>
  <c r="C35" i="27"/>
  <c r="J35" i="27"/>
  <c r="J19" i="27"/>
  <c r="C141" i="27"/>
  <c r="C91" i="27"/>
  <c r="C71" i="27"/>
  <c r="C42" i="27"/>
  <c r="L17" i="27"/>
  <c r="C136" i="27"/>
  <c r="C66" i="27"/>
  <c r="C86" i="27"/>
  <c r="C37" i="27"/>
  <c r="G13" i="27"/>
  <c r="F13" i="27"/>
  <c r="F131" i="27" s="1"/>
  <c r="C13" i="27"/>
  <c r="K12" i="27"/>
  <c r="I12" i="27"/>
  <c r="L43" i="27" l="1"/>
  <c r="L140" i="27"/>
  <c r="H13" i="27"/>
  <c r="L13" i="27"/>
  <c r="L131" i="27" s="1"/>
  <c r="J13" i="27"/>
  <c r="L135" i="27"/>
  <c r="L136" i="27"/>
  <c r="L132" i="27"/>
  <c r="L138" i="27"/>
  <c r="L134" i="27"/>
  <c r="C131" i="27"/>
  <c r="C61" i="27"/>
  <c r="C81" i="27"/>
  <c r="C32" i="27"/>
  <c r="L137" i="27"/>
  <c r="L141" i="27"/>
  <c r="L133" i="27"/>
  <c r="L139" i="27"/>
  <c r="J43" i="27"/>
  <c r="H43" i="27" s="1"/>
  <c r="G12" i="27"/>
  <c r="F12" i="27"/>
  <c r="F130" i="27" s="1"/>
  <c r="C12" i="27"/>
  <c r="J5" i="27"/>
  <c r="A5" i="27"/>
  <c r="A4" i="27"/>
  <c r="A3" i="27"/>
  <c r="J2" i="27"/>
  <c r="A2" i="27"/>
  <c r="A1" i="27"/>
  <c r="E41" i="26"/>
  <c r="K41" i="26" s="1"/>
  <c r="C22" i="26"/>
  <c r="E22" i="26" s="1"/>
  <c r="I21" i="26"/>
  <c r="I20" i="26"/>
  <c r="O5" i="26"/>
  <c r="A5" i="26"/>
  <c r="A4" i="26"/>
  <c r="A3" i="26"/>
  <c r="O2" i="26"/>
  <c r="A2" i="26"/>
  <c r="A1" i="26"/>
  <c r="D158" i="25"/>
  <c r="H12" i="27" l="1"/>
  <c r="L12" i="27"/>
  <c r="L130" i="27" s="1"/>
  <c r="L142" i="27" s="1"/>
  <c r="J12" i="27"/>
  <c r="J24" i="27" s="1"/>
  <c r="H24" i="27"/>
  <c r="C130" i="27"/>
  <c r="C80" i="27"/>
  <c r="C60" i="27"/>
  <c r="C31" i="27"/>
  <c r="I19" i="26" l="1"/>
  <c r="I23" i="26" s="1"/>
  <c r="A11" i="26" s="1"/>
  <c r="L24" i="27"/>
  <c r="A128" i="25"/>
  <c r="G125" i="25"/>
  <c r="G124" i="25"/>
  <c r="D75" i="25"/>
  <c r="I38" i="26" l="1"/>
  <c r="C11" i="26"/>
  <c r="E72" i="25"/>
  <c r="G61" i="25"/>
  <c r="A53" i="25"/>
  <c r="E28" i="38" l="1"/>
  <c r="C96" i="35"/>
  <c r="D74" i="25" s="1"/>
  <c r="D64" i="25"/>
  <c r="E61" i="25" s="1"/>
  <c r="G62" i="25"/>
  <c r="D28" i="38"/>
  <c r="C95" i="35"/>
  <c r="D73" i="25" s="1"/>
  <c r="C28" i="38"/>
  <c r="C94" i="35"/>
  <c r="E94" i="35" s="1"/>
  <c r="E63" i="25" l="1"/>
  <c r="D170" i="25" s="1"/>
  <c r="E62" i="25"/>
  <c r="D169" i="25" s="1"/>
  <c r="D168" i="25"/>
  <c r="G28" i="38"/>
  <c r="D29" i="38" s="1"/>
  <c r="D72" i="25"/>
  <c r="G50" i="25"/>
  <c r="G49" i="25"/>
  <c r="E60" i="25" l="1"/>
  <c r="C29" i="38"/>
  <c r="D21" i="38"/>
  <c r="E115" i="25" s="1"/>
  <c r="D20" i="38"/>
  <c r="D19" i="38"/>
  <c r="D115" i="25" s="1"/>
  <c r="D16" i="38"/>
  <c r="E105" i="25" s="1"/>
  <c r="D17" i="38"/>
  <c r="F105" i="25" s="1"/>
  <c r="D18" i="38"/>
  <c r="D12" i="38"/>
  <c r="E85" i="25" s="1"/>
  <c r="D14" i="38"/>
  <c r="D95" i="25" s="1"/>
  <c r="D11" i="38"/>
  <c r="D13" i="38"/>
  <c r="D167" i="25"/>
  <c r="D171" i="25" s="1"/>
  <c r="E64" i="25"/>
  <c r="E29" i="38"/>
  <c r="G29" i="38"/>
  <c r="F29" i="38"/>
  <c r="D43" i="25"/>
  <c r="E40" i="25" s="1"/>
  <c r="D76" i="25"/>
  <c r="F72" i="25"/>
  <c r="D32" i="25"/>
  <c r="D31" i="25"/>
  <c r="K31" i="169" s="1"/>
  <c r="D30" i="25"/>
  <c r="K30" i="169" s="1"/>
  <c r="G5" i="25"/>
  <c r="A5" i="25"/>
  <c r="A4" i="25"/>
  <c r="G3" i="25"/>
  <c r="A3" i="25"/>
  <c r="A2" i="25"/>
  <c r="A1" i="25"/>
  <c r="C899" i="167"/>
  <c r="C897" i="167"/>
  <c r="C896" i="167"/>
  <c r="C895" i="167"/>
  <c r="C892" i="167"/>
  <c r="C891" i="167"/>
  <c r="C890" i="167"/>
  <c r="C887" i="167"/>
  <c r="C886" i="167"/>
  <c r="C885" i="167"/>
  <c r="C884" i="167"/>
  <c r="D13" i="31" l="1"/>
  <c r="D157" i="25" s="1"/>
  <c r="K32" i="169"/>
  <c r="D3" i="169"/>
  <c r="J55" i="169" s="1"/>
  <c r="L3" i="170"/>
  <c r="D16" i="31"/>
  <c r="F14" i="31" s="1"/>
  <c r="F13" i="31" s="1"/>
  <c r="F16" i="31" s="1"/>
  <c r="F115" i="25"/>
  <c r="C19" i="26"/>
  <c r="C38" i="26"/>
  <c r="D34" i="25"/>
  <c r="E33" i="25" s="1"/>
  <c r="C39" i="26"/>
  <c r="E39" i="26" s="1"/>
  <c r="C20" i="26"/>
  <c r="E20" i="26" s="1"/>
  <c r="K20" i="26" s="1"/>
  <c r="F21" i="38"/>
  <c r="E117" i="25" s="1"/>
  <c r="F20" i="38"/>
  <c r="F19" i="38"/>
  <c r="D117" i="25" s="1"/>
  <c r="F18" i="38"/>
  <c r="F11" i="38"/>
  <c r="F13" i="38"/>
  <c r="F87" i="25" s="1"/>
  <c r="F15" i="38"/>
  <c r="F12" i="38"/>
  <c r="E87" i="25" s="1"/>
  <c r="F14" i="38"/>
  <c r="D97" i="25" s="1"/>
  <c r="F16" i="38"/>
  <c r="E107" i="25" s="1"/>
  <c r="F17" i="38"/>
  <c r="C21" i="26"/>
  <c r="E21" i="26" s="1"/>
  <c r="C40" i="26"/>
  <c r="E40" i="26" s="1"/>
  <c r="D16" i="25"/>
  <c r="E42" i="25"/>
  <c r="E41" i="25"/>
  <c r="D85" i="25"/>
  <c r="C13" i="38"/>
  <c r="F85" i="25"/>
  <c r="E39" i="25"/>
  <c r="E21" i="38"/>
  <c r="E116" i="25" s="1"/>
  <c r="E20" i="38"/>
  <c r="E19" i="38"/>
  <c r="D116" i="25" s="1"/>
  <c r="E18" i="38"/>
  <c r="E12" i="38"/>
  <c r="E86" i="25" s="1"/>
  <c r="E14" i="38"/>
  <c r="D96" i="25" s="1"/>
  <c r="E11" i="38"/>
  <c r="E13" i="38"/>
  <c r="F86" i="25" s="1"/>
  <c r="E16" i="38"/>
  <c r="E106" i="25" s="1"/>
  <c r="E15" i="38"/>
  <c r="C21" i="38"/>
  <c r="E114" i="25" s="1"/>
  <c r="C20" i="38"/>
  <c r="C19" i="38"/>
  <c r="C14" i="38"/>
  <c r="C12" i="38"/>
  <c r="C16" i="38"/>
  <c r="C15" i="38"/>
  <c r="C17" i="38"/>
  <c r="C18" i="38"/>
  <c r="C11" i="38"/>
  <c r="K2" i="32"/>
  <c r="A125" i="25"/>
  <c r="A50" i="25"/>
  <c r="A124" i="25"/>
  <c r="A49" i="25"/>
  <c r="A127" i="25"/>
  <c r="A52" i="25"/>
  <c r="G3" i="3"/>
  <c r="F3" i="38"/>
  <c r="K48" i="35"/>
  <c r="K3" i="35"/>
  <c r="G3" i="34"/>
  <c r="F3" i="33"/>
  <c r="F3" i="31"/>
  <c r="Q114" i="28"/>
  <c r="Q77" i="28"/>
  <c r="Q40" i="28"/>
  <c r="Q3" i="28"/>
  <c r="J100" i="27"/>
  <c r="J51" i="27"/>
  <c r="O3" i="26"/>
  <c r="J3" i="27"/>
  <c r="G126" i="25"/>
  <c r="G51" i="25"/>
  <c r="A126" i="25"/>
  <c r="A51" i="25"/>
  <c r="Q5" i="28"/>
  <c r="G128" i="25"/>
  <c r="G53" i="25"/>
  <c r="F883" i="167"/>
  <c r="C883" i="167"/>
  <c r="C882" i="167"/>
  <c r="C881" i="167"/>
  <c r="C877" i="167"/>
  <c r="C876" i="167"/>
  <c r="C875" i="167"/>
  <c r="C872" i="167"/>
  <c r="C871" i="167"/>
  <c r="C870" i="167"/>
  <c r="C869" i="167"/>
  <c r="C868" i="167"/>
  <c r="C867" i="167"/>
  <c r="I865" i="167"/>
  <c r="H865" i="167"/>
  <c r="G865" i="167"/>
  <c r="F864" i="167"/>
  <c r="K694" i="167"/>
  <c r="J694" i="167"/>
  <c r="I694" i="167"/>
  <c r="H694" i="167"/>
  <c r="G694" i="167"/>
  <c r="C694" i="167"/>
  <c r="K693" i="167"/>
  <c r="J693" i="167"/>
  <c r="I693" i="167"/>
  <c r="H693" i="167"/>
  <c r="G693" i="167"/>
  <c r="C693" i="167"/>
  <c r="K692" i="167"/>
  <c r="J692" i="167"/>
  <c r="I692" i="167"/>
  <c r="H692" i="167"/>
  <c r="H883" i="167" s="1"/>
  <c r="G692" i="167"/>
  <c r="C692" i="167"/>
  <c r="K691" i="167"/>
  <c r="J691" i="167"/>
  <c r="I691" i="167"/>
  <c r="H691" i="167"/>
  <c r="G691" i="167"/>
  <c r="C691" i="167"/>
  <c r="C688" i="167"/>
  <c r="C687" i="167"/>
  <c r="C686" i="167"/>
  <c r="C685" i="167"/>
  <c r="C684" i="167"/>
  <c r="N32" i="169" l="1"/>
  <c r="N31" i="169"/>
  <c r="K34" i="169"/>
  <c r="E43" i="25"/>
  <c r="D159" i="25"/>
  <c r="E158" i="25" s="1"/>
  <c r="G16" i="38"/>
  <c r="E104" i="25"/>
  <c r="E108" i="25" s="1"/>
  <c r="G12" i="38"/>
  <c r="E84" i="25"/>
  <c r="D86" i="25"/>
  <c r="E17" i="38"/>
  <c r="F106" i="25" s="1"/>
  <c r="F107" i="25"/>
  <c r="F117" i="25"/>
  <c r="G14" i="38"/>
  <c r="D94" i="25"/>
  <c r="G20" i="38"/>
  <c r="E31" i="25"/>
  <c r="G18" i="38"/>
  <c r="E118" i="25"/>
  <c r="E13" i="25"/>
  <c r="E15" i="25"/>
  <c r="E14" i="25"/>
  <c r="C42" i="26"/>
  <c r="C29" i="26" s="1"/>
  <c r="G19" i="38"/>
  <c r="D114" i="25"/>
  <c r="D118" i="25" s="1"/>
  <c r="G11" i="38"/>
  <c r="C23" i="38"/>
  <c r="G21" i="38" s="1"/>
  <c r="F104" i="25"/>
  <c r="D15" i="38"/>
  <c r="G15" i="38" s="1"/>
  <c r="D106" i="25"/>
  <c r="E32" i="25"/>
  <c r="C23" i="26"/>
  <c r="C10" i="26" s="1"/>
  <c r="D104" i="25"/>
  <c r="G13" i="38"/>
  <c r="F84" i="25"/>
  <c r="F88" i="25" s="1"/>
  <c r="F23" i="38"/>
  <c r="D87" i="25"/>
  <c r="F103" i="35"/>
  <c r="F86" i="35"/>
  <c r="G883" i="167"/>
  <c r="C683" i="167"/>
  <c r="C680" i="167"/>
  <c r="C679" i="167"/>
  <c r="C678" i="167"/>
  <c r="C677" i="167"/>
  <c r="C676" i="167"/>
  <c r="C673" i="167"/>
  <c r="C672" i="167"/>
  <c r="C671" i="167"/>
  <c r="C670" i="167"/>
  <c r="C669" i="167"/>
  <c r="C668" i="167"/>
  <c r="I665" i="167"/>
  <c r="H665" i="167"/>
  <c r="G665" i="167"/>
  <c r="F664" i="167"/>
  <c r="C647" i="167"/>
  <c r="C646" i="167"/>
  <c r="C645" i="167"/>
  <c r="C644" i="167"/>
  <c r="K643" i="167"/>
  <c r="J643" i="167" s="1"/>
  <c r="I643" i="167"/>
  <c r="H643" i="167" s="1"/>
  <c r="G643" i="167"/>
  <c r="F643" i="167"/>
  <c r="C643" i="167"/>
  <c r="C641" i="167"/>
  <c r="C640" i="167"/>
  <c r="C639" i="167"/>
  <c r="C637" i="167"/>
  <c r="C636" i="167"/>
  <c r="C635" i="167"/>
  <c r="C634" i="167"/>
  <c r="C633" i="167"/>
  <c r="C630" i="167"/>
  <c r="C629" i="167"/>
  <c r="D628" i="167"/>
  <c r="C628" i="167"/>
  <c r="D627" i="167"/>
  <c r="C627" i="167"/>
  <c r="C626" i="167"/>
  <c r="D625" i="167"/>
  <c r="C625" i="167"/>
  <c r="I623" i="167"/>
  <c r="H623" i="167"/>
  <c r="G623" i="167"/>
  <c r="F622" i="167"/>
  <c r="K565" i="167"/>
  <c r="K652" i="167" s="1"/>
  <c r="J652" i="167" s="1"/>
  <c r="I565" i="167"/>
  <c r="I652" i="167" s="1"/>
  <c r="H565" i="167"/>
  <c r="H652" i="167" s="1"/>
  <c r="G565" i="167"/>
  <c r="G652" i="167" s="1"/>
  <c r="F565" i="167"/>
  <c r="F652" i="167" s="1"/>
  <c r="C563" i="167"/>
  <c r="C562" i="167"/>
  <c r="C561" i="167"/>
  <c r="C557" i="167"/>
  <c r="C556" i="167"/>
  <c r="C555" i="167"/>
  <c r="K554" i="167"/>
  <c r="I554" i="167"/>
  <c r="H554" i="167"/>
  <c r="G554" i="167"/>
  <c r="F554" i="167"/>
  <c r="C554" i="167"/>
  <c r="C552" i="167"/>
  <c r="C551" i="167"/>
  <c r="C549" i="167"/>
  <c r="C548" i="167"/>
  <c r="C545" i="167"/>
  <c r="C544" i="167"/>
  <c r="C543" i="167"/>
  <c r="C540" i="167"/>
  <c r="C539" i="167"/>
  <c r="C536" i="167"/>
  <c r="D535" i="167"/>
  <c r="C535" i="167"/>
  <c r="C532" i="167"/>
  <c r="D531" i="167"/>
  <c r="D530" i="167"/>
  <c r="C530" i="167"/>
  <c r="D529" i="167"/>
  <c r="C529" i="167"/>
  <c r="D528" i="167"/>
  <c r="C528" i="167"/>
  <c r="D527" i="167"/>
  <c r="C527" i="167"/>
  <c r="C522" i="167"/>
  <c r="D521" i="167"/>
  <c r="C521" i="167"/>
  <c r="D520" i="167"/>
  <c r="C520" i="167"/>
  <c r="D519" i="167"/>
  <c r="C519" i="167"/>
  <c r="C516" i="167"/>
  <c r="D515" i="167"/>
  <c r="C515" i="167"/>
  <c r="I512" i="167"/>
  <c r="H512" i="167"/>
  <c r="G512" i="167"/>
  <c r="F511" i="167"/>
  <c r="C501" i="167"/>
  <c r="C500" i="167"/>
  <c r="C499" i="167"/>
  <c r="C498" i="167"/>
  <c r="C493" i="167"/>
  <c r="L30" i="169" l="1"/>
  <c r="L33" i="169"/>
  <c r="L31" i="169"/>
  <c r="L32" i="169"/>
  <c r="F108" i="25"/>
  <c r="G17" i="38"/>
  <c r="E157" i="25"/>
  <c r="E159" i="25" s="1"/>
  <c r="E23" i="38"/>
  <c r="D84" i="25"/>
  <c r="E88" i="25"/>
  <c r="E12" i="25"/>
  <c r="E16" i="25" s="1"/>
  <c r="G23" i="38"/>
  <c r="D105" i="25"/>
  <c r="D108" i="25" s="1"/>
  <c r="D23" i="38"/>
  <c r="E30" i="25"/>
  <c r="E34" i="25" s="1"/>
  <c r="C492" i="167"/>
  <c r="D491" i="167"/>
  <c r="C491" i="167"/>
  <c r="C488" i="167"/>
  <c r="D487" i="167"/>
  <c r="C487" i="167"/>
  <c r="D486" i="167"/>
  <c r="C486" i="167"/>
  <c r="D485" i="167"/>
  <c r="C485" i="167"/>
  <c r="D484" i="167"/>
  <c r="C484" i="167"/>
  <c r="C481" i="167"/>
  <c r="D480" i="167"/>
  <c r="C480" i="167"/>
  <c r="D479" i="167"/>
  <c r="C479" i="167"/>
  <c r="I476" i="167"/>
  <c r="H476" i="167"/>
  <c r="G476" i="167"/>
  <c r="F475" i="167"/>
  <c r="C462" i="167"/>
  <c r="D461" i="167"/>
  <c r="C461" i="167"/>
  <c r="C458" i="167"/>
  <c r="D457" i="167"/>
  <c r="C457" i="167"/>
  <c r="C454" i="167"/>
  <c r="D453" i="167"/>
  <c r="C453" i="167"/>
  <c r="K450" i="167"/>
  <c r="J450" i="167"/>
  <c r="I450" i="167"/>
  <c r="H450" i="167"/>
  <c r="G450" i="167"/>
  <c r="F450" i="167"/>
  <c r="C450" i="167"/>
  <c r="C447" i="167"/>
  <c r="D446" i="167"/>
  <c r="C446" i="167"/>
  <c r="I444" i="167"/>
  <c r="H444" i="167"/>
  <c r="G444" i="167"/>
  <c r="F443" i="167"/>
  <c r="C433" i="167"/>
  <c r="C431" i="167"/>
  <c r="D430" i="167"/>
  <c r="C430" i="167"/>
  <c r="D429" i="167"/>
  <c r="C429" i="167"/>
  <c r="D428" i="167"/>
  <c r="C428" i="167"/>
  <c r="D427" i="167"/>
  <c r="C427" i="167"/>
  <c r="D426" i="167"/>
  <c r="C426" i="167"/>
  <c r="D425" i="167"/>
  <c r="C425" i="167"/>
  <c r="D424" i="167"/>
  <c r="C424" i="167"/>
  <c r="D423" i="167"/>
  <c r="C423" i="167"/>
  <c r="D422" i="167"/>
  <c r="C422" i="167"/>
  <c r="D421" i="167"/>
  <c r="C421" i="167"/>
  <c r="D420" i="167"/>
  <c r="C420" i="167"/>
  <c r="D419" i="167"/>
  <c r="C419" i="167"/>
  <c r="D418" i="167"/>
  <c r="C418" i="167"/>
  <c r="D417" i="167"/>
  <c r="C417" i="167"/>
  <c r="C416" i="167"/>
  <c r="D415" i="167"/>
  <c r="C415" i="167"/>
  <c r="D414" i="167"/>
  <c r="C414" i="167"/>
  <c r="D413" i="167"/>
  <c r="C413" i="167"/>
  <c r="D412" i="167"/>
  <c r="C412" i="167"/>
  <c r="D411" i="167"/>
  <c r="C411" i="167"/>
  <c r="D410" i="167"/>
  <c r="C410" i="167"/>
  <c r="C407" i="167"/>
  <c r="D406" i="167"/>
  <c r="C406" i="167"/>
  <c r="C403" i="167"/>
  <c r="D402" i="167"/>
  <c r="C402" i="167"/>
  <c r="I400" i="167"/>
  <c r="H400" i="167"/>
  <c r="G400" i="167"/>
  <c r="F399" i="167"/>
  <c r="C389" i="167"/>
  <c r="D388" i="167"/>
  <c r="C388" i="167"/>
  <c r="D387" i="167"/>
  <c r="C387" i="167"/>
  <c r="D386" i="167"/>
  <c r="C386" i="167"/>
  <c r="D385" i="167"/>
  <c r="C385" i="167"/>
  <c r="D384" i="167"/>
  <c r="C384" i="167"/>
  <c r="D383" i="167"/>
  <c r="C383" i="167"/>
  <c r="D382" i="167"/>
  <c r="C382" i="167"/>
  <c r="D381" i="167"/>
  <c r="C381" i="167"/>
  <c r="C378" i="167"/>
  <c r="D377" i="167"/>
  <c r="C377" i="167"/>
  <c r="D376" i="167"/>
  <c r="C376" i="167"/>
  <c r="D375" i="167"/>
  <c r="C375" i="167"/>
  <c r="D374" i="167"/>
  <c r="C374" i="167"/>
  <c r="D373" i="167"/>
  <c r="C373" i="167"/>
  <c r="D372" i="167"/>
  <c r="C372" i="167"/>
  <c r="D371" i="167"/>
  <c r="C371" i="167"/>
  <c r="D370" i="167"/>
  <c r="C370" i="167"/>
  <c r="D369" i="167"/>
  <c r="C369" i="167"/>
  <c r="D368" i="167"/>
  <c r="C368" i="167"/>
  <c r="D367" i="167"/>
  <c r="C367" i="167"/>
  <c r="K364" i="167"/>
  <c r="J364" i="167"/>
  <c r="I364" i="167"/>
  <c r="H364" i="167"/>
  <c r="G364" i="167"/>
  <c r="F364" i="167"/>
  <c r="C364" i="167"/>
  <c r="C363" i="167"/>
  <c r="C358" i="167"/>
  <c r="D357" i="167"/>
  <c r="C357" i="167"/>
  <c r="C354" i="167"/>
  <c r="D88" i="25" l="1"/>
  <c r="G84" i="25"/>
  <c r="C353" i="167"/>
  <c r="C350" i="167"/>
  <c r="D349" i="167"/>
  <c r="C349" i="167"/>
  <c r="D348" i="167"/>
  <c r="C348" i="167"/>
  <c r="I345" i="167"/>
  <c r="H345" i="167"/>
  <c r="G345" i="167"/>
  <c r="F344" i="167"/>
  <c r="C331" i="167"/>
  <c r="C330" i="167"/>
  <c r="C329" i="167"/>
  <c r="C326" i="167"/>
  <c r="C325" i="167"/>
  <c r="C324" i="167"/>
  <c r="C323" i="167"/>
  <c r="C319" i="167"/>
  <c r="D318" i="167"/>
  <c r="C318" i="167"/>
  <c r="D317" i="167"/>
  <c r="C317" i="167"/>
  <c r="D316" i="167"/>
  <c r="C316" i="167"/>
  <c r="C310" i="167" l="1"/>
  <c r="D309" i="167"/>
  <c r="C309" i="167"/>
  <c r="D308" i="167"/>
  <c r="C308" i="167"/>
  <c r="D307" i="167"/>
  <c r="C307" i="167"/>
  <c r="C303" i="167"/>
  <c r="D302" i="167"/>
  <c r="C302" i="167"/>
  <c r="D301" i="167"/>
  <c r="C301" i="167"/>
  <c r="I294" i="167" l="1"/>
  <c r="H294" i="167"/>
  <c r="G294" i="167"/>
  <c r="F293" i="167"/>
  <c r="C281" i="167"/>
  <c r="D280" i="167"/>
  <c r="C280" i="167"/>
  <c r="D279" i="167"/>
  <c r="C279" i="167"/>
  <c r="D278" i="167"/>
  <c r="C278" i="167"/>
  <c r="C275" i="167"/>
  <c r="D274" i="167"/>
  <c r="C274" i="167"/>
  <c r="D273" i="167"/>
  <c r="C273" i="167"/>
  <c r="D272" i="167"/>
  <c r="C272" i="167"/>
  <c r="D271" i="167"/>
  <c r="C271" i="167"/>
  <c r="D270" i="167"/>
  <c r="C270" i="167"/>
  <c r="D269" i="167"/>
  <c r="C269" i="167"/>
  <c r="D268" i="167"/>
  <c r="C268" i="167"/>
  <c r="D267" i="167"/>
  <c r="C267" i="167"/>
  <c r="D266" i="167"/>
  <c r="C266" i="167"/>
  <c r="D265" i="167"/>
  <c r="C265" i="167"/>
  <c r="D264" i="167"/>
  <c r="C264" i="167"/>
  <c r="D263" i="167"/>
  <c r="C263" i="167"/>
  <c r="D262" i="167"/>
  <c r="C262" i="167"/>
  <c r="D261" i="167"/>
  <c r="C261" i="167"/>
  <c r="D260" i="167"/>
  <c r="C260" i="167"/>
  <c r="D259" i="167"/>
  <c r="C259" i="167"/>
  <c r="D258" i="167"/>
  <c r="C258" i="167"/>
  <c r="D257" i="167"/>
  <c r="C257" i="167"/>
  <c r="D256" i="167"/>
  <c r="C256" i="167"/>
  <c r="D255" i="167"/>
  <c r="C255" i="167"/>
  <c r="D254" i="167"/>
  <c r="C254" i="167"/>
  <c r="D253" i="167"/>
  <c r="C253" i="167"/>
  <c r="D252" i="167"/>
  <c r="C252" i="167"/>
  <c r="I249" i="167"/>
  <c r="H249" i="167"/>
  <c r="G249" i="167"/>
  <c r="F248" i="167"/>
  <c r="C236" i="167"/>
  <c r="D235" i="167"/>
  <c r="C235" i="167"/>
  <c r="D234" i="167"/>
  <c r="C234" i="167"/>
  <c r="D233" i="167"/>
  <c r="C233" i="167"/>
  <c r="C232" i="167"/>
  <c r="C229" i="167"/>
  <c r="D228" i="167"/>
  <c r="C228" i="167"/>
  <c r="D227" i="167"/>
  <c r="C227" i="167"/>
  <c r="D226" i="167"/>
  <c r="C226" i="167"/>
  <c r="D225" i="167"/>
  <c r="C225" i="167"/>
  <c r="D224" i="167"/>
  <c r="C224" i="167"/>
  <c r="D223" i="167"/>
  <c r="C223" i="167"/>
  <c r="D222" i="167"/>
  <c r="C222" i="167"/>
  <c r="D221" i="167"/>
  <c r="C221" i="167"/>
  <c r="D220" i="167"/>
  <c r="C220" i="167"/>
  <c r="D219" i="167" l="1"/>
  <c r="C219" i="167"/>
  <c r="D218" i="167"/>
  <c r="C218" i="167"/>
  <c r="C215" i="167"/>
  <c r="D214" i="167"/>
  <c r="C214" i="167"/>
  <c r="D213" i="167"/>
  <c r="C213" i="167"/>
  <c r="D212" i="167"/>
  <c r="C212" i="167"/>
  <c r="D211" i="167"/>
  <c r="C211" i="167"/>
  <c r="D210" i="167"/>
  <c r="C210" i="167"/>
  <c r="D209" i="167"/>
  <c r="C209" i="167"/>
  <c r="D208" i="167"/>
  <c r="C208" i="167"/>
  <c r="D207" i="167"/>
  <c r="C207" i="167"/>
  <c r="D206" i="167"/>
  <c r="C206" i="167"/>
  <c r="I202" i="167"/>
  <c r="H202" i="167"/>
  <c r="G202" i="167"/>
  <c r="F201" i="167"/>
  <c r="C189" i="167"/>
  <c r="C188" i="167"/>
  <c r="C187" i="167"/>
  <c r="C184" i="167"/>
  <c r="C183" i="167"/>
  <c r="C182" i="167"/>
  <c r="C176" i="167"/>
  <c r="C175" i="167"/>
  <c r="C174" i="167"/>
  <c r="C171" i="167"/>
  <c r="C170" i="167"/>
  <c r="C169" i="167"/>
  <c r="C166" i="167"/>
  <c r="C165" i="167"/>
  <c r="C164" i="167"/>
  <c r="I162" i="167"/>
  <c r="H162" i="167"/>
  <c r="G162" i="167"/>
  <c r="F161" i="167"/>
  <c r="B161" i="167"/>
  <c r="C149" i="167"/>
  <c r="D148" i="167"/>
  <c r="C148" i="167"/>
  <c r="D147" i="167"/>
  <c r="C147" i="167"/>
  <c r="D146" i="167"/>
  <c r="C146" i="167"/>
  <c r="D145" i="167"/>
  <c r="C145" i="167"/>
  <c r="D144" i="167"/>
  <c r="C144" i="167"/>
  <c r="D143" i="167" l="1"/>
  <c r="C143" i="167"/>
  <c r="C140" i="167"/>
  <c r="D139" i="167"/>
  <c r="C139" i="167"/>
  <c r="D138" i="167"/>
  <c r="C138" i="167"/>
  <c r="D137" i="167"/>
  <c r="C137" i="167"/>
  <c r="D136" i="167"/>
  <c r="C136" i="167"/>
  <c r="D135" i="167"/>
  <c r="C135" i="167"/>
  <c r="D134" i="167"/>
  <c r="C134" i="167"/>
  <c r="C131" i="167"/>
  <c r="D130" i="167"/>
  <c r="C130" i="167"/>
  <c r="D129" i="167"/>
  <c r="C129" i="167"/>
  <c r="D128" i="167"/>
  <c r="C128" i="167"/>
  <c r="D127" i="167"/>
  <c r="C127" i="167"/>
  <c r="D126" i="167"/>
  <c r="C126" i="167"/>
  <c r="D125" i="167"/>
  <c r="C125" i="167"/>
  <c r="D124" i="167"/>
  <c r="C124" i="167"/>
  <c r="D123" i="167"/>
  <c r="C123" i="167"/>
  <c r="D122" i="167"/>
  <c r="C122" i="167"/>
  <c r="K119" i="167"/>
  <c r="J119" i="167"/>
  <c r="J170" i="167" s="1"/>
  <c r="I119" i="167"/>
  <c r="I170" i="167" s="1"/>
  <c r="H119" i="167"/>
  <c r="H170" i="167" s="1"/>
  <c r="G119" i="167"/>
  <c r="G170" i="167" s="1"/>
  <c r="F119" i="167"/>
  <c r="F170" i="167" s="1"/>
  <c r="C119" i="167"/>
  <c r="C118" i="167"/>
  <c r="C115" i="167"/>
  <c r="D114" i="167"/>
  <c r="C114" i="167"/>
  <c r="I112" i="167"/>
  <c r="H112" i="167"/>
  <c r="G112" i="167"/>
  <c r="F111" i="167"/>
  <c r="C99" i="167"/>
  <c r="D98" i="167"/>
  <c r="C98" i="167"/>
  <c r="D97" i="167"/>
  <c r="C97" i="167"/>
  <c r="D96" i="167"/>
  <c r="C96" i="167"/>
  <c r="D95" i="167"/>
  <c r="C95" i="167"/>
  <c r="D94" i="167"/>
  <c r="C94" i="167"/>
  <c r="D93" i="167"/>
  <c r="C93" i="167"/>
  <c r="C90" i="167"/>
  <c r="D89" i="167"/>
  <c r="C89" i="167"/>
  <c r="D88" i="167"/>
  <c r="C88" i="167"/>
  <c r="D87" i="167"/>
  <c r="C87" i="167"/>
  <c r="D86" i="167"/>
  <c r="C86" i="167"/>
  <c r="D85" i="167"/>
  <c r="C85" i="167"/>
  <c r="D84" i="167"/>
  <c r="C84" i="167"/>
  <c r="C78" i="167"/>
  <c r="D77" i="167"/>
  <c r="C77" i="167"/>
  <c r="D76" i="167"/>
  <c r="C76" i="167"/>
  <c r="D75" i="167"/>
  <c r="C75" i="167"/>
  <c r="D74" i="167"/>
  <c r="C74" i="167"/>
  <c r="D73" i="167"/>
  <c r="C73" i="167"/>
  <c r="D72" i="167"/>
  <c r="C72" i="167"/>
  <c r="D71" i="167"/>
  <c r="C71" i="167"/>
  <c r="D70" i="167"/>
  <c r="C70" i="167"/>
  <c r="D69" i="167"/>
  <c r="C69" i="167"/>
  <c r="D68" i="167"/>
  <c r="C68" i="167"/>
  <c r="K63" i="167"/>
  <c r="J63" i="167"/>
  <c r="J169" i="167" s="1"/>
  <c r="I63" i="167"/>
  <c r="I169" i="167" s="1"/>
  <c r="H63" i="167"/>
  <c r="H169" i="167" s="1"/>
  <c r="G63" i="167"/>
  <c r="G169" i="167" s="1"/>
  <c r="F63" i="167"/>
  <c r="F169" i="167" s="1"/>
  <c r="C63" i="167"/>
  <c r="C62" i="167"/>
  <c r="C59" i="167"/>
  <c r="D58" i="167"/>
  <c r="C58" i="167"/>
  <c r="D57" i="167"/>
  <c r="C57" i="167"/>
  <c r="I55" i="167"/>
  <c r="H55" i="167"/>
  <c r="G55" i="167"/>
  <c r="F54" i="167"/>
  <c r="K29" i="167"/>
  <c r="D29" i="167"/>
  <c r="C28" i="167"/>
  <c r="C24" i="167"/>
  <c r="C23" i="167"/>
  <c r="C22" i="167"/>
  <c r="C21" i="167"/>
  <c r="C20" i="167"/>
  <c r="C19" i="167"/>
  <c r="C18" i="167"/>
  <c r="C15" i="167"/>
  <c r="C14" i="167"/>
  <c r="C13" i="167"/>
  <c r="C12" i="167"/>
  <c r="C899" i="166"/>
  <c r="C897" i="166"/>
  <c r="C896" i="166"/>
  <c r="C895" i="166"/>
  <c r="C892" i="166"/>
  <c r="C891" i="166"/>
  <c r="C890" i="166"/>
  <c r="C887" i="166"/>
  <c r="C886" i="166"/>
  <c r="C885" i="166"/>
  <c r="C884" i="166"/>
  <c r="F883" i="166"/>
  <c r="C883" i="166"/>
  <c r="C882" i="166"/>
  <c r="C881" i="166"/>
  <c r="C877" i="166"/>
  <c r="C876" i="166"/>
  <c r="C875" i="166"/>
  <c r="C872" i="166"/>
  <c r="C871" i="166"/>
  <c r="C870" i="166"/>
  <c r="C869" i="166"/>
  <c r="C868" i="166"/>
  <c r="C867" i="166"/>
  <c r="I865" i="166"/>
  <c r="H865" i="166"/>
  <c r="G865" i="166"/>
  <c r="F864" i="166"/>
  <c r="K694" i="166"/>
  <c r="J694" i="166"/>
  <c r="I694" i="166"/>
  <c r="H694" i="166"/>
  <c r="G694" i="166"/>
  <c r="C694" i="166"/>
  <c r="K693" i="166"/>
  <c r="J693" i="166"/>
  <c r="I693" i="166"/>
  <c r="H693" i="166"/>
  <c r="G693" i="166"/>
  <c r="C693" i="166"/>
  <c r="K692" i="166"/>
  <c r="J692" i="166"/>
  <c r="I692" i="166"/>
  <c r="H692" i="166"/>
  <c r="G692" i="166"/>
  <c r="C692" i="166"/>
  <c r="K691" i="166"/>
  <c r="J691" i="166"/>
  <c r="I691" i="166"/>
  <c r="H691" i="166"/>
  <c r="G691" i="166"/>
  <c r="C691" i="166"/>
  <c r="C688" i="166"/>
  <c r="C687" i="166"/>
  <c r="C686" i="166"/>
  <c r="C685" i="166"/>
  <c r="C684" i="166"/>
  <c r="C683" i="166"/>
  <c r="C680" i="166"/>
  <c r="C679" i="166"/>
  <c r="C678" i="166"/>
  <c r="C677" i="166"/>
  <c r="C676" i="166"/>
  <c r="C673" i="166"/>
  <c r="C672" i="166"/>
  <c r="K170" i="167" l="1"/>
  <c r="I171" i="167"/>
  <c r="H171" i="167" s="1"/>
  <c r="G171" i="167" s="1"/>
  <c r="K169" i="167"/>
  <c r="K171" i="167" s="1"/>
  <c r="J171" i="167" s="1"/>
  <c r="F171" i="167"/>
  <c r="C671" i="166"/>
  <c r="C670" i="166" l="1"/>
  <c r="C669" i="166"/>
  <c r="C668" i="166"/>
  <c r="I665" i="166"/>
  <c r="H665" i="166"/>
  <c r="G665" i="166"/>
  <c r="F664" i="166"/>
  <c r="C647" i="166"/>
  <c r="C646" i="166"/>
  <c r="C645" i="166"/>
  <c r="C644" i="166"/>
  <c r="K643" i="166" s="1"/>
  <c r="J643" i="166" s="1"/>
  <c r="I643" i="166" s="1"/>
  <c r="H643" i="166"/>
  <c r="G643" i="166"/>
  <c r="F643" i="166"/>
  <c r="C643" i="166"/>
  <c r="C641" i="166"/>
  <c r="C640" i="166"/>
  <c r="C639" i="166"/>
  <c r="C637" i="166"/>
  <c r="C636" i="166"/>
  <c r="C635" i="166"/>
  <c r="C634" i="166"/>
  <c r="C633" i="166"/>
  <c r="C630" i="166"/>
  <c r="C629" i="166"/>
  <c r="D628" i="166"/>
  <c r="C628" i="166"/>
  <c r="D627" i="166"/>
  <c r="C627" i="166"/>
  <c r="C626" i="166"/>
  <c r="D625" i="166"/>
  <c r="C625" i="166"/>
  <c r="I623" i="166"/>
  <c r="H623" i="166"/>
  <c r="G623" i="166"/>
  <c r="F622" i="166"/>
  <c r="K565" i="166"/>
  <c r="K652" i="166" s="1"/>
  <c r="J652" i="166" s="1"/>
  <c r="I565" i="166" l="1"/>
  <c r="I652" i="166" s="1"/>
  <c r="H565" i="166"/>
  <c r="H652" i="166" s="1"/>
  <c r="G565" i="166"/>
  <c r="G652" i="166" s="1"/>
  <c r="F565" i="166"/>
  <c r="F652" i="166" s="1"/>
  <c r="C563" i="166"/>
  <c r="C562" i="166"/>
  <c r="C561" i="166"/>
  <c r="C557" i="166"/>
  <c r="C556" i="166"/>
  <c r="C555" i="166"/>
  <c r="K554" i="166"/>
  <c r="I554" i="166" s="1"/>
  <c r="H554" i="166" s="1"/>
  <c r="G554" i="166"/>
  <c r="F554" i="166"/>
  <c r="C554" i="166"/>
  <c r="C552" i="166"/>
  <c r="C551" i="166"/>
  <c r="C549" i="166"/>
  <c r="C548" i="166"/>
  <c r="C545" i="166"/>
  <c r="C544" i="166"/>
  <c r="C543" i="166"/>
  <c r="C540" i="166"/>
  <c r="C539" i="166"/>
  <c r="C536" i="166"/>
  <c r="D535" i="166"/>
  <c r="C535" i="166"/>
  <c r="C532" i="166"/>
  <c r="D531" i="166"/>
  <c r="D530" i="166"/>
  <c r="C530" i="166"/>
  <c r="D529" i="166"/>
  <c r="C529" i="166"/>
  <c r="D528" i="166"/>
  <c r="C528" i="166"/>
  <c r="D527" i="166"/>
  <c r="C527" i="166"/>
  <c r="C522" i="166"/>
  <c r="D521" i="166" l="1"/>
  <c r="C521" i="166"/>
  <c r="D520" i="166"/>
  <c r="C520" i="166"/>
  <c r="D519" i="166"/>
  <c r="C519" i="166"/>
  <c r="C516" i="166"/>
  <c r="D515" i="166"/>
  <c r="C515" i="166"/>
  <c r="I512" i="166"/>
  <c r="H512" i="166"/>
  <c r="G512" i="166"/>
  <c r="F511" i="166"/>
  <c r="C501" i="166"/>
  <c r="C500" i="166"/>
  <c r="C499" i="166"/>
  <c r="C498" i="166"/>
  <c r="C493" i="166"/>
  <c r="C492" i="166"/>
  <c r="D491" i="166"/>
  <c r="C491" i="166"/>
  <c r="C488" i="166"/>
  <c r="D487" i="166"/>
  <c r="C487" i="166"/>
  <c r="D486" i="166"/>
  <c r="C486" i="166"/>
  <c r="D485" i="166"/>
  <c r="C485" i="166"/>
  <c r="D484" i="166"/>
  <c r="C484" i="166"/>
  <c r="C481" i="166"/>
  <c r="D480" i="166"/>
  <c r="C480" i="166"/>
  <c r="D479" i="166"/>
  <c r="C479" i="166"/>
  <c r="I476" i="166"/>
  <c r="H476" i="166"/>
  <c r="G476" i="166"/>
  <c r="F475" i="166"/>
  <c r="C462" i="166"/>
  <c r="D461" i="166"/>
  <c r="C461" i="166"/>
  <c r="C458" i="166"/>
  <c r="D457" i="166"/>
  <c r="C457" i="166"/>
  <c r="C454" i="166"/>
  <c r="D453" i="166"/>
  <c r="C453" i="166"/>
  <c r="K450" i="166"/>
  <c r="J450" i="166"/>
  <c r="I450" i="166"/>
  <c r="H450" i="166"/>
  <c r="G450" i="166"/>
  <c r="F450" i="166"/>
  <c r="C450" i="166"/>
  <c r="C447" i="166"/>
  <c r="D446" i="166"/>
  <c r="C446" i="166"/>
  <c r="I444" i="166"/>
  <c r="H444" i="166"/>
  <c r="G444" i="166"/>
  <c r="F443" i="166"/>
  <c r="C433" i="166"/>
  <c r="C431" i="166"/>
  <c r="D430" i="166"/>
  <c r="C430" i="166"/>
  <c r="D429" i="166"/>
  <c r="C429" i="166"/>
  <c r="D428" i="166"/>
  <c r="C428" i="166"/>
  <c r="D427" i="166"/>
  <c r="C427" i="166"/>
  <c r="D426" i="166"/>
  <c r="C426" i="166"/>
  <c r="D425" i="166"/>
  <c r="C425" i="166"/>
  <c r="D424" i="166"/>
  <c r="C424" i="166"/>
  <c r="D423" i="166"/>
  <c r="C423" i="166"/>
  <c r="D422" i="166"/>
  <c r="C422" i="166"/>
  <c r="D421" i="166"/>
  <c r="C421" i="166"/>
  <c r="D420" i="166"/>
  <c r="C420" i="166"/>
  <c r="D419" i="166"/>
  <c r="C419" i="166"/>
  <c r="D418" i="166"/>
  <c r="C418" i="166"/>
  <c r="D417" i="166"/>
  <c r="C417" i="166"/>
  <c r="C416" i="166"/>
  <c r="D415" i="166"/>
  <c r="C415" i="166"/>
  <c r="D414" i="166"/>
  <c r="C414" i="166"/>
  <c r="D413" i="166"/>
  <c r="C413" i="166"/>
  <c r="D412" i="166"/>
  <c r="C412" i="166"/>
  <c r="D411" i="166"/>
  <c r="C411" i="166"/>
  <c r="D410" i="166"/>
  <c r="C410" i="166"/>
  <c r="C407" i="166"/>
  <c r="D406" i="166"/>
  <c r="C406" i="166"/>
  <c r="C403" i="166"/>
  <c r="D402" i="166"/>
  <c r="C402" i="166"/>
  <c r="I400" i="166"/>
  <c r="H400" i="166"/>
  <c r="G400" i="166"/>
  <c r="F399" i="166"/>
  <c r="C389" i="166"/>
  <c r="D388" i="166"/>
  <c r="C388" i="166"/>
  <c r="D387" i="166"/>
  <c r="C387" i="166"/>
  <c r="D386" i="166"/>
  <c r="C386" i="166"/>
  <c r="D385" i="166"/>
  <c r="C385" i="166"/>
  <c r="D384" i="166"/>
  <c r="C384" i="166"/>
  <c r="D383" i="166"/>
  <c r="C383" i="166"/>
  <c r="D382" i="166"/>
  <c r="C382" i="166"/>
  <c r="D381" i="166"/>
  <c r="C381" i="166"/>
  <c r="C378" i="166"/>
  <c r="D377" i="166"/>
  <c r="C377" i="166"/>
  <c r="D376" i="166"/>
  <c r="C376" i="166"/>
  <c r="D375" i="166"/>
  <c r="C375" i="166"/>
  <c r="D374" i="166"/>
  <c r="C374" i="166"/>
  <c r="D373" i="166"/>
  <c r="C373" i="166"/>
  <c r="D372" i="166"/>
  <c r="C372" i="166"/>
  <c r="D371" i="166"/>
  <c r="C371" i="166"/>
  <c r="D370" i="166"/>
  <c r="C370" i="166"/>
  <c r="D369" i="166"/>
  <c r="C369" i="166"/>
  <c r="D368" i="166"/>
  <c r="C368" i="166"/>
  <c r="D367" i="166"/>
  <c r="C367" i="166"/>
  <c r="K364" i="166"/>
  <c r="J364" i="166"/>
  <c r="I364" i="166"/>
  <c r="H364" i="166"/>
  <c r="G364" i="166"/>
  <c r="F364" i="166"/>
  <c r="C364" i="166"/>
  <c r="C363" i="166"/>
  <c r="C358" i="166"/>
  <c r="D357" i="166"/>
  <c r="C357" i="166"/>
  <c r="C354" i="166"/>
  <c r="C353" i="166"/>
  <c r="C350" i="166"/>
  <c r="D349" i="166"/>
  <c r="C349" i="166"/>
  <c r="D348" i="166"/>
  <c r="C348" i="166"/>
  <c r="I345" i="166"/>
  <c r="H345" i="166"/>
  <c r="G345" i="166"/>
  <c r="F344" i="166"/>
  <c r="C331" i="166"/>
  <c r="C330" i="166"/>
  <c r="C329" i="166"/>
  <c r="C326" i="166"/>
  <c r="C325" i="166"/>
  <c r="C324" i="166"/>
  <c r="C323" i="166"/>
  <c r="C319" i="166"/>
  <c r="D318" i="166"/>
  <c r="C318" i="166"/>
  <c r="D317" i="166"/>
  <c r="C317" i="166"/>
  <c r="D316" i="166"/>
  <c r="C316" i="166"/>
  <c r="C310" i="166"/>
  <c r="D309" i="166"/>
  <c r="C309" i="166"/>
  <c r="D308" i="166"/>
  <c r="C308" i="166"/>
  <c r="D307" i="166"/>
  <c r="C307" i="166"/>
  <c r="C303" i="166"/>
  <c r="D302" i="166"/>
  <c r="C302" i="166"/>
  <c r="D301" i="166"/>
  <c r="C301" i="166"/>
  <c r="I294" i="166"/>
  <c r="H294" i="166"/>
  <c r="G294" i="166"/>
  <c r="F293" i="166"/>
  <c r="C281" i="166"/>
  <c r="D280" i="166"/>
  <c r="C280" i="166"/>
  <c r="D279" i="166"/>
  <c r="C279" i="166"/>
  <c r="D278" i="166"/>
  <c r="C278" i="166"/>
  <c r="C275" i="166"/>
  <c r="D274" i="166"/>
  <c r="C274" i="166"/>
  <c r="D273" i="166"/>
  <c r="C273" i="166"/>
  <c r="D272" i="166"/>
  <c r="C272" i="166"/>
  <c r="D271" i="166"/>
  <c r="C271" i="166"/>
  <c r="D270" i="166"/>
  <c r="C270" i="166"/>
  <c r="D269" i="166"/>
  <c r="C269" i="166"/>
  <c r="D268" i="166"/>
  <c r="C268" i="166"/>
  <c r="D267" i="166"/>
  <c r="C267" i="166"/>
  <c r="D266" i="166"/>
  <c r="C266" i="166"/>
  <c r="D265" i="166"/>
  <c r="C265" i="166"/>
  <c r="D264" i="166"/>
  <c r="C264" i="166"/>
  <c r="D263" i="166"/>
  <c r="C263" i="166"/>
  <c r="D262" i="166"/>
  <c r="C262" i="166"/>
  <c r="D261" i="166"/>
  <c r="C261" i="166"/>
  <c r="D260" i="166"/>
  <c r="C260" i="166"/>
  <c r="D259" i="166"/>
  <c r="C259" i="166"/>
  <c r="D258" i="166"/>
  <c r="C258" i="166"/>
  <c r="D257" i="166" l="1"/>
  <c r="C257" i="166"/>
  <c r="D256" i="166"/>
  <c r="C256" i="166"/>
  <c r="D255" i="166"/>
  <c r="C255" i="166"/>
  <c r="D254" i="166"/>
  <c r="C254" i="166"/>
  <c r="D253" i="166"/>
  <c r="C253" i="166"/>
  <c r="D252" i="166"/>
  <c r="C252" i="166"/>
  <c r="I249" i="166"/>
  <c r="H249" i="166"/>
  <c r="G249" i="166"/>
  <c r="F248" i="166"/>
  <c r="C236" i="166"/>
  <c r="D235" i="166" l="1"/>
  <c r="C235" i="166"/>
  <c r="D234" i="166"/>
  <c r="C234" i="166"/>
  <c r="D233" i="166"/>
  <c r="C233" i="166"/>
  <c r="C232" i="166"/>
  <c r="C229" i="166"/>
  <c r="D228" i="166"/>
  <c r="C228" i="166"/>
  <c r="D227" i="166"/>
  <c r="C227" i="166"/>
  <c r="D226" i="166"/>
  <c r="C226" i="166"/>
  <c r="D225" i="166"/>
  <c r="C225" i="166"/>
  <c r="D224" i="166"/>
  <c r="C224" i="166"/>
  <c r="D223" i="166"/>
  <c r="C223" i="166"/>
  <c r="D222" i="166"/>
  <c r="C222" i="166"/>
  <c r="D221" i="166"/>
  <c r="C221" i="166"/>
  <c r="D220" i="166"/>
  <c r="C220" i="166"/>
  <c r="D219" i="166"/>
  <c r="C219" i="166"/>
  <c r="D218" i="166"/>
  <c r="C218" i="166"/>
  <c r="C215" i="166"/>
  <c r="D214" i="166"/>
  <c r="C214" i="166"/>
  <c r="D213" i="166"/>
  <c r="C213" i="166"/>
  <c r="D212" i="166"/>
  <c r="C212" i="166"/>
  <c r="D211" i="166"/>
  <c r="C211" i="166"/>
  <c r="D210" i="166"/>
  <c r="C210" i="166"/>
  <c r="D209" i="166"/>
  <c r="C209" i="166"/>
  <c r="D208" i="166"/>
  <c r="C208" i="166"/>
  <c r="D207" i="166"/>
  <c r="C207" i="166"/>
  <c r="D206" i="166"/>
  <c r="C206" i="166"/>
  <c r="I202" i="166"/>
  <c r="H202" i="166"/>
  <c r="G202" i="166"/>
  <c r="F201" i="166"/>
  <c r="C189" i="166"/>
  <c r="C188" i="166"/>
  <c r="C187" i="166"/>
  <c r="C184" i="166"/>
  <c r="C183" i="166"/>
  <c r="C182" i="166"/>
  <c r="C176" i="166"/>
  <c r="C175" i="166"/>
  <c r="C174" i="166"/>
  <c r="C171" i="166"/>
  <c r="C170" i="166"/>
  <c r="C169" i="166"/>
  <c r="C166" i="166"/>
  <c r="C165" i="166"/>
  <c r="C164" i="166"/>
  <c r="I162" i="166"/>
  <c r="H162" i="166"/>
  <c r="G162" i="166"/>
  <c r="F161" i="166"/>
  <c r="B161" i="166"/>
  <c r="C149" i="166"/>
  <c r="D148" i="166"/>
  <c r="C148" i="166"/>
  <c r="D147" i="166"/>
  <c r="C147" i="166"/>
  <c r="D146" i="166"/>
  <c r="C146" i="166"/>
  <c r="D145" i="166" l="1"/>
  <c r="C145" i="166"/>
  <c r="D144" i="166"/>
  <c r="C144" i="166"/>
  <c r="D143" i="166"/>
  <c r="C143" i="166"/>
  <c r="C140" i="166"/>
  <c r="D139" i="166"/>
  <c r="C139" i="166"/>
  <c r="D138" i="166"/>
  <c r="C138" i="166"/>
  <c r="D137" i="166"/>
  <c r="C137" i="166"/>
  <c r="D136" i="166"/>
  <c r="C136" i="166"/>
  <c r="D135" i="166"/>
  <c r="C135" i="166"/>
  <c r="D134" i="166"/>
  <c r="C134" i="166"/>
  <c r="C131" i="166"/>
  <c r="D130" i="166"/>
  <c r="C130" i="166"/>
  <c r="D129" i="166"/>
  <c r="C129" i="166"/>
  <c r="D128" i="166"/>
  <c r="C128" i="166"/>
  <c r="D127" i="166" l="1"/>
  <c r="C127" i="166"/>
  <c r="D126" i="166"/>
  <c r="C126" i="166"/>
  <c r="D125" i="166"/>
  <c r="C125" i="166"/>
  <c r="D124" i="166"/>
  <c r="C124" i="166"/>
  <c r="D123" i="166"/>
  <c r="C123" i="166"/>
  <c r="D122" i="166"/>
  <c r="C122" i="166"/>
  <c r="K119" i="166"/>
  <c r="J119" i="166"/>
  <c r="J170" i="166" s="1"/>
  <c r="I119" i="166"/>
  <c r="I170" i="166" s="1"/>
  <c r="H119" i="166"/>
  <c r="H170" i="166" s="1"/>
  <c r="G119" i="166"/>
  <c r="G170" i="166" s="1"/>
  <c r="F119" i="166"/>
  <c r="F170" i="166" s="1"/>
  <c r="C119" i="166"/>
  <c r="C118" i="166"/>
  <c r="C115" i="166"/>
  <c r="D114" i="166"/>
  <c r="C114" i="166"/>
  <c r="I112" i="166"/>
  <c r="H112" i="166"/>
  <c r="G112" i="166"/>
  <c r="F111" i="166"/>
  <c r="C99" i="166"/>
  <c r="D98" i="166"/>
  <c r="C98" i="166"/>
  <c r="D97" i="166"/>
  <c r="C97" i="166"/>
  <c r="D96" i="166"/>
  <c r="C96" i="166"/>
  <c r="D95" i="166"/>
  <c r="C95" i="166"/>
  <c r="D94" i="166"/>
  <c r="C94" i="166"/>
  <c r="D93" i="166"/>
  <c r="C93" i="166"/>
  <c r="C90" i="166"/>
  <c r="D89" i="166"/>
  <c r="C89" i="166"/>
  <c r="D88" i="166"/>
  <c r="C88" i="166"/>
  <c r="D87" i="166"/>
  <c r="C87" i="166"/>
  <c r="D86" i="166"/>
  <c r="C86" i="166"/>
  <c r="D85" i="166"/>
  <c r="C85" i="166"/>
  <c r="D84" i="166"/>
  <c r="C84" i="166"/>
  <c r="C78" i="166"/>
  <c r="D77" i="166"/>
  <c r="C77" i="166"/>
  <c r="D76" i="166"/>
  <c r="C76" i="166"/>
  <c r="D75" i="166"/>
  <c r="C75" i="166"/>
  <c r="D74" i="166"/>
  <c r="C74" i="166"/>
  <c r="D73" i="166"/>
  <c r="C73" i="166"/>
  <c r="D72" i="166"/>
  <c r="C72" i="166"/>
  <c r="D71" i="166"/>
  <c r="C71" i="166"/>
  <c r="D70" i="166"/>
  <c r="C70" i="166"/>
  <c r="D69" i="166"/>
  <c r="C69" i="166"/>
  <c r="D68" i="166"/>
  <c r="C68" i="166"/>
  <c r="K63" i="166"/>
  <c r="J63" i="166"/>
  <c r="J169" i="166" s="1"/>
  <c r="I63" i="166"/>
  <c r="I169" i="166" s="1"/>
  <c r="H63" i="166"/>
  <c r="H169" i="166" s="1"/>
  <c r="G63" i="166"/>
  <c r="G169" i="166" s="1"/>
  <c r="F63" i="166"/>
  <c r="C63" i="166"/>
  <c r="C62" i="166"/>
  <c r="C59" i="166"/>
  <c r="D58" i="166"/>
  <c r="C58" i="166"/>
  <c r="D57" i="166"/>
  <c r="C57" i="166"/>
  <c r="I55" i="166"/>
  <c r="H55" i="166"/>
  <c r="G55" i="166"/>
  <c r="F54" i="166"/>
  <c r="K29" i="166"/>
  <c r="D29" i="166"/>
  <c r="C28" i="166"/>
  <c r="C24" i="166"/>
  <c r="C23" i="166"/>
  <c r="C22" i="166"/>
  <c r="C21" i="166"/>
  <c r="C20" i="166"/>
  <c r="C19" i="166"/>
  <c r="C18" i="166"/>
  <c r="C15" i="166"/>
  <c r="C14" i="166"/>
  <c r="C13" i="166"/>
  <c r="C12" i="166"/>
  <c r="C899" i="165"/>
  <c r="C897" i="165"/>
  <c r="C896" i="165"/>
  <c r="C895" i="165"/>
  <c r="C892" i="165"/>
  <c r="C891" i="165"/>
  <c r="C890" i="165"/>
  <c r="C887" i="165"/>
  <c r="C886" i="165"/>
  <c r="C885" i="165"/>
  <c r="C884" i="165"/>
  <c r="F883" i="165"/>
  <c r="C883" i="165"/>
  <c r="C882" i="165"/>
  <c r="C881" i="165"/>
  <c r="C877" i="165"/>
  <c r="C876" i="165"/>
  <c r="C875" i="165"/>
  <c r="C872" i="165"/>
  <c r="C871" i="165"/>
  <c r="C870" i="165"/>
  <c r="C869" i="165"/>
  <c r="C868" i="165"/>
  <c r="C867" i="165"/>
  <c r="I865" i="165"/>
  <c r="H865" i="165"/>
  <c r="G865" i="165"/>
  <c r="F864" i="165"/>
  <c r="K694" i="165"/>
  <c r="J694" i="165"/>
  <c r="I694" i="165"/>
  <c r="H694" i="165"/>
  <c r="G694" i="165"/>
  <c r="C694" i="165"/>
  <c r="K693" i="165"/>
  <c r="J693" i="165"/>
  <c r="I693" i="165"/>
  <c r="H693" i="165"/>
  <c r="G693" i="165"/>
  <c r="C693" i="165"/>
  <c r="K692" i="165"/>
  <c r="J692" i="165"/>
  <c r="I692" i="165"/>
  <c r="H692" i="165"/>
  <c r="G692" i="165"/>
  <c r="C692" i="165"/>
  <c r="K691" i="165"/>
  <c r="J691" i="165"/>
  <c r="I691" i="165"/>
  <c r="H691" i="165"/>
  <c r="G691" i="165"/>
  <c r="C691" i="165"/>
  <c r="C688" i="165"/>
  <c r="C687" i="165"/>
  <c r="C686" i="165"/>
  <c r="C685" i="165"/>
  <c r="C684" i="165"/>
  <c r="C683" i="165"/>
  <c r="C680" i="165"/>
  <c r="C679" i="165"/>
  <c r="C678" i="165"/>
  <c r="C677" i="165"/>
  <c r="C676" i="165"/>
  <c r="C673" i="165"/>
  <c r="C672" i="165"/>
  <c r="C671" i="165"/>
  <c r="H171" i="166" l="1"/>
  <c r="I171" i="166"/>
  <c r="K170" i="166"/>
  <c r="J171" i="166"/>
  <c r="F169" i="166"/>
  <c r="G171" i="166"/>
  <c r="C670" i="165"/>
  <c r="F171" i="166" l="1"/>
  <c r="K169" i="166"/>
  <c r="K171" i="166" s="1"/>
  <c r="C669" i="165"/>
  <c r="C668" i="165"/>
  <c r="I665" i="165"/>
  <c r="H665" i="165"/>
  <c r="G665" i="165"/>
  <c r="F664" i="165"/>
  <c r="C647" i="165"/>
  <c r="C646" i="165"/>
  <c r="C645" i="165"/>
  <c r="C644" i="165"/>
  <c r="K643" i="165" s="1"/>
  <c r="J643" i="165" s="1"/>
  <c r="I643" i="165" s="1"/>
  <c r="H643" i="165" l="1"/>
  <c r="G643" i="165" s="1"/>
  <c r="F643" i="165"/>
  <c r="C643" i="165"/>
  <c r="C641" i="165"/>
  <c r="C640" i="165" l="1"/>
  <c r="C639" i="165"/>
  <c r="C637" i="165"/>
  <c r="C636" i="165"/>
  <c r="C635" i="165"/>
  <c r="C634" i="165"/>
  <c r="C633" i="165"/>
  <c r="C630" i="165"/>
  <c r="C629" i="165"/>
  <c r="D628" i="165"/>
  <c r="C628" i="165"/>
  <c r="D627" i="165"/>
  <c r="C627" i="165"/>
  <c r="C626" i="165"/>
  <c r="D625" i="165"/>
  <c r="C625" i="165"/>
  <c r="I623" i="165"/>
  <c r="H623" i="165"/>
  <c r="G623" i="165"/>
  <c r="F622" i="165"/>
  <c r="K565" i="165"/>
  <c r="K652" i="165" s="1"/>
  <c r="J652" i="165" s="1"/>
  <c r="I565" i="165"/>
  <c r="I652" i="165" s="1"/>
  <c r="H565" i="165"/>
  <c r="H652" i="165" s="1"/>
  <c r="G565" i="165"/>
  <c r="G652" i="165" s="1"/>
  <c r="F565" i="165"/>
  <c r="F652" i="165" s="1"/>
  <c r="C563" i="165"/>
  <c r="C562" i="165"/>
  <c r="C561" i="165"/>
  <c r="C557" i="165"/>
  <c r="C556" i="165"/>
  <c r="C555" i="165"/>
  <c r="K554" i="165"/>
  <c r="I554" i="165"/>
  <c r="H554" i="165"/>
  <c r="G554" i="165"/>
  <c r="F554" i="165"/>
  <c r="C554" i="165"/>
  <c r="C552" i="165"/>
  <c r="C551" i="165"/>
  <c r="C549" i="165"/>
  <c r="C548" i="165"/>
  <c r="C545" i="165"/>
  <c r="C544" i="165"/>
  <c r="C543" i="165"/>
  <c r="C540" i="165"/>
  <c r="C539" i="165"/>
  <c r="C536" i="165"/>
  <c r="D535" i="165"/>
  <c r="C535" i="165"/>
  <c r="C532" i="165"/>
  <c r="D531" i="165"/>
  <c r="D530" i="165"/>
  <c r="C530" i="165"/>
  <c r="D529" i="165"/>
  <c r="C529" i="165"/>
  <c r="D528" i="165"/>
  <c r="C528" i="165"/>
  <c r="D527" i="165"/>
  <c r="C527" i="165"/>
  <c r="C522" i="165"/>
  <c r="D521" i="165"/>
  <c r="C521" i="165"/>
  <c r="D520" i="165"/>
  <c r="C520" i="165"/>
  <c r="D519" i="165"/>
  <c r="C519" i="165"/>
  <c r="C516" i="165"/>
  <c r="D515" i="165"/>
  <c r="C515" i="165"/>
  <c r="I512" i="165"/>
  <c r="H512" i="165"/>
  <c r="G512" i="165"/>
  <c r="F511" i="165"/>
  <c r="C501" i="165"/>
  <c r="C500" i="165"/>
  <c r="C499" i="165"/>
  <c r="C498" i="165"/>
  <c r="C493" i="165"/>
  <c r="C492" i="165"/>
  <c r="D491" i="165"/>
  <c r="C491" i="165"/>
  <c r="C488" i="165"/>
  <c r="D487" i="165"/>
  <c r="C487" i="165"/>
  <c r="D486" i="165"/>
  <c r="C486" i="165"/>
  <c r="D485" i="165"/>
  <c r="C485" i="165"/>
  <c r="D484" i="165"/>
  <c r="C484" i="165"/>
  <c r="C481" i="165"/>
  <c r="D480" i="165"/>
  <c r="C480" i="165"/>
  <c r="D479" i="165"/>
  <c r="C479" i="165"/>
  <c r="I476" i="165"/>
  <c r="H476" i="165"/>
  <c r="G476" i="165"/>
  <c r="F475" i="165"/>
  <c r="C462" i="165"/>
  <c r="D461" i="165"/>
  <c r="C461" i="165"/>
  <c r="C458" i="165"/>
  <c r="D457" i="165"/>
  <c r="C457" i="165"/>
  <c r="C454" i="165"/>
  <c r="D453" i="165"/>
  <c r="C453" i="165"/>
  <c r="K450" i="165"/>
  <c r="J450" i="165"/>
  <c r="I450" i="165"/>
  <c r="H450" i="165"/>
  <c r="G450" i="165"/>
  <c r="F450" i="165"/>
  <c r="C450" i="165"/>
  <c r="C447" i="165"/>
  <c r="D446" i="165"/>
  <c r="C446" i="165"/>
  <c r="I444" i="165"/>
  <c r="H444" i="165"/>
  <c r="G444" i="165"/>
  <c r="F443" i="165"/>
  <c r="C433" i="165"/>
  <c r="C431" i="165"/>
  <c r="D430" i="165" l="1"/>
  <c r="C430" i="165"/>
  <c r="D429" i="165"/>
  <c r="C429" i="165"/>
  <c r="D428" i="165"/>
  <c r="C428" i="165"/>
  <c r="D427" i="165"/>
  <c r="C427" i="165"/>
  <c r="D426" i="165"/>
  <c r="C426" i="165"/>
  <c r="D425" i="165"/>
  <c r="C425" i="165"/>
  <c r="D424" i="165"/>
  <c r="C424" i="165"/>
  <c r="D423" i="165"/>
  <c r="C423" i="165"/>
  <c r="D422" i="165"/>
  <c r="C422" i="165"/>
  <c r="D421" i="165"/>
  <c r="C421" i="165"/>
  <c r="D420" i="165"/>
  <c r="C420" i="165"/>
  <c r="D419" i="165"/>
  <c r="C419" i="165"/>
  <c r="D418" i="165"/>
  <c r="C418" i="165"/>
  <c r="D417" i="165"/>
  <c r="C417" i="165"/>
  <c r="C416" i="165"/>
  <c r="D415" i="165"/>
  <c r="C415" i="165"/>
  <c r="D414" i="165" l="1"/>
  <c r="C414" i="165"/>
  <c r="D413" i="165"/>
  <c r="C413" i="165"/>
  <c r="D412" i="165" l="1"/>
  <c r="C412" i="165"/>
  <c r="D411" i="165"/>
  <c r="C411" i="165"/>
  <c r="D410" i="165"/>
  <c r="C410" i="165"/>
  <c r="C407" i="165"/>
  <c r="D406" i="165"/>
  <c r="C406" i="165"/>
  <c r="C403" i="165"/>
  <c r="D402" i="165"/>
  <c r="C402" i="165"/>
  <c r="I400" i="165"/>
  <c r="H400" i="165"/>
  <c r="G400" i="165"/>
  <c r="F399" i="165"/>
  <c r="C389" i="165"/>
  <c r="D388" i="165"/>
  <c r="C388" i="165"/>
  <c r="D387" i="165"/>
  <c r="C387" i="165"/>
  <c r="D386" i="165"/>
  <c r="C386" i="165"/>
  <c r="D385" i="165"/>
  <c r="C385" i="165"/>
  <c r="D384" i="165"/>
  <c r="C384" i="165"/>
  <c r="D383" i="165"/>
  <c r="C383" i="165"/>
  <c r="D382" i="165"/>
  <c r="C382" i="165"/>
  <c r="D381" i="165"/>
  <c r="C381" i="165"/>
  <c r="C378" i="165"/>
  <c r="D377" i="165"/>
  <c r="C377" i="165"/>
  <c r="D376" i="165"/>
  <c r="C376" i="165"/>
  <c r="D375" i="165"/>
  <c r="C375" i="165"/>
  <c r="D374" i="165"/>
  <c r="C374" i="165"/>
  <c r="D373" i="165"/>
  <c r="C373" i="165"/>
  <c r="D372" i="165"/>
  <c r="C372" i="165"/>
  <c r="D371" i="165"/>
  <c r="C371" i="165"/>
  <c r="D370" i="165"/>
  <c r="C370" i="165"/>
  <c r="D369" i="165"/>
  <c r="C369" i="165"/>
  <c r="D368" i="165"/>
  <c r="C368" i="165"/>
  <c r="D367" i="165"/>
  <c r="C367" i="165"/>
  <c r="K364" i="165"/>
  <c r="J364" i="165"/>
  <c r="I364" i="165"/>
  <c r="H364" i="165"/>
  <c r="G364" i="165"/>
  <c r="F364" i="165"/>
  <c r="C364" i="165"/>
  <c r="C363" i="165"/>
  <c r="C358" i="165"/>
  <c r="D357" i="165"/>
  <c r="C357" i="165"/>
  <c r="C354" i="165"/>
  <c r="C353" i="165"/>
  <c r="C350" i="165"/>
  <c r="D349" i="165"/>
  <c r="C349" i="165"/>
  <c r="D348" i="165"/>
  <c r="C348" i="165"/>
  <c r="I345" i="165"/>
  <c r="H345" i="165"/>
  <c r="G345" i="165"/>
  <c r="F344" i="165"/>
  <c r="C331" i="165"/>
  <c r="C330" i="165"/>
  <c r="C329" i="165"/>
  <c r="C326" i="165"/>
  <c r="C325" i="165"/>
  <c r="C324" i="165"/>
  <c r="C323" i="165"/>
  <c r="C319" i="165"/>
  <c r="D318" i="165"/>
  <c r="C318" i="165"/>
  <c r="D317" i="165"/>
  <c r="C317" i="165"/>
  <c r="D316" i="165"/>
  <c r="C316" i="165"/>
  <c r="C310" i="165" l="1"/>
  <c r="D309" i="165" l="1"/>
  <c r="C309" i="165"/>
  <c r="D308" i="165"/>
  <c r="C308" i="165"/>
  <c r="D307" i="165"/>
  <c r="C307" i="165"/>
  <c r="C303" i="165"/>
  <c r="D302" i="165"/>
  <c r="C302" i="165"/>
  <c r="D301" i="165"/>
  <c r="C301" i="165"/>
  <c r="I294" i="165"/>
  <c r="H294" i="165"/>
  <c r="G294" i="165"/>
  <c r="F293" i="165"/>
  <c r="C281" i="165"/>
  <c r="D280" i="165"/>
  <c r="C280" i="165"/>
  <c r="D279" i="165"/>
  <c r="C279" i="165"/>
  <c r="D278" i="165" l="1"/>
  <c r="C278" i="165"/>
  <c r="C275" i="165"/>
  <c r="D274" i="165"/>
  <c r="C274" i="165"/>
  <c r="D273" i="165"/>
  <c r="C273" i="165"/>
  <c r="D272" i="165" l="1"/>
  <c r="C272" i="165"/>
  <c r="D271" i="165"/>
  <c r="C271" i="165"/>
  <c r="D270" i="165"/>
  <c r="C270" i="165"/>
  <c r="D269" i="165"/>
  <c r="C269" i="165"/>
  <c r="D268" i="165"/>
  <c r="C268" i="165"/>
  <c r="D267" i="165"/>
  <c r="C267" i="165"/>
  <c r="D266" i="165"/>
  <c r="C266" i="165"/>
  <c r="D265" i="165"/>
  <c r="C265" i="165"/>
  <c r="D264" i="165"/>
  <c r="C264" i="165"/>
  <c r="D263" i="165"/>
  <c r="C263" i="165"/>
  <c r="D262" i="165"/>
  <c r="C262" i="165"/>
  <c r="D261" i="165"/>
  <c r="C261" i="165"/>
  <c r="D260" i="165"/>
  <c r="C260" i="165"/>
  <c r="D259" i="165"/>
  <c r="C259" i="165"/>
  <c r="D258" i="165"/>
  <c r="C258" i="165"/>
  <c r="D257" i="165"/>
  <c r="C257" i="165"/>
  <c r="D256" i="165"/>
  <c r="C256" i="165"/>
  <c r="D255" i="165"/>
  <c r="C255" i="165"/>
  <c r="D254" i="165"/>
  <c r="C254" i="165"/>
  <c r="D253" i="165"/>
  <c r="C253" i="165"/>
  <c r="D252" i="165"/>
  <c r="C252" i="165"/>
  <c r="I249" i="165"/>
  <c r="H249" i="165"/>
  <c r="G249" i="165"/>
  <c r="F248" i="165"/>
  <c r="C236" i="165"/>
  <c r="D235" i="165" l="1"/>
  <c r="C235" i="165"/>
  <c r="D234" i="165"/>
  <c r="C234" i="165"/>
  <c r="D233" i="165" l="1"/>
  <c r="C233" i="165"/>
  <c r="C232" i="165"/>
  <c r="C229" i="165"/>
  <c r="D228" i="165"/>
  <c r="C228" i="165"/>
  <c r="D227" i="165"/>
  <c r="C227" i="165"/>
  <c r="D226" i="165"/>
  <c r="C226" i="165"/>
  <c r="D225" i="165"/>
  <c r="C225" i="165"/>
  <c r="D224" i="165"/>
  <c r="C224" i="165"/>
  <c r="D223" i="165"/>
  <c r="C223" i="165"/>
  <c r="D222" i="165"/>
  <c r="C222" i="165"/>
  <c r="D221" i="165"/>
  <c r="C221" i="165"/>
  <c r="D220" i="165"/>
  <c r="C220" i="165"/>
  <c r="D219" i="165"/>
  <c r="C219" i="165"/>
  <c r="D218" i="165"/>
  <c r="C218" i="165"/>
  <c r="C215" i="165"/>
  <c r="D214" i="165"/>
  <c r="C214" i="165"/>
  <c r="D213" i="165"/>
  <c r="C213" i="165"/>
  <c r="D212" i="165"/>
  <c r="C212" i="165"/>
  <c r="D211" i="165"/>
  <c r="C211" i="165"/>
  <c r="D210" i="165"/>
  <c r="C210" i="165"/>
  <c r="D209" i="165"/>
  <c r="C209" i="165"/>
  <c r="D208" i="165"/>
  <c r="C208" i="165"/>
  <c r="D207" i="165"/>
  <c r="C207" i="165"/>
  <c r="D206" i="165"/>
  <c r="C206" i="165"/>
  <c r="I202" i="165"/>
  <c r="H202" i="165"/>
  <c r="G202" i="165"/>
  <c r="F201" i="165"/>
  <c r="C189" i="165"/>
  <c r="C188" i="165"/>
  <c r="C187" i="165"/>
  <c r="C184" i="165"/>
  <c r="C183" i="165"/>
  <c r="C182" i="165"/>
  <c r="C176" i="165"/>
  <c r="C175" i="165"/>
  <c r="C174" i="165"/>
  <c r="C171" i="165"/>
  <c r="C170" i="165"/>
  <c r="C169" i="165"/>
  <c r="C166" i="165"/>
  <c r="C165" i="165"/>
  <c r="C164" i="165"/>
  <c r="I162" i="165"/>
  <c r="H162" i="165"/>
  <c r="G162" i="165"/>
  <c r="F161" i="165"/>
  <c r="B161" i="165"/>
  <c r="C149" i="165"/>
  <c r="D148" i="165" l="1"/>
  <c r="C148" i="165"/>
  <c r="D147" i="165"/>
  <c r="C147" i="165"/>
  <c r="D146" i="165"/>
  <c r="C146" i="165"/>
  <c r="D145" i="165"/>
  <c r="C145" i="165"/>
  <c r="D144" i="165"/>
  <c r="C144" i="165"/>
  <c r="D143" i="165"/>
  <c r="C143" i="165"/>
  <c r="C140" i="165"/>
  <c r="D139" i="165"/>
  <c r="C139" i="165"/>
  <c r="D138" i="165" l="1"/>
  <c r="C138" i="165"/>
  <c r="D137" i="165"/>
  <c r="C137" i="165"/>
  <c r="D136" i="165"/>
  <c r="C136" i="165"/>
  <c r="D135" i="165"/>
  <c r="C135" i="165"/>
  <c r="D134" i="165"/>
  <c r="C134" i="165"/>
  <c r="C131" i="165"/>
  <c r="D130" i="165"/>
  <c r="C130" i="165"/>
  <c r="D129" i="165"/>
  <c r="C129" i="165"/>
  <c r="D128" i="165"/>
  <c r="C128" i="165"/>
  <c r="D127" i="165" l="1"/>
  <c r="C127" i="165"/>
  <c r="D126" i="165"/>
  <c r="C126" i="165"/>
  <c r="D125" i="165"/>
  <c r="C125" i="165"/>
  <c r="D124" i="165"/>
  <c r="C124" i="165"/>
  <c r="D123" i="165"/>
  <c r="C123" i="165"/>
  <c r="D122" i="165"/>
  <c r="C122" i="165"/>
  <c r="K119" i="165"/>
  <c r="J119" i="165"/>
  <c r="J170" i="165" s="1"/>
  <c r="I119" i="165"/>
  <c r="I170" i="165" s="1"/>
  <c r="H119" i="165"/>
  <c r="H170" i="165" s="1"/>
  <c r="G119" i="165"/>
  <c r="G170" i="165" s="1"/>
  <c r="F119" i="165"/>
  <c r="F170" i="165" s="1"/>
  <c r="C119" i="165"/>
  <c r="C118" i="165"/>
  <c r="C115" i="165"/>
  <c r="D114" i="165"/>
  <c r="C114" i="165"/>
  <c r="I112" i="165"/>
  <c r="H112" i="165"/>
  <c r="G112" i="165"/>
  <c r="F111" i="165"/>
  <c r="C99" i="165"/>
  <c r="D98" i="165"/>
  <c r="C98" i="165"/>
  <c r="D97" i="165"/>
  <c r="C97" i="165"/>
  <c r="D96" i="165"/>
  <c r="C96" i="165"/>
  <c r="K170" i="165" l="1"/>
  <c r="D95" i="165"/>
  <c r="C95" i="165"/>
  <c r="D94" i="165"/>
  <c r="C94" i="165"/>
  <c r="D93" i="165"/>
  <c r="C93" i="165"/>
  <c r="C90" i="165"/>
  <c r="D89" i="165" l="1"/>
  <c r="C89" i="165"/>
  <c r="D88" i="165"/>
  <c r="C88" i="165"/>
  <c r="D87" i="165"/>
  <c r="C87" i="165"/>
  <c r="D86" i="165"/>
  <c r="C86" i="165"/>
  <c r="D85" i="165"/>
  <c r="C85" i="165"/>
  <c r="D84" i="165"/>
  <c r="C84" i="165"/>
  <c r="C78" i="165"/>
  <c r="D77" i="165"/>
  <c r="C77" i="165"/>
  <c r="D76" i="165"/>
  <c r="C76" i="165"/>
  <c r="D75" i="165"/>
  <c r="C75" i="165"/>
  <c r="D74" i="165"/>
  <c r="C74" i="165"/>
  <c r="D73" i="165" l="1"/>
  <c r="C73" i="165"/>
  <c r="D72" i="165"/>
  <c r="C72" i="165"/>
  <c r="D71" i="165"/>
  <c r="C71" i="165"/>
  <c r="D70" i="165"/>
  <c r="C70" i="165"/>
  <c r="D69" i="165"/>
  <c r="C69" i="165"/>
  <c r="D68" i="165"/>
  <c r="C68" i="165"/>
  <c r="K63" i="165"/>
  <c r="J63" i="165"/>
  <c r="J169" i="165" s="1"/>
  <c r="J171" i="165" s="1"/>
  <c r="I63" i="165"/>
  <c r="I169" i="165" s="1"/>
  <c r="H63" i="165"/>
  <c r="H169" i="165" s="1"/>
  <c r="G63" i="165"/>
  <c r="F63" i="165"/>
  <c r="C63" i="165"/>
  <c r="C62" i="165"/>
  <c r="C59" i="165"/>
  <c r="D58" i="165"/>
  <c r="C58" i="165"/>
  <c r="D57" i="165"/>
  <c r="C57" i="165"/>
  <c r="I55" i="165"/>
  <c r="H55" i="165"/>
  <c r="G55" i="165"/>
  <c r="F54" i="165"/>
  <c r="D29" i="165"/>
  <c r="C28" i="165"/>
  <c r="C24" i="165"/>
  <c r="C23" i="165"/>
  <c r="C22" i="165"/>
  <c r="C21" i="165"/>
  <c r="C20" i="165"/>
  <c r="C19" i="165"/>
  <c r="C18" i="165"/>
  <c r="C15" i="165"/>
  <c r="C14" i="165"/>
  <c r="C13" i="165"/>
  <c r="C12" i="165"/>
  <c r="C899" i="164"/>
  <c r="C897" i="164"/>
  <c r="C896" i="164"/>
  <c r="C895" i="164"/>
  <c r="C892" i="164"/>
  <c r="C891" i="164"/>
  <c r="C890" i="164"/>
  <c r="C887" i="164"/>
  <c r="C886" i="164"/>
  <c r="C885" i="164"/>
  <c r="C884" i="164"/>
  <c r="F883" i="164"/>
  <c r="C883" i="164"/>
  <c r="C882" i="164"/>
  <c r="C881" i="164"/>
  <c r="C877" i="164"/>
  <c r="C876" i="164"/>
  <c r="C875" i="164"/>
  <c r="C872" i="164"/>
  <c r="C871" i="164"/>
  <c r="C870" i="164"/>
  <c r="C869" i="164"/>
  <c r="C868" i="164"/>
  <c r="C867" i="164"/>
  <c r="I865" i="164"/>
  <c r="H865" i="164"/>
  <c r="G865" i="164"/>
  <c r="F864" i="164"/>
  <c r="K694" i="164"/>
  <c r="J694" i="164"/>
  <c r="I694" i="164"/>
  <c r="H694" i="164"/>
  <c r="G694" i="164"/>
  <c r="C694" i="164"/>
  <c r="K693" i="164"/>
  <c r="J693" i="164"/>
  <c r="I693" i="164"/>
  <c r="H693" i="164"/>
  <c r="G693" i="164"/>
  <c r="C693" i="164"/>
  <c r="K692" i="164"/>
  <c r="J692" i="164"/>
  <c r="I692" i="164"/>
  <c r="H692" i="164"/>
  <c r="G692" i="164"/>
  <c r="C692" i="164"/>
  <c r="K691" i="164"/>
  <c r="J691" i="164"/>
  <c r="I691" i="164"/>
  <c r="H691" i="164"/>
  <c r="G691" i="164"/>
  <c r="C691" i="164"/>
  <c r="C688" i="164"/>
  <c r="C687" i="164"/>
  <c r="C686" i="164"/>
  <c r="C685" i="164"/>
  <c r="C684" i="164"/>
  <c r="C683" i="164"/>
  <c r="C680" i="164"/>
  <c r="C679" i="164"/>
  <c r="C678" i="164"/>
  <c r="C677" i="164"/>
  <c r="C676" i="164"/>
  <c r="G169" i="165" l="1"/>
  <c r="I171" i="165"/>
  <c r="F169" i="165"/>
  <c r="K169" i="165" s="1"/>
  <c r="K171" i="165" s="1"/>
  <c r="H171" i="165"/>
  <c r="C673" i="164"/>
  <c r="C672" i="164"/>
  <c r="C671" i="164"/>
  <c r="C670" i="164"/>
  <c r="G171" i="165" l="1"/>
  <c r="F171" i="165" s="1"/>
  <c r="C669" i="164"/>
  <c r="C668" i="164"/>
  <c r="I665" i="164"/>
  <c r="H665" i="164"/>
  <c r="G665" i="164"/>
  <c r="F664" i="164"/>
  <c r="C647" i="164"/>
  <c r="C646" i="164"/>
  <c r="C645" i="164"/>
  <c r="C644" i="164"/>
  <c r="K643" i="164" s="1"/>
  <c r="J643" i="164" s="1"/>
  <c r="I643" i="164" s="1"/>
  <c r="H643" i="164"/>
  <c r="G643" i="164" s="1"/>
  <c r="F643" i="164"/>
  <c r="C643" i="164"/>
  <c r="C641" i="164"/>
  <c r="C640" i="164"/>
  <c r="C639" i="164"/>
  <c r="C637" i="164"/>
  <c r="C636" i="164"/>
  <c r="C635" i="164"/>
  <c r="C634" i="164"/>
  <c r="C633" i="164"/>
  <c r="C630" i="164"/>
  <c r="C629" i="164"/>
  <c r="D628" i="164"/>
  <c r="C628" i="164"/>
  <c r="D627" i="164"/>
  <c r="C627" i="164"/>
  <c r="C626" i="164"/>
  <c r="D625" i="164"/>
  <c r="C625" i="164"/>
  <c r="I623" i="164"/>
  <c r="H623" i="164"/>
  <c r="G623" i="164"/>
  <c r="F622" i="164"/>
  <c r="K565" i="164"/>
  <c r="K652" i="164" s="1"/>
  <c r="J652" i="164" s="1"/>
  <c r="I565" i="164"/>
  <c r="I652" i="164" s="1"/>
  <c r="H565" i="164" l="1"/>
  <c r="F565" i="164"/>
  <c r="F652" i="164" s="1"/>
  <c r="C563" i="164"/>
  <c r="C562" i="164"/>
  <c r="C561" i="164"/>
  <c r="C557" i="164"/>
  <c r="C556" i="164"/>
  <c r="C555" i="164"/>
  <c r="K554" i="164"/>
  <c r="I554" i="164" s="1"/>
  <c r="H554" i="164"/>
  <c r="G554" i="164"/>
  <c r="F554" i="164"/>
  <c r="C554" i="164"/>
  <c r="C552" i="164"/>
  <c r="C551" i="164"/>
  <c r="C549" i="164"/>
  <c r="C548" i="164"/>
  <c r="C545" i="164"/>
  <c r="C544" i="164"/>
  <c r="C543" i="164"/>
  <c r="C540" i="164"/>
  <c r="C539" i="164"/>
  <c r="C536" i="164"/>
  <c r="D535" i="164"/>
  <c r="C535" i="164"/>
  <c r="C532" i="164"/>
  <c r="D531" i="164"/>
  <c r="G565" i="164" l="1"/>
  <c r="G652" i="164" s="1"/>
  <c r="H652" i="164"/>
  <c r="D530" i="164"/>
  <c r="C530" i="164"/>
  <c r="D529" i="164"/>
  <c r="C529" i="164"/>
  <c r="D528" i="164"/>
  <c r="C528" i="164"/>
  <c r="D527" i="164"/>
  <c r="C527" i="164"/>
  <c r="C522" i="164" l="1"/>
  <c r="D521" i="164"/>
  <c r="C521" i="164"/>
  <c r="D520" i="164"/>
  <c r="C520" i="164"/>
  <c r="D519" i="164"/>
  <c r="C519" i="164"/>
  <c r="C516" i="164"/>
  <c r="D515" i="164"/>
  <c r="C515" i="164"/>
  <c r="I512" i="164"/>
  <c r="H512" i="164"/>
  <c r="G512" i="164"/>
  <c r="F511" i="164"/>
  <c r="C501" i="164"/>
  <c r="C500" i="164"/>
  <c r="C499" i="164"/>
  <c r="C498" i="164"/>
  <c r="C493" i="164"/>
  <c r="C492" i="164"/>
  <c r="D491" i="164"/>
  <c r="C491" i="164"/>
  <c r="C488" i="164"/>
  <c r="D487" i="164"/>
  <c r="C487" i="164"/>
  <c r="D486" i="164"/>
  <c r="C486" i="164"/>
  <c r="D485" i="164"/>
  <c r="C485" i="164"/>
  <c r="D484" i="164"/>
  <c r="C484" i="164"/>
  <c r="C481" i="164"/>
  <c r="D480" i="164"/>
  <c r="C480" i="164"/>
  <c r="D479" i="164"/>
  <c r="C479" i="164"/>
  <c r="I476" i="164"/>
  <c r="H476" i="164"/>
  <c r="G476" i="164"/>
  <c r="F475" i="164"/>
  <c r="C462" i="164" l="1"/>
  <c r="D461" i="164"/>
  <c r="C461" i="164"/>
  <c r="C458" i="164"/>
  <c r="D457" i="164"/>
  <c r="C457" i="164"/>
  <c r="C454" i="164"/>
  <c r="D453" i="164"/>
  <c r="C453" i="164"/>
  <c r="K450" i="164"/>
  <c r="J450" i="164"/>
  <c r="I450" i="164"/>
  <c r="H450" i="164"/>
  <c r="G450" i="164"/>
  <c r="F450" i="164"/>
  <c r="C450" i="164"/>
  <c r="C447" i="164"/>
  <c r="D446" i="164"/>
  <c r="C446" i="164"/>
  <c r="I444" i="164"/>
  <c r="H444" i="164"/>
  <c r="G444" i="164"/>
  <c r="F443" i="164"/>
  <c r="C433" i="164"/>
  <c r="C431" i="164"/>
  <c r="D430" i="164"/>
  <c r="C430" i="164"/>
  <c r="D429" i="164"/>
  <c r="C429" i="164"/>
  <c r="D428" i="164"/>
  <c r="C428" i="164"/>
  <c r="D427" i="164"/>
  <c r="C427" i="164"/>
  <c r="D426" i="164"/>
  <c r="C426" i="164"/>
  <c r="D425" i="164"/>
  <c r="C425" i="164"/>
  <c r="D424" i="164"/>
  <c r="C424" i="164"/>
  <c r="D423" i="164"/>
  <c r="C423" i="164"/>
  <c r="D422" i="164"/>
  <c r="C422" i="164"/>
  <c r="D421" i="164"/>
  <c r="C421" i="164"/>
  <c r="D420" i="164"/>
  <c r="C420" i="164"/>
  <c r="D419" i="164"/>
  <c r="C419" i="164"/>
  <c r="D418" i="164"/>
  <c r="C418" i="164"/>
  <c r="D417" i="164"/>
  <c r="C417" i="164"/>
  <c r="C416" i="164"/>
  <c r="D415" i="164"/>
  <c r="C415" i="164"/>
  <c r="D414" i="164"/>
  <c r="C414" i="164"/>
  <c r="D413" i="164"/>
  <c r="C413" i="164"/>
  <c r="D412" i="164"/>
  <c r="C412" i="164"/>
  <c r="D411" i="164" l="1"/>
  <c r="C411" i="164"/>
  <c r="D410" i="164"/>
  <c r="C410" i="164"/>
  <c r="C407" i="164"/>
  <c r="D406" i="164"/>
  <c r="C406" i="164"/>
  <c r="C403" i="164"/>
  <c r="D402" i="164"/>
  <c r="C402" i="164"/>
  <c r="I400" i="164"/>
  <c r="H400" i="164"/>
  <c r="G400" i="164"/>
  <c r="F399" i="164"/>
  <c r="C389" i="164"/>
  <c r="D388" i="164"/>
  <c r="C388" i="164"/>
  <c r="D387" i="164"/>
  <c r="C387" i="164"/>
  <c r="D386" i="164"/>
  <c r="C386" i="164"/>
  <c r="D385" i="164"/>
  <c r="C385" i="164"/>
  <c r="D384" i="164"/>
  <c r="C384" i="164"/>
  <c r="D383" i="164"/>
  <c r="C383" i="164"/>
  <c r="D382" i="164"/>
  <c r="C382" i="164"/>
  <c r="D381" i="164"/>
  <c r="C381" i="164"/>
  <c r="C378" i="164"/>
  <c r="D377" i="164"/>
  <c r="C377" i="164"/>
  <c r="D376" i="164"/>
  <c r="C376" i="164"/>
  <c r="D375" i="164"/>
  <c r="C375" i="164"/>
  <c r="D374" i="164"/>
  <c r="C374" i="164"/>
  <c r="D373" i="164"/>
  <c r="C373" i="164"/>
  <c r="D372" i="164"/>
  <c r="C372" i="164"/>
  <c r="D371" i="164" l="1"/>
  <c r="C371" i="164"/>
  <c r="D370" i="164"/>
  <c r="C370" i="164"/>
  <c r="D369" i="164"/>
  <c r="C369" i="164"/>
  <c r="D368" i="164"/>
  <c r="C368" i="164"/>
  <c r="D367" i="164"/>
  <c r="C367" i="164"/>
  <c r="K364" i="164"/>
  <c r="J364" i="164"/>
  <c r="I364" i="164"/>
  <c r="H364" i="164"/>
  <c r="G364" i="164"/>
  <c r="F364" i="164"/>
  <c r="C364" i="164"/>
  <c r="C363" i="164"/>
  <c r="C358" i="164"/>
  <c r="D357" i="164"/>
  <c r="C357" i="164"/>
  <c r="C354" i="164"/>
  <c r="C353" i="164" l="1"/>
  <c r="C350" i="164"/>
  <c r="D349" i="164"/>
  <c r="C349" i="164"/>
  <c r="D348" i="164"/>
  <c r="C348" i="164"/>
  <c r="I345" i="164"/>
  <c r="H345" i="164"/>
  <c r="G345" i="164"/>
  <c r="F344" i="164"/>
  <c r="C331" i="164"/>
  <c r="C330" i="164"/>
  <c r="C329" i="164"/>
  <c r="C326" i="164"/>
  <c r="C325" i="164"/>
  <c r="C324" i="164"/>
  <c r="C323" i="164"/>
  <c r="C319" i="164"/>
  <c r="D318" i="164"/>
  <c r="C318" i="164"/>
  <c r="D317" i="164"/>
  <c r="C317" i="164"/>
  <c r="D316" i="164"/>
  <c r="C316" i="164"/>
  <c r="C310" i="164" l="1"/>
  <c r="D309" i="164"/>
  <c r="C309" i="164"/>
  <c r="D308" i="164"/>
  <c r="C308" i="164"/>
  <c r="D307" i="164"/>
  <c r="C307" i="164"/>
  <c r="C303" i="164"/>
  <c r="D302" i="164"/>
  <c r="C302" i="164"/>
  <c r="D301" i="164"/>
  <c r="C301" i="164"/>
  <c r="I294" i="164"/>
  <c r="H294" i="164"/>
  <c r="G294" i="164"/>
  <c r="F293" i="164"/>
  <c r="C281" i="164" l="1"/>
  <c r="D280" i="164"/>
  <c r="C280" i="164"/>
  <c r="D279" i="164"/>
  <c r="C279" i="164"/>
  <c r="D278" i="164"/>
  <c r="C278" i="164"/>
  <c r="C275" i="164"/>
  <c r="D274" i="164"/>
  <c r="C274" i="164"/>
  <c r="D273" i="164"/>
  <c r="C273" i="164"/>
  <c r="D272" i="164"/>
  <c r="C272" i="164"/>
  <c r="D271" i="164"/>
  <c r="C271" i="164"/>
  <c r="D270" i="164"/>
  <c r="C270" i="164"/>
  <c r="D269" i="164"/>
  <c r="C269" i="164"/>
  <c r="D268" i="164"/>
  <c r="C268" i="164"/>
  <c r="D267" i="164"/>
  <c r="C267" i="164"/>
  <c r="D266" i="164"/>
  <c r="C266" i="164"/>
  <c r="D265" i="164"/>
  <c r="C265" i="164"/>
  <c r="D264" i="164"/>
  <c r="C264" i="164"/>
  <c r="D263" i="164"/>
  <c r="C263" i="164"/>
  <c r="D262" i="164"/>
  <c r="C262" i="164"/>
  <c r="D261" i="164"/>
  <c r="C261" i="164"/>
  <c r="D260" i="164"/>
  <c r="C260" i="164"/>
  <c r="D259" i="164"/>
  <c r="C259" i="164"/>
  <c r="D258" i="164"/>
  <c r="C258" i="164"/>
  <c r="D257" i="164"/>
  <c r="C257" i="164"/>
  <c r="D256" i="164"/>
  <c r="C256" i="164"/>
  <c r="D255" i="164"/>
  <c r="C255" i="164"/>
  <c r="D254" i="164"/>
  <c r="C254" i="164"/>
  <c r="D253" i="164"/>
  <c r="C253" i="164"/>
  <c r="D252" i="164"/>
  <c r="C252" i="164"/>
  <c r="I249" i="164"/>
  <c r="H249" i="164"/>
  <c r="G249" i="164"/>
  <c r="F248" i="164"/>
  <c r="C236" i="164"/>
  <c r="D235" i="164"/>
  <c r="C235" i="164"/>
  <c r="D234" i="164"/>
  <c r="C234" i="164"/>
  <c r="D233" i="164"/>
  <c r="C233" i="164"/>
  <c r="C232" i="164"/>
  <c r="C229" i="164"/>
  <c r="D228" i="164"/>
  <c r="C228" i="164"/>
  <c r="D227" i="164"/>
  <c r="C227" i="164"/>
  <c r="D226" i="164"/>
  <c r="C226" i="164"/>
  <c r="D225" i="164"/>
  <c r="C225" i="164"/>
  <c r="D224" i="164"/>
  <c r="C224" i="164"/>
  <c r="D223" i="164"/>
  <c r="C223" i="164"/>
  <c r="D222" i="164"/>
  <c r="C222" i="164"/>
  <c r="D221" i="164"/>
  <c r="C221" i="164"/>
  <c r="D220" i="164"/>
  <c r="C220" i="164"/>
  <c r="D219" i="164"/>
  <c r="C219" i="164"/>
  <c r="D218" i="164"/>
  <c r="C218" i="164"/>
  <c r="C215" i="164"/>
  <c r="D214" i="164"/>
  <c r="C214" i="164"/>
  <c r="D213" i="164"/>
  <c r="C213" i="164"/>
  <c r="D212" i="164"/>
  <c r="C212" i="164"/>
  <c r="D211" i="164" l="1"/>
  <c r="C211" i="164"/>
  <c r="D210" i="164"/>
  <c r="C210" i="164"/>
  <c r="D209" i="164"/>
  <c r="C209" i="164"/>
  <c r="D208" i="164"/>
  <c r="C208" i="164"/>
  <c r="D207" i="164"/>
  <c r="C207" i="164"/>
  <c r="D206" i="164"/>
  <c r="C206" i="164"/>
  <c r="I202" i="164"/>
  <c r="H202" i="164"/>
  <c r="G202" i="164"/>
  <c r="F201" i="164"/>
  <c r="C189" i="164"/>
  <c r="C188" i="164"/>
  <c r="C187" i="164"/>
  <c r="C184" i="164"/>
  <c r="C183" i="164"/>
  <c r="C182" i="164"/>
  <c r="C176" i="164"/>
  <c r="C175" i="164"/>
  <c r="C174" i="164"/>
  <c r="C171" i="164"/>
  <c r="C170" i="164"/>
  <c r="C169" i="164"/>
  <c r="C166" i="164"/>
  <c r="C165" i="164"/>
  <c r="C164" i="164"/>
  <c r="I162" i="164"/>
  <c r="H162" i="164"/>
  <c r="G162" i="164"/>
  <c r="F161" i="164"/>
  <c r="B161" i="164"/>
  <c r="C149" i="164"/>
  <c r="D148" i="164"/>
  <c r="C148" i="164"/>
  <c r="D147" i="164"/>
  <c r="C147" i="164"/>
  <c r="D146" i="164"/>
  <c r="C146" i="164"/>
  <c r="D145" i="164"/>
  <c r="C145" i="164"/>
  <c r="D144" i="164"/>
  <c r="C144" i="164"/>
  <c r="D143" i="164"/>
  <c r="C143" i="164"/>
  <c r="C140" i="164"/>
  <c r="D139" i="164"/>
  <c r="C139" i="164"/>
  <c r="D138" i="164"/>
  <c r="C138" i="164"/>
  <c r="D137" i="164"/>
  <c r="C137" i="164"/>
  <c r="D136" i="164" l="1"/>
  <c r="C136" i="164"/>
  <c r="D135" i="164"/>
  <c r="C135" i="164"/>
  <c r="D134" i="164" l="1"/>
  <c r="C134" i="164"/>
  <c r="C131" i="164"/>
  <c r="D130" i="164"/>
  <c r="C130" i="164"/>
  <c r="D129" i="164"/>
  <c r="C129" i="164"/>
  <c r="D128" i="164"/>
  <c r="C128" i="164"/>
  <c r="D127" i="164"/>
  <c r="C127" i="164"/>
  <c r="D126" i="164"/>
  <c r="C126" i="164"/>
  <c r="D125" i="164"/>
  <c r="C125" i="164"/>
  <c r="D124" i="164"/>
  <c r="C124" i="164"/>
  <c r="D123" i="164"/>
  <c r="C123" i="164"/>
  <c r="D122" i="164"/>
  <c r="C122" i="164"/>
  <c r="K119" i="164"/>
  <c r="J119" i="164"/>
  <c r="J170" i="164" s="1"/>
  <c r="I119" i="164"/>
  <c r="I170" i="164" s="1"/>
  <c r="H119" i="164"/>
  <c r="H170" i="164" s="1"/>
  <c r="G119" i="164"/>
  <c r="G170" i="164" s="1"/>
  <c r="F119" i="164"/>
  <c r="F170" i="164" s="1"/>
  <c r="C119" i="164"/>
  <c r="C118" i="164"/>
  <c r="C115" i="164"/>
  <c r="D114" i="164"/>
  <c r="C114" i="164"/>
  <c r="I112" i="164"/>
  <c r="H112" i="164"/>
  <c r="G112" i="164"/>
  <c r="F111" i="164"/>
  <c r="C99" i="164"/>
  <c r="D98" i="164"/>
  <c r="C98" i="164"/>
  <c r="D97" i="164"/>
  <c r="C97" i="164"/>
  <c r="D96" i="164"/>
  <c r="C96" i="164"/>
  <c r="D95" i="164"/>
  <c r="C95" i="164"/>
  <c r="D94" i="164"/>
  <c r="C94" i="164"/>
  <c r="D93" i="164"/>
  <c r="C93" i="164"/>
  <c r="C90" i="164"/>
  <c r="D89" i="164"/>
  <c r="C89" i="164"/>
  <c r="D88" i="164"/>
  <c r="C88" i="164"/>
  <c r="D87" i="164"/>
  <c r="C87" i="164"/>
  <c r="K170" i="164" l="1"/>
  <c r="D86" i="164"/>
  <c r="C86" i="164"/>
  <c r="D85" i="164"/>
  <c r="C85" i="164"/>
  <c r="D84" i="164"/>
  <c r="C84" i="164"/>
  <c r="C78" i="164"/>
  <c r="D77" i="164"/>
  <c r="C77" i="164"/>
  <c r="D76" i="164"/>
  <c r="C76" i="164"/>
  <c r="D75" i="164"/>
  <c r="C75" i="164"/>
  <c r="D74" i="164"/>
  <c r="C74" i="164"/>
  <c r="D73" i="164"/>
  <c r="C73" i="164"/>
  <c r="D72" i="164" l="1"/>
  <c r="C72" i="164"/>
  <c r="D71" i="164"/>
  <c r="C71" i="164"/>
  <c r="D70" i="164"/>
  <c r="C70" i="164"/>
  <c r="D69" i="164"/>
  <c r="C69" i="164"/>
  <c r="D68" i="164"/>
  <c r="C68" i="164"/>
  <c r="K63" i="164"/>
  <c r="J63" i="164"/>
  <c r="J169" i="164" s="1"/>
  <c r="I63" i="164"/>
  <c r="I169" i="164" s="1"/>
  <c r="I171" i="164" s="1"/>
  <c r="H63" i="164"/>
  <c r="H169" i="164" s="1"/>
  <c r="G63" i="164"/>
  <c r="G169" i="164" s="1"/>
  <c r="G171" i="164" s="1"/>
  <c r="F63" i="164"/>
  <c r="F169" i="164" s="1"/>
  <c r="K169" i="164" s="1"/>
  <c r="K171" i="164" s="1"/>
  <c r="J171" i="164" s="1"/>
  <c r="C63" i="164"/>
  <c r="C62" i="164"/>
  <c r="C59" i="164"/>
  <c r="D58" i="164"/>
  <c r="C58" i="164"/>
  <c r="H171" i="164" l="1"/>
  <c r="F171" i="164"/>
  <c r="D57" i="164"/>
  <c r="C57" i="164"/>
  <c r="I55" i="164"/>
  <c r="H55" i="164"/>
  <c r="G55" i="164"/>
  <c r="F54" i="164"/>
  <c r="D29" i="164" l="1"/>
  <c r="C28" i="164"/>
  <c r="C24" i="164"/>
  <c r="C23" i="164"/>
  <c r="C22" i="164"/>
  <c r="C21" i="164"/>
  <c r="C20" i="164"/>
  <c r="C19" i="164"/>
  <c r="C18" i="164"/>
  <c r="C15" i="164"/>
  <c r="C14" i="164"/>
  <c r="C13" i="164"/>
  <c r="C12" i="164"/>
  <c r="C899" i="162"/>
  <c r="C897" i="162"/>
  <c r="C896" i="162"/>
  <c r="C895" i="162" l="1"/>
  <c r="C892" i="162"/>
  <c r="C891" i="162" l="1"/>
  <c r="C890" i="162"/>
  <c r="C887" i="162" l="1"/>
  <c r="C886" i="162"/>
  <c r="C885" i="162"/>
  <c r="C884" i="162"/>
  <c r="F883" i="162" l="1"/>
  <c r="C883" i="162"/>
  <c r="C882" i="162"/>
  <c r="C881" i="162"/>
  <c r="C877" i="162"/>
  <c r="C876" i="162"/>
  <c r="C875" i="162"/>
  <c r="C872" i="162" l="1"/>
  <c r="C871" i="162" l="1"/>
  <c r="C870" i="162"/>
  <c r="C869" i="162"/>
  <c r="C868" i="162"/>
  <c r="C867" i="162"/>
  <c r="J865" i="162" l="1"/>
  <c r="I865" i="162"/>
  <c r="H865" i="162"/>
  <c r="G865" i="162"/>
  <c r="F864" i="162"/>
  <c r="F863" i="162"/>
  <c r="L694" i="162"/>
  <c r="K694" i="162"/>
  <c r="J694" i="162"/>
  <c r="I694" i="162"/>
  <c r="H694" i="162"/>
  <c r="G694" i="162"/>
  <c r="C694" i="162"/>
  <c r="L693" i="162"/>
  <c r="K693" i="162"/>
  <c r="J693" i="162"/>
  <c r="I693" i="162"/>
  <c r="H693" i="162"/>
  <c r="G693" i="162"/>
  <c r="C693" i="162"/>
  <c r="L692" i="162"/>
  <c r="K692" i="162"/>
  <c r="J692" i="162"/>
  <c r="I692" i="162"/>
  <c r="H692" i="162"/>
  <c r="G692" i="162"/>
  <c r="C692" i="162"/>
  <c r="L691" i="162"/>
  <c r="K691" i="162"/>
  <c r="J691" i="162"/>
  <c r="I691" i="162"/>
  <c r="H691" i="162"/>
  <c r="G691" i="162"/>
  <c r="C691" i="162"/>
  <c r="C688" i="162"/>
  <c r="C687" i="162"/>
  <c r="C686" i="162"/>
  <c r="C685" i="162"/>
  <c r="C684" i="162"/>
  <c r="C683" i="162"/>
  <c r="C680" i="162"/>
  <c r="C679" i="162"/>
  <c r="C678" i="162"/>
  <c r="C677" i="162"/>
  <c r="C676" i="162"/>
  <c r="C673" i="162"/>
  <c r="C672" i="162"/>
  <c r="C671" i="162" l="1"/>
  <c r="C670" i="162"/>
  <c r="C669" i="162"/>
  <c r="C668" i="162"/>
  <c r="J665" i="162"/>
  <c r="I665" i="162"/>
  <c r="H665" i="162"/>
  <c r="G665" i="162"/>
  <c r="F664" i="162"/>
  <c r="F663" i="162"/>
  <c r="C647" i="162"/>
  <c r="C646" i="162"/>
  <c r="C645" i="162"/>
  <c r="C644" i="162"/>
  <c r="L643" i="162"/>
  <c r="K643" i="162" s="1"/>
  <c r="J643" i="162" s="1"/>
  <c r="I643" i="162" s="1"/>
  <c r="H643" i="162" s="1"/>
  <c r="G643" i="162" s="1"/>
  <c r="F643" i="162"/>
  <c r="C643" i="162"/>
  <c r="C641" i="162"/>
  <c r="C640" i="162"/>
  <c r="C639" i="162"/>
  <c r="C637" i="162"/>
  <c r="C636" i="162"/>
  <c r="C635" i="162"/>
  <c r="C634" i="162"/>
  <c r="C633" i="162"/>
  <c r="C630" i="162"/>
  <c r="F629" i="162" l="1"/>
  <c r="C629" i="162"/>
  <c r="D628" i="162"/>
  <c r="C628" i="162"/>
  <c r="D627" i="162"/>
  <c r="C627" i="162"/>
  <c r="F626" i="162" l="1"/>
  <c r="C626" i="162"/>
  <c r="D625" i="162"/>
  <c r="C625" i="162"/>
  <c r="J623" i="162"/>
  <c r="I623" i="162"/>
  <c r="H623" i="162"/>
  <c r="G623" i="162"/>
  <c r="F622" i="162"/>
  <c r="F621" i="162"/>
  <c r="F620" i="162"/>
  <c r="L565" i="162"/>
  <c r="L652" i="162" s="1"/>
  <c r="K652" i="162" s="1"/>
  <c r="J565" i="162"/>
  <c r="J652" i="162" s="1"/>
  <c r="I565" i="162"/>
  <c r="I652" i="162" s="1"/>
  <c r="H565" i="162"/>
  <c r="H652" i="162" s="1"/>
  <c r="G565" i="162"/>
  <c r="G652" i="162" s="1"/>
  <c r="F565" i="162"/>
  <c r="F652" i="162" s="1"/>
  <c r="C563" i="162"/>
  <c r="C562" i="162"/>
  <c r="C561" i="162"/>
  <c r="C557" i="162"/>
  <c r="C556" i="162"/>
  <c r="C555" i="162"/>
  <c r="L554" i="162"/>
  <c r="J554" i="162" l="1"/>
  <c r="I554" i="162"/>
  <c r="H554" i="162"/>
  <c r="G554" i="162"/>
  <c r="F554" i="162"/>
  <c r="C554" i="162"/>
  <c r="C552" i="162"/>
  <c r="C551" i="162"/>
  <c r="C549" i="162"/>
  <c r="C548" i="162"/>
  <c r="C545" i="162"/>
  <c r="C544" i="162"/>
  <c r="C543" i="162"/>
  <c r="C540" i="162" l="1"/>
  <c r="F539" i="162" l="1"/>
  <c r="C539" i="162"/>
  <c r="C536" i="162"/>
  <c r="D535" i="162"/>
  <c r="C535" i="162"/>
  <c r="C532" i="162"/>
  <c r="D531" i="162"/>
  <c r="D530" i="162"/>
  <c r="C530" i="162"/>
  <c r="D529" i="162"/>
  <c r="C529" i="162"/>
  <c r="F528" i="162"/>
  <c r="D528" i="162"/>
  <c r="C528" i="162"/>
  <c r="D527" i="162"/>
  <c r="C527" i="162"/>
  <c r="C522" i="162"/>
  <c r="F540" i="162" l="1"/>
  <c r="D521" i="162"/>
  <c r="C521" i="162"/>
  <c r="D520" i="162"/>
  <c r="C520" i="162"/>
  <c r="D519" i="162"/>
  <c r="C519" i="162"/>
  <c r="C516" i="162"/>
  <c r="D515" i="162"/>
  <c r="C515" i="162"/>
  <c r="J512" i="162"/>
  <c r="I512" i="162"/>
  <c r="H512" i="162"/>
  <c r="G512" i="162"/>
  <c r="F511" i="162"/>
  <c r="F510" i="162"/>
  <c r="F509" i="162"/>
  <c r="C501" i="162"/>
  <c r="C500" i="162"/>
  <c r="C499" i="162"/>
  <c r="C498" i="162"/>
  <c r="C493" i="162"/>
  <c r="C492" i="162"/>
  <c r="F891" i="162" l="1"/>
  <c r="F562" i="162"/>
  <c r="D491" i="162"/>
  <c r="C491" i="162"/>
  <c r="C488" i="162"/>
  <c r="D487" i="162"/>
  <c r="C487" i="162"/>
  <c r="D486" i="162"/>
  <c r="C486" i="162"/>
  <c r="D485" i="162"/>
  <c r="C485" i="162"/>
  <c r="D484" i="162"/>
  <c r="C484" i="162"/>
  <c r="C481" i="162"/>
  <c r="D480" i="162"/>
  <c r="C480" i="162"/>
  <c r="D479" i="162"/>
  <c r="C479" i="162"/>
  <c r="J476" i="162"/>
  <c r="I476" i="162"/>
  <c r="H476" i="162"/>
  <c r="G476" i="162"/>
  <c r="F475" i="162"/>
  <c r="F474" i="162"/>
  <c r="F473" i="162"/>
  <c r="C462" i="162"/>
  <c r="D461" i="162"/>
  <c r="C461" i="162"/>
  <c r="C458" i="162"/>
  <c r="D457" i="162"/>
  <c r="C457" i="162"/>
  <c r="C454" i="162"/>
  <c r="D453" i="162"/>
  <c r="C453" i="162"/>
  <c r="L450" i="162"/>
  <c r="K450" i="162"/>
  <c r="J450" i="162"/>
  <c r="I450" i="162"/>
  <c r="H450" i="162"/>
  <c r="G450" i="162"/>
  <c r="F450" i="162"/>
  <c r="C450" i="162"/>
  <c r="C447" i="162"/>
  <c r="D446" i="162"/>
  <c r="C446" i="162"/>
  <c r="J444" i="162"/>
  <c r="I444" i="162"/>
  <c r="H444" i="162"/>
  <c r="G444" i="162"/>
  <c r="F443" i="162"/>
  <c r="F442" i="162"/>
  <c r="F441" i="162"/>
  <c r="C433" i="162"/>
  <c r="C431" i="162"/>
  <c r="D430" i="162"/>
  <c r="C430" i="162"/>
  <c r="D429" i="162"/>
  <c r="C429" i="162"/>
  <c r="D428" i="162"/>
  <c r="C428" i="162"/>
  <c r="D427" i="162"/>
  <c r="C427" i="162"/>
  <c r="D426" i="162"/>
  <c r="C426" i="162"/>
  <c r="D425" i="162"/>
  <c r="C425" i="162"/>
  <c r="D424" i="162"/>
  <c r="C424" i="162"/>
  <c r="D423" i="162"/>
  <c r="C423" i="162"/>
  <c r="D422" i="162"/>
  <c r="C422" i="162"/>
  <c r="D421" i="162"/>
  <c r="C421" i="162"/>
  <c r="D420" i="162"/>
  <c r="C420" i="162"/>
  <c r="F419" i="162"/>
  <c r="D419" i="162"/>
  <c r="C419" i="162"/>
  <c r="D418" i="162" l="1"/>
  <c r="C418" i="162"/>
  <c r="D417" i="162"/>
  <c r="C417" i="162"/>
  <c r="C416" i="162"/>
  <c r="D415" i="162"/>
  <c r="C415" i="162"/>
  <c r="D414" i="162"/>
  <c r="C414" i="162"/>
  <c r="D413" i="162"/>
  <c r="C413" i="162"/>
  <c r="D412" i="162"/>
  <c r="C412" i="162"/>
  <c r="D411" i="162"/>
  <c r="C411" i="162"/>
  <c r="D410" i="162"/>
  <c r="C410" i="162"/>
  <c r="C407" i="162"/>
  <c r="D406" i="162"/>
  <c r="C406" i="162"/>
  <c r="C403" i="162"/>
  <c r="D402" i="162"/>
  <c r="C402" i="162"/>
  <c r="J400" i="162"/>
  <c r="I400" i="162"/>
  <c r="H400" i="162"/>
  <c r="G400" i="162"/>
  <c r="F399" i="162"/>
  <c r="F398" i="162"/>
  <c r="F397" i="162"/>
  <c r="C389" i="162"/>
  <c r="D388" i="162"/>
  <c r="C388" i="162"/>
  <c r="D387" i="162"/>
  <c r="C387" i="162"/>
  <c r="D386" i="162" l="1"/>
  <c r="C386" i="162"/>
  <c r="D385" i="162"/>
  <c r="C385" i="162"/>
  <c r="D384" i="162"/>
  <c r="C384" i="162"/>
  <c r="D383" i="162"/>
  <c r="C383" i="162"/>
  <c r="D382" i="162"/>
  <c r="C382" i="162"/>
  <c r="D381" i="162"/>
  <c r="C381" i="162"/>
  <c r="C378" i="162"/>
  <c r="D377" i="162"/>
  <c r="C377" i="162"/>
  <c r="F376" i="162" l="1"/>
  <c r="D376" i="162"/>
  <c r="C376" i="162"/>
  <c r="D375" i="162"/>
  <c r="C375" i="162"/>
  <c r="D374" i="162"/>
  <c r="C374" i="162"/>
  <c r="D373" i="162"/>
  <c r="C373" i="162"/>
  <c r="D372" i="162"/>
  <c r="C372" i="162"/>
  <c r="D371" i="162"/>
  <c r="C371" i="162"/>
  <c r="D370" i="162"/>
  <c r="C370" i="162"/>
  <c r="D369" i="162"/>
  <c r="C369" i="162"/>
  <c r="D368" i="162"/>
  <c r="C368" i="162"/>
  <c r="D367" i="162"/>
  <c r="C367" i="162"/>
  <c r="L364" i="162"/>
  <c r="K364" i="162"/>
  <c r="J364" i="162"/>
  <c r="I364" i="162"/>
  <c r="H364" i="162"/>
  <c r="G364" i="162"/>
  <c r="F364" i="162"/>
  <c r="C364" i="162"/>
  <c r="C363" i="162"/>
  <c r="C358" i="162"/>
  <c r="D357" i="162"/>
  <c r="C357" i="162"/>
  <c r="C354" i="162" l="1"/>
  <c r="F353" i="162"/>
  <c r="F354" i="162" s="1"/>
  <c r="C353" i="162"/>
  <c r="C350" i="162"/>
  <c r="D349" i="162"/>
  <c r="C349" i="162"/>
  <c r="D348" i="162"/>
  <c r="C348" i="162"/>
  <c r="J345" i="162"/>
  <c r="I345" i="162"/>
  <c r="H345" i="162"/>
  <c r="G345" i="162"/>
  <c r="F344" i="162"/>
  <c r="F343" i="162"/>
  <c r="F342" i="162"/>
  <c r="C331" i="162"/>
  <c r="C330" i="162"/>
  <c r="C329" i="162"/>
  <c r="C326" i="162"/>
  <c r="C325" i="162"/>
  <c r="C324" i="162"/>
  <c r="C323" i="162"/>
  <c r="C319" i="162" l="1"/>
  <c r="F318" i="162" l="1"/>
  <c r="D318" i="162"/>
  <c r="C318" i="162"/>
  <c r="F317" i="162"/>
  <c r="D317" i="162"/>
  <c r="C317" i="162"/>
  <c r="F316" i="162"/>
  <c r="F319" i="162" s="1"/>
  <c r="D316" i="162"/>
  <c r="C316" i="162"/>
  <c r="C310" i="162" l="1"/>
  <c r="F309" i="162"/>
  <c r="D309" i="162"/>
  <c r="C309" i="162"/>
  <c r="F308" i="162"/>
  <c r="D308" i="162"/>
  <c r="C308" i="162"/>
  <c r="F307" i="162"/>
  <c r="D307" i="162"/>
  <c r="C307" i="162"/>
  <c r="C303" i="162"/>
  <c r="D302" i="162"/>
  <c r="C302" i="162"/>
  <c r="D301" i="162"/>
  <c r="C301" i="162"/>
  <c r="J294" i="162"/>
  <c r="I294" i="162"/>
  <c r="H294" i="162"/>
  <c r="G294" i="162"/>
  <c r="F293" i="162"/>
  <c r="F292" i="162"/>
  <c r="F291" i="162"/>
  <c r="C281" i="162"/>
  <c r="F280" i="162"/>
  <c r="D280" i="162"/>
  <c r="C280" i="162"/>
  <c r="D279" i="162"/>
  <c r="C279" i="162"/>
  <c r="D278" i="162"/>
  <c r="C278" i="162"/>
  <c r="C275" i="162" l="1"/>
  <c r="F274" i="162"/>
  <c r="D274" i="162"/>
  <c r="C274" i="162"/>
  <c r="F273" i="162"/>
  <c r="D273" i="162"/>
  <c r="C273" i="162"/>
  <c r="D272" i="162"/>
  <c r="C272" i="162"/>
  <c r="D271" i="162"/>
  <c r="C271" i="162"/>
  <c r="D270" i="162"/>
  <c r="C270" i="162"/>
  <c r="D269" i="162"/>
  <c r="C269" i="162"/>
  <c r="D268" i="162"/>
  <c r="C268" i="162"/>
  <c r="D267" i="162"/>
  <c r="C267" i="162"/>
  <c r="D266" i="162"/>
  <c r="C266" i="162"/>
  <c r="D265" i="162"/>
  <c r="C265" i="162"/>
  <c r="D264" i="162"/>
  <c r="C264" i="162"/>
  <c r="F263" i="162"/>
  <c r="D263" i="162"/>
  <c r="C263" i="162"/>
  <c r="D262" i="162"/>
  <c r="C262" i="162"/>
  <c r="F261" i="162"/>
  <c r="D261" i="162"/>
  <c r="C261" i="162"/>
  <c r="D260" i="162"/>
  <c r="C260" i="162"/>
  <c r="D259" i="162"/>
  <c r="C259" i="162"/>
  <c r="D258" i="162"/>
  <c r="C258" i="162"/>
  <c r="D257" i="162"/>
  <c r="C257" i="162"/>
  <c r="D256" i="162"/>
  <c r="C256" i="162"/>
  <c r="D255" i="162"/>
  <c r="C255" i="162"/>
  <c r="D254" i="162"/>
  <c r="C254" i="162"/>
  <c r="D253" i="162"/>
  <c r="C253" i="162"/>
  <c r="D252" i="162"/>
  <c r="C252" i="162"/>
  <c r="J249" i="162"/>
  <c r="I249" i="162"/>
  <c r="H249" i="162"/>
  <c r="G249" i="162"/>
  <c r="F248" i="162"/>
  <c r="F247" i="162"/>
  <c r="F246" i="162"/>
  <c r="C236" i="162" l="1"/>
  <c r="D235" i="162"/>
  <c r="C235" i="162"/>
  <c r="D234" i="162"/>
  <c r="C234" i="162"/>
  <c r="D233" i="162"/>
  <c r="C233" i="162"/>
  <c r="C232" i="162"/>
  <c r="C229" i="162"/>
  <c r="D228" i="162"/>
  <c r="C228" i="162"/>
  <c r="D227" i="162"/>
  <c r="C227" i="162"/>
  <c r="D226" i="162"/>
  <c r="C226" i="162"/>
  <c r="D225" i="162"/>
  <c r="C225" i="162"/>
  <c r="D224" i="162"/>
  <c r="C224" i="162"/>
  <c r="D223" i="162"/>
  <c r="C223" i="162"/>
  <c r="D222" i="162"/>
  <c r="C222" i="162"/>
  <c r="D221" i="162"/>
  <c r="C221" i="162"/>
  <c r="D220" i="162"/>
  <c r="C220" i="162"/>
  <c r="D219" i="162"/>
  <c r="C219" i="162"/>
  <c r="D218" i="162"/>
  <c r="C218" i="162"/>
  <c r="C215" i="162"/>
  <c r="D214" i="162"/>
  <c r="C214" i="162"/>
  <c r="F213" i="162"/>
  <c r="D213" i="162"/>
  <c r="C213" i="162"/>
  <c r="D212" i="162"/>
  <c r="C212" i="162"/>
  <c r="D211" i="162"/>
  <c r="C211" i="162"/>
  <c r="D210" i="162"/>
  <c r="C210" i="162"/>
  <c r="D209" i="162"/>
  <c r="C209" i="162"/>
  <c r="D208" i="162"/>
  <c r="C208" i="162"/>
  <c r="D207" i="162"/>
  <c r="C207" i="162"/>
  <c r="D206" i="162"/>
  <c r="C206" i="162"/>
  <c r="J202" i="162"/>
  <c r="I202" i="162"/>
  <c r="H202" i="162"/>
  <c r="G202" i="162"/>
  <c r="F201" i="162"/>
  <c r="F200" i="162"/>
  <c r="F199" i="162"/>
  <c r="C189" i="162"/>
  <c r="C188" i="162"/>
  <c r="C187" i="162"/>
  <c r="C184" i="162"/>
  <c r="C183" i="162"/>
  <c r="C182" i="162"/>
  <c r="C176" i="162"/>
  <c r="C175" i="162"/>
  <c r="C174" i="162"/>
  <c r="C171" i="162"/>
  <c r="C170" i="162"/>
  <c r="C169" i="162" l="1"/>
  <c r="C166" i="162"/>
  <c r="C165" i="162"/>
  <c r="C164" i="162"/>
  <c r="J162" i="162" l="1"/>
  <c r="I162" i="162"/>
  <c r="H162" i="162"/>
  <c r="G162" i="162"/>
  <c r="F161" i="162"/>
  <c r="B161" i="162"/>
  <c r="F160" i="162"/>
  <c r="F159" i="162"/>
  <c r="C149" i="162"/>
  <c r="D148" i="162"/>
  <c r="C148" i="162"/>
  <c r="D147" i="162"/>
  <c r="C147" i="162"/>
  <c r="D146" i="162"/>
  <c r="C146" i="162"/>
  <c r="D145" i="162" l="1"/>
  <c r="C145" i="162"/>
  <c r="D144" i="162"/>
  <c r="C144" i="162"/>
  <c r="D143" i="162"/>
  <c r="C143" i="162"/>
  <c r="C140" i="162"/>
  <c r="D139" i="162"/>
  <c r="C139" i="162"/>
  <c r="D138" i="162" l="1"/>
  <c r="C138" i="162"/>
  <c r="D137" i="162"/>
  <c r="C137" i="162"/>
  <c r="D136" i="162"/>
  <c r="C136" i="162"/>
  <c r="D135" i="162"/>
  <c r="C135" i="162"/>
  <c r="D134" i="162"/>
  <c r="C134" i="162"/>
  <c r="C131" i="162"/>
  <c r="D130" i="162"/>
  <c r="C130" i="162"/>
  <c r="D129" i="162"/>
  <c r="C129" i="162"/>
  <c r="D128" i="162"/>
  <c r="C128" i="162"/>
  <c r="D127" i="162" l="1"/>
  <c r="C127" i="162"/>
  <c r="D126" i="162"/>
  <c r="C126" i="162"/>
  <c r="D125" i="162"/>
  <c r="C125" i="162"/>
  <c r="D124" i="162"/>
  <c r="C124" i="162"/>
  <c r="D123" i="162"/>
  <c r="C123" i="162"/>
  <c r="D122" i="162"/>
  <c r="C122" i="162"/>
  <c r="L119" i="162"/>
  <c r="K119" i="162"/>
  <c r="K170" i="162" s="1"/>
  <c r="J119" i="162"/>
  <c r="J170" i="162" s="1"/>
  <c r="I119" i="162"/>
  <c r="I170" i="162" s="1"/>
  <c r="H119" i="162"/>
  <c r="H170" i="162" s="1"/>
  <c r="G119" i="162"/>
  <c r="G170" i="162" s="1"/>
  <c r="F119" i="162"/>
  <c r="F170" i="162" s="1"/>
  <c r="C119" i="162"/>
  <c r="C118" i="162"/>
  <c r="C115" i="162"/>
  <c r="D114" i="162"/>
  <c r="C114" i="162"/>
  <c r="J112" i="162"/>
  <c r="I112" i="162"/>
  <c r="H112" i="162"/>
  <c r="G112" i="162"/>
  <c r="F111" i="162"/>
  <c r="F110" i="162"/>
  <c r="F109" i="162"/>
  <c r="C99" i="162"/>
  <c r="D98" i="162"/>
  <c r="C98" i="162"/>
  <c r="D97" i="162"/>
  <c r="C97" i="162"/>
  <c r="D96" i="162"/>
  <c r="C96" i="162"/>
  <c r="D95" i="162"/>
  <c r="C95" i="162"/>
  <c r="D94" i="162"/>
  <c r="C94" i="162"/>
  <c r="D93" i="162"/>
  <c r="C93" i="162"/>
  <c r="C90" i="162"/>
  <c r="D89" i="162"/>
  <c r="C89" i="162"/>
  <c r="D88" i="162"/>
  <c r="C88" i="162"/>
  <c r="D87" i="162"/>
  <c r="C87" i="162"/>
  <c r="D86" i="162"/>
  <c r="C86" i="162"/>
  <c r="D85" i="162"/>
  <c r="C85" i="162"/>
  <c r="D84" i="162"/>
  <c r="C84" i="162"/>
  <c r="C78" i="162"/>
  <c r="F77" i="162"/>
  <c r="D77" i="162"/>
  <c r="C77" i="162"/>
  <c r="D76" i="162"/>
  <c r="C76" i="162"/>
  <c r="D75" i="162"/>
  <c r="C75" i="162"/>
  <c r="D74" i="162"/>
  <c r="C74" i="162"/>
  <c r="D73" i="162"/>
  <c r="C73" i="162"/>
  <c r="L170" i="162" l="1"/>
  <c r="D72" i="162"/>
  <c r="C72" i="162"/>
  <c r="D71" i="162"/>
  <c r="C71" i="162"/>
  <c r="D70" i="162"/>
  <c r="C70" i="162"/>
  <c r="D69" i="162"/>
  <c r="C69" i="162"/>
  <c r="D68" i="162"/>
  <c r="C68" i="162"/>
  <c r="L63" i="162"/>
  <c r="K63" i="162"/>
  <c r="J63" i="162"/>
  <c r="J169" i="162" s="1"/>
  <c r="I63" i="162"/>
  <c r="H63" i="162"/>
  <c r="H169" i="162" s="1"/>
  <c r="H171" i="162" s="1"/>
  <c r="G63" i="162"/>
  <c r="G169" i="162" s="1"/>
  <c r="F63" i="162"/>
  <c r="F169" i="162" s="1"/>
  <c r="C63" i="162"/>
  <c r="C62" i="162"/>
  <c r="C59" i="162"/>
  <c r="F58" i="162"/>
  <c r="D58" i="162"/>
  <c r="C58" i="162"/>
  <c r="D57" i="162"/>
  <c r="C57" i="162"/>
  <c r="J55" i="162"/>
  <c r="I55" i="162"/>
  <c r="H55" i="162"/>
  <c r="G55" i="162"/>
  <c r="F54" i="162"/>
  <c r="F53" i="162"/>
  <c r="J40" i="162"/>
  <c r="I40" i="162"/>
  <c r="H40" i="162"/>
  <c r="G40" i="162"/>
  <c r="D29" i="162"/>
  <c r="C28" i="162"/>
  <c r="C24" i="162"/>
  <c r="C23" i="162"/>
  <c r="C22" i="162"/>
  <c r="C21" i="162"/>
  <c r="C20" i="162"/>
  <c r="C19" i="162"/>
  <c r="C18" i="162"/>
  <c r="C15" i="162"/>
  <c r="C14" i="162"/>
  <c r="C13" i="162"/>
  <c r="C12" i="162"/>
  <c r="C899" i="158"/>
  <c r="C897" i="158"/>
  <c r="C896" i="158"/>
  <c r="C895" i="158"/>
  <c r="C892" i="158"/>
  <c r="C891" i="158"/>
  <c r="C890" i="158"/>
  <c r="C887" i="158"/>
  <c r="C886" i="158"/>
  <c r="C885" i="158"/>
  <c r="C884" i="158"/>
  <c r="F883" i="158"/>
  <c r="C883" i="158"/>
  <c r="C882" i="158"/>
  <c r="C881" i="158"/>
  <c r="C877" i="158"/>
  <c r="C876" i="158"/>
  <c r="C875" i="158"/>
  <c r="C872" i="158"/>
  <c r="C871" i="158"/>
  <c r="C870" i="158"/>
  <c r="C869" i="158"/>
  <c r="C868" i="158"/>
  <c r="C867" i="158"/>
  <c r="I865" i="158"/>
  <c r="H865" i="158"/>
  <c r="G865" i="158"/>
  <c r="F864" i="158"/>
  <c r="F863" i="158"/>
  <c r="F849" i="158"/>
  <c r="E844" i="158"/>
  <c r="E841" i="158"/>
  <c r="E840" i="158"/>
  <c r="E839" i="158"/>
  <c r="E838" i="158"/>
  <c r="E835" i="158"/>
  <c r="E834" i="158"/>
  <c r="E833" i="158"/>
  <c r="E832" i="158"/>
  <c r="E831" i="158"/>
  <c r="E828" i="158"/>
  <c r="E827" i="158"/>
  <c r="E826" i="158"/>
  <c r="E825" i="158"/>
  <c r="E824" i="158"/>
  <c r="E823" i="158"/>
  <c r="E822" i="158"/>
  <c r="E821" i="158"/>
  <c r="O818" i="158"/>
  <c r="G171" i="162" l="1"/>
  <c r="I169" i="162"/>
  <c r="J171" i="162"/>
  <c r="I171" i="162" s="1"/>
  <c r="H47" i="49"/>
  <c r="D16" i="6"/>
  <c r="H40" i="49"/>
  <c r="F40" i="165"/>
  <c r="D15" i="6"/>
  <c r="G47" i="49"/>
  <c r="G40" i="49"/>
  <c r="F40" i="164"/>
  <c r="K40" i="162"/>
  <c r="K40" i="49" s="1"/>
  <c r="D18" i="6"/>
  <c r="J47" i="49"/>
  <c r="J40" i="49"/>
  <c r="F40" i="167"/>
  <c r="F171" i="162"/>
  <c r="F40" i="162"/>
  <c r="D17" i="6"/>
  <c r="I47" i="49"/>
  <c r="I40" i="49"/>
  <c r="F40" i="166"/>
  <c r="J818" i="158"/>
  <c r="K818" i="158" s="1"/>
  <c r="E818" i="158"/>
  <c r="E817" i="158"/>
  <c r="E816" i="158"/>
  <c r="I814" i="158"/>
  <c r="H814" i="158"/>
  <c r="G814" i="158"/>
  <c r="F813" i="158"/>
  <c r="F812" i="158"/>
  <c r="E803" i="158"/>
  <c r="E802" i="158"/>
  <c r="D17" i="8" l="1"/>
  <c r="D17" i="24"/>
  <c r="D17" i="7"/>
  <c r="F47" i="49"/>
  <c r="F40" i="49"/>
  <c r="L40" i="162"/>
  <c r="D16" i="8"/>
  <c r="D16" i="24"/>
  <c r="D16" i="7"/>
  <c r="K169" i="162"/>
  <c r="D18" i="8"/>
  <c r="D18" i="24"/>
  <c r="D18" i="7"/>
  <c r="D15" i="8"/>
  <c r="D15" i="24"/>
  <c r="D15" i="7"/>
  <c r="D20" i="6"/>
  <c r="G20" i="6" s="1"/>
  <c r="K171" i="162" l="1"/>
  <c r="L169" i="162"/>
  <c r="L171" i="162" s="1"/>
  <c r="L47" i="49"/>
  <c r="K47" i="49" s="1"/>
  <c r="L40" i="49"/>
  <c r="L42" i="162"/>
  <c r="L44" i="162"/>
  <c r="D20" i="24"/>
  <c r="D35" i="24" s="1"/>
  <c r="D20" i="8"/>
  <c r="D35" i="8" s="1"/>
  <c r="E801" i="158"/>
  <c r="E800" i="158"/>
  <c r="E799" i="158"/>
  <c r="E796" i="158"/>
  <c r="G20" i="24" l="1"/>
  <c r="L42" i="49"/>
  <c r="L44" i="49"/>
  <c r="G20" i="8"/>
  <c r="E795" i="158"/>
  <c r="E794" i="158"/>
  <c r="E793" i="158"/>
  <c r="E792" i="158"/>
  <c r="E789" i="158"/>
  <c r="E788" i="158"/>
  <c r="E787" i="158"/>
  <c r="E786" i="158"/>
  <c r="E785" i="158"/>
  <c r="E784" i="158"/>
  <c r="E783" i="158"/>
  <c r="E782" i="158"/>
  <c r="E762" i="158"/>
  <c r="E760" i="158"/>
  <c r="E758" i="158"/>
  <c r="I756" i="158"/>
  <c r="H756" i="158"/>
  <c r="G756" i="158"/>
  <c r="F755" i="158"/>
  <c r="F754" i="158"/>
  <c r="E745" i="158"/>
  <c r="D745" i="158"/>
  <c r="E744" i="158"/>
  <c r="D744" i="158"/>
  <c r="I742" i="158"/>
  <c r="H742" i="158"/>
  <c r="G742" i="158"/>
  <c r="E742" i="158"/>
  <c r="J741" i="158"/>
  <c r="K741" i="158" s="1"/>
  <c r="I740" i="158"/>
  <c r="H740" i="158"/>
  <c r="G740" i="158"/>
  <c r="E740" i="158"/>
  <c r="J739" i="158"/>
  <c r="K739" i="158" s="1"/>
  <c r="E738" i="158"/>
  <c r="H737" i="158"/>
  <c r="G738" i="158" s="1"/>
  <c r="F737" i="158"/>
  <c r="E736" i="158"/>
  <c r="C736" i="158"/>
  <c r="F735" i="158"/>
  <c r="G735" i="158" s="1"/>
  <c r="E734" i="158"/>
  <c r="E732" i="158"/>
  <c r="E730" i="158"/>
  <c r="E728" i="158"/>
  <c r="E726" i="158"/>
  <c r="E724" i="158"/>
  <c r="E722" i="158"/>
  <c r="E720" i="158"/>
  <c r="E718" i="158"/>
  <c r="G717" i="158"/>
  <c r="G718" i="158" s="1"/>
  <c r="F717" i="158"/>
  <c r="J742" i="158" l="1"/>
  <c r="K742" i="158" s="1"/>
  <c r="O742" i="158"/>
  <c r="J740" i="158"/>
  <c r="K740" i="158" s="1"/>
  <c r="O740" i="158"/>
  <c r="G736" i="158"/>
  <c r="H736" i="158"/>
  <c r="I736" i="158"/>
  <c r="J717" i="158"/>
  <c r="K717" i="158" s="1"/>
  <c r="H718" i="158"/>
  <c r="J737" i="158"/>
  <c r="K737" i="158" s="1"/>
  <c r="H738" i="158"/>
  <c r="E716" i="158"/>
  <c r="G715" i="158"/>
  <c r="G716" i="158" s="1"/>
  <c r="F715" i="158"/>
  <c r="E714" i="158"/>
  <c r="G713" i="158"/>
  <c r="H714" i="158" s="1"/>
  <c r="G714" i="158" s="1"/>
  <c r="F713" i="158"/>
  <c r="E712" i="158"/>
  <c r="E710" i="158"/>
  <c r="I716" i="158" l="1"/>
  <c r="H716" i="158" s="1"/>
  <c r="O716" i="158" s="1"/>
  <c r="J715" i="158"/>
  <c r="K715" i="158" s="1"/>
  <c r="J713" i="158"/>
  <c r="K713" i="158" s="1"/>
  <c r="I714" i="158"/>
  <c r="O714" i="158" s="1"/>
  <c r="O736" i="158"/>
  <c r="E708" i="158"/>
  <c r="F707" i="158"/>
  <c r="I705" i="158"/>
  <c r="H705" i="158"/>
  <c r="G705" i="158"/>
  <c r="F704" i="158"/>
  <c r="F703" i="158"/>
  <c r="K694" i="158"/>
  <c r="K643" i="158" s="1"/>
  <c r="J694" i="158"/>
  <c r="I694" i="158"/>
  <c r="H694" i="158"/>
  <c r="G694" i="158"/>
  <c r="C694" i="158"/>
  <c r="K693" i="158"/>
  <c r="J693" i="158"/>
  <c r="I693" i="158"/>
  <c r="H693" i="158"/>
  <c r="G693" i="158"/>
  <c r="C693" i="158"/>
  <c r="K692" i="158"/>
  <c r="J692" i="158"/>
  <c r="I692" i="158"/>
  <c r="H692" i="158"/>
  <c r="G692" i="158"/>
  <c r="C692" i="158"/>
  <c r="K691" i="158"/>
  <c r="J691" i="158"/>
  <c r="I691" i="158"/>
  <c r="H691" i="158"/>
  <c r="G691" i="158"/>
  <c r="C691" i="158"/>
  <c r="C688" i="158"/>
  <c r="C687" i="158"/>
  <c r="C686" i="158"/>
  <c r="C685" i="158"/>
  <c r="C684" i="158"/>
  <c r="C683" i="158"/>
  <c r="F680" i="158"/>
  <c r="C680" i="158"/>
  <c r="F679" i="158"/>
  <c r="C679" i="158"/>
  <c r="C678" i="158"/>
  <c r="F677" i="158"/>
  <c r="C677" i="158"/>
  <c r="C676" i="158"/>
  <c r="C673" i="158"/>
  <c r="F672" i="158"/>
  <c r="C672" i="158"/>
  <c r="F671" i="158"/>
  <c r="C671" i="158"/>
  <c r="C670" i="158"/>
  <c r="F669" i="158"/>
  <c r="C669" i="158"/>
  <c r="C668" i="158"/>
  <c r="I665" i="158"/>
  <c r="H665" i="158"/>
  <c r="G665" i="158"/>
  <c r="F664" i="158"/>
  <c r="F663" i="158"/>
  <c r="K649" i="158"/>
  <c r="C647" i="158"/>
  <c r="C646" i="158"/>
  <c r="C645" i="158"/>
  <c r="C644" i="158"/>
  <c r="J643" i="158" l="1"/>
  <c r="J716" i="158"/>
  <c r="K716" i="158" s="1"/>
  <c r="G852" i="158"/>
  <c r="H849" i="158"/>
  <c r="H852" i="158"/>
  <c r="I849" i="158"/>
  <c r="I852" i="158"/>
  <c r="G849" i="158"/>
  <c r="I643" i="158"/>
  <c r="H643" i="158"/>
  <c r="G643" i="158" s="1"/>
  <c r="F643" i="158"/>
  <c r="C643" i="158"/>
  <c r="C641" i="158"/>
  <c r="C640" i="158"/>
  <c r="C639" i="158"/>
  <c r="C637" i="158"/>
  <c r="C636" i="158"/>
  <c r="C635" i="158"/>
  <c r="C634" i="158"/>
  <c r="C633" i="158"/>
  <c r="C630" i="158"/>
  <c r="C629" i="158"/>
  <c r="D628" i="158"/>
  <c r="C628" i="158"/>
  <c r="D627" i="158"/>
  <c r="C627" i="158"/>
  <c r="C626" i="158"/>
  <c r="D625" i="158"/>
  <c r="C625" i="158"/>
  <c r="I623" i="158"/>
  <c r="H623" i="158"/>
  <c r="G623" i="158"/>
  <c r="F622" i="158"/>
  <c r="F621" i="158"/>
  <c r="K565" i="158"/>
  <c r="K652" i="158" s="1"/>
  <c r="J652" i="158" s="1"/>
  <c r="I565" i="158"/>
  <c r="I652" i="158" s="1"/>
  <c r="H565" i="158"/>
  <c r="H652" i="158" s="1"/>
  <c r="G565" i="158"/>
  <c r="G652" i="158" s="1"/>
  <c r="F565" i="158"/>
  <c r="F652" i="158" s="1"/>
  <c r="C563" i="158"/>
  <c r="C562" i="158"/>
  <c r="C561" i="158"/>
  <c r="C557" i="158"/>
  <c r="C556" i="158"/>
  <c r="C555" i="158"/>
  <c r="K554" i="158"/>
  <c r="I554" i="158"/>
  <c r="H554" i="158"/>
  <c r="G554" i="158"/>
  <c r="F554" i="158"/>
  <c r="C554" i="158"/>
  <c r="C552" i="158"/>
  <c r="C551" i="158"/>
  <c r="C549" i="158"/>
  <c r="C548" i="158"/>
  <c r="C545" i="158"/>
  <c r="C544" i="158"/>
  <c r="C543" i="158"/>
  <c r="F540" i="158"/>
  <c r="F562" i="158" s="1"/>
  <c r="C540" i="158"/>
  <c r="C539" i="158"/>
  <c r="C536" i="158"/>
  <c r="D535" i="158"/>
  <c r="C535" i="158"/>
  <c r="C532" i="158"/>
  <c r="D531" i="158"/>
  <c r="J849" i="158" l="1"/>
  <c r="K849" i="158" s="1"/>
  <c r="J852" i="158"/>
  <c r="K852" i="158" s="1"/>
  <c r="D530" i="158"/>
  <c r="C530" i="158"/>
  <c r="D529" i="158"/>
  <c r="C529" i="158"/>
  <c r="D528" i="158"/>
  <c r="C528" i="158"/>
  <c r="D527" i="158"/>
  <c r="C527" i="158"/>
  <c r="C522" i="158"/>
  <c r="D521" i="158"/>
  <c r="C521" i="158"/>
  <c r="D520" i="158"/>
  <c r="C520" i="158"/>
  <c r="D519" i="158"/>
  <c r="C519" i="158"/>
  <c r="C516" i="158"/>
  <c r="D515" i="158"/>
  <c r="C515" i="158"/>
  <c r="I512" i="158"/>
  <c r="H512" i="158"/>
  <c r="G512" i="158"/>
  <c r="F511" i="158"/>
  <c r="F510" i="158"/>
  <c r="C501" i="158"/>
  <c r="C500" i="158"/>
  <c r="C499" i="158"/>
  <c r="C498" i="158"/>
  <c r="C493" i="158"/>
  <c r="C492" i="158"/>
  <c r="D491" i="158"/>
  <c r="C491" i="158"/>
  <c r="C488" i="158"/>
  <c r="D487" i="158"/>
  <c r="C487" i="158"/>
  <c r="D486" i="158"/>
  <c r="C486" i="158"/>
  <c r="D485" i="158"/>
  <c r="C485" i="158"/>
  <c r="D484" i="158"/>
  <c r="C484" i="158"/>
  <c r="C481" i="158"/>
  <c r="D480" i="158"/>
  <c r="C480" i="158"/>
  <c r="D479" i="158"/>
  <c r="C479" i="158"/>
  <c r="I476" i="158"/>
  <c r="H476" i="158"/>
  <c r="G476" i="158"/>
  <c r="F475" i="158"/>
  <c r="F474" i="158"/>
  <c r="C462" i="158"/>
  <c r="D461" i="158"/>
  <c r="C461" i="158"/>
  <c r="C458" i="158"/>
  <c r="D457" i="158"/>
  <c r="C457" i="158"/>
  <c r="C454" i="158"/>
  <c r="D453" i="158"/>
  <c r="C453" i="158"/>
  <c r="K450" i="158"/>
  <c r="J450" i="158"/>
  <c r="I450" i="158"/>
  <c r="H450" i="158"/>
  <c r="G450" i="158"/>
  <c r="F450" i="158"/>
  <c r="C450" i="158"/>
  <c r="C447" i="158"/>
  <c r="D446" i="158"/>
  <c r="C446" i="158"/>
  <c r="I444" i="158"/>
  <c r="H444" i="158"/>
  <c r="G444" i="158"/>
  <c r="F443" i="158"/>
  <c r="F442" i="158"/>
  <c r="C433" i="158"/>
  <c r="C431" i="158"/>
  <c r="D430" i="158"/>
  <c r="C430" i="158"/>
  <c r="D429" i="158"/>
  <c r="C429" i="158"/>
  <c r="D428" i="158"/>
  <c r="C428" i="158"/>
  <c r="D427" i="158" l="1"/>
  <c r="C427" i="158"/>
  <c r="D426" i="158"/>
  <c r="C426" i="158"/>
  <c r="D425" i="158"/>
  <c r="C425" i="158"/>
  <c r="D424" i="158"/>
  <c r="C424" i="158"/>
  <c r="D423" i="158"/>
  <c r="C423" i="158"/>
  <c r="D422" i="158"/>
  <c r="C422" i="158"/>
  <c r="D421" i="158"/>
  <c r="C421" i="158"/>
  <c r="D420" i="158"/>
  <c r="C420" i="158"/>
  <c r="D419" i="158"/>
  <c r="C419" i="158"/>
  <c r="D418" i="158"/>
  <c r="C418" i="158"/>
  <c r="D417" i="158"/>
  <c r="C417" i="158"/>
  <c r="C416" i="158"/>
  <c r="D415" i="158"/>
  <c r="C415" i="158"/>
  <c r="D414" i="158"/>
  <c r="C414" i="158"/>
  <c r="D413" i="158" l="1"/>
  <c r="C413" i="158"/>
  <c r="D412" i="158"/>
  <c r="C412" i="158"/>
  <c r="D411" i="158" l="1"/>
  <c r="C411" i="158"/>
  <c r="D410" i="158"/>
  <c r="C410" i="158"/>
  <c r="C407" i="158"/>
  <c r="D406" i="158"/>
  <c r="C406" i="158"/>
  <c r="C403" i="158"/>
  <c r="D402" i="158" l="1"/>
  <c r="C402" i="158"/>
  <c r="I400" i="158"/>
  <c r="H400" i="158"/>
  <c r="G400" i="158"/>
  <c r="F399" i="158"/>
  <c r="F398" i="158"/>
  <c r="C389" i="158"/>
  <c r="D388" i="158"/>
  <c r="C388" i="158"/>
  <c r="D387" i="158"/>
  <c r="C387" i="158"/>
  <c r="D386" i="158"/>
  <c r="C386" i="158"/>
  <c r="D385" i="158"/>
  <c r="C385" i="158"/>
  <c r="D384" i="158"/>
  <c r="C384" i="158"/>
  <c r="D383" i="158"/>
  <c r="C383" i="158"/>
  <c r="D382" i="158"/>
  <c r="C382" i="158"/>
  <c r="D381" i="158"/>
  <c r="C381" i="158"/>
  <c r="C378" i="158"/>
  <c r="D377" i="158"/>
  <c r="C377" i="158"/>
  <c r="D376" i="158"/>
  <c r="C376" i="158"/>
  <c r="D375" i="158" l="1"/>
  <c r="C375" i="158"/>
  <c r="D374" i="158"/>
  <c r="C374" i="158"/>
  <c r="D373" i="158"/>
  <c r="C373" i="158"/>
  <c r="D372" i="158"/>
  <c r="C372" i="158"/>
  <c r="D371" i="158" l="1"/>
  <c r="C371" i="158"/>
  <c r="D370" i="158"/>
  <c r="C370" i="158"/>
  <c r="D369" i="158"/>
  <c r="C369" i="158"/>
  <c r="D368" i="158"/>
  <c r="C368" i="158"/>
  <c r="D367" i="158"/>
  <c r="C367" i="158"/>
  <c r="K364" i="158"/>
  <c r="J364" i="158"/>
  <c r="I364" i="158"/>
  <c r="H364" i="158"/>
  <c r="G364" i="158"/>
  <c r="F364" i="158"/>
  <c r="C364" i="158"/>
  <c r="C363" i="158"/>
  <c r="C358" i="158"/>
  <c r="D357" i="158" l="1"/>
  <c r="C357" i="158"/>
  <c r="F354" i="158"/>
  <c r="C354" i="158"/>
  <c r="I353" i="158"/>
  <c r="H353" i="158"/>
  <c r="G353" i="158"/>
  <c r="G354" i="158" s="1"/>
  <c r="C353" i="158"/>
  <c r="C350" i="158"/>
  <c r="J353" i="158" l="1"/>
  <c r="J354" i="158" s="1"/>
  <c r="I354" i="158" s="1"/>
  <c r="H354" i="158" s="1"/>
  <c r="D349" i="158"/>
  <c r="C349" i="158"/>
  <c r="D348" i="158"/>
  <c r="C348" i="158"/>
  <c r="I345" i="158"/>
  <c r="H345" i="158"/>
  <c r="G345" i="158"/>
  <c r="F344" i="158"/>
  <c r="F343" i="158"/>
  <c r="C331" i="158"/>
  <c r="C330" i="158"/>
  <c r="C329" i="158"/>
  <c r="C326" i="158"/>
  <c r="C325" i="158"/>
  <c r="C324" i="158"/>
  <c r="C323" i="158"/>
  <c r="C319" i="158"/>
  <c r="D318" i="158"/>
  <c r="C318" i="158"/>
  <c r="D317" i="158"/>
  <c r="C317" i="158"/>
  <c r="D316" i="158"/>
  <c r="C316" i="158"/>
  <c r="K353" i="158" l="1"/>
  <c r="K354" i="158" s="1"/>
  <c r="C310" i="158"/>
  <c r="D309" i="158"/>
  <c r="C309" i="158"/>
  <c r="D308" i="158"/>
  <c r="C308" i="158"/>
  <c r="D307" i="158"/>
  <c r="C307" i="158"/>
  <c r="C303" i="158"/>
  <c r="D302" i="158"/>
  <c r="C302" i="158"/>
  <c r="D301" i="158"/>
  <c r="C301" i="158"/>
  <c r="I294" i="158"/>
  <c r="H294" i="158"/>
  <c r="G294" i="158"/>
  <c r="F293" i="158"/>
  <c r="F292" i="158"/>
  <c r="C281" i="158"/>
  <c r="D280" i="158"/>
  <c r="C280" i="158"/>
  <c r="D279" i="158"/>
  <c r="C279" i="158"/>
  <c r="D278" i="158"/>
  <c r="C278" i="158"/>
  <c r="C275" i="158"/>
  <c r="D274" i="158"/>
  <c r="C274" i="158"/>
  <c r="D273" i="158"/>
  <c r="C273" i="158"/>
  <c r="D272" i="158"/>
  <c r="C272" i="158"/>
  <c r="D271" i="158"/>
  <c r="C271" i="158"/>
  <c r="D270" i="158"/>
  <c r="C270" i="158"/>
  <c r="D269" i="158" l="1"/>
  <c r="C269" i="158"/>
  <c r="D268" i="158"/>
  <c r="C268" i="158"/>
  <c r="D267" i="158"/>
  <c r="C267" i="158"/>
  <c r="D266" i="158"/>
  <c r="C266" i="158"/>
  <c r="D265" i="158"/>
  <c r="C265" i="158"/>
  <c r="D264" i="158"/>
  <c r="C264" i="158"/>
  <c r="D263" i="158"/>
  <c r="C263" i="158"/>
  <c r="D262" i="158"/>
  <c r="C262" i="158"/>
  <c r="D261" i="158"/>
  <c r="C261" i="158"/>
  <c r="D260" i="158"/>
  <c r="C260" i="158"/>
  <c r="D259" i="158"/>
  <c r="C259" i="158"/>
  <c r="D258" i="158"/>
  <c r="C258" i="158"/>
  <c r="D257" i="158"/>
  <c r="C257" i="158"/>
  <c r="D256" i="158"/>
  <c r="C256" i="158"/>
  <c r="D255" i="158"/>
  <c r="C255" i="158"/>
  <c r="D254" i="158" l="1"/>
  <c r="C254" i="158"/>
  <c r="D253" i="158"/>
  <c r="C253" i="158"/>
  <c r="D252" i="158"/>
  <c r="C252" i="158"/>
  <c r="I249" i="158"/>
  <c r="H249" i="158"/>
  <c r="G249" i="158"/>
  <c r="F248" i="158"/>
  <c r="F247" i="158"/>
  <c r="C236" i="158"/>
  <c r="D235" i="158"/>
  <c r="C235" i="158"/>
  <c r="D234" i="158"/>
  <c r="C234" i="158"/>
  <c r="D233" i="158"/>
  <c r="C233" i="158"/>
  <c r="C232" i="158"/>
  <c r="C229" i="158"/>
  <c r="D228" i="158"/>
  <c r="C228" i="158"/>
  <c r="D227" i="158"/>
  <c r="C227" i="158"/>
  <c r="D226" i="158"/>
  <c r="C226" i="158"/>
  <c r="D225" i="158"/>
  <c r="C225" i="158"/>
  <c r="D224" i="158"/>
  <c r="C224" i="158"/>
  <c r="D223" i="158"/>
  <c r="C223" i="158"/>
  <c r="D222" i="158" l="1"/>
  <c r="C222" i="158"/>
  <c r="D221" i="158"/>
  <c r="C221" i="158"/>
  <c r="D220" i="158"/>
  <c r="C220" i="158"/>
  <c r="D219" i="158"/>
  <c r="C219" i="158"/>
  <c r="D218" i="158"/>
  <c r="C218" i="158"/>
  <c r="C215" i="158"/>
  <c r="D214" i="158"/>
  <c r="C214" i="158"/>
  <c r="D213" i="158"/>
  <c r="C213" i="158"/>
  <c r="D212" i="158"/>
  <c r="C212" i="158"/>
  <c r="D211" i="158"/>
  <c r="C211" i="158"/>
  <c r="D210" i="158"/>
  <c r="C210" i="158"/>
  <c r="D209" i="158"/>
  <c r="C209" i="158"/>
  <c r="D208" i="158"/>
  <c r="C208" i="158"/>
  <c r="D207" i="158" l="1"/>
  <c r="C207" i="158"/>
  <c r="D206" i="158"/>
  <c r="C206" i="158"/>
  <c r="I202" i="158"/>
  <c r="H202" i="158"/>
  <c r="G202" i="158"/>
  <c r="F201" i="158"/>
  <c r="F200" i="158"/>
  <c r="C189" i="158"/>
  <c r="C188" i="158"/>
  <c r="C187" i="158"/>
  <c r="C184" i="158"/>
  <c r="C183" i="158"/>
  <c r="C182" i="158"/>
  <c r="C176" i="158"/>
  <c r="C175" i="158"/>
  <c r="C174" i="158"/>
  <c r="C171" i="158"/>
  <c r="C170" i="158"/>
  <c r="C169" i="158"/>
  <c r="C166" i="158"/>
  <c r="C165" i="158"/>
  <c r="C164" i="158"/>
  <c r="I162" i="158"/>
  <c r="H162" i="158"/>
  <c r="G162" i="158"/>
  <c r="F161" i="158"/>
  <c r="B161" i="158"/>
  <c r="F160" i="158"/>
  <c r="C149" i="158"/>
  <c r="D148" i="158"/>
  <c r="C148" i="158"/>
  <c r="D147" i="158"/>
  <c r="C147" i="158"/>
  <c r="D146" i="158"/>
  <c r="C146" i="158"/>
  <c r="D145" i="158"/>
  <c r="C145" i="158"/>
  <c r="D144" i="158"/>
  <c r="C144" i="158"/>
  <c r="D143" i="158"/>
  <c r="C143" i="158"/>
  <c r="C140" i="158"/>
  <c r="D139" i="158"/>
  <c r="C139" i="158"/>
  <c r="D138" i="158"/>
  <c r="C138" i="158"/>
  <c r="D137" i="158"/>
  <c r="C137" i="158"/>
  <c r="D136" i="158"/>
  <c r="C136" i="158"/>
  <c r="D135" i="158"/>
  <c r="C135" i="158"/>
  <c r="D134" i="158"/>
  <c r="C134" i="158"/>
  <c r="C131" i="158"/>
  <c r="D130" i="158" l="1"/>
  <c r="C130" i="158"/>
  <c r="D129" i="158"/>
  <c r="C129" i="158"/>
  <c r="D128" i="158"/>
  <c r="C128" i="158"/>
  <c r="D127" i="158"/>
  <c r="C127" i="158"/>
  <c r="D126" i="158"/>
  <c r="C126" i="158"/>
  <c r="D125" i="158"/>
  <c r="C125" i="158"/>
  <c r="D124" i="158" l="1"/>
  <c r="C124" i="158"/>
  <c r="D123" i="158"/>
  <c r="C123" i="158"/>
  <c r="D122" i="158"/>
  <c r="C122" i="158"/>
  <c r="K119" i="158"/>
  <c r="J119" i="158"/>
  <c r="J170" i="158" s="1"/>
  <c r="I119" i="158"/>
  <c r="I170" i="158" s="1"/>
  <c r="H119" i="158"/>
  <c r="H170" i="158" s="1"/>
  <c r="G119" i="158"/>
  <c r="G170" i="158" s="1"/>
  <c r="F119" i="158"/>
  <c r="F170" i="158" s="1"/>
  <c r="C119" i="158"/>
  <c r="C118" i="158"/>
  <c r="C115" i="158"/>
  <c r="D114" i="158"/>
  <c r="C114" i="158"/>
  <c r="I112" i="158"/>
  <c r="H112" i="158"/>
  <c r="G112" i="158"/>
  <c r="F111" i="158"/>
  <c r="F110" i="158"/>
  <c r="C99" i="158"/>
  <c r="D98" i="158"/>
  <c r="C98" i="158"/>
  <c r="D97" i="158"/>
  <c r="C97" i="158"/>
  <c r="D96" i="158"/>
  <c r="C96" i="158"/>
  <c r="D95" i="158"/>
  <c r="C95" i="158"/>
  <c r="D94" i="158"/>
  <c r="C94" i="158"/>
  <c r="D93" i="158"/>
  <c r="C93" i="158"/>
  <c r="C90" i="158"/>
  <c r="D89" i="158"/>
  <c r="C89" i="158"/>
  <c r="D88" i="158"/>
  <c r="C88" i="158"/>
  <c r="D87" i="158"/>
  <c r="C87" i="158"/>
  <c r="D86" i="158"/>
  <c r="C86" i="158"/>
  <c r="D85" i="158"/>
  <c r="C85" i="158"/>
  <c r="D84" i="158"/>
  <c r="C84" i="158"/>
  <c r="C78" i="158"/>
  <c r="D77" i="158"/>
  <c r="C77" i="158"/>
  <c r="D76" i="158"/>
  <c r="C76" i="158"/>
  <c r="D75" i="158"/>
  <c r="C75" i="158"/>
  <c r="D74" i="158"/>
  <c r="C74" i="158"/>
  <c r="D73" i="158"/>
  <c r="C73" i="158"/>
  <c r="D72" i="158"/>
  <c r="C72" i="158"/>
  <c r="D71" i="158"/>
  <c r="C71" i="158"/>
  <c r="D70" i="158"/>
  <c r="C70" i="158"/>
  <c r="D69" i="158"/>
  <c r="C69" i="158"/>
  <c r="D68" i="158"/>
  <c r="C68" i="158"/>
  <c r="K63" i="158"/>
  <c r="J63" i="158"/>
  <c r="J169" i="158" s="1"/>
  <c r="I63" i="158"/>
  <c r="I169" i="158" s="1"/>
  <c r="I171" i="158" s="1"/>
  <c r="H63" i="158"/>
  <c r="H169" i="158" s="1"/>
  <c r="H171" i="158" s="1"/>
  <c r="G63" i="158"/>
  <c r="G169" i="158" s="1"/>
  <c r="F63" i="158"/>
  <c r="F169" i="158" s="1"/>
  <c r="C63" i="158"/>
  <c r="C62" i="158"/>
  <c r="C59" i="158"/>
  <c r="D58" i="158"/>
  <c r="C58" i="158"/>
  <c r="D57" i="158"/>
  <c r="C57" i="158"/>
  <c r="I55" i="158"/>
  <c r="H55" i="158"/>
  <c r="G55" i="158"/>
  <c r="F54" i="158"/>
  <c r="F53" i="158"/>
  <c r="G171" i="158" l="1"/>
  <c r="J171" i="158"/>
  <c r="K170" i="158"/>
  <c r="F171" i="158"/>
  <c r="K169" i="158"/>
  <c r="K171" i="158" l="1"/>
  <c r="K40" i="158"/>
  <c r="K31" i="158"/>
  <c r="D29" i="158"/>
  <c r="C28" i="158"/>
  <c r="C24" i="158"/>
  <c r="C23" i="158"/>
  <c r="C22" i="158"/>
  <c r="C21" i="158"/>
  <c r="C20" i="158"/>
  <c r="C19" i="158"/>
  <c r="C18" i="158"/>
  <c r="C15" i="158"/>
  <c r="C14" i="158"/>
  <c r="C13" i="158"/>
  <c r="C12" i="158"/>
  <c r="C899" i="161"/>
  <c r="C897" i="161"/>
  <c r="C896" i="161"/>
  <c r="C895" i="161"/>
  <c r="C892" i="161"/>
  <c r="C891" i="161"/>
  <c r="C890" i="161"/>
  <c r="C887" i="161"/>
  <c r="C886" i="161"/>
  <c r="C885" i="161"/>
  <c r="C884" i="161"/>
  <c r="F883" i="161"/>
  <c r="C883" i="161"/>
  <c r="C882" i="161"/>
  <c r="C881" i="161"/>
  <c r="C877" i="161"/>
  <c r="C876" i="161"/>
  <c r="C875" i="161"/>
  <c r="C872" i="161"/>
  <c r="C871" i="161"/>
  <c r="C870" i="161"/>
  <c r="C869" i="161"/>
  <c r="C868" i="161"/>
  <c r="C867" i="161"/>
  <c r="J865" i="161"/>
  <c r="I865" i="161"/>
  <c r="H865" i="161"/>
  <c r="G865" i="161"/>
  <c r="J864" i="161"/>
  <c r="I864" i="161"/>
  <c r="H864" i="161"/>
  <c r="G864" i="161"/>
  <c r="F864" i="161"/>
  <c r="J863" i="161"/>
  <c r="I863" i="161"/>
  <c r="H863" i="161"/>
  <c r="G863" i="161"/>
  <c r="F863" i="161"/>
  <c r="K44" i="158" l="1"/>
  <c r="K42" i="158"/>
  <c r="E854" i="161"/>
  <c r="E853" i="161"/>
  <c r="E852" i="161"/>
  <c r="E851" i="161"/>
  <c r="E850" i="161"/>
  <c r="F849" i="161" l="1"/>
  <c r="E849" i="161"/>
  <c r="E844" i="161"/>
  <c r="E841" i="161"/>
  <c r="E840" i="161"/>
  <c r="E839" i="161"/>
  <c r="E838" i="161"/>
  <c r="E835" i="161"/>
  <c r="E834" i="161" l="1"/>
  <c r="E833" i="161"/>
  <c r="E832" i="161"/>
  <c r="E831" i="161"/>
  <c r="E828" i="161"/>
  <c r="E827" i="161"/>
  <c r="E826" i="161" l="1"/>
  <c r="E825" i="161"/>
  <c r="E824" i="161"/>
  <c r="E823" i="161"/>
  <c r="E822" i="161"/>
  <c r="E821" i="161"/>
  <c r="P818" i="161"/>
  <c r="L818" i="161"/>
  <c r="G818" i="161"/>
  <c r="E818" i="161"/>
  <c r="E817" i="161"/>
  <c r="E816" i="161"/>
  <c r="J813" i="161"/>
  <c r="I813" i="161"/>
  <c r="H813" i="161"/>
  <c r="G813" i="161"/>
  <c r="F813" i="161"/>
  <c r="J812" i="161"/>
  <c r="I812" i="161"/>
  <c r="H812" i="161"/>
  <c r="G812" i="161"/>
  <c r="F812" i="161"/>
  <c r="E803" i="161"/>
  <c r="E802" i="161"/>
  <c r="E801" i="161" l="1"/>
  <c r="E800" i="161"/>
  <c r="E799" i="161"/>
  <c r="E796" i="161"/>
  <c r="E795" i="161"/>
  <c r="E794" i="161"/>
  <c r="E793" i="161"/>
  <c r="E792" i="161"/>
  <c r="E789" i="161"/>
  <c r="E788" i="161"/>
  <c r="E787" i="161"/>
  <c r="E786" i="161"/>
  <c r="E785" i="161"/>
  <c r="E784" i="161"/>
  <c r="E783" i="161"/>
  <c r="E782" i="161"/>
  <c r="J763" i="161" l="1"/>
  <c r="I763" i="161"/>
  <c r="H763" i="161"/>
  <c r="G763" i="161"/>
  <c r="F763" i="161"/>
  <c r="H764" i="161" l="1"/>
  <c r="I764" i="161"/>
  <c r="J764" i="161"/>
  <c r="K763" i="161"/>
  <c r="L763" i="161" s="1"/>
  <c r="E762" i="161"/>
  <c r="G764" i="161" l="1"/>
  <c r="J761" i="161"/>
  <c r="I761" i="161"/>
  <c r="H761" i="161"/>
  <c r="G761" i="161"/>
  <c r="F761" i="161"/>
  <c r="E760" i="161"/>
  <c r="E758" i="161"/>
  <c r="J755" i="161"/>
  <c r="I755" i="161"/>
  <c r="H755" i="161"/>
  <c r="G755" i="161"/>
  <c r="F755" i="161"/>
  <c r="J754" i="161"/>
  <c r="I754" i="161"/>
  <c r="H754" i="161"/>
  <c r="G754" i="161"/>
  <c r="F754" i="161"/>
  <c r="E745" i="161"/>
  <c r="D745" i="161"/>
  <c r="E744" i="161"/>
  <c r="D744" i="161"/>
  <c r="J742" i="161"/>
  <c r="I742" i="161"/>
  <c r="H742" i="161"/>
  <c r="E742" i="161"/>
  <c r="K761" i="161" l="1"/>
  <c r="L761" i="161" s="1"/>
  <c r="J762" i="161"/>
  <c r="H762" i="161"/>
  <c r="I762" i="161"/>
  <c r="K741" i="161"/>
  <c r="J740" i="161"/>
  <c r="I740" i="161"/>
  <c r="H740" i="161"/>
  <c r="E740" i="161"/>
  <c r="K739" i="161"/>
  <c r="E738" i="161"/>
  <c r="J737" i="161"/>
  <c r="I737" i="161"/>
  <c r="F737" i="161"/>
  <c r="E736" i="161"/>
  <c r="C736" i="161"/>
  <c r="J735" i="161"/>
  <c r="I735" i="161"/>
  <c r="F735" i="161"/>
  <c r="E734" i="161"/>
  <c r="E732" i="161"/>
  <c r="J736" i="161" l="1"/>
  <c r="L739" i="161"/>
  <c r="G740" i="161" s="1"/>
  <c r="L741" i="161"/>
  <c r="G742" i="161" s="1"/>
  <c r="I736" i="161"/>
  <c r="I738" i="161"/>
  <c r="G762" i="161"/>
  <c r="K735" i="161"/>
  <c r="L735" i="161" s="1"/>
  <c r="J738" i="161"/>
  <c r="H738" i="161"/>
  <c r="H736" i="161"/>
  <c r="K737" i="161"/>
  <c r="L737" i="161" s="1"/>
  <c r="E730" i="161"/>
  <c r="I729" i="161"/>
  <c r="H729" i="161"/>
  <c r="G729" i="161"/>
  <c r="E728" i="161"/>
  <c r="J727" i="161"/>
  <c r="H727" i="161"/>
  <c r="E726" i="161"/>
  <c r="E724" i="161"/>
  <c r="J723" i="161"/>
  <c r="I723" i="161"/>
  <c r="H723" i="161"/>
  <c r="G723" i="161"/>
  <c r="E722" i="161"/>
  <c r="G721" i="161"/>
  <c r="E720" i="161"/>
  <c r="G719" i="161"/>
  <c r="E718" i="161"/>
  <c r="J717" i="161"/>
  <c r="I717" i="161"/>
  <c r="H717" i="161"/>
  <c r="G717" i="161"/>
  <c r="F717" i="161"/>
  <c r="E716" i="161"/>
  <c r="J715" i="161"/>
  <c r="I715" i="161"/>
  <c r="H715" i="161"/>
  <c r="G715" i="161"/>
  <c r="F715" i="161"/>
  <c r="E714" i="161"/>
  <c r="J713" i="161"/>
  <c r="I713" i="161"/>
  <c r="H713" i="161"/>
  <c r="G713" i="161"/>
  <c r="F713" i="161"/>
  <c r="E712" i="161"/>
  <c r="E710" i="161"/>
  <c r="I714" i="161" l="1"/>
  <c r="K717" i="161"/>
  <c r="L717" i="161" s="1"/>
  <c r="H718" i="161"/>
  <c r="G736" i="161"/>
  <c r="K736" i="161" s="1"/>
  <c r="L736" i="161" s="1"/>
  <c r="G738" i="161"/>
  <c r="H716" i="161"/>
  <c r="I718" i="161"/>
  <c r="K713" i="161"/>
  <c r="L713" i="161" s="1"/>
  <c r="K723" i="161"/>
  <c r="H714" i="161"/>
  <c r="K715" i="161"/>
  <c r="L715" i="161" s="1"/>
  <c r="J716" i="161"/>
  <c r="I716" i="161" s="1"/>
  <c r="J714" i="161"/>
  <c r="J718" i="161"/>
  <c r="P736" i="161" l="1"/>
  <c r="G714" i="161"/>
  <c r="G716" i="161"/>
  <c r="K716" i="161" s="1"/>
  <c r="L716" i="161" s="1"/>
  <c r="G718" i="161"/>
  <c r="K718" i="161" s="1"/>
  <c r="P718" i="161" s="1"/>
  <c r="L718" i="161" s="1"/>
  <c r="E708" i="161"/>
  <c r="J707" i="161"/>
  <c r="I707" i="161"/>
  <c r="H707" i="161"/>
  <c r="G707" i="161"/>
  <c r="F707" i="161"/>
  <c r="J704" i="161"/>
  <c r="I704" i="161"/>
  <c r="H704" i="161"/>
  <c r="G704" i="161"/>
  <c r="F704" i="161"/>
  <c r="J703" i="161"/>
  <c r="I703" i="161"/>
  <c r="H703" i="161"/>
  <c r="G703" i="161"/>
  <c r="F703" i="161"/>
  <c r="F702" i="161"/>
  <c r="L694" i="161"/>
  <c r="L643" i="161" s="1"/>
  <c r="K694" i="161"/>
  <c r="J694" i="161"/>
  <c r="I694" i="161"/>
  <c r="H694" i="161"/>
  <c r="G694" i="161"/>
  <c r="G643" i="161" s="1"/>
  <c r="C694" i="161"/>
  <c r="L693" i="161"/>
  <c r="K693" i="161"/>
  <c r="J693" i="161"/>
  <c r="I693" i="161"/>
  <c r="H693" i="161"/>
  <c r="G693" i="161"/>
  <c r="C693" i="161"/>
  <c r="L692" i="161"/>
  <c r="K692" i="161"/>
  <c r="J692" i="161"/>
  <c r="I692" i="161"/>
  <c r="I554" i="161" s="1"/>
  <c r="H692" i="161"/>
  <c r="H554" i="161" s="1"/>
  <c r="G692" i="161"/>
  <c r="C692" i="161"/>
  <c r="L691" i="161"/>
  <c r="K691" i="161"/>
  <c r="J691" i="161"/>
  <c r="I691" i="161"/>
  <c r="H691" i="161"/>
  <c r="G691" i="161"/>
  <c r="C691" i="161"/>
  <c r="C688" i="161"/>
  <c r="C687" i="161"/>
  <c r="C686" i="161"/>
  <c r="C685" i="161"/>
  <c r="C684" i="161"/>
  <c r="C683" i="161"/>
  <c r="C680" i="161"/>
  <c r="C679" i="161"/>
  <c r="C678" i="161"/>
  <c r="C677" i="161"/>
  <c r="C676" i="161"/>
  <c r="C673" i="161"/>
  <c r="C672" i="161"/>
  <c r="C671" i="161"/>
  <c r="C670" i="161"/>
  <c r="C669" i="161"/>
  <c r="C668" i="161"/>
  <c r="J665" i="161"/>
  <c r="I665" i="161"/>
  <c r="H665" i="161"/>
  <c r="G665" i="161"/>
  <c r="J664" i="161"/>
  <c r="I664" i="161"/>
  <c r="H664" i="161"/>
  <c r="G664" i="161"/>
  <c r="F664" i="161"/>
  <c r="J663" i="161"/>
  <c r="I663" i="161"/>
  <c r="H663" i="161"/>
  <c r="G663" i="161"/>
  <c r="F663" i="161"/>
  <c r="C647" i="161"/>
  <c r="C646" i="161"/>
  <c r="C645" i="161"/>
  <c r="C644" i="161"/>
  <c r="F643" i="161"/>
  <c r="C643" i="161"/>
  <c r="C641" i="161"/>
  <c r="C640" i="161"/>
  <c r="C639" i="161"/>
  <c r="C637" i="161"/>
  <c r="C636" i="161"/>
  <c r="C635" i="161"/>
  <c r="C634" i="161"/>
  <c r="C633" i="161"/>
  <c r="C630" i="161"/>
  <c r="C629" i="161"/>
  <c r="D628" i="161"/>
  <c r="C628" i="161"/>
  <c r="D627" i="161"/>
  <c r="C627" i="161"/>
  <c r="C626" i="161"/>
  <c r="D625" i="161"/>
  <c r="C625" i="161"/>
  <c r="J623" i="161"/>
  <c r="I623" i="161"/>
  <c r="H623" i="161"/>
  <c r="G623" i="161"/>
  <c r="J622" i="161"/>
  <c r="I622" i="161"/>
  <c r="H622" i="161"/>
  <c r="G622" i="161"/>
  <c r="F622" i="161"/>
  <c r="J621" i="161"/>
  <c r="I621" i="161"/>
  <c r="H621" i="161"/>
  <c r="G621" i="161"/>
  <c r="F621" i="161"/>
  <c r="F620" i="161"/>
  <c r="F565" i="161"/>
  <c r="F652" i="161" s="1"/>
  <c r="C563" i="161"/>
  <c r="C562" i="161"/>
  <c r="C561" i="161"/>
  <c r="C557" i="161"/>
  <c r="C556" i="161"/>
  <c r="C555" i="161"/>
  <c r="F554" i="161"/>
  <c r="C554" i="161"/>
  <c r="C552" i="161"/>
  <c r="C551" i="161"/>
  <c r="C549" i="161"/>
  <c r="C548" i="161"/>
  <c r="C545" i="161"/>
  <c r="C544" i="161"/>
  <c r="C543" i="161"/>
  <c r="F540" i="161"/>
  <c r="F891" i="161" s="1"/>
  <c r="C540" i="161"/>
  <c r="C539" i="161"/>
  <c r="C536" i="161"/>
  <c r="D535" i="161"/>
  <c r="C535" i="161"/>
  <c r="C532" i="161"/>
  <c r="D531" i="161"/>
  <c r="D530" i="161"/>
  <c r="C530" i="161"/>
  <c r="D529" i="161"/>
  <c r="C529" i="161"/>
  <c r="D528" i="161"/>
  <c r="C528" i="161"/>
  <c r="D527" i="161"/>
  <c r="C527" i="161"/>
  <c r="C522" i="161"/>
  <c r="J565" i="161" l="1"/>
  <c r="J652" i="161" s="1"/>
  <c r="K643" i="161"/>
  <c r="J643" i="161" s="1"/>
  <c r="J554" i="161"/>
  <c r="G565" i="161"/>
  <c r="G652" i="161" s="1"/>
  <c r="L565" i="161"/>
  <c r="L652" i="161" s="1"/>
  <c r="K652" i="161" s="1"/>
  <c r="H565" i="161"/>
  <c r="H652" i="161" s="1"/>
  <c r="I708" i="161"/>
  <c r="P716" i="161"/>
  <c r="I565" i="161"/>
  <c r="I652" i="161" s="1"/>
  <c r="H708" i="161"/>
  <c r="G554" i="161"/>
  <c r="L554" i="161"/>
  <c r="I643" i="161"/>
  <c r="H643" i="161" s="1"/>
  <c r="J708" i="161"/>
  <c r="K707" i="161"/>
  <c r="L707" i="161" s="1"/>
  <c r="G852" i="161"/>
  <c r="I852" i="161"/>
  <c r="H852" i="161" s="1"/>
  <c r="J849" i="161"/>
  <c r="H849" i="161"/>
  <c r="G849" i="161"/>
  <c r="I849" i="161"/>
  <c r="D521" i="161"/>
  <c r="C521" i="161"/>
  <c r="D520" i="161"/>
  <c r="C520" i="161"/>
  <c r="D519" i="161"/>
  <c r="C519" i="161"/>
  <c r="C516" i="161"/>
  <c r="D515" i="161"/>
  <c r="C515" i="161"/>
  <c r="J512" i="161"/>
  <c r="I512" i="161"/>
  <c r="H512" i="161"/>
  <c r="G512" i="161"/>
  <c r="J511" i="161"/>
  <c r="I511" i="161"/>
  <c r="H511" i="161"/>
  <c r="G511" i="161"/>
  <c r="F511" i="161"/>
  <c r="J510" i="161"/>
  <c r="I510" i="161"/>
  <c r="H510" i="161"/>
  <c r="G510" i="161"/>
  <c r="F510" i="161"/>
  <c r="F509" i="161"/>
  <c r="C501" i="161"/>
  <c r="C500" i="161"/>
  <c r="C499" i="161"/>
  <c r="C498" i="161"/>
  <c r="C493" i="161"/>
  <c r="C492" i="161"/>
  <c r="G708" i="161" l="1"/>
  <c r="K849" i="161"/>
  <c r="D491" i="161"/>
  <c r="C491" i="161"/>
  <c r="C488" i="161"/>
  <c r="D487" i="161"/>
  <c r="C487" i="161"/>
  <c r="D486" i="161"/>
  <c r="C486" i="161"/>
  <c r="D485" i="161"/>
  <c r="C485" i="161"/>
  <c r="D484" i="161"/>
  <c r="C484" i="161"/>
  <c r="C481" i="161"/>
  <c r="D480" i="161"/>
  <c r="C480" i="161"/>
  <c r="D479" i="161"/>
  <c r="C479" i="161"/>
  <c r="J476" i="161"/>
  <c r="I476" i="161"/>
  <c r="H476" i="161"/>
  <c r="G476" i="161"/>
  <c r="J475" i="161"/>
  <c r="I475" i="161"/>
  <c r="H475" i="161"/>
  <c r="G475" i="161"/>
  <c r="F475" i="161"/>
  <c r="J474" i="161"/>
  <c r="I474" i="161"/>
  <c r="H474" i="161"/>
  <c r="G474" i="161"/>
  <c r="F474" i="161"/>
  <c r="F473" i="161"/>
  <c r="C462" i="161"/>
  <c r="D461" i="161"/>
  <c r="C461" i="161"/>
  <c r="L849" i="161" l="1"/>
  <c r="C458" i="161"/>
  <c r="D457" i="161"/>
  <c r="C457" i="161"/>
  <c r="C454" i="161"/>
  <c r="D453" i="161"/>
  <c r="C453" i="161"/>
  <c r="L450" i="161"/>
  <c r="K450" i="161"/>
  <c r="J450" i="161"/>
  <c r="I450" i="161"/>
  <c r="H450" i="161"/>
  <c r="G450" i="161"/>
  <c r="F450" i="161"/>
  <c r="C450" i="161"/>
  <c r="C447" i="161"/>
  <c r="D446" i="161"/>
  <c r="C446" i="161"/>
  <c r="J444" i="161"/>
  <c r="I444" i="161"/>
  <c r="H444" i="161"/>
  <c r="G444" i="161"/>
  <c r="J443" i="161"/>
  <c r="I443" i="161"/>
  <c r="H443" i="161"/>
  <c r="G443" i="161"/>
  <c r="F443" i="161"/>
  <c r="J442" i="161"/>
  <c r="I442" i="161"/>
  <c r="H442" i="161"/>
  <c r="G442" i="161"/>
  <c r="F442" i="161"/>
  <c r="F441" i="161"/>
  <c r="C433" i="161"/>
  <c r="C431" i="161"/>
  <c r="D430" i="161"/>
  <c r="C430" i="161"/>
  <c r="D429" i="161"/>
  <c r="C429" i="161"/>
  <c r="D428" i="161"/>
  <c r="C428" i="161"/>
  <c r="D427" i="161"/>
  <c r="C427" i="161"/>
  <c r="D426" i="161"/>
  <c r="C426" i="161"/>
  <c r="D425" i="161"/>
  <c r="C425" i="161"/>
  <c r="D424" i="161"/>
  <c r="C424" i="161"/>
  <c r="D423" i="161"/>
  <c r="C423" i="161"/>
  <c r="D422" i="161"/>
  <c r="C422" i="161"/>
  <c r="D421" i="161"/>
  <c r="C421" i="161"/>
  <c r="D420" i="161"/>
  <c r="C420" i="161"/>
  <c r="D419" i="161"/>
  <c r="C419" i="161"/>
  <c r="D418" i="161"/>
  <c r="C418" i="161"/>
  <c r="D417" i="161"/>
  <c r="C417" i="161"/>
  <c r="C416" i="161"/>
  <c r="D415" i="161"/>
  <c r="C415" i="161"/>
  <c r="D414" i="161"/>
  <c r="C414" i="161"/>
  <c r="D413" i="161" l="1"/>
  <c r="C413" i="161"/>
  <c r="D412" i="161"/>
  <c r="C412" i="161"/>
  <c r="D411" i="161"/>
  <c r="C411" i="161"/>
  <c r="D410" i="161"/>
  <c r="C410" i="161"/>
  <c r="C407" i="161"/>
  <c r="D406" i="161" l="1"/>
  <c r="C406" i="161"/>
  <c r="C403" i="161"/>
  <c r="D402" i="161"/>
  <c r="C402" i="161"/>
  <c r="J400" i="161"/>
  <c r="I400" i="161"/>
  <c r="H400" i="161"/>
  <c r="G400" i="161"/>
  <c r="J399" i="161"/>
  <c r="I399" i="161"/>
  <c r="H399" i="161"/>
  <c r="G399" i="161"/>
  <c r="F399" i="161"/>
  <c r="J398" i="161"/>
  <c r="I398" i="161"/>
  <c r="H398" i="161"/>
  <c r="G398" i="161"/>
  <c r="F398" i="161"/>
  <c r="F397" i="161"/>
  <c r="C389" i="161"/>
  <c r="D388" i="161"/>
  <c r="C388" i="161"/>
  <c r="D387" i="161"/>
  <c r="C387" i="161"/>
  <c r="D386" i="161" l="1"/>
  <c r="C386" i="161"/>
  <c r="D385" i="161"/>
  <c r="C385" i="161"/>
  <c r="D384" i="161"/>
  <c r="C384" i="161"/>
  <c r="D383" i="161"/>
  <c r="C383" i="161"/>
  <c r="D382" i="161"/>
  <c r="C382" i="161"/>
  <c r="D381" i="161"/>
  <c r="C381" i="161"/>
  <c r="C378" i="161"/>
  <c r="D377" i="161"/>
  <c r="C377" i="161"/>
  <c r="D376" i="161"/>
  <c r="C376" i="161"/>
  <c r="D375" i="161"/>
  <c r="C375" i="161"/>
  <c r="D374" i="161"/>
  <c r="C374" i="161"/>
  <c r="D373" i="161"/>
  <c r="C373" i="161"/>
  <c r="D372" i="161" l="1"/>
  <c r="C372" i="161"/>
  <c r="D371" i="161"/>
  <c r="C371" i="161"/>
  <c r="D370" i="161"/>
  <c r="C370" i="161"/>
  <c r="D369" i="161"/>
  <c r="C369" i="161"/>
  <c r="D368" i="161" l="1"/>
  <c r="C368" i="161"/>
  <c r="D367" i="161"/>
  <c r="C367" i="161"/>
  <c r="L364" i="161"/>
  <c r="K364" i="161"/>
  <c r="J364" i="161"/>
  <c r="I364" i="161"/>
  <c r="H364" i="161"/>
  <c r="G364" i="161"/>
  <c r="F364" i="161"/>
  <c r="C364" i="161"/>
  <c r="C363" i="161"/>
  <c r="C358" i="161"/>
  <c r="D357" i="161"/>
  <c r="C357" i="161"/>
  <c r="F354" i="161" l="1"/>
  <c r="C354" i="161"/>
  <c r="J353" i="161"/>
  <c r="I353" i="161"/>
  <c r="H353" i="161"/>
  <c r="C353" i="161"/>
  <c r="C350" i="161"/>
  <c r="D349" i="161"/>
  <c r="C349" i="161"/>
  <c r="D348" i="161"/>
  <c r="C348" i="161"/>
  <c r="J345" i="161"/>
  <c r="I345" i="161"/>
  <c r="H345" i="161"/>
  <c r="G345" i="161"/>
  <c r="J344" i="161"/>
  <c r="I344" i="161"/>
  <c r="H344" i="161"/>
  <c r="G344" i="161"/>
  <c r="F344" i="161"/>
  <c r="J343" i="161"/>
  <c r="I343" i="161"/>
  <c r="H343" i="161"/>
  <c r="G343" i="161"/>
  <c r="F343" i="161"/>
  <c r="F342" i="161"/>
  <c r="C331" i="161"/>
  <c r="C330" i="161"/>
  <c r="C329" i="161"/>
  <c r="C326" i="161"/>
  <c r="C325" i="161"/>
  <c r="C324" i="161"/>
  <c r="C323" i="161"/>
  <c r="C319" i="161"/>
  <c r="D318" i="161"/>
  <c r="C318" i="161"/>
  <c r="D317" i="161"/>
  <c r="C317" i="161"/>
  <c r="D316" i="161"/>
  <c r="C316" i="161"/>
  <c r="I353" i="166" l="1"/>
  <c r="I354" i="161"/>
  <c r="I353" i="165"/>
  <c r="H354" i="161"/>
  <c r="G353" i="161"/>
  <c r="I353" i="167"/>
  <c r="J354" i="161"/>
  <c r="I353" i="164" l="1"/>
  <c r="G354" i="161"/>
  <c r="K353" i="161"/>
  <c r="C310" i="161"/>
  <c r="D309" i="161"/>
  <c r="C309" i="161"/>
  <c r="D308" i="161"/>
  <c r="C308" i="161"/>
  <c r="D307" i="161"/>
  <c r="C307" i="161"/>
  <c r="C303" i="161"/>
  <c r="D302" i="161"/>
  <c r="C302" i="161"/>
  <c r="D301" i="161"/>
  <c r="C301" i="161"/>
  <c r="J294" i="161"/>
  <c r="I294" i="161"/>
  <c r="H294" i="161"/>
  <c r="G294" i="161"/>
  <c r="J293" i="161"/>
  <c r="I293" i="161"/>
  <c r="H293" i="161"/>
  <c r="G293" i="161"/>
  <c r="F293" i="161"/>
  <c r="J292" i="161"/>
  <c r="I292" i="161"/>
  <c r="H292" i="161"/>
  <c r="G292" i="161"/>
  <c r="F292" i="161"/>
  <c r="F291" i="161"/>
  <c r="C281" i="161"/>
  <c r="D280" i="161"/>
  <c r="C280" i="161"/>
  <c r="D279" i="161"/>
  <c r="C279" i="161"/>
  <c r="D278" i="161"/>
  <c r="C278" i="161"/>
  <c r="C275" i="161"/>
  <c r="D274" i="161"/>
  <c r="C274" i="161"/>
  <c r="D273" i="161"/>
  <c r="C273" i="161"/>
  <c r="D272" i="161"/>
  <c r="C272" i="161"/>
  <c r="D271" i="161"/>
  <c r="C271" i="161"/>
  <c r="K354" i="161" l="1"/>
  <c r="L353" i="161"/>
  <c r="L354" i="161" s="1"/>
  <c r="D270" i="161"/>
  <c r="C270" i="161"/>
  <c r="D269" i="161"/>
  <c r="C269" i="161"/>
  <c r="D268" i="161"/>
  <c r="C268" i="161"/>
  <c r="D267" i="161"/>
  <c r="C267" i="161"/>
  <c r="D266" i="161"/>
  <c r="C266" i="161"/>
  <c r="D265" i="161"/>
  <c r="C265" i="161"/>
  <c r="D264" i="161"/>
  <c r="C264" i="161"/>
  <c r="D263" i="161"/>
  <c r="C263" i="161"/>
  <c r="D262" i="161"/>
  <c r="C262" i="161"/>
  <c r="D261" i="161"/>
  <c r="C261" i="161"/>
  <c r="D260" i="161"/>
  <c r="C260" i="161"/>
  <c r="D259" i="161"/>
  <c r="C259" i="161"/>
  <c r="D258" i="161"/>
  <c r="C258" i="161"/>
  <c r="D257" i="161"/>
  <c r="C257" i="161"/>
  <c r="D256" i="161"/>
  <c r="C256" i="161"/>
  <c r="D255" i="161"/>
  <c r="C255" i="161"/>
  <c r="D254" i="161"/>
  <c r="C254" i="161"/>
  <c r="D253" i="161"/>
  <c r="C253" i="161"/>
  <c r="D252" i="161"/>
  <c r="C252" i="161"/>
  <c r="J249" i="161"/>
  <c r="I249" i="161"/>
  <c r="H249" i="161"/>
  <c r="G249" i="161"/>
  <c r="J248" i="161"/>
  <c r="I248" i="161"/>
  <c r="H248" i="161"/>
  <c r="G248" i="161"/>
  <c r="F248" i="161"/>
  <c r="J247" i="161"/>
  <c r="I247" i="161"/>
  <c r="H247" i="161"/>
  <c r="G247" i="161"/>
  <c r="F247" i="161"/>
  <c r="F246" i="161"/>
  <c r="C236" i="161"/>
  <c r="D235" i="161"/>
  <c r="C235" i="161"/>
  <c r="D234" i="161"/>
  <c r="C234" i="161"/>
  <c r="D233" i="161"/>
  <c r="C233" i="161"/>
  <c r="C232" i="161"/>
  <c r="C229" i="161"/>
  <c r="D228" i="161" l="1"/>
  <c r="C228" i="161"/>
  <c r="D227" i="161"/>
  <c r="C227" i="161"/>
  <c r="D226" i="161"/>
  <c r="C226" i="161"/>
  <c r="D225" i="161"/>
  <c r="C225" i="161"/>
  <c r="D224" i="161"/>
  <c r="C224" i="161"/>
  <c r="D223" i="161"/>
  <c r="C223" i="161"/>
  <c r="D222" i="161"/>
  <c r="C222" i="161"/>
  <c r="D221" i="161"/>
  <c r="C221" i="161"/>
  <c r="D220" i="161"/>
  <c r="C220" i="161"/>
  <c r="D219" i="161"/>
  <c r="C219" i="161"/>
  <c r="D218" i="161"/>
  <c r="C218" i="161"/>
  <c r="C215" i="161"/>
  <c r="D214" i="161"/>
  <c r="C214" i="161"/>
  <c r="D213" i="161"/>
  <c r="C213" i="161"/>
  <c r="D212" i="161"/>
  <c r="C212" i="161"/>
  <c r="D211" i="161"/>
  <c r="C211" i="161"/>
  <c r="D210" i="161"/>
  <c r="C210" i="161"/>
  <c r="D209" i="161"/>
  <c r="C209" i="161"/>
  <c r="D208" i="161" l="1"/>
  <c r="C208" i="161"/>
  <c r="D207" i="161"/>
  <c r="C207" i="161"/>
  <c r="D206" i="161"/>
  <c r="C206" i="161"/>
  <c r="J202" i="161"/>
  <c r="I202" i="161"/>
  <c r="H202" i="161"/>
  <c r="G202" i="161"/>
  <c r="J201" i="161"/>
  <c r="I201" i="161"/>
  <c r="H201" i="161"/>
  <c r="G201" i="161"/>
  <c r="F201" i="161"/>
  <c r="J200" i="161"/>
  <c r="I200" i="161"/>
  <c r="H200" i="161"/>
  <c r="G200" i="161"/>
  <c r="F200" i="161"/>
  <c r="F199" i="161"/>
  <c r="C189" i="161"/>
  <c r="C188" i="161"/>
  <c r="C187" i="161"/>
  <c r="C184" i="161"/>
  <c r="C183" i="161"/>
  <c r="C182" i="161"/>
  <c r="C176" i="161"/>
  <c r="C175" i="161"/>
  <c r="C174" i="161"/>
  <c r="C171" i="161" l="1"/>
  <c r="C170" i="161"/>
  <c r="C169" i="161" l="1"/>
  <c r="C166" i="161"/>
  <c r="C165" i="161"/>
  <c r="C164" i="161"/>
  <c r="J162" i="161"/>
  <c r="I162" i="161"/>
  <c r="H162" i="161"/>
  <c r="G162" i="161"/>
  <c r="J161" i="161"/>
  <c r="I161" i="161"/>
  <c r="H161" i="161"/>
  <c r="G161" i="161"/>
  <c r="F161" i="161"/>
  <c r="B161" i="161"/>
  <c r="J160" i="161"/>
  <c r="I160" i="161"/>
  <c r="H160" i="161"/>
  <c r="G160" i="161"/>
  <c r="F160" i="161"/>
  <c r="F159" i="161"/>
  <c r="C149" i="161" l="1"/>
  <c r="D148" i="161"/>
  <c r="C148" i="161"/>
  <c r="D147" i="161"/>
  <c r="C147" i="161"/>
  <c r="D146" i="161"/>
  <c r="C146" i="161"/>
  <c r="D145" i="161"/>
  <c r="C145" i="161"/>
  <c r="D144" i="161"/>
  <c r="C144" i="161"/>
  <c r="D143" i="161"/>
  <c r="C143" i="161"/>
  <c r="C140" i="161"/>
  <c r="D139" i="161"/>
  <c r="C139" i="161"/>
  <c r="D138" i="161" l="1"/>
  <c r="C138" i="161"/>
  <c r="D137" i="161"/>
  <c r="C137" i="161"/>
  <c r="D136" i="161"/>
  <c r="C136" i="161"/>
  <c r="D135" i="161"/>
  <c r="C135" i="161"/>
  <c r="D134" i="161"/>
  <c r="C134" i="161"/>
  <c r="C131" i="161"/>
  <c r="D130" i="161" l="1"/>
  <c r="C130" i="161"/>
  <c r="D129" i="161"/>
  <c r="C129" i="161"/>
  <c r="D128" i="161"/>
  <c r="C128" i="161"/>
  <c r="D127" i="161"/>
  <c r="C127" i="161"/>
  <c r="D126" i="161"/>
  <c r="C126" i="161"/>
  <c r="C125" i="161"/>
  <c r="D124" i="161"/>
  <c r="C124" i="161"/>
  <c r="D123" i="161"/>
  <c r="C123" i="161"/>
  <c r="D122" i="161"/>
  <c r="C122" i="161"/>
  <c r="L119" i="161"/>
  <c r="K119" i="161"/>
  <c r="K170" i="161" s="1"/>
  <c r="J119" i="161"/>
  <c r="J170" i="161" s="1"/>
  <c r="I119" i="161"/>
  <c r="I170" i="161" s="1"/>
  <c r="H119" i="161"/>
  <c r="H170" i="161" s="1"/>
  <c r="G119" i="161"/>
  <c r="F119" i="161"/>
  <c r="C119" i="161"/>
  <c r="C118" i="161"/>
  <c r="C115" i="161"/>
  <c r="D114" i="161"/>
  <c r="C114" i="161"/>
  <c r="J112" i="161"/>
  <c r="I112" i="161"/>
  <c r="H112" i="161"/>
  <c r="G112" i="161"/>
  <c r="J111" i="161"/>
  <c r="I111" i="161"/>
  <c r="H111" i="161"/>
  <c r="G111" i="161"/>
  <c r="F111" i="161"/>
  <c r="J110" i="161"/>
  <c r="I110" i="161"/>
  <c r="H110" i="161"/>
  <c r="G110" i="161"/>
  <c r="F110" i="161"/>
  <c r="F109" i="161"/>
  <c r="C99" i="161"/>
  <c r="D98" i="161"/>
  <c r="C98" i="161"/>
  <c r="D97" i="161"/>
  <c r="C97" i="161"/>
  <c r="G170" i="161" l="1"/>
  <c r="F170" i="161" s="1"/>
  <c r="L170" i="161" s="1"/>
  <c r="D96" i="161"/>
  <c r="C96" i="161"/>
  <c r="D95" i="161" l="1"/>
  <c r="C95" i="161"/>
  <c r="D94" i="161"/>
  <c r="C94" i="161"/>
  <c r="D93" i="161"/>
  <c r="C93" i="161"/>
  <c r="C90" i="161"/>
  <c r="D89" i="161"/>
  <c r="C89" i="161"/>
  <c r="D88" i="161"/>
  <c r="C88" i="161"/>
  <c r="D87" i="161"/>
  <c r="C87" i="161"/>
  <c r="D86" i="161"/>
  <c r="C86" i="161"/>
  <c r="D85" i="161"/>
  <c r="C85" i="161"/>
  <c r="D84" i="161"/>
  <c r="C84" i="161"/>
  <c r="C78" i="161"/>
  <c r="D77" i="161" l="1"/>
  <c r="C77" i="161"/>
  <c r="D76" i="161"/>
  <c r="C76" i="161"/>
  <c r="D75" i="161"/>
  <c r="C75" i="161"/>
  <c r="D74" i="161"/>
  <c r="C74" i="161"/>
  <c r="D73" i="161"/>
  <c r="C73" i="161"/>
  <c r="D72" i="161"/>
  <c r="C72" i="161"/>
  <c r="C71" i="161"/>
  <c r="D70" i="161"/>
  <c r="C70" i="161"/>
  <c r="D69" i="161"/>
  <c r="C69" i="161"/>
  <c r="D68" i="161"/>
  <c r="C68" i="161"/>
  <c r="L63" i="161"/>
  <c r="K63" i="161"/>
  <c r="K169" i="161" s="1"/>
  <c r="K171" i="161" s="1"/>
  <c r="J63" i="161"/>
  <c r="J169" i="161" s="1"/>
  <c r="I63" i="161"/>
  <c r="I169" i="161" s="1"/>
  <c r="H63" i="161"/>
  <c r="H169" i="161" s="1"/>
  <c r="G63" i="161"/>
  <c r="F63" i="161"/>
  <c r="F169" i="161" s="1"/>
  <c r="C63" i="161"/>
  <c r="C62" i="161"/>
  <c r="C59" i="161"/>
  <c r="D58" i="161"/>
  <c r="C58" i="161"/>
  <c r="D57" i="161"/>
  <c r="C57" i="161"/>
  <c r="J55" i="161"/>
  <c r="I55" i="161"/>
  <c r="H55" i="161"/>
  <c r="G55" i="161"/>
  <c r="J54" i="161"/>
  <c r="I54" i="161"/>
  <c r="H54" i="161"/>
  <c r="G54" i="161"/>
  <c r="F54" i="161"/>
  <c r="J53" i="161"/>
  <c r="I53" i="161"/>
  <c r="H53" i="161"/>
  <c r="G53" i="161"/>
  <c r="F53" i="161"/>
  <c r="L29" i="161"/>
  <c r="D29" i="161"/>
  <c r="C28" i="161"/>
  <c r="C24" i="161"/>
  <c r="C23" i="161"/>
  <c r="C22" i="161"/>
  <c r="C21" i="161"/>
  <c r="C20" i="161"/>
  <c r="C19" i="161"/>
  <c r="C18" i="161"/>
  <c r="C15" i="161"/>
  <c r="C14" i="161"/>
  <c r="C13" i="161"/>
  <c r="C12" i="161"/>
  <c r="C899" i="160"/>
  <c r="C897" i="160"/>
  <c r="C896" i="160"/>
  <c r="C895" i="160"/>
  <c r="C892" i="160"/>
  <c r="C891" i="160"/>
  <c r="C890" i="160"/>
  <c r="C887" i="160"/>
  <c r="C886" i="160"/>
  <c r="C885" i="160"/>
  <c r="C884" i="160"/>
  <c r="F883" i="160"/>
  <c r="C883" i="160"/>
  <c r="C882" i="160"/>
  <c r="C881" i="160"/>
  <c r="C877" i="160"/>
  <c r="C876" i="160"/>
  <c r="C875" i="160"/>
  <c r="C872" i="160"/>
  <c r="C871" i="160"/>
  <c r="C870" i="160"/>
  <c r="C869" i="160"/>
  <c r="C868" i="160"/>
  <c r="C867" i="160"/>
  <c r="J865" i="160"/>
  <c r="I865" i="160"/>
  <c r="H865" i="160"/>
  <c r="G865" i="160"/>
  <c r="F864" i="160"/>
  <c r="F863" i="160"/>
  <c r="E854" i="160"/>
  <c r="E853" i="160"/>
  <c r="E852" i="160"/>
  <c r="E851" i="160"/>
  <c r="E850" i="160"/>
  <c r="J171" i="161" l="1"/>
  <c r="G169" i="161"/>
  <c r="G171" i="161" s="1"/>
  <c r="I171" i="161"/>
  <c r="H171" i="161" s="1"/>
  <c r="F171" i="161"/>
  <c r="L169" i="161"/>
  <c r="L171" i="161" s="1"/>
  <c r="F849" i="160"/>
  <c r="F855" i="160" s="1"/>
  <c r="E849" i="160"/>
  <c r="E844" i="160"/>
  <c r="E841" i="160"/>
  <c r="E840" i="160"/>
  <c r="E839" i="160"/>
  <c r="E838" i="160"/>
  <c r="E835" i="160"/>
  <c r="E834" i="160"/>
  <c r="E833" i="160"/>
  <c r="E832" i="160"/>
  <c r="E831" i="160"/>
  <c r="E828" i="160"/>
  <c r="E827" i="160"/>
  <c r="E826" i="160"/>
  <c r="E825" i="160"/>
  <c r="E824" i="160"/>
  <c r="E823" i="160" l="1"/>
  <c r="E822" i="160"/>
  <c r="E821" i="160"/>
  <c r="P818" i="160"/>
  <c r="L818" i="160"/>
  <c r="G818" i="160"/>
  <c r="E818" i="160"/>
  <c r="E817" i="160"/>
  <c r="E816" i="160"/>
  <c r="J813" i="160"/>
  <c r="I813" i="160"/>
  <c r="H813" i="160"/>
  <c r="G813" i="160"/>
  <c r="F813" i="160"/>
  <c r="J812" i="160"/>
  <c r="I812" i="160"/>
  <c r="H812" i="160"/>
  <c r="G812" i="160"/>
  <c r="F812" i="160"/>
  <c r="E803" i="160"/>
  <c r="E802" i="160"/>
  <c r="E801" i="160"/>
  <c r="E800" i="160"/>
  <c r="E799" i="160"/>
  <c r="E796" i="160"/>
  <c r="E795" i="160"/>
  <c r="E794" i="160"/>
  <c r="E793" i="160"/>
  <c r="E792" i="160"/>
  <c r="E789" i="160"/>
  <c r="E788" i="160" l="1"/>
  <c r="E787" i="160"/>
  <c r="E786" i="160"/>
  <c r="E785" i="160"/>
  <c r="E784" i="160"/>
  <c r="E783" i="160"/>
  <c r="E782" i="160"/>
  <c r="J763" i="160" l="1"/>
  <c r="I763" i="160"/>
  <c r="H763" i="160"/>
  <c r="G763" i="160"/>
  <c r="F763" i="160"/>
  <c r="E762" i="160"/>
  <c r="J764" i="160" l="1"/>
  <c r="H764" i="160"/>
  <c r="I764" i="160"/>
  <c r="F764" i="160"/>
  <c r="K763" i="160"/>
  <c r="J761" i="160"/>
  <c r="I761" i="160"/>
  <c r="H761" i="160"/>
  <c r="G761" i="160"/>
  <c r="F761" i="160"/>
  <c r="E760" i="160"/>
  <c r="E758" i="160"/>
  <c r="J755" i="160"/>
  <c r="H755" i="160"/>
  <c r="G755" i="160"/>
  <c r="F755" i="160"/>
  <c r="J754" i="160"/>
  <c r="H754" i="160"/>
  <c r="G754" i="160"/>
  <c r="F754" i="160"/>
  <c r="E745" i="160"/>
  <c r="D745" i="160"/>
  <c r="E744" i="160"/>
  <c r="D744" i="160"/>
  <c r="J742" i="160"/>
  <c r="I742" i="160"/>
  <c r="H742" i="160"/>
  <c r="F742" i="160"/>
  <c r="E742" i="160"/>
  <c r="K761" i="160" l="1"/>
  <c r="L761" i="160" s="1"/>
  <c r="L763" i="160"/>
  <c r="G764" i="160" s="1"/>
  <c r="K764" i="160" s="1"/>
  <c r="J762" i="160"/>
  <c r="H762" i="160"/>
  <c r="I762" i="160"/>
  <c r="F762" i="160"/>
  <c r="K741" i="160"/>
  <c r="L741" i="160" s="1"/>
  <c r="G742" i="160" s="1"/>
  <c r="J740" i="160"/>
  <c r="I740" i="160"/>
  <c r="H740" i="160"/>
  <c r="F740" i="160"/>
  <c r="E740" i="160"/>
  <c r="G762" i="160" l="1"/>
  <c r="K762" i="160" s="1"/>
  <c r="P762" i="160" s="1"/>
  <c r="L762" i="160" s="1"/>
  <c r="K739" i="160"/>
  <c r="L739" i="160" s="1"/>
  <c r="G740" i="160" s="1"/>
  <c r="E738" i="160"/>
  <c r="J737" i="160"/>
  <c r="I737" i="160"/>
  <c r="F737" i="160"/>
  <c r="F738" i="160" s="1"/>
  <c r="E736" i="160"/>
  <c r="C736" i="160"/>
  <c r="K737" i="160" l="1"/>
  <c r="L737" i="160" s="1"/>
  <c r="J738" i="160"/>
  <c r="I738" i="160"/>
  <c r="H738" i="160"/>
  <c r="J735" i="160"/>
  <c r="I735" i="160"/>
  <c r="F735" i="160"/>
  <c r="K735" i="160" l="1"/>
  <c r="L735" i="160" s="1"/>
  <c r="F736" i="160"/>
  <c r="H736" i="160"/>
  <c r="J736" i="160"/>
  <c r="I736" i="160" s="1"/>
  <c r="G738" i="160"/>
  <c r="E734" i="160"/>
  <c r="E732" i="160"/>
  <c r="G736" i="160" l="1"/>
  <c r="E730" i="160"/>
  <c r="I729" i="160"/>
  <c r="H729" i="160"/>
  <c r="G729" i="160"/>
  <c r="E728" i="160"/>
  <c r="J727" i="160"/>
  <c r="H727" i="160"/>
  <c r="E726" i="160"/>
  <c r="E724" i="160"/>
  <c r="J723" i="160"/>
  <c r="I723" i="160"/>
  <c r="H723" i="160"/>
  <c r="G723" i="160"/>
  <c r="E722" i="160"/>
  <c r="G721" i="160"/>
  <c r="E720" i="160"/>
  <c r="G719" i="160"/>
  <c r="E718" i="160"/>
  <c r="K723" i="160" l="1"/>
  <c r="J717" i="160"/>
  <c r="I717" i="160"/>
  <c r="H717" i="160"/>
  <c r="G717" i="160"/>
  <c r="F717" i="160"/>
  <c r="E716" i="160"/>
  <c r="J715" i="160"/>
  <c r="I715" i="160"/>
  <c r="H715" i="160"/>
  <c r="G715" i="160"/>
  <c r="F715" i="160"/>
  <c r="F716" i="160" s="1"/>
  <c r="E714" i="160"/>
  <c r="J713" i="160"/>
  <c r="I713" i="160"/>
  <c r="H713" i="160"/>
  <c r="G713" i="160"/>
  <c r="F713" i="160"/>
  <c r="F712" i="160"/>
  <c r="E712" i="160"/>
  <c r="F710" i="160"/>
  <c r="E710" i="160"/>
  <c r="E708" i="160"/>
  <c r="J707" i="160"/>
  <c r="I707" i="160"/>
  <c r="H707" i="160"/>
  <c r="G707" i="160"/>
  <c r="F707" i="160"/>
  <c r="F708" i="160" s="1"/>
  <c r="J704" i="160"/>
  <c r="I704" i="160"/>
  <c r="H704" i="160"/>
  <c r="G704" i="160"/>
  <c r="F704" i="160"/>
  <c r="J703" i="160"/>
  <c r="G703" i="160"/>
  <c r="F703" i="160"/>
  <c r="F702" i="160"/>
  <c r="L694" i="160"/>
  <c r="K694" i="160"/>
  <c r="J694" i="160"/>
  <c r="I694" i="160"/>
  <c r="H694" i="160"/>
  <c r="G694" i="160"/>
  <c r="C694" i="160"/>
  <c r="L693" i="160"/>
  <c r="K693" i="160"/>
  <c r="J693" i="160"/>
  <c r="I693" i="160"/>
  <c r="H693" i="160"/>
  <c r="G693" i="160"/>
  <c r="C693" i="160"/>
  <c r="L692" i="160"/>
  <c r="K692" i="160"/>
  <c r="J692" i="160"/>
  <c r="I692" i="160"/>
  <c r="H692" i="160"/>
  <c r="G692" i="160"/>
  <c r="C692" i="160"/>
  <c r="L691" i="160"/>
  <c r="K691" i="160"/>
  <c r="J691" i="160"/>
  <c r="I691" i="160"/>
  <c r="H691" i="160"/>
  <c r="G691" i="160"/>
  <c r="C691" i="160"/>
  <c r="C688" i="160"/>
  <c r="C687" i="160"/>
  <c r="C686" i="160"/>
  <c r="C685" i="160"/>
  <c r="C684" i="160"/>
  <c r="C683" i="160"/>
  <c r="C680" i="160"/>
  <c r="C679" i="160"/>
  <c r="C678" i="160"/>
  <c r="C677" i="160"/>
  <c r="C676" i="160"/>
  <c r="C673" i="160"/>
  <c r="C672" i="160"/>
  <c r="C671" i="160"/>
  <c r="C670" i="160"/>
  <c r="C669" i="160"/>
  <c r="C668" i="160"/>
  <c r="I708" i="160" l="1"/>
  <c r="J718" i="160"/>
  <c r="H714" i="160"/>
  <c r="K715" i="160"/>
  <c r="L715" i="160" s="1"/>
  <c r="J714" i="160"/>
  <c r="I714" i="160" s="1"/>
  <c r="J716" i="160"/>
  <c r="J852" i="160" s="1"/>
  <c r="K707" i="160"/>
  <c r="L707" i="160" s="1"/>
  <c r="F714" i="160"/>
  <c r="H718" i="160"/>
  <c r="F718" i="160"/>
  <c r="I718" i="160"/>
  <c r="H708" i="160"/>
  <c r="I716" i="160"/>
  <c r="I852" i="160" s="1"/>
  <c r="K713" i="160"/>
  <c r="L713" i="160" s="1"/>
  <c r="H716" i="160"/>
  <c r="H849" i="160"/>
  <c r="I849" i="160"/>
  <c r="J849" i="160"/>
  <c r="J708" i="160"/>
  <c r="K717" i="160"/>
  <c r="L717" i="160" s="1"/>
  <c r="J665" i="160"/>
  <c r="I665" i="160"/>
  <c r="H665" i="160"/>
  <c r="G665" i="160"/>
  <c r="F664" i="160"/>
  <c r="F663" i="160"/>
  <c r="C647" i="160"/>
  <c r="C646" i="160"/>
  <c r="C645" i="160"/>
  <c r="C644" i="160"/>
  <c r="L643" i="160"/>
  <c r="K643" i="160" s="1"/>
  <c r="J643" i="160" s="1"/>
  <c r="I643" i="160" s="1"/>
  <c r="H643" i="160" s="1"/>
  <c r="G643" i="160" s="1"/>
  <c r="F643" i="160"/>
  <c r="C643" i="160"/>
  <c r="C641" i="160"/>
  <c r="F640" i="160"/>
  <c r="C640" i="160"/>
  <c r="C639" i="160"/>
  <c r="C637" i="160"/>
  <c r="C636" i="160"/>
  <c r="C635" i="160"/>
  <c r="C634" i="160"/>
  <c r="C633" i="160"/>
  <c r="C630" i="160"/>
  <c r="C629" i="160"/>
  <c r="H852" i="160" l="1"/>
  <c r="G852" i="160" s="1"/>
  <c r="K852" i="160" s="1"/>
  <c r="L852" i="160" s="1"/>
  <c r="G716" i="160"/>
  <c r="G714" i="160"/>
  <c r="G849" i="160"/>
  <c r="G708" i="160"/>
  <c r="G718" i="160"/>
  <c r="D628" i="160"/>
  <c r="C628" i="160"/>
  <c r="D627" i="160"/>
  <c r="C627" i="160"/>
  <c r="C626" i="160"/>
  <c r="K849" i="160" l="1"/>
  <c r="D625" i="160"/>
  <c r="C625" i="160"/>
  <c r="J623" i="160"/>
  <c r="I623" i="160"/>
  <c r="H623" i="160"/>
  <c r="G623" i="160"/>
  <c r="F622" i="160"/>
  <c r="F621" i="160"/>
  <c r="F620" i="160"/>
  <c r="L565" i="160"/>
  <c r="L652" i="160" s="1"/>
  <c r="K652" i="160" s="1"/>
  <c r="J565" i="160"/>
  <c r="J652" i="160" s="1"/>
  <c r="I565" i="160"/>
  <c r="I652" i="160" s="1"/>
  <c r="H565" i="160"/>
  <c r="H652" i="160" s="1"/>
  <c r="G565" i="160"/>
  <c r="G652" i="160" s="1"/>
  <c r="F565" i="160"/>
  <c r="F652" i="160" s="1"/>
  <c r="C563" i="160"/>
  <c r="C562" i="160"/>
  <c r="C561" i="160"/>
  <c r="C557" i="160"/>
  <c r="C556" i="160"/>
  <c r="C555" i="160"/>
  <c r="L554" i="160"/>
  <c r="J554" i="160"/>
  <c r="I554" i="160"/>
  <c r="H554" i="160"/>
  <c r="G554" i="160"/>
  <c r="F554" i="160"/>
  <c r="C554" i="160"/>
  <c r="C552" i="160"/>
  <c r="C551" i="160"/>
  <c r="C549" i="160"/>
  <c r="C548" i="160"/>
  <c r="C545" i="160"/>
  <c r="C544" i="160"/>
  <c r="C543" i="160"/>
  <c r="F540" i="160"/>
  <c r="F891" i="160" s="1"/>
  <c r="C540" i="160"/>
  <c r="C539" i="160"/>
  <c r="C536" i="160"/>
  <c r="D535" i="160"/>
  <c r="C535" i="160"/>
  <c r="C532" i="160"/>
  <c r="D531" i="160"/>
  <c r="D530" i="160"/>
  <c r="C530" i="160"/>
  <c r="D529" i="160"/>
  <c r="C529" i="160"/>
  <c r="D528" i="160"/>
  <c r="C528" i="160"/>
  <c r="D527" i="160"/>
  <c r="C527" i="160"/>
  <c r="C522" i="160"/>
  <c r="D521" i="160"/>
  <c r="C521" i="160"/>
  <c r="D520" i="160"/>
  <c r="C520" i="160"/>
  <c r="D519" i="160"/>
  <c r="C519" i="160"/>
  <c r="C516" i="160"/>
  <c r="D515" i="160"/>
  <c r="C515" i="160"/>
  <c r="J512" i="160"/>
  <c r="I512" i="160"/>
  <c r="H512" i="160"/>
  <c r="G512" i="160"/>
  <c r="F511" i="160"/>
  <c r="F510" i="160"/>
  <c r="F509" i="160"/>
  <c r="C501" i="160"/>
  <c r="C500" i="160"/>
  <c r="C499" i="160"/>
  <c r="C498" i="160"/>
  <c r="C493" i="160"/>
  <c r="C492" i="160"/>
  <c r="L849" i="160" l="1"/>
  <c r="D491" i="160"/>
  <c r="C491" i="160"/>
  <c r="C488" i="160"/>
  <c r="D487" i="160"/>
  <c r="C487" i="160"/>
  <c r="D486" i="160"/>
  <c r="C486" i="160"/>
  <c r="D485" i="160"/>
  <c r="C485" i="160"/>
  <c r="D484" i="160"/>
  <c r="C484" i="160"/>
  <c r="C481" i="160"/>
  <c r="D480" i="160"/>
  <c r="C480" i="160"/>
  <c r="D479" i="160"/>
  <c r="C479" i="160"/>
  <c r="J476" i="160"/>
  <c r="I476" i="160"/>
  <c r="H476" i="160"/>
  <c r="G476" i="160"/>
  <c r="F475" i="160"/>
  <c r="F474" i="160"/>
  <c r="F473" i="160"/>
  <c r="C462" i="160"/>
  <c r="D461" i="160"/>
  <c r="C461" i="160"/>
  <c r="C458" i="160"/>
  <c r="D457" i="160"/>
  <c r="C457" i="160"/>
  <c r="C454" i="160"/>
  <c r="D453" i="160" l="1"/>
  <c r="C453" i="160"/>
  <c r="L450" i="160"/>
  <c r="K450" i="160"/>
  <c r="J450" i="160"/>
  <c r="I450" i="160"/>
  <c r="H450" i="160"/>
  <c r="G450" i="160"/>
  <c r="F450" i="160"/>
  <c r="C450" i="160"/>
  <c r="C447" i="160"/>
  <c r="D446" i="160" l="1"/>
  <c r="C446" i="160"/>
  <c r="J444" i="160"/>
  <c r="I444" i="160"/>
  <c r="H444" i="160"/>
  <c r="G444" i="160"/>
  <c r="F443" i="160"/>
  <c r="F442" i="160"/>
  <c r="F441" i="160"/>
  <c r="C433" i="160"/>
  <c r="C431" i="160"/>
  <c r="D430" i="160"/>
  <c r="C430" i="160"/>
  <c r="D429" i="160"/>
  <c r="C429" i="160"/>
  <c r="D428" i="160"/>
  <c r="C428" i="160"/>
  <c r="D427" i="160"/>
  <c r="C427" i="160"/>
  <c r="D426" i="160"/>
  <c r="C426" i="160"/>
  <c r="D425" i="160"/>
  <c r="C425" i="160"/>
  <c r="D424" i="160"/>
  <c r="C424" i="160"/>
  <c r="D423" i="160"/>
  <c r="C423" i="160"/>
  <c r="D422" i="160"/>
  <c r="C422" i="160"/>
  <c r="D421" i="160"/>
  <c r="C421" i="160"/>
  <c r="D420" i="160"/>
  <c r="C420" i="160"/>
  <c r="D419" i="160"/>
  <c r="C419" i="160"/>
  <c r="D418" i="160" l="1"/>
  <c r="C418" i="160"/>
  <c r="D417" i="160"/>
  <c r="C417" i="160"/>
  <c r="C416" i="160"/>
  <c r="D415" i="160"/>
  <c r="C415" i="160"/>
  <c r="D414" i="160"/>
  <c r="C414" i="160"/>
  <c r="D413" i="160" l="1"/>
  <c r="C413" i="160"/>
  <c r="D412" i="160" l="1"/>
  <c r="C412" i="160"/>
  <c r="D411" i="160"/>
  <c r="C411" i="160"/>
  <c r="D410" i="160"/>
  <c r="C410" i="160"/>
  <c r="C407" i="160"/>
  <c r="D406" i="160"/>
  <c r="C406" i="160"/>
  <c r="C403" i="160"/>
  <c r="D402" i="160"/>
  <c r="C402" i="160"/>
  <c r="J400" i="160"/>
  <c r="I400" i="160"/>
  <c r="H400" i="160"/>
  <c r="G400" i="160"/>
  <c r="F399" i="160"/>
  <c r="F398" i="160"/>
  <c r="F397" i="160"/>
  <c r="C389" i="160"/>
  <c r="D388" i="160"/>
  <c r="C388" i="160"/>
  <c r="D387" i="160"/>
  <c r="C387" i="160"/>
  <c r="D386" i="160"/>
  <c r="C386" i="160"/>
  <c r="D385" i="160"/>
  <c r="C385" i="160"/>
  <c r="D384" i="160"/>
  <c r="C384" i="160"/>
  <c r="D383" i="160"/>
  <c r="C383" i="160"/>
  <c r="D382" i="160"/>
  <c r="C382" i="160"/>
  <c r="D381" i="160"/>
  <c r="C381" i="160"/>
  <c r="C378" i="160" l="1"/>
  <c r="D377" i="160"/>
  <c r="C377" i="160"/>
  <c r="D376" i="160"/>
  <c r="C376" i="160"/>
  <c r="D375" i="160"/>
  <c r="C375" i="160"/>
  <c r="D374" i="160"/>
  <c r="C374" i="160"/>
  <c r="D373" i="160"/>
  <c r="C373" i="160"/>
  <c r="D372" i="160" l="1"/>
  <c r="C372" i="160"/>
  <c r="D371" i="160"/>
  <c r="C371" i="160"/>
  <c r="D370" i="160"/>
  <c r="C370" i="160"/>
  <c r="D369" i="160"/>
  <c r="C369" i="160"/>
  <c r="D368" i="160"/>
  <c r="C368" i="160"/>
  <c r="D367" i="160"/>
  <c r="C367" i="160"/>
  <c r="L364" i="160"/>
  <c r="K364" i="160"/>
  <c r="J364" i="160"/>
  <c r="I364" i="160"/>
  <c r="H364" i="160"/>
  <c r="G364" i="160"/>
  <c r="F364" i="160"/>
  <c r="C364" i="160"/>
  <c r="C363" i="160"/>
  <c r="C358" i="160"/>
  <c r="D357" i="160"/>
  <c r="C357" i="160"/>
  <c r="F354" i="160"/>
  <c r="C354" i="160"/>
  <c r="J353" i="160" l="1"/>
  <c r="I353" i="160"/>
  <c r="H353" i="160"/>
  <c r="C353" i="160"/>
  <c r="C350" i="160"/>
  <c r="D349" i="160"/>
  <c r="C349" i="160"/>
  <c r="D348" i="160"/>
  <c r="C348" i="160"/>
  <c r="J345" i="160"/>
  <c r="I345" i="160"/>
  <c r="H345" i="160"/>
  <c r="G345" i="160"/>
  <c r="F344" i="160"/>
  <c r="F343" i="160"/>
  <c r="F342" i="160"/>
  <c r="C331" i="160"/>
  <c r="C330" i="160"/>
  <c r="C329" i="160"/>
  <c r="C326" i="160"/>
  <c r="C325" i="160"/>
  <c r="C324" i="160"/>
  <c r="C323" i="160"/>
  <c r="C319" i="160"/>
  <c r="D318" i="160"/>
  <c r="C318" i="160"/>
  <c r="D317" i="160"/>
  <c r="C317" i="160"/>
  <c r="D316" i="160"/>
  <c r="C316" i="160"/>
  <c r="G353" i="167" l="1"/>
  <c r="J354" i="160"/>
  <c r="G353" i="166"/>
  <c r="I354" i="160"/>
  <c r="G353" i="165"/>
  <c r="H354" i="160"/>
  <c r="G353" i="160"/>
  <c r="G353" i="164" l="1"/>
  <c r="G354" i="160"/>
  <c r="K353" i="160"/>
  <c r="C310" i="160"/>
  <c r="D309" i="160"/>
  <c r="C309" i="160"/>
  <c r="D308" i="160"/>
  <c r="C308" i="160"/>
  <c r="D307" i="160"/>
  <c r="C307" i="160"/>
  <c r="C303" i="160"/>
  <c r="D302" i="160"/>
  <c r="C302" i="160"/>
  <c r="D301" i="160"/>
  <c r="C301" i="160"/>
  <c r="J294" i="160"/>
  <c r="I294" i="160"/>
  <c r="H294" i="160"/>
  <c r="G294" i="160"/>
  <c r="F293" i="160"/>
  <c r="F292" i="160"/>
  <c r="F291" i="160"/>
  <c r="C281" i="160"/>
  <c r="D280" i="160"/>
  <c r="C280" i="160"/>
  <c r="D279" i="160"/>
  <c r="C279" i="160"/>
  <c r="D278" i="160"/>
  <c r="C278" i="160"/>
  <c r="C275" i="160"/>
  <c r="D274" i="160"/>
  <c r="C274" i="160"/>
  <c r="D273" i="160"/>
  <c r="C273" i="160"/>
  <c r="K354" i="160" l="1"/>
  <c r="L353" i="160"/>
  <c r="L354" i="160" s="1"/>
  <c r="D272" i="160"/>
  <c r="C272" i="160"/>
  <c r="D271" i="160"/>
  <c r="C271" i="160"/>
  <c r="D270" i="160"/>
  <c r="C270" i="160"/>
  <c r="D269" i="160"/>
  <c r="C269" i="160"/>
  <c r="D268" i="160"/>
  <c r="C268" i="160"/>
  <c r="D267" i="160"/>
  <c r="C267" i="160"/>
  <c r="D266" i="160" l="1"/>
  <c r="C266" i="160"/>
  <c r="D265" i="160"/>
  <c r="C265" i="160"/>
  <c r="D264" i="160"/>
  <c r="C264" i="160"/>
  <c r="D263" i="160"/>
  <c r="C263" i="160"/>
  <c r="D262" i="160"/>
  <c r="C262" i="160"/>
  <c r="D261" i="160"/>
  <c r="C261" i="160"/>
  <c r="D260" i="160"/>
  <c r="C260" i="160"/>
  <c r="D259" i="160"/>
  <c r="C259" i="160"/>
  <c r="D258" i="160"/>
  <c r="C258" i="160"/>
  <c r="D257" i="160"/>
  <c r="C257" i="160"/>
  <c r="D256" i="160" l="1"/>
  <c r="C256" i="160"/>
  <c r="D255" i="160"/>
  <c r="C255" i="160"/>
  <c r="D254" i="160"/>
  <c r="C254" i="160"/>
  <c r="D253" i="160"/>
  <c r="C253" i="160"/>
  <c r="D252" i="160"/>
  <c r="C252" i="160"/>
  <c r="J249" i="160"/>
  <c r="I249" i="160"/>
  <c r="H249" i="160"/>
  <c r="G249" i="160"/>
  <c r="F248" i="160"/>
  <c r="F247" i="160"/>
  <c r="F246" i="160"/>
  <c r="C236" i="160"/>
  <c r="D235" i="160"/>
  <c r="C235" i="160"/>
  <c r="D234" i="160"/>
  <c r="C234" i="160"/>
  <c r="D233" i="160"/>
  <c r="C233" i="160"/>
  <c r="C232" i="160"/>
  <c r="C229" i="160"/>
  <c r="D228" i="160"/>
  <c r="C228" i="160"/>
  <c r="D227" i="160"/>
  <c r="C227" i="160"/>
  <c r="D226" i="160"/>
  <c r="C226" i="160"/>
  <c r="D225" i="160"/>
  <c r="C225" i="160"/>
  <c r="D224" i="160"/>
  <c r="C224" i="160"/>
  <c r="D223" i="160"/>
  <c r="C223" i="160"/>
  <c r="D222" i="160" l="1"/>
  <c r="C222" i="160"/>
  <c r="D221" i="160" l="1"/>
  <c r="C221" i="160"/>
  <c r="D220" i="160"/>
  <c r="C220" i="160"/>
  <c r="D219" i="160"/>
  <c r="C219" i="160"/>
  <c r="D218" i="160" l="1"/>
  <c r="C218" i="160"/>
  <c r="C215" i="160"/>
  <c r="D214" i="160" l="1"/>
  <c r="C214" i="160"/>
  <c r="D213" i="160"/>
  <c r="C213" i="160"/>
  <c r="D212" i="160"/>
  <c r="C212" i="160"/>
  <c r="D211" i="160"/>
  <c r="C211" i="160"/>
  <c r="D210" i="160"/>
  <c r="C210" i="160"/>
  <c r="D209" i="160"/>
  <c r="C209" i="160"/>
  <c r="D208" i="160"/>
  <c r="C208" i="160"/>
  <c r="D207" i="160"/>
  <c r="C207" i="160"/>
  <c r="D206" i="160"/>
  <c r="C206" i="160"/>
  <c r="J202" i="160"/>
  <c r="I202" i="160"/>
  <c r="H202" i="160"/>
  <c r="G202" i="160"/>
  <c r="F201" i="160"/>
  <c r="F200" i="160"/>
  <c r="F199" i="160"/>
  <c r="C189" i="160"/>
  <c r="C188" i="160"/>
  <c r="C187" i="160"/>
  <c r="C184" i="160"/>
  <c r="C183" i="160"/>
  <c r="C182" i="160"/>
  <c r="C176" i="160"/>
  <c r="C175" i="160"/>
  <c r="C174" i="160"/>
  <c r="C171" i="160" l="1"/>
  <c r="C170" i="160" l="1"/>
  <c r="C169" i="160" l="1"/>
  <c r="C166" i="160"/>
  <c r="C165" i="160"/>
  <c r="C164" i="160"/>
  <c r="J162" i="160"/>
  <c r="I162" i="160"/>
  <c r="H162" i="160"/>
  <c r="G162" i="160"/>
  <c r="F161" i="160"/>
  <c r="B161" i="160"/>
  <c r="F160" i="160"/>
  <c r="F159" i="160"/>
  <c r="C149" i="160"/>
  <c r="D148" i="160"/>
  <c r="C148" i="160"/>
  <c r="D147" i="160"/>
  <c r="C147" i="160"/>
  <c r="D146" i="160"/>
  <c r="C146" i="160"/>
  <c r="D145" i="160" l="1"/>
  <c r="C145" i="160"/>
  <c r="D144" i="160"/>
  <c r="C144" i="160"/>
  <c r="D143" i="160"/>
  <c r="C143" i="160"/>
  <c r="C140" i="160"/>
  <c r="D139" i="160"/>
  <c r="C139" i="160"/>
  <c r="D138" i="160"/>
  <c r="C138" i="160"/>
  <c r="D137" i="160" l="1"/>
  <c r="C137" i="160"/>
  <c r="D136" i="160"/>
  <c r="C136" i="160"/>
  <c r="D135" i="160" l="1"/>
  <c r="C135" i="160"/>
  <c r="D134" i="160"/>
  <c r="C134" i="160"/>
  <c r="C131" i="160"/>
  <c r="D130" i="160"/>
  <c r="C130" i="160"/>
  <c r="D129" i="160"/>
  <c r="C129" i="160"/>
  <c r="D128" i="160"/>
  <c r="C128" i="160"/>
  <c r="D127" i="160"/>
  <c r="C127" i="160"/>
  <c r="D126" i="160"/>
  <c r="C126" i="160"/>
  <c r="C125" i="160"/>
  <c r="D124" i="160"/>
  <c r="C124" i="160"/>
  <c r="D123" i="160"/>
  <c r="C123" i="160"/>
  <c r="D122" i="160"/>
  <c r="C122" i="160"/>
  <c r="L119" i="160"/>
  <c r="K119" i="160"/>
  <c r="K170" i="160" s="1"/>
  <c r="J119" i="160"/>
  <c r="J170" i="160" s="1"/>
  <c r="I119" i="160"/>
  <c r="I170" i="160" s="1"/>
  <c r="H119" i="160"/>
  <c r="H170" i="160" s="1"/>
  <c r="G119" i="160"/>
  <c r="F119" i="160"/>
  <c r="F170" i="160" s="1"/>
  <c r="C119" i="160"/>
  <c r="C118" i="160"/>
  <c r="C115" i="160"/>
  <c r="D114" i="160"/>
  <c r="C114" i="160"/>
  <c r="J112" i="160"/>
  <c r="I112" i="160"/>
  <c r="H112" i="160"/>
  <c r="G112" i="160"/>
  <c r="F111" i="160"/>
  <c r="F110" i="160"/>
  <c r="F109" i="160"/>
  <c r="C99" i="160"/>
  <c r="D98" i="160"/>
  <c r="C98" i="160"/>
  <c r="D97" i="160"/>
  <c r="C97" i="160"/>
  <c r="D96" i="160"/>
  <c r="C96" i="160"/>
  <c r="L170" i="160" l="1"/>
  <c r="G170" i="160"/>
  <c r="D95" i="160"/>
  <c r="C95" i="160"/>
  <c r="D94" i="160"/>
  <c r="C94" i="160"/>
  <c r="D93" i="160"/>
  <c r="C93" i="160"/>
  <c r="C90" i="160"/>
  <c r="D89" i="160"/>
  <c r="C89" i="160"/>
  <c r="D88" i="160" l="1"/>
  <c r="C88" i="160"/>
  <c r="D87" i="160"/>
  <c r="C87" i="160"/>
  <c r="D86" i="160"/>
  <c r="C86" i="160"/>
  <c r="D85" i="160"/>
  <c r="C85" i="160"/>
  <c r="D84" i="160"/>
  <c r="C84" i="160"/>
  <c r="C78" i="160"/>
  <c r="D77" i="160" l="1"/>
  <c r="C77" i="160"/>
  <c r="D76" i="160" l="1"/>
  <c r="C76" i="160"/>
  <c r="D75" i="160"/>
  <c r="C75" i="160"/>
  <c r="D74" i="160"/>
  <c r="C74" i="160"/>
  <c r="D73" i="160"/>
  <c r="C73" i="160"/>
  <c r="D72" i="160"/>
  <c r="C72" i="160"/>
  <c r="C71" i="160"/>
  <c r="D70" i="160"/>
  <c r="C70" i="160"/>
  <c r="D69" i="160"/>
  <c r="C69" i="160"/>
  <c r="D68" i="160"/>
  <c r="C68" i="160"/>
  <c r="L63" i="160"/>
  <c r="K63" i="160"/>
  <c r="K169" i="160" s="1"/>
  <c r="J63" i="160"/>
  <c r="J169" i="160" s="1"/>
  <c r="J171" i="160" s="1"/>
  <c r="I63" i="160"/>
  <c r="I169" i="160" s="1"/>
  <c r="I171" i="160" s="1"/>
  <c r="H63" i="160"/>
  <c r="H169" i="160" s="1"/>
  <c r="G63" i="160"/>
  <c r="F63" i="160"/>
  <c r="F169" i="160" s="1"/>
  <c r="C63" i="160"/>
  <c r="C62" i="160"/>
  <c r="C59" i="160"/>
  <c r="D58" i="160"/>
  <c r="C58" i="160"/>
  <c r="D57" i="160"/>
  <c r="C57" i="160"/>
  <c r="J55" i="160"/>
  <c r="I55" i="160"/>
  <c r="H55" i="160"/>
  <c r="G55" i="160"/>
  <c r="F54" i="160"/>
  <c r="F53" i="160"/>
  <c r="F171" i="160" l="1"/>
  <c r="L169" i="160"/>
  <c r="L171" i="160" s="1"/>
  <c r="K171" i="160" s="1"/>
  <c r="G169" i="160"/>
  <c r="G171" i="160" s="1"/>
  <c r="H171" i="160"/>
  <c r="L29" i="160"/>
  <c r="D29" i="160"/>
  <c r="C28" i="160"/>
  <c r="C24" i="160"/>
  <c r="C23" i="160"/>
  <c r="C22" i="160"/>
  <c r="C21" i="160"/>
  <c r="C20" i="160"/>
  <c r="C19" i="160"/>
  <c r="C18" i="160"/>
  <c r="C15" i="160"/>
  <c r="C14" i="160"/>
  <c r="C13" i="160"/>
  <c r="C12" i="160"/>
  <c r="C899" i="159"/>
  <c r="C897" i="159"/>
  <c r="C896" i="159"/>
  <c r="C895" i="159"/>
  <c r="C892" i="159"/>
  <c r="C891" i="159"/>
  <c r="C890" i="159"/>
  <c r="C887" i="159"/>
  <c r="C886" i="159"/>
  <c r="C885" i="159"/>
  <c r="C884" i="159"/>
  <c r="F883" i="159"/>
  <c r="C883" i="159"/>
  <c r="C882" i="159"/>
  <c r="C881" i="159"/>
  <c r="C877" i="159"/>
  <c r="C876" i="159"/>
  <c r="C875" i="159"/>
  <c r="C872" i="159"/>
  <c r="C871" i="159"/>
  <c r="C870" i="159"/>
  <c r="C869" i="159"/>
  <c r="C868" i="159"/>
  <c r="C867" i="159"/>
  <c r="I865" i="159"/>
  <c r="H865" i="159"/>
  <c r="G865" i="159"/>
  <c r="E854" i="159"/>
  <c r="E853" i="159"/>
  <c r="E852" i="159"/>
  <c r="E851" i="159"/>
  <c r="E850" i="159"/>
  <c r="F849" i="159"/>
  <c r="E849" i="159"/>
  <c r="E844" i="159"/>
  <c r="E841" i="159"/>
  <c r="E840" i="159"/>
  <c r="E839" i="159"/>
  <c r="E838" i="159"/>
  <c r="E835" i="159" l="1"/>
  <c r="E834" i="159"/>
  <c r="E833" i="159"/>
  <c r="E832" i="159"/>
  <c r="E831" i="159"/>
  <c r="E828" i="159"/>
  <c r="E827" i="159"/>
  <c r="E826" i="159"/>
  <c r="E825" i="159"/>
  <c r="E824" i="159"/>
  <c r="E823" i="159"/>
  <c r="E822" i="159"/>
  <c r="E821" i="159"/>
  <c r="O818" i="159"/>
  <c r="J818" i="159" l="1"/>
  <c r="K818" i="159" s="1"/>
  <c r="E818" i="159"/>
  <c r="E817" i="159"/>
  <c r="E816" i="159"/>
  <c r="I814" i="159"/>
  <c r="H814" i="159"/>
  <c r="G814" i="159"/>
  <c r="E803" i="159"/>
  <c r="E802" i="159"/>
  <c r="E801" i="159" l="1"/>
  <c r="E800" i="159"/>
  <c r="E799" i="159"/>
  <c r="E796" i="159"/>
  <c r="E795" i="159"/>
  <c r="E794" i="159"/>
  <c r="E793" i="159"/>
  <c r="E792" i="159"/>
  <c r="E789" i="159"/>
  <c r="E788" i="159"/>
  <c r="E787" i="159"/>
  <c r="E786" i="159"/>
  <c r="E785" i="159"/>
  <c r="E784" i="159"/>
  <c r="E783" i="159"/>
  <c r="E782" i="159"/>
  <c r="E762" i="159"/>
  <c r="E760" i="159"/>
  <c r="E758" i="159"/>
  <c r="I756" i="159"/>
  <c r="H756" i="159"/>
  <c r="G756" i="159"/>
  <c r="E745" i="159"/>
  <c r="D745" i="159"/>
  <c r="E744" i="159"/>
  <c r="D744" i="159"/>
  <c r="I742" i="159"/>
  <c r="H742" i="159"/>
  <c r="G742" i="159"/>
  <c r="E742" i="159"/>
  <c r="J741" i="159"/>
  <c r="K741" i="159" s="1"/>
  <c r="J742" i="159" l="1"/>
  <c r="K742" i="159" s="1"/>
  <c r="O742" i="159"/>
  <c r="I740" i="159"/>
  <c r="H740" i="159"/>
  <c r="G740" i="159"/>
  <c r="E740" i="159"/>
  <c r="J739" i="159"/>
  <c r="K739" i="159" s="1"/>
  <c r="E738" i="159"/>
  <c r="G737" i="159"/>
  <c r="I738" i="159" s="1"/>
  <c r="F737" i="159"/>
  <c r="E736" i="159"/>
  <c r="C736" i="159"/>
  <c r="F735" i="159"/>
  <c r="E734" i="159"/>
  <c r="E732" i="159"/>
  <c r="E730" i="159"/>
  <c r="E728" i="159"/>
  <c r="E726" i="159"/>
  <c r="E724" i="159"/>
  <c r="E722" i="159"/>
  <c r="E720" i="159"/>
  <c r="E718" i="159"/>
  <c r="I717" i="159"/>
  <c r="H718" i="159" s="1"/>
  <c r="G718" i="159" s="1"/>
  <c r="F717" i="159"/>
  <c r="E716" i="159"/>
  <c r="H715" i="159"/>
  <c r="G716" i="159" s="1"/>
  <c r="F715" i="159"/>
  <c r="J715" i="159" l="1"/>
  <c r="K715" i="159" s="1"/>
  <c r="I716" i="159"/>
  <c r="H716" i="159" s="1"/>
  <c r="O716" i="159" s="1"/>
  <c r="J740" i="159"/>
  <c r="K740" i="159" s="1"/>
  <c r="O740" i="159"/>
  <c r="J737" i="159"/>
  <c r="K737" i="159" s="1"/>
  <c r="H738" i="159"/>
  <c r="G738" i="159" s="1"/>
  <c r="J717" i="159"/>
  <c r="K717" i="159" s="1"/>
  <c r="I718" i="159"/>
  <c r="O718" i="159" s="1"/>
  <c r="E714" i="159"/>
  <c r="H713" i="159"/>
  <c r="I714" i="159" s="1"/>
  <c r="H714" i="159" s="1"/>
  <c r="F713" i="159"/>
  <c r="E712" i="159"/>
  <c r="E710" i="159"/>
  <c r="J716" i="159" l="1"/>
  <c r="K716" i="159" s="1"/>
  <c r="G714" i="159"/>
  <c r="J714" i="159" s="1"/>
  <c r="J713" i="159"/>
  <c r="K713" i="159" s="1"/>
  <c r="J738" i="159"/>
  <c r="O738" i="159"/>
  <c r="J718" i="159"/>
  <c r="K718" i="159" s="1"/>
  <c r="E708" i="159"/>
  <c r="G707" i="159"/>
  <c r="G708" i="159" s="1"/>
  <c r="F707" i="159"/>
  <c r="I705" i="159"/>
  <c r="H705" i="159"/>
  <c r="G705" i="159"/>
  <c r="K694" i="159"/>
  <c r="J694" i="159"/>
  <c r="I694" i="159"/>
  <c r="H694" i="159"/>
  <c r="G694" i="159"/>
  <c r="C694" i="159"/>
  <c r="K693" i="159"/>
  <c r="J693" i="159"/>
  <c r="I693" i="159"/>
  <c r="H693" i="159"/>
  <c r="G693" i="159"/>
  <c r="C693" i="159"/>
  <c r="K692" i="159"/>
  <c r="J692" i="159"/>
  <c r="I692" i="159"/>
  <c r="H692" i="159"/>
  <c r="G692" i="159"/>
  <c r="C692" i="159"/>
  <c r="K691" i="159"/>
  <c r="J691" i="159"/>
  <c r="I691" i="159"/>
  <c r="H691" i="159"/>
  <c r="G691" i="159"/>
  <c r="C691" i="159"/>
  <c r="C688" i="159"/>
  <c r="C687" i="159"/>
  <c r="C686" i="159"/>
  <c r="C685" i="159"/>
  <c r="C684" i="159"/>
  <c r="C683" i="159"/>
  <c r="F680" i="159"/>
  <c r="C680" i="159"/>
  <c r="F679" i="159"/>
  <c r="C679" i="159"/>
  <c r="C678" i="159"/>
  <c r="F677" i="159"/>
  <c r="C677" i="159"/>
  <c r="C676" i="159"/>
  <c r="C673" i="159"/>
  <c r="F672" i="159"/>
  <c r="C672" i="159"/>
  <c r="F671" i="159"/>
  <c r="C671" i="159"/>
  <c r="J707" i="159" l="1"/>
  <c r="K707" i="159" s="1"/>
  <c r="K738" i="159"/>
  <c r="O714" i="159"/>
  <c r="K714" i="159" s="1"/>
  <c r="G852" i="159"/>
  <c r="G849" i="159"/>
  <c r="I849" i="159"/>
  <c r="H852" i="159"/>
  <c r="H849" i="159"/>
  <c r="I852" i="159"/>
  <c r="I708" i="159"/>
  <c r="H708" i="159" s="1"/>
  <c r="J708" i="159" s="1"/>
  <c r="K708" i="159" s="1"/>
  <c r="C670" i="159"/>
  <c r="F669" i="159"/>
  <c r="C669" i="159"/>
  <c r="C668" i="159"/>
  <c r="I665" i="159"/>
  <c r="H665" i="159"/>
  <c r="G665" i="159"/>
  <c r="K649" i="159"/>
  <c r="C647" i="159"/>
  <c r="C646" i="159"/>
  <c r="C645" i="159"/>
  <c r="C644" i="159"/>
  <c r="K643" i="159" s="1"/>
  <c r="J643" i="159" s="1"/>
  <c r="I643" i="159"/>
  <c r="H643" i="159" s="1"/>
  <c r="G643" i="159" s="1"/>
  <c r="F643" i="159"/>
  <c r="C643" i="159"/>
  <c r="C641" i="159"/>
  <c r="C640" i="159"/>
  <c r="C639" i="159"/>
  <c r="C637" i="159"/>
  <c r="C636" i="159"/>
  <c r="C635" i="159"/>
  <c r="C634" i="159"/>
  <c r="C633" i="159"/>
  <c r="C630" i="159"/>
  <c r="C629" i="159"/>
  <c r="D628" i="159"/>
  <c r="C628" i="159"/>
  <c r="D627" i="159"/>
  <c r="C627" i="159"/>
  <c r="C626" i="159"/>
  <c r="D625" i="159"/>
  <c r="C625" i="159"/>
  <c r="I623" i="159"/>
  <c r="H623" i="159"/>
  <c r="G623" i="159"/>
  <c r="K565" i="159"/>
  <c r="I565" i="159" s="1"/>
  <c r="I652" i="159" s="1"/>
  <c r="H565" i="159"/>
  <c r="H652" i="159" s="1"/>
  <c r="G565" i="159"/>
  <c r="G652" i="159" s="1"/>
  <c r="F565" i="159"/>
  <c r="F652" i="159" s="1"/>
  <c r="C563" i="159"/>
  <c r="C562" i="159"/>
  <c r="C561" i="159"/>
  <c r="C557" i="159"/>
  <c r="C556" i="159"/>
  <c r="C555" i="159"/>
  <c r="K554" i="159"/>
  <c r="J852" i="159" l="1"/>
  <c r="K852" i="159" s="1"/>
  <c r="O708" i="159"/>
  <c r="K652" i="159"/>
  <c r="J652" i="159" s="1"/>
  <c r="J849" i="159"/>
  <c r="I554" i="159"/>
  <c r="H554" i="159"/>
  <c r="G554" i="159"/>
  <c r="F554" i="159"/>
  <c r="C554" i="159"/>
  <c r="C552" i="159"/>
  <c r="C551" i="159"/>
  <c r="C549" i="159"/>
  <c r="C548" i="159"/>
  <c r="C545" i="159"/>
  <c r="C544" i="159"/>
  <c r="C543" i="159"/>
  <c r="F540" i="159"/>
  <c r="F562" i="159" s="1"/>
  <c r="C540" i="159"/>
  <c r="C539" i="159"/>
  <c r="C536" i="159"/>
  <c r="D535" i="159"/>
  <c r="C535" i="159"/>
  <c r="C532" i="159"/>
  <c r="D531" i="159"/>
  <c r="D530" i="159"/>
  <c r="C530" i="159"/>
  <c r="D529" i="159"/>
  <c r="C529" i="159"/>
  <c r="K849" i="159" l="1"/>
  <c r="D528" i="159"/>
  <c r="C528" i="159"/>
  <c r="D527" i="159"/>
  <c r="C527" i="159"/>
  <c r="C522" i="159"/>
  <c r="D521" i="159"/>
  <c r="C521" i="159"/>
  <c r="D520" i="159"/>
  <c r="C520" i="159"/>
  <c r="D519" i="159"/>
  <c r="C519" i="159"/>
  <c r="C516" i="159"/>
  <c r="D515" i="159"/>
  <c r="C515" i="159"/>
  <c r="I512" i="159"/>
  <c r="H512" i="159"/>
  <c r="G512" i="159"/>
  <c r="C501" i="159"/>
  <c r="C500" i="159"/>
  <c r="C499" i="159"/>
  <c r="C498" i="159"/>
  <c r="C493" i="159"/>
  <c r="C492" i="159"/>
  <c r="D491" i="159"/>
  <c r="C491" i="159"/>
  <c r="C488" i="159"/>
  <c r="D487" i="159"/>
  <c r="C487" i="159"/>
  <c r="D486" i="159"/>
  <c r="C486" i="159"/>
  <c r="D485" i="159"/>
  <c r="C485" i="159"/>
  <c r="D484" i="159"/>
  <c r="C484" i="159"/>
  <c r="C481" i="159"/>
  <c r="D480" i="159"/>
  <c r="C480" i="159"/>
  <c r="D479" i="159"/>
  <c r="C479" i="159"/>
  <c r="I476" i="159"/>
  <c r="H476" i="159"/>
  <c r="G476" i="159"/>
  <c r="C462" i="159"/>
  <c r="D461" i="159"/>
  <c r="C461" i="159"/>
  <c r="C458" i="159"/>
  <c r="D457" i="159"/>
  <c r="C457" i="159"/>
  <c r="C454" i="159"/>
  <c r="D453" i="159"/>
  <c r="C453" i="159"/>
  <c r="K450" i="159"/>
  <c r="J450" i="159"/>
  <c r="I450" i="159"/>
  <c r="H450" i="159"/>
  <c r="G450" i="159"/>
  <c r="F450" i="159"/>
  <c r="C450" i="159"/>
  <c r="C447" i="159"/>
  <c r="D446" i="159"/>
  <c r="C446" i="159"/>
  <c r="I444" i="159"/>
  <c r="H444" i="159"/>
  <c r="G444" i="159"/>
  <c r="C433" i="159"/>
  <c r="C431" i="159"/>
  <c r="D430" i="159"/>
  <c r="C430" i="159"/>
  <c r="D429" i="159"/>
  <c r="C429" i="159"/>
  <c r="D428" i="159"/>
  <c r="C428" i="159"/>
  <c r="D427" i="159"/>
  <c r="C427" i="159"/>
  <c r="D426" i="159"/>
  <c r="C426" i="159"/>
  <c r="D425" i="159"/>
  <c r="C425" i="159"/>
  <c r="D424" i="159"/>
  <c r="C424" i="159"/>
  <c r="D423" i="159"/>
  <c r="C423" i="159"/>
  <c r="D422" i="159"/>
  <c r="C422" i="159"/>
  <c r="D421" i="159"/>
  <c r="C421" i="159"/>
  <c r="D420" i="159"/>
  <c r="C420" i="159"/>
  <c r="D419" i="159"/>
  <c r="C419" i="159"/>
  <c r="D418" i="159"/>
  <c r="C418" i="159"/>
  <c r="D417" i="159"/>
  <c r="C417" i="159"/>
  <c r="C416" i="159"/>
  <c r="D415" i="159"/>
  <c r="C415" i="159"/>
  <c r="D414" i="159"/>
  <c r="C414" i="159"/>
  <c r="D413" i="159"/>
  <c r="C413" i="159"/>
  <c r="D412" i="159"/>
  <c r="C412" i="159"/>
  <c r="D411" i="159" l="1"/>
  <c r="C411" i="159"/>
  <c r="D410" i="159"/>
  <c r="C410" i="159"/>
  <c r="C407" i="159"/>
  <c r="D406" i="159"/>
  <c r="C406" i="159"/>
  <c r="C403" i="159"/>
  <c r="D402" i="159"/>
  <c r="C402" i="159"/>
  <c r="I400" i="159"/>
  <c r="H400" i="159"/>
  <c r="G400" i="159"/>
  <c r="C389" i="159"/>
  <c r="D388" i="159"/>
  <c r="C388" i="159"/>
  <c r="D387" i="159"/>
  <c r="C387" i="159"/>
  <c r="D386" i="159"/>
  <c r="C386" i="159"/>
  <c r="D385" i="159"/>
  <c r="C385" i="159"/>
  <c r="D384" i="159"/>
  <c r="C384" i="159"/>
  <c r="D383" i="159"/>
  <c r="C383" i="159"/>
  <c r="D382" i="159"/>
  <c r="C382" i="159"/>
  <c r="D381" i="159"/>
  <c r="C381" i="159"/>
  <c r="C378" i="159"/>
  <c r="D377" i="159"/>
  <c r="C377" i="159"/>
  <c r="D376" i="159"/>
  <c r="C376" i="159"/>
  <c r="D375" i="159"/>
  <c r="C375" i="159"/>
  <c r="D374" i="159"/>
  <c r="C374" i="159"/>
  <c r="D373" i="159"/>
  <c r="C373" i="159"/>
  <c r="D372" i="159"/>
  <c r="C372" i="159"/>
  <c r="D371" i="159"/>
  <c r="C371" i="159"/>
  <c r="D370" i="159"/>
  <c r="C370" i="159"/>
  <c r="D369" i="159"/>
  <c r="C369" i="159"/>
  <c r="D368" i="159"/>
  <c r="C368" i="159"/>
  <c r="D367" i="159"/>
  <c r="C367" i="159"/>
  <c r="K364" i="159"/>
  <c r="J364" i="159"/>
  <c r="I364" i="159"/>
  <c r="H364" i="159"/>
  <c r="G364" i="159"/>
  <c r="F364" i="159"/>
  <c r="C364" i="159"/>
  <c r="C363" i="159"/>
  <c r="C358" i="159"/>
  <c r="D357" i="159"/>
  <c r="C357" i="159"/>
  <c r="F354" i="159"/>
  <c r="C354" i="159"/>
  <c r="I353" i="159"/>
  <c r="H353" i="159"/>
  <c r="G353" i="159"/>
  <c r="C353" i="159"/>
  <c r="C350" i="159"/>
  <c r="D349" i="159"/>
  <c r="C349" i="159"/>
  <c r="D348" i="159"/>
  <c r="C348" i="159"/>
  <c r="I345" i="159"/>
  <c r="H345" i="159"/>
  <c r="G345" i="159"/>
  <c r="C331" i="159"/>
  <c r="C330" i="159"/>
  <c r="C329" i="159"/>
  <c r="C326" i="159"/>
  <c r="C325" i="159"/>
  <c r="C324" i="159"/>
  <c r="C323" i="159"/>
  <c r="C319" i="159"/>
  <c r="D318" i="159"/>
  <c r="C318" i="159"/>
  <c r="D317" i="159"/>
  <c r="C317" i="159"/>
  <c r="D316" i="159"/>
  <c r="C316" i="159"/>
  <c r="J353" i="159" l="1"/>
  <c r="K353" i="159" s="1"/>
  <c r="K354" i="159" s="1"/>
  <c r="C310" i="159"/>
  <c r="D309" i="159"/>
  <c r="C309" i="159"/>
  <c r="D308" i="159"/>
  <c r="C308" i="159"/>
  <c r="D307" i="159"/>
  <c r="C307" i="159"/>
  <c r="C303" i="159"/>
  <c r="D302" i="159"/>
  <c r="C302" i="159"/>
  <c r="D301" i="159"/>
  <c r="C301" i="159"/>
  <c r="I294" i="159"/>
  <c r="H294" i="159"/>
  <c r="G294" i="159"/>
  <c r="C281" i="159"/>
  <c r="D280" i="159"/>
  <c r="C280" i="159"/>
  <c r="D279" i="159"/>
  <c r="C279" i="159"/>
  <c r="D278" i="159"/>
  <c r="C278" i="159"/>
  <c r="C275" i="159"/>
  <c r="D274" i="159"/>
  <c r="C274" i="159"/>
  <c r="D273" i="159"/>
  <c r="C273" i="159"/>
  <c r="D272" i="159"/>
  <c r="C272" i="159"/>
  <c r="D271" i="159"/>
  <c r="C271" i="159"/>
  <c r="D270" i="159"/>
  <c r="C270" i="159"/>
  <c r="D269" i="159"/>
  <c r="C269" i="159"/>
  <c r="D268" i="159"/>
  <c r="C268" i="159"/>
  <c r="D267" i="159"/>
  <c r="C267" i="159"/>
  <c r="D266" i="159"/>
  <c r="C266" i="159"/>
  <c r="D265" i="159"/>
  <c r="C265" i="159"/>
  <c r="D264" i="159"/>
  <c r="C264" i="159"/>
  <c r="D263" i="159"/>
  <c r="C263" i="159"/>
  <c r="D262" i="159"/>
  <c r="C262" i="159"/>
  <c r="D261" i="159"/>
  <c r="C261" i="159"/>
  <c r="D260" i="159"/>
  <c r="C260" i="159"/>
  <c r="D259" i="159"/>
  <c r="C259" i="159"/>
  <c r="D258" i="159"/>
  <c r="C258" i="159"/>
  <c r="D257" i="159"/>
  <c r="C257" i="159"/>
  <c r="D256" i="159"/>
  <c r="C256" i="159"/>
  <c r="D255" i="159"/>
  <c r="C255" i="159"/>
  <c r="D254" i="159"/>
  <c r="C254" i="159"/>
  <c r="D253" i="159"/>
  <c r="C253" i="159"/>
  <c r="D252" i="159"/>
  <c r="C252" i="159"/>
  <c r="I249" i="159"/>
  <c r="H249" i="159"/>
  <c r="G249" i="159"/>
  <c r="C236" i="159"/>
  <c r="D235" i="159"/>
  <c r="C235" i="159"/>
  <c r="D234" i="159"/>
  <c r="C234" i="159"/>
  <c r="D233" i="159"/>
  <c r="C233" i="159"/>
  <c r="C232" i="159"/>
  <c r="C229" i="159"/>
  <c r="D228" i="159"/>
  <c r="C228" i="159"/>
  <c r="D227" i="159"/>
  <c r="C227" i="159"/>
  <c r="D226" i="159"/>
  <c r="C226" i="159"/>
  <c r="D225" i="159"/>
  <c r="C225" i="159"/>
  <c r="D224" i="159"/>
  <c r="C224" i="159"/>
  <c r="D223" i="159"/>
  <c r="C223" i="159"/>
  <c r="J354" i="159" l="1"/>
  <c r="I354" i="159" s="1"/>
  <c r="H354" i="159" s="1"/>
  <c r="G354" i="159" s="1"/>
  <c r="D222" i="159"/>
  <c r="C222" i="159"/>
  <c r="D221" i="159"/>
  <c r="C221" i="159"/>
  <c r="D220" i="159"/>
  <c r="C220" i="159"/>
  <c r="D219" i="159"/>
  <c r="C219" i="159"/>
  <c r="D218" i="159"/>
  <c r="C218" i="159"/>
  <c r="C215" i="159"/>
  <c r="D214" i="159"/>
  <c r="C214" i="159"/>
  <c r="D213" i="159"/>
  <c r="C213" i="159"/>
  <c r="D212" i="159"/>
  <c r="C212" i="159"/>
  <c r="D211" i="159"/>
  <c r="C211" i="159"/>
  <c r="D210" i="159"/>
  <c r="C210" i="159"/>
  <c r="D209" i="159"/>
  <c r="C209" i="159"/>
  <c r="D208" i="159"/>
  <c r="C208" i="159"/>
  <c r="D207" i="159"/>
  <c r="C207" i="159"/>
  <c r="D206" i="159"/>
  <c r="C206" i="159"/>
  <c r="I202" i="159"/>
  <c r="H202" i="159"/>
  <c r="G202" i="159"/>
  <c r="C189" i="159"/>
  <c r="C188" i="159"/>
  <c r="C187" i="159"/>
  <c r="C184" i="159"/>
  <c r="C183" i="159"/>
  <c r="C182" i="159"/>
  <c r="C176" i="159"/>
  <c r="C175" i="159"/>
  <c r="C174" i="159"/>
  <c r="C171" i="159"/>
  <c r="C170" i="159"/>
  <c r="C169" i="159" l="1"/>
  <c r="C166" i="159"/>
  <c r="C165" i="159"/>
  <c r="C164" i="159"/>
  <c r="I162" i="159"/>
  <c r="H162" i="159"/>
  <c r="G162" i="159"/>
  <c r="B161" i="159"/>
  <c r="C149" i="159"/>
  <c r="D148" i="159"/>
  <c r="C148" i="159"/>
  <c r="D147" i="159"/>
  <c r="C147" i="159"/>
  <c r="D146" i="159"/>
  <c r="C146" i="159"/>
  <c r="D145" i="159"/>
  <c r="C145" i="159"/>
  <c r="D144" i="159"/>
  <c r="C144" i="159"/>
  <c r="D143" i="159"/>
  <c r="C143" i="159"/>
  <c r="C140" i="159"/>
  <c r="D139" i="159" l="1"/>
  <c r="C139" i="159"/>
  <c r="D138" i="159" l="1"/>
  <c r="C138" i="159"/>
  <c r="D137" i="159"/>
  <c r="C137" i="159"/>
  <c r="D136" i="159"/>
  <c r="C136" i="159"/>
  <c r="D135" i="159"/>
  <c r="C135" i="159"/>
  <c r="D134" i="159"/>
  <c r="C134" i="159"/>
  <c r="C131" i="159"/>
  <c r="D130" i="159" l="1"/>
  <c r="C130" i="159"/>
  <c r="D129" i="159"/>
  <c r="C129" i="159"/>
  <c r="D128" i="159"/>
  <c r="C128" i="159"/>
  <c r="D127" i="159"/>
  <c r="C127" i="159"/>
  <c r="D126" i="159"/>
  <c r="C126" i="159"/>
  <c r="D125" i="159"/>
  <c r="C125" i="159"/>
  <c r="D124" i="159"/>
  <c r="C124" i="159"/>
  <c r="D123" i="159"/>
  <c r="C123" i="159"/>
  <c r="D122" i="159"/>
  <c r="C122" i="159"/>
  <c r="K119" i="159"/>
  <c r="J119" i="159"/>
  <c r="J170" i="159" s="1"/>
  <c r="I119" i="159"/>
  <c r="I170" i="159" s="1"/>
  <c r="H119" i="159"/>
  <c r="H170" i="159" s="1"/>
  <c r="G119" i="159"/>
  <c r="G170" i="159" s="1"/>
  <c r="F119" i="159"/>
  <c r="F170" i="159" s="1"/>
  <c r="K170" i="159" s="1"/>
  <c r="C119" i="159"/>
  <c r="C118" i="159"/>
  <c r="C115" i="159"/>
  <c r="D114" i="159"/>
  <c r="C114" i="159"/>
  <c r="I112" i="159"/>
  <c r="H112" i="159"/>
  <c r="G112" i="159"/>
  <c r="C99" i="159"/>
  <c r="D98" i="159"/>
  <c r="C98" i="159"/>
  <c r="D97" i="159"/>
  <c r="C97" i="159"/>
  <c r="D96" i="159"/>
  <c r="C96" i="159"/>
  <c r="D95" i="159"/>
  <c r="C95" i="159"/>
  <c r="D94" i="159"/>
  <c r="C94" i="159"/>
  <c r="D93" i="159"/>
  <c r="C93" i="159"/>
  <c r="C90" i="159"/>
  <c r="D89" i="159"/>
  <c r="C89" i="159"/>
  <c r="D88" i="159"/>
  <c r="C88" i="159"/>
  <c r="D87" i="159"/>
  <c r="C87" i="159"/>
  <c r="D86" i="159"/>
  <c r="C86" i="159"/>
  <c r="D85" i="159"/>
  <c r="C85" i="159"/>
  <c r="D84" i="159"/>
  <c r="C84" i="159"/>
  <c r="C78" i="159"/>
  <c r="D77" i="159"/>
  <c r="C77" i="159"/>
  <c r="D76" i="159"/>
  <c r="C76" i="159"/>
  <c r="D75" i="159"/>
  <c r="C75" i="159"/>
  <c r="D74" i="159"/>
  <c r="C74" i="159"/>
  <c r="D73" i="159"/>
  <c r="C73" i="159"/>
  <c r="D72" i="159"/>
  <c r="C72" i="159"/>
  <c r="D71" i="159"/>
  <c r="C71" i="159"/>
  <c r="D70" i="159"/>
  <c r="C70" i="159"/>
  <c r="D69" i="159"/>
  <c r="C69" i="159"/>
  <c r="D68" i="159"/>
  <c r="C68" i="159"/>
  <c r="K63" i="159"/>
  <c r="J63" i="159"/>
  <c r="I63" i="159"/>
  <c r="I169" i="159" s="1"/>
  <c r="H63" i="159"/>
  <c r="H169" i="159" s="1"/>
  <c r="G63" i="159"/>
  <c r="G169" i="159" s="1"/>
  <c r="F63" i="159"/>
  <c r="F169" i="159" s="1"/>
  <c r="C63" i="159"/>
  <c r="C62" i="159"/>
  <c r="C59" i="159"/>
  <c r="D58" i="159"/>
  <c r="C58" i="159"/>
  <c r="D57" i="159"/>
  <c r="C57" i="159"/>
  <c r="I55" i="159"/>
  <c r="H55" i="159"/>
  <c r="G55" i="159"/>
  <c r="J29" i="159"/>
  <c r="D29" i="159"/>
  <c r="C28" i="159"/>
  <c r="C24" i="159"/>
  <c r="C23" i="159"/>
  <c r="C22" i="159"/>
  <c r="C21" i="159"/>
  <c r="C20" i="159"/>
  <c r="C19" i="159"/>
  <c r="C18" i="159"/>
  <c r="C15" i="159"/>
  <c r="C14" i="159"/>
  <c r="C13" i="159"/>
  <c r="C12" i="159"/>
  <c r="C899" i="155"/>
  <c r="C897" i="155"/>
  <c r="C896" i="155"/>
  <c r="C895" i="155"/>
  <c r="C892" i="155"/>
  <c r="C891" i="155"/>
  <c r="C890" i="155"/>
  <c r="C887" i="155"/>
  <c r="C886" i="155"/>
  <c r="C885" i="155"/>
  <c r="C884" i="155"/>
  <c r="F883" i="155"/>
  <c r="C883" i="155"/>
  <c r="C882" i="155"/>
  <c r="C881" i="155"/>
  <c r="C877" i="155"/>
  <c r="C876" i="155"/>
  <c r="C875" i="155"/>
  <c r="C872" i="155"/>
  <c r="C871" i="155"/>
  <c r="C870" i="155"/>
  <c r="C869" i="155"/>
  <c r="C868" i="155"/>
  <c r="C867" i="155"/>
  <c r="J865" i="155"/>
  <c r="I865" i="155"/>
  <c r="H865" i="155"/>
  <c r="G865" i="155"/>
  <c r="F864" i="155"/>
  <c r="F863" i="155"/>
  <c r="E854" i="155"/>
  <c r="E853" i="155"/>
  <c r="E852" i="155"/>
  <c r="E851" i="155"/>
  <c r="E850" i="155"/>
  <c r="F849" i="155"/>
  <c r="E849" i="155"/>
  <c r="E844" i="155"/>
  <c r="E841" i="155"/>
  <c r="E840" i="155"/>
  <c r="E839" i="155"/>
  <c r="E838" i="155"/>
  <c r="E835" i="155"/>
  <c r="E834" i="155"/>
  <c r="E833" i="155"/>
  <c r="E832" i="155"/>
  <c r="E831" i="155"/>
  <c r="E828" i="155"/>
  <c r="E827" i="155"/>
  <c r="E826" i="155"/>
  <c r="E825" i="155"/>
  <c r="E824" i="155"/>
  <c r="E823" i="155"/>
  <c r="E822" i="155"/>
  <c r="E821" i="155"/>
  <c r="P818" i="155"/>
  <c r="L818" i="155"/>
  <c r="E818" i="155"/>
  <c r="E817" i="155"/>
  <c r="E816" i="155"/>
  <c r="J813" i="155"/>
  <c r="I813" i="155"/>
  <c r="H813" i="155"/>
  <c r="G813" i="155"/>
  <c r="F813" i="155"/>
  <c r="J812" i="155"/>
  <c r="I812" i="155"/>
  <c r="H812" i="155"/>
  <c r="G812" i="155"/>
  <c r="F812" i="155"/>
  <c r="E803" i="155"/>
  <c r="E802" i="155"/>
  <c r="E801" i="155"/>
  <c r="E800" i="155"/>
  <c r="E799" i="155"/>
  <c r="E796" i="155"/>
  <c r="E795" i="155"/>
  <c r="E794" i="155"/>
  <c r="F171" i="159" l="1"/>
  <c r="E793" i="155"/>
  <c r="E792" i="155"/>
  <c r="E789" i="155"/>
  <c r="E788" i="155"/>
  <c r="E787" i="155"/>
  <c r="E786" i="155"/>
  <c r="E785" i="155"/>
  <c r="J169" i="159" l="1"/>
  <c r="K169" i="159" s="1"/>
  <c r="K171" i="159" s="1"/>
  <c r="J171" i="159" s="1"/>
  <c r="I171" i="159" s="1"/>
  <c r="H171" i="159" s="1"/>
  <c r="G171" i="159" s="1"/>
  <c r="E784" i="155"/>
  <c r="E783" i="155"/>
  <c r="E782" i="155"/>
  <c r="J764" i="155" l="1"/>
  <c r="I764" i="155"/>
  <c r="H764" i="155"/>
  <c r="F764" i="155" l="1"/>
  <c r="G764" i="155" l="1"/>
  <c r="K764" i="155" s="1"/>
  <c r="J762" i="155"/>
  <c r="I762" i="155"/>
  <c r="H762" i="155"/>
  <c r="F762" i="155"/>
  <c r="E762" i="155"/>
  <c r="K761" i="155"/>
  <c r="E760" i="155"/>
  <c r="E758" i="155"/>
  <c r="J755" i="155"/>
  <c r="I755" i="155"/>
  <c r="H755" i="155"/>
  <c r="G755" i="155"/>
  <c r="F755" i="155"/>
  <c r="J754" i="155"/>
  <c r="I754" i="155"/>
  <c r="H754" i="155"/>
  <c r="G754" i="155"/>
  <c r="F754" i="155"/>
  <c r="E745" i="155"/>
  <c r="E744" i="155"/>
  <c r="J742" i="155"/>
  <c r="I742" i="155"/>
  <c r="H742" i="155"/>
  <c r="L761" i="155" l="1"/>
  <c r="G762" i="155" s="1"/>
  <c r="F742" i="155"/>
  <c r="E742" i="155"/>
  <c r="K741" i="155" l="1"/>
  <c r="L741" i="155" s="1"/>
  <c r="G742" i="155" s="1"/>
  <c r="J740" i="155" l="1"/>
  <c r="I740" i="155"/>
  <c r="H740" i="155"/>
  <c r="F740" i="155"/>
  <c r="E740" i="155"/>
  <c r="K739" i="155"/>
  <c r="L739" i="155" s="1"/>
  <c r="E738" i="155"/>
  <c r="J737" i="155"/>
  <c r="I737" i="155"/>
  <c r="F737" i="155"/>
  <c r="E736" i="155"/>
  <c r="C736" i="155"/>
  <c r="J735" i="155"/>
  <c r="I735" i="155"/>
  <c r="F735" i="155"/>
  <c r="E734" i="155"/>
  <c r="E732" i="155"/>
  <c r="E730" i="155"/>
  <c r="I729" i="155"/>
  <c r="H729" i="155"/>
  <c r="G729" i="155"/>
  <c r="E728" i="155"/>
  <c r="J727" i="155"/>
  <c r="H727" i="155"/>
  <c r="E726" i="155"/>
  <c r="E724" i="155"/>
  <c r="J723" i="155"/>
  <c r="I723" i="155"/>
  <c r="H723" i="155"/>
  <c r="G723" i="155"/>
  <c r="E722" i="155"/>
  <c r="G721" i="155"/>
  <c r="E720" i="155"/>
  <c r="G719" i="155"/>
  <c r="E718" i="155"/>
  <c r="J717" i="155"/>
  <c r="I717" i="155"/>
  <c r="H717" i="155"/>
  <c r="G717" i="155"/>
  <c r="F717" i="155"/>
  <c r="E716" i="155"/>
  <c r="J715" i="155"/>
  <c r="I715" i="155"/>
  <c r="H715" i="155"/>
  <c r="G715" i="155"/>
  <c r="F715" i="155"/>
  <c r="E714" i="155"/>
  <c r="J713" i="155"/>
  <c r="I713" i="155"/>
  <c r="H713" i="155"/>
  <c r="G713" i="155"/>
  <c r="F713" i="155"/>
  <c r="F712" i="155"/>
  <c r="E712" i="155"/>
  <c r="F710" i="155"/>
  <c r="E710" i="155"/>
  <c r="H716" i="155" l="1"/>
  <c r="I736" i="155"/>
  <c r="H736" i="155" s="1"/>
  <c r="J718" i="155"/>
  <c r="G740" i="155"/>
  <c r="I714" i="155"/>
  <c r="K737" i="155"/>
  <c r="L737" i="155" s="1"/>
  <c r="K715" i="155"/>
  <c r="L715" i="155" s="1"/>
  <c r="K735" i="155"/>
  <c r="L735" i="155" s="1"/>
  <c r="K713" i="155"/>
  <c r="L713" i="155" s="1"/>
  <c r="H718" i="155"/>
  <c r="F714" i="155"/>
  <c r="K717" i="155"/>
  <c r="L717" i="155" s="1"/>
  <c r="I738" i="155"/>
  <c r="H738" i="155" s="1"/>
  <c r="H714" i="155"/>
  <c r="F716" i="155"/>
  <c r="F718" i="155"/>
  <c r="J736" i="155"/>
  <c r="F738" i="155"/>
  <c r="J714" i="155"/>
  <c r="I718" i="155"/>
  <c r="F736" i="155"/>
  <c r="J738" i="155"/>
  <c r="K723" i="155"/>
  <c r="E708" i="155"/>
  <c r="J707" i="155"/>
  <c r="I707" i="155"/>
  <c r="H707" i="155"/>
  <c r="G707" i="155"/>
  <c r="F707" i="155"/>
  <c r="J704" i="155"/>
  <c r="I704" i="155"/>
  <c r="H704" i="155"/>
  <c r="G704" i="155"/>
  <c r="F704" i="155"/>
  <c r="J703" i="155"/>
  <c r="G703" i="155"/>
  <c r="F703" i="155"/>
  <c r="F702" i="155"/>
  <c r="L694" i="155"/>
  <c r="K694" i="155"/>
  <c r="J694" i="155"/>
  <c r="I694" i="155"/>
  <c r="H694" i="155"/>
  <c r="G694" i="155"/>
  <c r="C694" i="155"/>
  <c r="L693" i="155"/>
  <c r="K693" i="155"/>
  <c r="J693" i="155"/>
  <c r="I693" i="155"/>
  <c r="H693" i="155"/>
  <c r="G693" i="155"/>
  <c r="C693" i="155"/>
  <c r="L692" i="155"/>
  <c r="K692" i="155"/>
  <c r="J692" i="155"/>
  <c r="I692" i="155"/>
  <c r="H692" i="155"/>
  <c r="G692" i="155"/>
  <c r="C692" i="155"/>
  <c r="L691" i="155"/>
  <c r="K691" i="155"/>
  <c r="J691" i="155"/>
  <c r="I691" i="155"/>
  <c r="H691" i="155"/>
  <c r="G691" i="155"/>
  <c r="C691" i="155"/>
  <c r="C688" i="155"/>
  <c r="C687" i="155"/>
  <c r="C686" i="155"/>
  <c r="C685" i="155"/>
  <c r="C684" i="155"/>
  <c r="G718" i="155" l="1"/>
  <c r="H708" i="155"/>
  <c r="G738" i="155"/>
  <c r="F708" i="155"/>
  <c r="K707" i="155"/>
  <c r="L707" i="155" s="1"/>
  <c r="G736" i="155"/>
  <c r="J849" i="155"/>
  <c r="I849" i="155"/>
  <c r="H849" i="155"/>
  <c r="G714" i="155"/>
  <c r="C683" i="155"/>
  <c r="C680" i="155"/>
  <c r="C679" i="155"/>
  <c r="C678" i="155"/>
  <c r="C677" i="155"/>
  <c r="C676" i="155"/>
  <c r="C673" i="155"/>
  <c r="C672" i="155"/>
  <c r="C671" i="155"/>
  <c r="C670" i="155"/>
  <c r="C669" i="155"/>
  <c r="C668" i="155"/>
  <c r="J665" i="155"/>
  <c r="I665" i="155"/>
  <c r="H665" i="155"/>
  <c r="G665" i="155"/>
  <c r="F664" i="155"/>
  <c r="F663" i="155"/>
  <c r="C647" i="155"/>
  <c r="C646" i="155"/>
  <c r="C645" i="155"/>
  <c r="C644" i="155"/>
  <c r="L643" i="155" s="1"/>
  <c r="K643" i="155" s="1"/>
  <c r="J643" i="155" s="1"/>
  <c r="G849" i="155" l="1"/>
  <c r="K849" i="155" s="1"/>
  <c r="I643" i="155"/>
  <c r="H643" i="155"/>
  <c r="G643" i="155" s="1"/>
  <c r="F643" i="155"/>
  <c r="C643" i="155"/>
  <c r="C641" i="155"/>
  <c r="C640" i="155"/>
  <c r="C639" i="155"/>
  <c r="C637" i="155"/>
  <c r="C636" i="155"/>
  <c r="C635" i="155"/>
  <c r="C634" i="155"/>
  <c r="C633" i="155"/>
  <c r="C630" i="155"/>
  <c r="C629" i="155"/>
  <c r="D628" i="155"/>
  <c r="C628" i="155"/>
  <c r="D627" i="155"/>
  <c r="C627" i="155"/>
  <c r="C626" i="155"/>
  <c r="L849" i="155" l="1"/>
  <c r="D625" i="155"/>
  <c r="C625" i="155"/>
  <c r="J623" i="155"/>
  <c r="I623" i="155"/>
  <c r="H623" i="155"/>
  <c r="G623" i="155"/>
  <c r="F622" i="155"/>
  <c r="F621" i="155"/>
  <c r="F620" i="155"/>
  <c r="L565" i="155"/>
  <c r="L652" i="155" s="1"/>
  <c r="K652" i="155" s="1"/>
  <c r="J565" i="155"/>
  <c r="J652" i="155" s="1"/>
  <c r="I565" i="155"/>
  <c r="I652" i="155" s="1"/>
  <c r="H565" i="155"/>
  <c r="H652" i="155" s="1"/>
  <c r="G565" i="155" l="1"/>
  <c r="G652" i="155" s="1"/>
  <c r="F565" i="155"/>
  <c r="F652" i="155" s="1"/>
  <c r="C563" i="155"/>
  <c r="C562" i="155"/>
  <c r="C561" i="155"/>
  <c r="C557" i="155"/>
  <c r="C556" i="155"/>
  <c r="C555" i="155"/>
  <c r="L554" i="155"/>
  <c r="J554" i="155"/>
  <c r="I554" i="155"/>
  <c r="H554" i="155"/>
  <c r="G554" i="155"/>
  <c r="F554" i="155"/>
  <c r="C554" i="155"/>
  <c r="C552" i="155"/>
  <c r="C551" i="155"/>
  <c r="C549" i="155"/>
  <c r="C548" i="155"/>
  <c r="C545" i="155"/>
  <c r="C544" i="155"/>
  <c r="C543" i="155"/>
  <c r="F540" i="155"/>
  <c r="F891" i="155" s="1"/>
  <c r="C540" i="155"/>
  <c r="C539" i="155"/>
  <c r="C536" i="155"/>
  <c r="D535" i="155"/>
  <c r="C535" i="155"/>
  <c r="C532" i="155"/>
  <c r="D531" i="155"/>
  <c r="D530" i="155"/>
  <c r="C530" i="155"/>
  <c r="D529" i="155"/>
  <c r="C529" i="155"/>
  <c r="D528" i="155"/>
  <c r="C528" i="155"/>
  <c r="D527" i="155"/>
  <c r="C527" i="155"/>
  <c r="C522" i="155" l="1"/>
  <c r="D521" i="155"/>
  <c r="C521" i="155"/>
  <c r="D520" i="155"/>
  <c r="C520" i="155"/>
  <c r="D519" i="155" l="1"/>
  <c r="C519" i="155"/>
  <c r="C516" i="155"/>
  <c r="D515" i="155"/>
  <c r="C515" i="155"/>
  <c r="J512" i="155"/>
  <c r="I512" i="155"/>
  <c r="H512" i="155"/>
  <c r="G512" i="155"/>
  <c r="F511" i="155"/>
  <c r="F510" i="155"/>
  <c r="F509" i="155"/>
  <c r="C501" i="155"/>
  <c r="C500" i="155"/>
  <c r="C499" i="155"/>
  <c r="C498" i="155"/>
  <c r="C493" i="155"/>
  <c r="C492" i="155"/>
  <c r="D491" i="155" l="1"/>
  <c r="C491" i="155"/>
  <c r="C488" i="155"/>
  <c r="D487" i="155"/>
  <c r="C487" i="155"/>
  <c r="D486" i="155"/>
  <c r="C486" i="155"/>
  <c r="D485" i="155"/>
  <c r="C485" i="155"/>
  <c r="D484" i="155"/>
  <c r="C484" i="155"/>
  <c r="C481" i="155"/>
  <c r="D480" i="155"/>
  <c r="C480" i="155"/>
  <c r="D479" i="155"/>
  <c r="C479" i="155"/>
  <c r="J476" i="155"/>
  <c r="I476" i="155"/>
  <c r="H476" i="155"/>
  <c r="G476" i="155"/>
  <c r="F475" i="155"/>
  <c r="F474" i="155"/>
  <c r="F473" i="155"/>
  <c r="C462" i="155"/>
  <c r="D461" i="155"/>
  <c r="C461" i="155"/>
  <c r="C458" i="155"/>
  <c r="D457" i="155"/>
  <c r="C457" i="155"/>
  <c r="C454" i="155"/>
  <c r="D453" i="155"/>
  <c r="C453" i="155"/>
  <c r="L450" i="155"/>
  <c r="K450" i="155" l="1"/>
  <c r="J450" i="155"/>
  <c r="I450" i="155"/>
  <c r="H450" i="155"/>
  <c r="G450" i="155"/>
  <c r="F450" i="155"/>
  <c r="C450" i="155"/>
  <c r="C447" i="155"/>
  <c r="D446" i="155" l="1"/>
  <c r="C446" i="155"/>
  <c r="J444" i="155"/>
  <c r="I444" i="155"/>
  <c r="H444" i="155"/>
  <c r="G444" i="155"/>
  <c r="F443" i="155"/>
  <c r="F442" i="155"/>
  <c r="F441" i="155"/>
  <c r="C433" i="155"/>
  <c r="C431" i="155"/>
  <c r="D430" i="155"/>
  <c r="C430" i="155"/>
  <c r="D429" i="155" l="1"/>
  <c r="C429" i="155"/>
  <c r="D428" i="155"/>
  <c r="C428" i="155"/>
  <c r="D427" i="155"/>
  <c r="C427" i="155"/>
  <c r="D426" i="155"/>
  <c r="C426" i="155"/>
  <c r="D425" i="155"/>
  <c r="C425" i="155"/>
  <c r="D424" i="155"/>
  <c r="C424" i="155"/>
  <c r="D423" i="155"/>
  <c r="C423" i="155"/>
  <c r="D422" i="155"/>
  <c r="C422" i="155"/>
  <c r="D421" i="155"/>
  <c r="C421" i="155"/>
  <c r="D420" i="155"/>
  <c r="C420" i="155"/>
  <c r="D419" i="155"/>
  <c r="C419" i="155"/>
  <c r="D418" i="155" l="1"/>
  <c r="C418" i="155"/>
  <c r="D417" i="155"/>
  <c r="C417" i="155"/>
  <c r="C416" i="155"/>
  <c r="D415" i="155"/>
  <c r="C415" i="155"/>
  <c r="D414" i="155"/>
  <c r="C414" i="155"/>
  <c r="D413" i="155"/>
  <c r="C413" i="155"/>
  <c r="D412" i="155"/>
  <c r="C412" i="155"/>
  <c r="D411" i="155" l="1"/>
  <c r="C411" i="155"/>
  <c r="D410" i="155" l="1"/>
  <c r="C410" i="155"/>
  <c r="C407" i="155"/>
  <c r="D406" i="155"/>
  <c r="C406" i="155"/>
  <c r="C403" i="155"/>
  <c r="D402" i="155"/>
  <c r="C402" i="155"/>
  <c r="J400" i="155"/>
  <c r="I400" i="155"/>
  <c r="H400" i="155"/>
  <c r="G400" i="155"/>
  <c r="F399" i="155"/>
  <c r="F398" i="155"/>
  <c r="F397" i="155"/>
  <c r="C389" i="155"/>
  <c r="D388" i="155"/>
  <c r="C388" i="155"/>
  <c r="D387" i="155"/>
  <c r="C387" i="155"/>
  <c r="D386" i="155"/>
  <c r="C386" i="155"/>
  <c r="D385" i="155"/>
  <c r="C385" i="155"/>
  <c r="D384" i="155"/>
  <c r="C384" i="155"/>
  <c r="D383" i="155"/>
  <c r="C383" i="155"/>
  <c r="D382" i="155"/>
  <c r="C382" i="155"/>
  <c r="D381" i="155"/>
  <c r="C381" i="155"/>
  <c r="C378" i="155"/>
  <c r="D377" i="155"/>
  <c r="C377" i="155"/>
  <c r="D376" i="155"/>
  <c r="C376" i="155"/>
  <c r="D375" i="155"/>
  <c r="C375" i="155"/>
  <c r="D374" i="155"/>
  <c r="C374" i="155"/>
  <c r="D373" i="155"/>
  <c r="C373" i="155"/>
  <c r="D372" i="155"/>
  <c r="C372" i="155"/>
  <c r="D371" i="155"/>
  <c r="C371" i="155"/>
  <c r="D370" i="155"/>
  <c r="C370" i="155"/>
  <c r="D369" i="155"/>
  <c r="C369" i="155"/>
  <c r="D368" i="155"/>
  <c r="C368" i="155"/>
  <c r="D367" i="155"/>
  <c r="C367" i="155"/>
  <c r="L364" i="155"/>
  <c r="K364" i="155"/>
  <c r="J364" i="155"/>
  <c r="I364" i="155"/>
  <c r="H364" i="155"/>
  <c r="G364" i="155"/>
  <c r="F364" i="155"/>
  <c r="C364" i="155"/>
  <c r="C363" i="155"/>
  <c r="C358" i="155"/>
  <c r="D357" i="155"/>
  <c r="C357" i="155"/>
  <c r="F354" i="155"/>
  <c r="C354" i="155"/>
  <c r="H353" i="155"/>
  <c r="C353" i="155"/>
  <c r="C350" i="155"/>
  <c r="D349" i="155"/>
  <c r="C349" i="155"/>
  <c r="D348" i="155"/>
  <c r="C348" i="155"/>
  <c r="J345" i="155"/>
  <c r="I345" i="155"/>
  <c r="H345" i="155"/>
  <c r="G345" i="155"/>
  <c r="F344" i="155"/>
  <c r="F343" i="155"/>
  <c r="F342" i="155"/>
  <c r="C331" i="155"/>
  <c r="C330" i="155"/>
  <c r="C329" i="155"/>
  <c r="C326" i="155"/>
  <c r="C325" i="155"/>
  <c r="C324" i="155"/>
  <c r="C323" i="155"/>
  <c r="C319" i="155"/>
  <c r="D318" i="155"/>
  <c r="C318" i="155"/>
  <c r="D317" i="155"/>
  <c r="C317" i="155"/>
  <c r="D316" i="155"/>
  <c r="C316" i="155"/>
  <c r="H353" i="165" l="1"/>
  <c r="H353" i="162"/>
  <c r="H354" i="155"/>
  <c r="C310" i="155"/>
  <c r="D309" i="155"/>
  <c r="C309" i="155"/>
  <c r="D308" i="155"/>
  <c r="C308" i="155"/>
  <c r="D307" i="155"/>
  <c r="C307" i="155"/>
  <c r="C303" i="155"/>
  <c r="D302" i="155"/>
  <c r="C302" i="155"/>
  <c r="D301" i="155"/>
  <c r="C301" i="155"/>
  <c r="J294" i="155"/>
  <c r="I294" i="155"/>
  <c r="H294" i="155"/>
  <c r="G294" i="155"/>
  <c r="F293" i="155"/>
  <c r="F292" i="155"/>
  <c r="F291" i="155"/>
  <c r="C281" i="155"/>
  <c r="D280" i="155"/>
  <c r="C280" i="155"/>
  <c r="D279" i="155"/>
  <c r="C279" i="155"/>
  <c r="D278" i="155"/>
  <c r="C278" i="155"/>
  <c r="C275" i="155"/>
  <c r="D274" i="155"/>
  <c r="C274" i="155"/>
  <c r="D273" i="155"/>
  <c r="C273" i="155"/>
  <c r="D272" i="155"/>
  <c r="C272" i="155"/>
  <c r="D271" i="155"/>
  <c r="C271" i="155"/>
  <c r="D270" i="155"/>
  <c r="C270" i="155"/>
  <c r="D269" i="155"/>
  <c r="C269" i="155"/>
  <c r="D268" i="155"/>
  <c r="C268" i="155"/>
  <c r="D267" i="155"/>
  <c r="C267" i="155"/>
  <c r="D266" i="155"/>
  <c r="C266" i="155"/>
  <c r="D265" i="155"/>
  <c r="C265" i="155"/>
  <c r="D264" i="155"/>
  <c r="C264" i="155"/>
  <c r="D263" i="155"/>
  <c r="C263" i="155"/>
  <c r="D262" i="155"/>
  <c r="C262" i="155"/>
  <c r="D261" i="155"/>
  <c r="C261" i="155"/>
  <c r="D260" i="155"/>
  <c r="C260" i="155"/>
  <c r="D259" i="155"/>
  <c r="C259" i="155"/>
  <c r="D258" i="155"/>
  <c r="C258" i="155"/>
  <c r="D257" i="155"/>
  <c r="C257" i="155"/>
  <c r="D256" i="155"/>
  <c r="C256" i="155"/>
  <c r="F353" i="165" l="1"/>
  <c r="H354" i="162"/>
  <c r="H354" i="165"/>
  <c r="G354" i="165" s="1"/>
  <c r="J353" i="165"/>
  <c r="D255" i="155"/>
  <c r="C255" i="155"/>
  <c r="D254" i="155"/>
  <c r="C254" i="155"/>
  <c r="D253" i="155"/>
  <c r="C253" i="155"/>
  <c r="D252" i="155"/>
  <c r="C252" i="155"/>
  <c r="J249" i="155"/>
  <c r="I249" i="155"/>
  <c r="H249" i="155"/>
  <c r="G249" i="155"/>
  <c r="F248" i="155"/>
  <c r="F247" i="155"/>
  <c r="F246" i="155"/>
  <c r="C236" i="155"/>
  <c r="D235" i="155"/>
  <c r="C235" i="155"/>
  <c r="D234" i="155"/>
  <c r="C234" i="155"/>
  <c r="D233" i="155"/>
  <c r="C233" i="155"/>
  <c r="C232" i="155"/>
  <c r="C229" i="155"/>
  <c r="D228" i="155"/>
  <c r="C228" i="155"/>
  <c r="D227" i="155"/>
  <c r="C227" i="155"/>
  <c r="D226" i="155"/>
  <c r="C226" i="155"/>
  <c r="D225" i="155"/>
  <c r="C225" i="155"/>
  <c r="D224" i="155"/>
  <c r="C224" i="155"/>
  <c r="D223" i="155"/>
  <c r="C223" i="155"/>
  <c r="D222" i="155"/>
  <c r="C222" i="155"/>
  <c r="D221" i="155"/>
  <c r="C221" i="155"/>
  <c r="D220" i="155"/>
  <c r="C220" i="155"/>
  <c r="D219" i="155"/>
  <c r="C219" i="155"/>
  <c r="D218" i="155"/>
  <c r="C218" i="155"/>
  <c r="C215" i="155"/>
  <c r="D214" i="155"/>
  <c r="C214" i="155"/>
  <c r="D213" i="155"/>
  <c r="C213" i="155"/>
  <c r="D212" i="155"/>
  <c r="C212" i="155"/>
  <c r="D211" i="155"/>
  <c r="C211" i="155"/>
  <c r="D210" i="155"/>
  <c r="C210" i="155"/>
  <c r="D209" i="155"/>
  <c r="C209" i="155"/>
  <c r="D208" i="155"/>
  <c r="C208" i="155"/>
  <c r="D207" i="155"/>
  <c r="C207" i="155"/>
  <c r="D206" i="155"/>
  <c r="C206" i="155"/>
  <c r="J202" i="155"/>
  <c r="I202" i="155"/>
  <c r="H202" i="155"/>
  <c r="G202" i="155"/>
  <c r="F201" i="155"/>
  <c r="F200" i="155"/>
  <c r="F199" i="155"/>
  <c r="C189" i="155"/>
  <c r="C188" i="155"/>
  <c r="C187" i="155"/>
  <c r="C184" i="155"/>
  <c r="C183" i="155"/>
  <c r="C182" i="155"/>
  <c r="C176" i="155"/>
  <c r="C175" i="155"/>
  <c r="C174" i="155"/>
  <c r="C171" i="155"/>
  <c r="F354" i="165" l="1"/>
  <c r="K353" i="165"/>
  <c r="K354" i="165" s="1"/>
  <c r="J354" i="165" s="1"/>
  <c r="I354" i="165" s="1"/>
  <c r="C170" i="155"/>
  <c r="C169" i="155" l="1"/>
  <c r="C166" i="155"/>
  <c r="C165" i="155"/>
  <c r="C164" i="155"/>
  <c r="J162" i="155" l="1"/>
  <c r="I162" i="155"/>
  <c r="H162" i="155"/>
  <c r="G162" i="155"/>
  <c r="F161" i="155"/>
  <c r="B161" i="155"/>
  <c r="F160" i="155"/>
  <c r="F159" i="155"/>
  <c r="C149" i="155"/>
  <c r="D148" i="155"/>
  <c r="C148" i="155"/>
  <c r="D147" i="155"/>
  <c r="C147" i="155"/>
  <c r="D146" i="155"/>
  <c r="C146" i="155"/>
  <c r="D145" i="155"/>
  <c r="C145" i="155"/>
  <c r="D144" i="155"/>
  <c r="C144" i="155"/>
  <c r="D143" i="155"/>
  <c r="C143" i="155"/>
  <c r="C140" i="155"/>
  <c r="D139" i="155" l="1"/>
  <c r="C139" i="155"/>
  <c r="D138" i="155"/>
  <c r="C138" i="155"/>
  <c r="D137" i="155" l="1"/>
  <c r="C137" i="155"/>
  <c r="D136" i="155"/>
  <c r="C136" i="155"/>
  <c r="D135" i="155"/>
  <c r="C135" i="155"/>
  <c r="D134" i="155"/>
  <c r="C134" i="155"/>
  <c r="C131" i="155"/>
  <c r="D130" i="155"/>
  <c r="C130" i="155"/>
  <c r="D129" i="155"/>
  <c r="C129" i="155"/>
  <c r="D128" i="155"/>
  <c r="C128" i="155"/>
  <c r="D127" i="155"/>
  <c r="C127" i="155"/>
  <c r="D126" i="155"/>
  <c r="C126" i="155"/>
  <c r="D125" i="155"/>
  <c r="C125" i="155"/>
  <c r="D124" i="155" l="1"/>
  <c r="C124" i="155"/>
  <c r="D123" i="155"/>
  <c r="C123" i="155"/>
  <c r="D122" i="155"/>
  <c r="C122" i="155"/>
  <c r="L119" i="155"/>
  <c r="K119" i="155"/>
  <c r="K170" i="155" s="1"/>
  <c r="J119" i="155"/>
  <c r="J170" i="155" s="1"/>
  <c r="I119" i="155"/>
  <c r="I170" i="155" s="1"/>
  <c r="H119" i="155"/>
  <c r="H170" i="155" s="1"/>
  <c r="G119" i="155"/>
  <c r="F119" i="155"/>
  <c r="F170" i="155" s="1"/>
  <c r="C119" i="155"/>
  <c r="C118" i="155"/>
  <c r="C115" i="155"/>
  <c r="D114" i="155"/>
  <c r="C114" i="155"/>
  <c r="J112" i="155"/>
  <c r="I112" i="155"/>
  <c r="H112" i="155"/>
  <c r="G112" i="155"/>
  <c r="F111" i="155"/>
  <c r="F110" i="155"/>
  <c r="F109" i="155"/>
  <c r="C99" i="155"/>
  <c r="D98" i="155"/>
  <c r="C98" i="155"/>
  <c r="D97" i="155"/>
  <c r="C97" i="155"/>
  <c r="D96" i="155"/>
  <c r="C96" i="155"/>
  <c r="L170" i="155" l="1"/>
  <c r="G170" i="155"/>
  <c r="D95" i="155"/>
  <c r="C95" i="155"/>
  <c r="D94" i="155"/>
  <c r="C94" i="155"/>
  <c r="D93" i="155"/>
  <c r="C93" i="155"/>
  <c r="C90" i="155"/>
  <c r="D89" i="155"/>
  <c r="C89" i="155"/>
  <c r="D88" i="155"/>
  <c r="C88" i="155"/>
  <c r="D87" i="155"/>
  <c r="C87" i="155"/>
  <c r="D86" i="155"/>
  <c r="C86" i="155"/>
  <c r="D85" i="155"/>
  <c r="C85" i="155"/>
  <c r="D84" i="155"/>
  <c r="C84" i="155"/>
  <c r="C78" i="155"/>
  <c r="D77" i="155"/>
  <c r="C77" i="155"/>
  <c r="D76" i="155"/>
  <c r="C76" i="155"/>
  <c r="D75" i="155"/>
  <c r="C75" i="155"/>
  <c r="D74" i="155"/>
  <c r="C74" i="155"/>
  <c r="D73" i="155" l="1"/>
  <c r="C73" i="155"/>
  <c r="D72" i="155"/>
  <c r="C72" i="155"/>
  <c r="D71" i="155" l="1"/>
  <c r="C71" i="155"/>
  <c r="D70" i="155"/>
  <c r="C70" i="155"/>
  <c r="D69" i="155"/>
  <c r="C69" i="155"/>
  <c r="D68" i="155"/>
  <c r="C68" i="155"/>
  <c r="L63" i="155"/>
  <c r="K63" i="155"/>
  <c r="J63" i="155"/>
  <c r="J169" i="155" s="1"/>
  <c r="I63" i="155"/>
  <c r="I169" i="155" s="1"/>
  <c r="I171" i="155" s="1"/>
  <c r="H63" i="155"/>
  <c r="H169" i="155" s="1"/>
  <c r="G63" i="155"/>
  <c r="F63" i="155"/>
  <c r="F169" i="155" s="1"/>
  <c r="C63" i="155"/>
  <c r="C62" i="155"/>
  <c r="C59" i="155"/>
  <c r="D58" i="155"/>
  <c r="C58" i="155"/>
  <c r="D57" i="155"/>
  <c r="C57" i="155"/>
  <c r="J55" i="155"/>
  <c r="I55" i="155"/>
  <c r="H55" i="155"/>
  <c r="G55" i="155"/>
  <c r="F54" i="155"/>
  <c r="F53" i="155"/>
  <c r="D29" i="155"/>
  <c r="C28" i="155"/>
  <c r="C24" i="155"/>
  <c r="C23" i="155"/>
  <c r="C22" i="155"/>
  <c r="C21" i="155"/>
  <c r="C20" i="155"/>
  <c r="C19" i="155"/>
  <c r="C18" i="155"/>
  <c r="C15" i="155"/>
  <c r="C14" i="155"/>
  <c r="C13" i="155"/>
  <c r="C12" i="155"/>
  <c r="C899" i="157"/>
  <c r="C897" i="157"/>
  <c r="C896" i="157"/>
  <c r="C895" i="157"/>
  <c r="C892" i="157"/>
  <c r="C891" i="157"/>
  <c r="C890" i="157"/>
  <c r="C887" i="157"/>
  <c r="C886" i="157"/>
  <c r="C885" i="157"/>
  <c r="C884" i="157"/>
  <c r="C883" i="157"/>
  <c r="C882" i="157"/>
  <c r="C881" i="157"/>
  <c r="C877" i="157"/>
  <c r="C876" i="157"/>
  <c r="C875" i="157"/>
  <c r="C872" i="157"/>
  <c r="C871" i="157"/>
  <c r="C870" i="157"/>
  <c r="C869" i="157"/>
  <c r="C868" i="157"/>
  <c r="C867" i="157"/>
  <c r="I865" i="157"/>
  <c r="H865" i="157"/>
  <c r="G865" i="157"/>
  <c r="F864" i="157"/>
  <c r="F863" i="157"/>
  <c r="E854" i="157"/>
  <c r="E853" i="157"/>
  <c r="E852" i="157"/>
  <c r="E851" i="157"/>
  <c r="E850" i="157"/>
  <c r="F849" i="157"/>
  <c r="E849" i="157"/>
  <c r="E844" i="157"/>
  <c r="E841" i="157"/>
  <c r="E840" i="157"/>
  <c r="E839" i="157"/>
  <c r="E838" i="157"/>
  <c r="E835" i="157"/>
  <c r="E834" i="157"/>
  <c r="E833" i="157"/>
  <c r="E832" i="157"/>
  <c r="E831" i="157"/>
  <c r="E828" i="157"/>
  <c r="E827" i="157"/>
  <c r="E826" i="157"/>
  <c r="E825" i="157"/>
  <c r="E824" i="157"/>
  <c r="E823" i="157"/>
  <c r="E822" i="157"/>
  <c r="E821" i="157"/>
  <c r="O818" i="157"/>
  <c r="H171" i="155" l="1"/>
  <c r="G169" i="155"/>
  <c r="G171" i="155" s="1"/>
  <c r="F171" i="155"/>
  <c r="J818" i="157"/>
  <c r="K818" i="157" s="1"/>
  <c r="E818" i="157"/>
  <c r="E817" i="157"/>
  <c r="E816" i="157"/>
  <c r="I814" i="157"/>
  <c r="H814" i="157"/>
  <c r="G814" i="157"/>
  <c r="F813" i="157"/>
  <c r="F812" i="157"/>
  <c r="E803" i="157"/>
  <c r="E802" i="157"/>
  <c r="E801" i="157" l="1"/>
  <c r="E800" i="157"/>
  <c r="E799" i="157"/>
  <c r="E796" i="157"/>
  <c r="E795" i="157"/>
  <c r="E794" i="157"/>
  <c r="E793" i="157"/>
  <c r="E792" i="157"/>
  <c r="E789" i="157"/>
  <c r="E788" i="157"/>
  <c r="E787" i="157"/>
  <c r="E786" i="157"/>
  <c r="E785" i="157"/>
  <c r="E784" i="157"/>
  <c r="E783" i="157"/>
  <c r="E782" i="157"/>
  <c r="E762" i="157" l="1"/>
  <c r="E760" i="157"/>
  <c r="E758" i="157"/>
  <c r="I756" i="157"/>
  <c r="H756" i="157"/>
  <c r="G756" i="157"/>
  <c r="F755" i="157"/>
  <c r="F754" i="157"/>
  <c r="E745" i="157"/>
  <c r="D745" i="157"/>
  <c r="E744" i="157"/>
  <c r="D744" i="157"/>
  <c r="I742" i="157"/>
  <c r="H742" i="157"/>
  <c r="G742" i="157"/>
  <c r="E742" i="157"/>
  <c r="J741" i="157"/>
  <c r="K741" i="157" s="1"/>
  <c r="I740" i="157"/>
  <c r="H740" i="157"/>
  <c r="G740" i="157"/>
  <c r="E740" i="157"/>
  <c r="J739" i="157"/>
  <c r="K739" i="157" s="1"/>
  <c r="O740" i="157" l="1"/>
  <c r="J742" i="157"/>
  <c r="K742" i="157" s="1"/>
  <c r="O742" i="157"/>
  <c r="E738" i="157"/>
  <c r="H737" i="157" l="1"/>
  <c r="J737" i="157" s="1"/>
  <c r="F737" i="157"/>
  <c r="E736" i="157"/>
  <c r="C736" i="157"/>
  <c r="F735" i="157"/>
  <c r="H735" i="157" s="1"/>
  <c r="H736" i="157" s="1"/>
  <c r="G736" i="157" s="1"/>
  <c r="E734" i="157"/>
  <c r="J735" i="157" l="1"/>
  <c r="K735" i="157" s="1"/>
  <c r="I736" i="157"/>
  <c r="O736" i="157" s="1"/>
  <c r="H738" i="157"/>
  <c r="G738" i="157" s="1"/>
  <c r="I738" i="157"/>
  <c r="K737" i="157"/>
  <c r="E732" i="157"/>
  <c r="E730" i="157"/>
  <c r="J738" i="157" l="1"/>
  <c r="O738" i="157"/>
  <c r="E728" i="157"/>
  <c r="E726" i="157"/>
  <c r="E724" i="157"/>
  <c r="E722" i="157"/>
  <c r="E720" i="157"/>
  <c r="K738" i="157" l="1"/>
  <c r="E718" i="157"/>
  <c r="H717" i="157"/>
  <c r="G718" i="157" s="1"/>
  <c r="F717" i="157"/>
  <c r="E716" i="157"/>
  <c r="H715" i="157"/>
  <c r="H716" i="157" s="1"/>
  <c r="G716" i="157" s="1"/>
  <c r="F715" i="157"/>
  <c r="E714" i="157"/>
  <c r="H713" i="157"/>
  <c r="G714" i="157" s="1"/>
  <c r="F713" i="157"/>
  <c r="E712" i="157"/>
  <c r="E710" i="157"/>
  <c r="E708" i="157"/>
  <c r="H707" i="157"/>
  <c r="G708" i="157" s="1"/>
  <c r="F707" i="157"/>
  <c r="I705" i="157"/>
  <c r="H705" i="157"/>
  <c r="G705" i="157"/>
  <c r="F704" i="157"/>
  <c r="F703" i="157"/>
  <c r="K694" i="157"/>
  <c r="J694" i="157"/>
  <c r="I694" i="157"/>
  <c r="H694" i="157"/>
  <c r="G694" i="157"/>
  <c r="C694" i="157"/>
  <c r="K693" i="157"/>
  <c r="J693" i="157"/>
  <c r="I693" i="157"/>
  <c r="H693" i="157"/>
  <c r="G693" i="157"/>
  <c r="C693" i="157"/>
  <c r="K692" i="157"/>
  <c r="J692" i="157"/>
  <c r="I692" i="157"/>
  <c r="H692" i="157"/>
  <c r="G692" i="157"/>
  <c r="F692" i="157"/>
  <c r="C692" i="157"/>
  <c r="K691" i="157"/>
  <c r="J691" i="157"/>
  <c r="I691" i="157"/>
  <c r="H691" i="157"/>
  <c r="G691" i="157"/>
  <c r="C691" i="157"/>
  <c r="C688" i="157"/>
  <c r="C687" i="157"/>
  <c r="C686" i="157"/>
  <c r="C685" i="157"/>
  <c r="C684" i="157"/>
  <c r="C683" i="157"/>
  <c r="F680" i="157"/>
  <c r="C680" i="157"/>
  <c r="F679" i="157"/>
  <c r="C679" i="157"/>
  <c r="C678" i="157"/>
  <c r="F677" i="157"/>
  <c r="C677" i="157"/>
  <c r="C676" i="157"/>
  <c r="C673" i="157"/>
  <c r="F672" i="157"/>
  <c r="C672" i="157"/>
  <c r="F671" i="157"/>
  <c r="C671" i="157"/>
  <c r="C670" i="157"/>
  <c r="F669" i="157"/>
  <c r="C669" i="157"/>
  <c r="C668" i="157"/>
  <c r="I665" i="157"/>
  <c r="H665" i="157"/>
  <c r="G665" i="157"/>
  <c r="F664" i="157"/>
  <c r="F663" i="157"/>
  <c r="K649" i="157"/>
  <c r="C647" i="157"/>
  <c r="C646" i="157"/>
  <c r="C645" i="157"/>
  <c r="C644" i="157"/>
  <c r="K643" i="157" l="1"/>
  <c r="J643" i="157" s="1"/>
  <c r="I714" i="157"/>
  <c r="H714" i="157" s="1"/>
  <c r="O714" i="157" s="1"/>
  <c r="J715" i="157"/>
  <c r="K715" i="157" s="1"/>
  <c r="I716" i="157"/>
  <c r="J716" i="157" s="1"/>
  <c r="J717" i="157"/>
  <c r="K717" i="157" s="1"/>
  <c r="J713" i="157"/>
  <c r="K713" i="157" s="1"/>
  <c r="I718" i="157"/>
  <c r="H718" i="157" s="1"/>
  <c r="J718" i="157" s="1"/>
  <c r="K718" i="157" s="1"/>
  <c r="F671" i="155"/>
  <c r="J707" i="157"/>
  <c r="K707" i="157" s="1"/>
  <c r="F680" i="155"/>
  <c r="I708" i="157"/>
  <c r="H708" i="157" s="1"/>
  <c r="O708" i="157" s="1"/>
  <c r="F669" i="155"/>
  <c r="F672" i="155"/>
  <c r="F677" i="155"/>
  <c r="F679" i="155"/>
  <c r="G852" i="157"/>
  <c r="H852" i="157"/>
  <c r="H849" i="157"/>
  <c r="G849" i="157"/>
  <c r="I849" i="157"/>
  <c r="I643" i="157"/>
  <c r="H643" i="157" s="1"/>
  <c r="G643" i="157" s="1"/>
  <c r="F643" i="157"/>
  <c r="C643" i="157"/>
  <c r="C641" i="157"/>
  <c r="C640" i="157"/>
  <c r="C639" i="157"/>
  <c r="C637" i="157"/>
  <c r="C636" i="157"/>
  <c r="C635" i="157"/>
  <c r="C634" i="157"/>
  <c r="C633" i="157"/>
  <c r="C630" i="157"/>
  <c r="C629" i="157"/>
  <c r="D628" i="157"/>
  <c r="C628" i="157"/>
  <c r="D627" i="157"/>
  <c r="C627" i="157"/>
  <c r="C626" i="157"/>
  <c r="I852" i="157" l="1"/>
  <c r="J852" i="157" s="1"/>
  <c r="K852" i="157" s="1"/>
  <c r="O716" i="157"/>
  <c r="K716" i="157" s="1"/>
  <c r="J708" i="157"/>
  <c r="K708" i="157" s="1"/>
  <c r="O718" i="157"/>
  <c r="J849" i="157"/>
  <c r="D625" i="157"/>
  <c r="C625" i="157"/>
  <c r="I623" i="157"/>
  <c r="H623" i="157"/>
  <c r="G623" i="157"/>
  <c r="F622" i="157"/>
  <c r="F621" i="157"/>
  <c r="K565" i="157"/>
  <c r="K652" i="157" s="1"/>
  <c r="J652" i="157" s="1"/>
  <c r="I565" i="157"/>
  <c r="I652" i="157" s="1"/>
  <c r="H565" i="157"/>
  <c r="H652" i="157" s="1"/>
  <c r="G565" i="157"/>
  <c r="G652" i="157" s="1"/>
  <c r="F565" i="157"/>
  <c r="F652" i="157" s="1"/>
  <c r="C563" i="157"/>
  <c r="C562" i="157"/>
  <c r="C561" i="157"/>
  <c r="C557" i="157"/>
  <c r="C556" i="157"/>
  <c r="C555" i="157"/>
  <c r="K554" i="157"/>
  <c r="I554" i="157"/>
  <c r="H554" i="157"/>
  <c r="G554" i="157"/>
  <c r="F554" i="157"/>
  <c r="C554" i="157"/>
  <c r="C552" i="157"/>
  <c r="C551" i="157"/>
  <c r="C549" i="157"/>
  <c r="C548" i="157"/>
  <c r="C545" i="157"/>
  <c r="C544" i="157"/>
  <c r="C543" i="157"/>
  <c r="F540" i="157"/>
  <c r="F891" i="157" s="1"/>
  <c r="C540" i="157"/>
  <c r="C539" i="157"/>
  <c r="C536" i="157"/>
  <c r="D535" i="157"/>
  <c r="C535" i="157"/>
  <c r="C532" i="157"/>
  <c r="D531" i="157"/>
  <c r="D530" i="157"/>
  <c r="C530" i="157"/>
  <c r="D529" i="157"/>
  <c r="C529" i="157"/>
  <c r="D528" i="157"/>
  <c r="C528" i="157"/>
  <c r="D527" i="157"/>
  <c r="C527" i="157"/>
  <c r="C522" i="157"/>
  <c r="D521" i="157"/>
  <c r="C521" i="157"/>
  <c r="D520" i="157"/>
  <c r="C520" i="157"/>
  <c r="D519" i="157"/>
  <c r="C519" i="157"/>
  <c r="C516" i="157"/>
  <c r="D515" i="157"/>
  <c r="C515" i="157"/>
  <c r="I512" i="157"/>
  <c r="H512" i="157"/>
  <c r="G512" i="157"/>
  <c r="F511" i="157"/>
  <c r="F510" i="157"/>
  <c r="C501" i="157"/>
  <c r="C500" i="157"/>
  <c r="C499" i="157"/>
  <c r="C498" i="157"/>
  <c r="C493" i="157"/>
  <c r="C492" i="157"/>
  <c r="D491" i="157"/>
  <c r="C491" i="157"/>
  <c r="C488" i="157"/>
  <c r="D487" i="157"/>
  <c r="C487" i="157"/>
  <c r="D486" i="157"/>
  <c r="C486" i="157"/>
  <c r="D485" i="157"/>
  <c r="C485" i="157"/>
  <c r="D484" i="157"/>
  <c r="C484" i="157"/>
  <c r="C481" i="157"/>
  <c r="D480" i="157"/>
  <c r="C480" i="157"/>
  <c r="D479" i="157"/>
  <c r="C479" i="157"/>
  <c r="I476" i="157"/>
  <c r="H476" i="157"/>
  <c r="G476" i="157"/>
  <c r="F475" i="157"/>
  <c r="F474" i="157"/>
  <c r="C462" i="157"/>
  <c r="D461" i="157"/>
  <c r="C461" i="157"/>
  <c r="C458" i="157"/>
  <c r="D457" i="157"/>
  <c r="C457" i="157"/>
  <c r="C454" i="157"/>
  <c r="D453" i="157"/>
  <c r="C453" i="157"/>
  <c r="K450" i="157"/>
  <c r="J450" i="157"/>
  <c r="I450" i="157"/>
  <c r="H450" i="157"/>
  <c r="G450" i="157"/>
  <c r="F450" i="157"/>
  <c r="C450" i="157"/>
  <c r="C447" i="157"/>
  <c r="D446" i="157"/>
  <c r="C446" i="157"/>
  <c r="I444" i="157"/>
  <c r="H444" i="157"/>
  <c r="G444" i="157"/>
  <c r="F443" i="157"/>
  <c r="F442" i="157"/>
  <c r="C433" i="157"/>
  <c r="C431" i="157"/>
  <c r="D430" i="157"/>
  <c r="C430" i="157"/>
  <c r="D429" i="157"/>
  <c r="C429" i="157"/>
  <c r="D428" i="157"/>
  <c r="C428" i="157"/>
  <c r="D427" i="157"/>
  <c r="C427" i="157"/>
  <c r="D426" i="157"/>
  <c r="C426" i="157"/>
  <c r="D425" i="157"/>
  <c r="C425" i="157"/>
  <c r="D424" i="157"/>
  <c r="C424" i="157"/>
  <c r="D423" i="157"/>
  <c r="C423" i="157"/>
  <c r="D422" i="157"/>
  <c r="C422" i="157"/>
  <c r="D421" i="157"/>
  <c r="C421" i="157"/>
  <c r="D420" i="157"/>
  <c r="C420" i="157"/>
  <c r="D419" i="157"/>
  <c r="C419" i="157"/>
  <c r="K849" i="157" l="1"/>
  <c r="D418" i="157"/>
  <c r="C418" i="157"/>
  <c r="D417" i="157"/>
  <c r="C417" i="157"/>
  <c r="C416" i="157"/>
  <c r="D415" i="157"/>
  <c r="C415" i="157"/>
  <c r="D414" i="157"/>
  <c r="C414" i="157"/>
  <c r="D413" i="157"/>
  <c r="C413" i="157"/>
  <c r="D412" i="157"/>
  <c r="C412" i="157"/>
  <c r="D411" i="157"/>
  <c r="C411" i="157"/>
  <c r="D410" i="157"/>
  <c r="C410" i="157"/>
  <c r="C407" i="157"/>
  <c r="D406" i="157" l="1"/>
  <c r="C406" i="157"/>
  <c r="C403" i="157"/>
  <c r="D402" i="157"/>
  <c r="C402" i="157"/>
  <c r="I400" i="157"/>
  <c r="H400" i="157"/>
  <c r="G400" i="157"/>
  <c r="F399" i="157"/>
  <c r="F398" i="157"/>
  <c r="C389" i="157"/>
  <c r="D388" i="157"/>
  <c r="C388" i="157"/>
  <c r="D387" i="157"/>
  <c r="C387" i="157"/>
  <c r="D386" i="157" l="1"/>
  <c r="C386" i="157"/>
  <c r="D385" i="157"/>
  <c r="C385" i="157"/>
  <c r="D384" i="157"/>
  <c r="C384" i="157"/>
  <c r="D383" i="157"/>
  <c r="C383" i="157"/>
  <c r="D382" i="157"/>
  <c r="C382" i="157"/>
  <c r="D381" i="157"/>
  <c r="C381" i="157"/>
  <c r="C378" i="157"/>
  <c r="D377" i="157"/>
  <c r="C377" i="157"/>
  <c r="D376" i="157"/>
  <c r="C376" i="157"/>
  <c r="D375" i="157"/>
  <c r="C375" i="157"/>
  <c r="D374" i="157"/>
  <c r="C374" i="157"/>
  <c r="D373" i="157"/>
  <c r="C373" i="157"/>
  <c r="D372" i="157"/>
  <c r="C372" i="157"/>
  <c r="D371" i="157"/>
  <c r="C371" i="157"/>
  <c r="D370" i="157"/>
  <c r="C370" i="157"/>
  <c r="D369" i="157"/>
  <c r="C369" i="157"/>
  <c r="D368" i="157" l="1"/>
  <c r="C368" i="157"/>
  <c r="D367" i="157"/>
  <c r="C367" i="157"/>
  <c r="K364" i="157"/>
  <c r="J364" i="157"/>
  <c r="I364" i="157"/>
  <c r="H364" i="157"/>
  <c r="G364" i="157"/>
  <c r="F364" i="157"/>
  <c r="C364" i="157"/>
  <c r="C363" i="157"/>
  <c r="C358" i="157"/>
  <c r="D357" i="157" l="1"/>
  <c r="C357" i="157"/>
  <c r="F354" i="157"/>
  <c r="C354" i="157"/>
  <c r="I353" i="157"/>
  <c r="H353" i="157"/>
  <c r="G353" i="157"/>
  <c r="G354" i="157" s="1"/>
  <c r="C353" i="157"/>
  <c r="C350" i="157"/>
  <c r="J353" i="157" l="1"/>
  <c r="D349" i="157"/>
  <c r="C349" i="157"/>
  <c r="J354" i="157" l="1"/>
  <c r="I354" i="157" s="1"/>
  <c r="H354" i="157" s="1"/>
  <c r="K353" i="157"/>
  <c r="K354" i="157" s="1"/>
  <c r="D348" i="157"/>
  <c r="C348" i="157"/>
  <c r="I345" i="157"/>
  <c r="H345" i="157"/>
  <c r="G345" i="157"/>
  <c r="F344" i="157"/>
  <c r="F343" i="157"/>
  <c r="C331" i="157"/>
  <c r="C330" i="157"/>
  <c r="C329" i="157"/>
  <c r="C326" i="157"/>
  <c r="C325" i="157"/>
  <c r="C324" i="157"/>
  <c r="C323" i="157"/>
  <c r="C319" i="157"/>
  <c r="D318" i="157"/>
  <c r="C318" i="157"/>
  <c r="D317" i="157"/>
  <c r="C317" i="157"/>
  <c r="D316" i="157"/>
  <c r="C316" i="157"/>
  <c r="C310" i="157" l="1"/>
  <c r="D309" i="157"/>
  <c r="C309" i="157"/>
  <c r="D308" i="157"/>
  <c r="C308" i="157"/>
  <c r="D307" i="157"/>
  <c r="C307" i="157"/>
  <c r="C303" i="157"/>
  <c r="D302" i="157"/>
  <c r="C302" i="157"/>
  <c r="D301" i="157"/>
  <c r="C301" i="157"/>
  <c r="I294" i="157"/>
  <c r="H294" i="157"/>
  <c r="G294" i="157"/>
  <c r="F293" i="157"/>
  <c r="F292" i="157"/>
  <c r="C281" i="157"/>
  <c r="D280" i="157"/>
  <c r="C280" i="157"/>
  <c r="D279" i="157"/>
  <c r="C279" i="157"/>
  <c r="D278" i="157"/>
  <c r="C278" i="157"/>
  <c r="C275" i="157"/>
  <c r="D274" i="157"/>
  <c r="C274" i="157"/>
  <c r="D273" i="157"/>
  <c r="C273" i="157"/>
  <c r="D272" i="157"/>
  <c r="C272" i="157"/>
  <c r="D271" i="157"/>
  <c r="C271" i="157"/>
  <c r="D270" i="157"/>
  <c r="C270" i="157"/>
  <c r="D269" i="157"/>
  <c r="C269" i="157"/>
  <c r="D268" i="157"/>
  <c r="C268" i="157"/>
  <c r="D267" i="157"/>
  <c r="C267" i="157"/>
  <c r="D266" i="157"/>
  <c r="C266" i="157"/>
  <c r="D265" i="157"/>
  <c r="C265" i="157"/>
  <c r="D264" i="157"/>
  <c r="C264" i="157"/>
  <c r="D263" i="157"/>
  <c r="C263" i="157"/>
  <c r="D262" i="157"/>
  <c r="C262" i="157"/>
  <c r="D261" i="157"/>
  <c r="C261" i="157"/>
  <c r="D260" i="157"/>
  <c r="C260" i="157"/>
  <c r="D259" i="157"/>
  <c r="C259" i="157"/>
  <c r="D258" i="157"/>
  <c r="C258" i="157"/>
  <c r="D257" i="157"/>
  <c r="C257" i="157"/>
  <c r="D256" i="157"/>
  <c r="C256" i="157"/>
  <c r="D255" i="157"/>
  <c r="C255" i="157"/>
  <c r="D254" i="157"/>
  <c r="C254" i="157"/>
  <c r="D253" i="157"/>
  <c r="C253" i="157"/>
  <c r="D252" i="157"/>
  <c r="C252" i="157"/>
  <c r="I249" i="157"/>
  <c r="H249" i="157"/>
  <c r="G249" i="157"/>
  <c r="F248" i="157"/>
  <c r="F247" i="157"/>
  <c r="C236" i="157" l="1"/>
  <c r="D235" i="157"/>
  <c r="C235" i="157"/>
  <c r="D234" i="157"/>
  <c r="C234" i="157"/>
  <c r="D233" i="157"/>
  <c r="C233" i="157"/>
  <c r="C232" i="157"/>
  <c r="C229" i="157"/>
  <c r="D228" i="157"/>
  <c r="C228" i="157"/>
  <c r="D227" i="157"/>
  <c r="C227" i="157"/>
  <c r="D226" i="157"/>
  <c r="C226" i="157"/>
  <c r="D225" i="157"/>
  <c r="C225" i="157"/>
  <c r="D224" i="157"/>
  <c r="C224" i="157"/>
  <c r="D223" i="157"/>
  <c r="C223" i="157"/>
  <c r="D222" i="157"/>
  <c r="C222" i="157"/>
  <c r="D221" i="157"/>
  <c r="C221" i="157"/>
  <c r="D220" i="157"/>
  <c r="C220" i="157"/>
  <c r="D219" i="157"/>
  <c r="C219" i="157"/>
  <c r="D218" i="157"/>
  <c r="C218" i="157"/>
  <c r="C215" i="157"/>
  <c r="D214" i="157"/>
  <c r="C214" i="157"/>
  <c r="D213" i="157"/>
  <c r="C213" i="157"/>
  <c r="D212" i="157"/>
  <c r="C212" i="157"/>
  <c r="D211" i="157"/>
  <c r="C211" i="157"/>
  <c r="D210" i="157"/>
  <c r="C210" i="157"/>
  <c r="D209" i="157" l="1"/>
  <c r="C209" i="157"/>
  <c r="D208" i="157"/>
  <c r="C208" i="157"/>
  <c r="D207" i="157"/>
  <c r="C207" i="157"/>
  <c r="D206" i="157"/>
  <c r="C206" i="157"/>
  <c r="I202" i="157"/>
  <c r="H202" i="157"/>
  <c r="G202" i="157"/>
  <c r="F201" i="157"/>
  <c r="F200" i="157"/>
  <c r="C189" i="157"/>
  <c r="C188" i="157"/>
  <c r="C187" i="157"/>
  <c r="C184" i="157"/>
  <c r="C183" i="157"/>
  <c r="C182" i="157"/>
  <c r="C176" i="157"/>
  <c r="C175" i="157"/>
  <c r="C174" i="157"/>
  <c r="C171" i="157"/>
  <c r="C170" i="157"/>
  <c r="C169" i="157" l="1"/>
  <c r="C166" i="157"/>
  <c r="C165" i="157"/>
  <c r="C164" i="157"/>
  <c r="I162" i="157"/>
  <c r="H162" i="157"/>
  <c r="G162" i="157"/>
  <c r="F161" i="157"/>
  <c r="B161" i="157"/>
  <c r="F160" i="157"/>
  <c r="C149" i="157"/>
  <c r="D148" i="157"/>
  <c r="C148" i="157"/>
  <c r="D147" i="157"/>
  <c r="C147" i="157"/>
  <c r="D146" i="157"/>
  <c r="C146" i="157"/>
  <c r="D145" i="157"/>
  <c r="C145" i="157"/>
  <c r="D144" i="157"/>
  <c r="C144" i="157"/>
  <c r="D143" i="157"/>
  <c r="C143" i="157"/>
  <c r="C140" i="157"/>
  <c r="D139" i="157"/>
  <c r="C139" i="157"/>
  <c r="D138" i="157"/>
  <c r="C138" i="157"/>
  <c r="D137" i="157"/>
  <c r="C137" i="157"/>
  <c r="D136" i="157"/>
  <c r="C136" i="157"/>
  <c r="D135" i="157"/>
  <c r="C135" i="157"/>
  <c r="D134" i="157"/>
  <c r="C134" i="157"/>
  <c r="C131" i="157"/>
  <c r="D130" i="157"/>
  <c r="C130" i="157"/>
  <c r="D129" i="157"/>
  <c r="C129" i="157"/>
  <c r="D128" i="157"/>
  <c r="C128" i="157"/>
  <c r="D127" i="157"/>
  <c r="C127" i="157"/>
  <c r="D126" i="157" l="1"/>
  <c r="C126" i="157"/>
  <c r="D125" i="157"/>
  <c r="C125" i="157"/>
  <c r="D124" i="157"/>
  <c r="C124" i="157"/>
  <c r="D123" i="157" l="1"/>
  <c r="C123" i="157"/>
  <c r="D122" i="157"/>
  <c r="C122" i="157"/>
  <c r="K119" i="157"/>
  <c r="J119" i="157"/>
  <c r="J170" i="157" s="1"/>
  <c r="I119" i="157"/>
  <c r="I170" i="157" s="1"/>
  <c r="H119" i="157"/>
  <c r="H170" i="157" s="1"/>
  <c r="G119" i="157"/>
  <c r="G170" i="157" s="1"/>
  <c r="F119" i="157"/>
  <c r="F170" i="157" s="1"/>
  <c r="C119" i="157"/>
  <c r="C118" i="157"/>
  <c r="C115" i="157"/>
  <c r="D114" i="157"/>
  <c r="C114" i="157"/>
  <c r="I112" i="157"/>
  <c r="H112" i="157"/>
  <c r="G112" i="157"/>
  <c r="F111" i="157"/>
  <c r="F110" i="157"/>
  <c r="C99" i="157"/>
  <c r="D98" i="157"/>
  <c r="C98" i="157"/>
  <c r="D97" i="157"/>
  <c r="C97" i="157"/>
  <c r="D96" i="157"/>
  <c r="C96" i="157"/>
  <c r="D95" i="157"/>
  <c r="C95" i="157"/>
  <c r="D94" i="157"/>
  <c r="C94" i="157"/>
  <c r="D93" i="157"/>
  <c r="C93" i="157"/>
  <c r="C90" i="157"/>
  <c r="K170" i="157" l="1"/>
  <c r="D89" i="157"/>
  <c r="C89" i="157"/>
  <c r="D88" i="157" l="1"/>
  <c r="C88" i="157"/>
  <c r="D87" i="157" l="1"/>
  <c r="C87" i="157"/>
  <c r="D86" i="157"/>
  <c r="C86" i="157"/>
  <c r="D85" i="157"/>
  <c r="C85" i="157"/>
  <c r="D84" i="157"/>
  <c r="C84" i="157"/>
  <c r="C78" i="157"/>
  <c r="D77" i="157"/>
  <c r="C77" i="157"/>
  <c r="D76" i="157"/>
  <c r="C76" i="157"/>
  <c r="D75" i="157"/>
  <c r="C75" i="157"/>
  <c r="D74" i="157"/>
  <c r="C74" i="157"/>
  <c r="D73" i="157"/>
  <c r="C73" i="157"/>
  <c r="D72" i="157"/>
  <c r="C72" i="157"/>
  <c r="D71" i="157"/>
  <c r="C71" i="157"/>
  <c r="D70" i="157"/>
  <c r="C70" i="157"/>
  <c r="D69" i="157"/>
  <c r="C69" i="157"/>
  <c r="D68" i="157"/>
  <c r="C68" i="157"/>
  <c r="K63" i="157"/>
  <c r="J63" i="157"/>
  <c r="I63" i="157"/>
  <c r="I169" i="157" s="1"/>
  <c r="H63" i="157"/>
  <c r="H169" i="157" s="1"/>
  <c r="G63" i="157"/>
  <c r="F63" i="157"/>
  <c r="F169" i="157" s="1"/>
  <c r="C63" i="157"/>
  <c r="C62" i="157"/>
  <c r="C59" i="157"/>
  <c r="D58" i="157"/>
  <c r="C58" i="157"/>
  <c r="D57" i="157"/>
  <c r="C57" i="157"/>
  <c r="I55" i="157"/>
  <c r="H55" i="157"/>
  <c r="G55" i="157"/>
  <c r="F54" i="157"/>
  <c r="F53" i="157"/>
  <c r="J29" i="157"/>
  <c r="D29" i="157"/>
  <c r="C28" i="157"/>
  <c r="C24" i="157"/>
  <c r="C23" i="157"/>
  <c r="C22" i="157"/>
  <c r="C21" i="157"/>
  <c r="C20" i="157"/>
  <c r="C19" i="157"/>
  <c r="C18" i="157"/>
  <c r="C15" i="157"/>
  <c r="C14" i="157"/>
  <c r="C13" i="157"/>
  <c r="C12" i="157"/>
  <c r="G169" i="157" l="1"/>
  <c r="F171" i="157"/>
  <c r="F883" i="9"/>
  <c r="I865" i="9"/>
  <c r="H865" i="9"/>
  <c r="G865" i="9"/>
  <c r="F849" i="9"/>
  <c r="J818" i="9"/>
  <c r="K818" i="9" s="1"/>
  <c r="I814" i="9"/>
  <c r="H814" i="9"/>
  <c r="G814" i="9"/>
  <c r="J169" i="157" l="1"/>
  <c r="J171" i="157" l="1"/>
  <c r="I171" i="157" s="1"/>
  <c r="H171" i="157" s="1"/>
  <c r="G171" i="157" s="1"/>
  <c r="K169" i="157"/>
  <c r="K171" i="157" s="1"/>
  <c r="I756" i="9"/>
  <c r="H756" i="9"/>
  <c r="G756" i="9"/>
  <c r="F745" i="9"/>
  <c r="F744" i="9"/>
  <c r="F761" i="9" s="1"/>
  <c r="I742" i="9"/>
  <c r="H742" i="9"/>
  <c r="G742" i="9"/>
  <c r="J742" i="9" l="1"/>
  <c r="K742" i="9" s="1"/>
  <c r="J741" i="9"/>
  <c r="K741" i="9" s="1"/>
  <c r="I740" i="9"/>
  <c r="H740" i="9"/>
  <c r="G740" i="9"/>
  <c r="J739" i="9"/>
  <c r="K739" i="9" s="1"/>
  <c r="I737" i="9"/>
  <c r="G738" i="9" s="1"/>
  <c r="F737" i="9"/>
  <c r="C736" i="9"/>
  <c r="F735" i="9"/>
  <c r="I735" i="9" s="1"/>
  <c r="J740" i="9" l="1"/>
  <c r="H849" i="9"/>
  <c r="G849" i="9"/>
  <c r="K740" i="9"/>
  <c r="J737" i="9"/>
  <c r="K737" i="9" s="1"/>
  <c r="J735" i="9"/>
  <c r="K735" i="9" s="1"/>
  <c r="G736" i="9"/>
  <c r="I736" i="9"/>
  <c r="H736" i="9" s="1"/>
  <c r="H738" i="9"/>
  <c r="I717" i="9" l="1"/>
  <c r="J717" i="9" s="1"/>
  <c r="F717" i="9"/>
  <c r="G715" i="9"/>
  <c r="I716" i="9" s="1"/>
  <c r="H716" i="9" s="1"/>
  <c r="F715" i="9"/>
  <c r="G713" i="9"/>
  <c r="G714" i="9" s="1"/>
  <c r="F713" i="9"/>
  <c r="G707" i="9"/>
  <c r="J707" i="9" s="1"/>
  <c r="F707" i="9"/>
  <c r="I705" i="9"/>
  <c r="H705" i="9"/>
  <c r="G705" i="9"/>
  <c r="K694" i="9"/>
  <c r="J694" i="9"/>
  <c r="I694" i="9"/>
  <c r="H694" i="9"/>
  <c r="G694" i="9"/>
  <c r="K693" i="9"/>
  <c r="J693" i="9"/>
  <c r="I693" i="9"/>
  <c r="H693" i="9"/>
  <c r="G693" i="9"/>
  <c r="K692" i="9"/>
  <c r="J692" i="9"/>
  <c r="I692" i="9"/>
  <c r="H692" i="9"/>
  <c r="G692" i="9"/>
  <c r="K691" i="9"/>
  <c r="J691" i="9"/>
  <c r="I691" i="9"/>
  <c r="H691" i="9"/>
  <c r="G691" i="9"/>
  <c r="G716" i="9" l="1"/>
  <c r="J716" i="9" s="1"/>
  <c r="K716" i="9" s="1"/>
  <c r="J715" i="9"/>
  <c r="K715" i="9" s="1"/>
  <c r="H852" i="9"/>
  <c r="G852" i="9"/>
  <c r="J713" i="9"/>
  <c r="K713" i="9" s="1"/>
  <c r="H718" i="9"/>
  <c r="G708" i="9"/>
  <c r="H714" i="9"/>
  <c r="G718" i="9"/>
  <c r="K883" i="167"/>
  <c r="I883" i="167" s="1"/>
  <c r="K883" i="166"/>
  <c r="I883" i="166" s="1"/>
  <c r="H883" i="166" s="1"/>
  <c r="G883" i="166" s="1"/>
  <c r="K883" i="165"/>
  <c r="I883" i="165" s="1"/>
  <c r="H883" i="165" s="1"/>
  <c r="G883" i="165" s="1"/>
  <c r="K883" i="164"/>
  <c r="I883" i="164" s="1"/>
  <c r="H883" i="164" s="1"/>
  <c r="G883" i="164" s="1"/>
  <c r="L883" i="162"/>
  <c r="J883" i="162" s="1"/>
  <c r="I883" i="162" s="1"/>
  <c r="H883" i="162" s="1"/>
  <c r="G883" i="162" s="1"/>
  <c r="K883" i="158"/>
  <c r="I883" i="158" s="1"/>
  <c r="H883" i="158" s="1"/>
  <c r="G883" i="158" s="1"/>
  <c r="L883" i="161"/>
  <c r="J883" i="161" s="1"/>
  <c r="I883" i="161" s="1"/>
  <c r="H883" i="161" s="1"/>
  <c r="G883" i="161" s="1"/>
  <c r="L883" i="160"/>
  <c r="J883" i="160" s="1"/>
  <c r="I883" i="160" s="1"/>
  <c r="H883" i="160" s="1"/>
  <c r="G883" i="160" s="1"/>
  <c r="K883" i="159"/>
  <c r="I883" i="159" s="1"/>
  <c r="H883" i="159" s="1"/>
  <c r="G883" i="159" s="1"/>
  <c r="L883" i="155"/>
  <c r="J883" i="155" s="1"/>
  <c r="I883" i="155" s="1"/>
  <c r="H883" i="155" s="1"/>
  <c r="G883" i="155" s="1"/>
  <c r="K883" i="157"/>
  <c r="I883" i="157" s="1"/>
  <c r="H883" i="157" s="1"/>
  <c r="G883" i="157" s="1"/>
  <c r="F883" i="157" s="1"/>
  <c r="F676" i="158" l="1"/>
  <c r="F676" i="159"/>
  <c r="F676" i="157"/>
  <c r="K707" i="9"/>
  <c r="F678" i="158"/>
  <c r="F678" i="159"/>
  <c r="F678" i="157"/>
  <c r="K717" i="9"/>
  <c r="F670" i="158" l="1"/>
  <c r="F670" i="159"/>
  <c r="F670" i="157"/>
  <c r="F678" i="155"/>
  <c r="F676" i="155"/>
  <c r="I665" i="9"/>
  <c r="H665" i="9"/>
  <c r="G665" i="9"/>
  <c r="F649" i="9"/>
  <c r="K643" i="9"/>
  <c r="J643" i="9" s="1"/>
  <c r="I643" i="9" s="1"/>
  <c r="H643" i="9" s="1"/>
  <c r="G643" i="9" s="1"/>
  <c r="F643" i="9"/>
  <c r="D629" i="9"/>
  <c r="H627" i="9"/>
  <c r="F627" i="158" s="1"/>
  <c r="D626" i="9"/>
  <c r="F625" i="162"/>
  <c r="I623" i="9"/>
  <c r="H623" i="9"/>
  <c r="G623" i="9"/>
  <c r="K565" i="9"/>
  <c r="K652" i="9" s="1"/>
  <c r="J652" i="9" s="1"/>
  <c r="I565" i="9"/>
  <c r="I652" i="9" s="1"/>
  <c r="H565" i="9"/>
  <c r="H652" i="9" s="1"/>
  <c r="G565" i="9"/>
  <c r="G652" i="9" s="1"/>
  <c r="F565" i="9"/>
  <c r="K554" i="9"/>
  <c r="I554" i="9" s="1"/>
  <c r="H554" i="9" s="1"/>
  <c r="G554" i="9" s="1"/>
  <c r="F652" i="9" l="1"/>
  <c r="F50" i="49"/>
  <c r="L50" i="49"/>
  <c r="K50" i="49"/>
  <c r="J50" i="49"/>
  <c r="I50" i="49"/>
  <c r="H50" i="49"/>
  <c r="G50" i="49"/>
  <c r="D629" i="167"/>
  <c r="D629" i="166"/>
  <c r="D629" i="165"/>
  <c r="D629" i="164"/>
  <c r="D629" i="162"/>
  <c r="D629" i="158"/>
  <c r="D629" i="161"/>
  <c r="D629" i="160"/>
  <c r="D629" i="159"/>
  <c r="D629" i="155"/>
  <c r="D629" i="157"/>
  <c r="D626" i="167"/>
  <c r="D626" i="166"/>
  <c r="D626" i="165"/>
  <c r="D626" i="164"/>
  <c r="D626" i="162"/>
  <c r="D626" i="158"/>
  <c r="D626" i="161"/>
  <c r="D626" i="160"/>
  <c r="D626" i="159"/>
  <c r="D626" i="155"/>
  <c r="D626" i="157"/>
  <c r="H625" i="9"/>
  <c r="F625" i="158" s="1"/>
  <c r="H625" i="158" s="1"/>
  <c r="G625" i="158" s="1"/>
  <c r="G625" i="9"/>
  <c r="H627" i="158"/>
  <c r="G627" i="158" s="1"/>
  <c r="D29" i="6"/>
  <c r="F628" i="162"/>
  <c r="F670" i="155"/>
  <c r="G627" i="9"/>
  <c r="F627" i="162"/>
  <c r="F668" i="158"/>
  <c r="F673" i="158" s="1"/>
  <c r="F668" i="159"/>
  <c r="F673" i="159" s="1"/>
  <c r="F668" i="157"/>
  <c r="F673" i="9"/>
  <c r="F630" i="9"/>
  <c r="D33" i="6" l="1"/>
  <c r="G672" i="159"/>
  <c r="F687" i="159" s="1"/>
  <c r="G671" i="159"/>
  <c r="F686" i="159" s="1"/>
  <c r="G669" i="159"/>
  <c r="F684" i="159" s="1"/>
  <c r="G668" i="159"/>
  <c r="G668" i="9"/>
  <c r="F683" i="9" s="1"/>
  <c r="G671" i="9"/>
  <c r="F686" i="9" s="1"/>
  <c r="G672" i="9"/>
  <c r="F687" i="9" s="1"/>
  <c r="G669" i="9"/>
  <c r="F684" i="9" s="1"/>
  <c r="F868" i="9"/>
  <c r="F636" i="9"/>
  <c r="F639" i="9" s="1"/>
  <c r="F668" i="155"/>
  <c r="F673" i="155" s="1"/>
  <c r="F673" i="157"/>
  <c r="K29" i="6"/>
  <c r="K31" i="6"/>
  <c r="K33" i="6" s="1"/>
  <c r="G672" i="158"/>
  <c r="F687" i="158" s="1"/>
  <c r="G671" i="158"/>
  <c r="F686" i="158" s="1"/>
  <c r="G668" i="158"/>
  <c r="G669" i="158"/>
  <c r="F684" i="158" s="1"/>
  <c r="F630" i="162"/>
  <c r="G670" i="159" l="1"/>
  <c r="F685" i="159" s="1"/>
  <c r="F683" i="159"/>
  <c r="G668" i="157"/>
  <c r="G672" i="157"/>
  <c r="F687" i="157" s="1"/>
  <c r="G671" i="157"/>
  <c r="F686" i="157" s="1"/>
  <c r="G669" i="157"/>
  <c r="F684" i="157" s="1"/>
  <c r="G669" i="155"/>
  <c r="F684" i="155" s="1"/>
  <c r="G668" i="155"/>
  <c r="G672" i="155"/>
  <c r="F687" i="155" s="1"/>
  <c r="G671" i="155"/>
  <c r="F686" i="155" s="1"/>
  <c r="G670" i="9"/>
  <c r="F685" i="9" s="1"/>
  <c r="F868" i="162"/>
  <c r="F636" i="162"/>
  <c r="F27" i="162"/>
  <c r="F683" i="158"/>
  <c r="G670" i="158"/>
  <c r="F685" i="158" s="1"/>
  <c r="F540" i="9"/>
  <c r="F535" i="162"/>
  <c r="G670" i="155" l="1"/>
  <c r="F685" i="155" s="1"/>
  <c r="F683" i="155"/>
  <c r="G670" i="157"/>
  <c r="F685" i="157" s="1"/>
  <c r="F683" i="157"/>
  <c r="F688" i="9"/>
  <c r="F688" i="159"/>
  <c r="J333" i="159" s="1"/>
  <c r="F688" i="158"/>
  <c r="G333" i="158" s="1"/>
  <c r="G673" i="158"/>
  <c r="F891" i="9"/>
  <c r="F562" i="9"/>
  <c r="F333" i="166"/>
  <c r="J333" i="164"/>
  <c r="G673" i="9"/>
  <c r="F531" i="162"/>
  <c r="F536" i="9"/>
  <c r="F544" i="9" s="1"/>
  <c r="G673" i="159"/>
  <c r="G530" i="9"/>
  <c r="F520" i="162"/>
  <c r="I512" i="9"/>
  <c r="H512" i="9"/>
  <c r="G512" i="9"/>
  <c r="H333" i="159" l="1"/>
  <c r="H36" i="49"/>
  <c r="L333" i="161"/>
  <c r="K333" i="157"/>
  <c r="G36" i="49"/>
  <c r="F38" i="49" s="1"/>
  <c r="L333" i="160"/>
  <c r="K333" i="166"/>
  <c r="I36" i="49"/>
  <c r="K333" i="164"/>
  <c r="K333" i="167"/>
  <c r="K333" i="159"/>
  <c r="L333" i="155"/>
  <c r="K333" i="165"/>
  <c r="J36" i="49"/>
  <c r="J38" i="49" s="1"/>
  <c r="F36" i="49"/>
  <c r="L333" i="162"/>
  <c r="L36" i="49"/>
  <c r="L38" i="49" s="1"/>
  <c r="K333" i="158"/>
  <c r="G333" i="164"/>
  <c r="K36" i="159"/>
  <c r="F36" i="164"/>
  <c r="G333" i="159"/>
  <c r="H36" i="159"/>
  <c r="F36" i="159"/>
  <c r="G36" i="159"/>
  <c r="I36" i="159"/>
  <c r="I333" i="159"/>
  <c r="H333" i="164"/>
  <c r="G36" i="164"/>
  <c r="H36" i="164"/>
  <c r="H38" i="164" s="1"/>
  <c r="I36" i="164"/>
  <c r="J36" i="164"/>
  <c r="J38" i="164" s="1"/>
  <c r="J36" i="159"/>
  <c r="F333" i="159"/>
  <c r="F333" i="164"/>
  <c r="J36" i="158"/>
  <c r="G333" i="166"/>
  <c r="I333" i="158"/>
  <c r="G36" i="158"/>
  <c r="I333" i="164"/>
  <c r="K36" i="158"/>
  <c r="H333" i="158"/>
  <c r="H36" i="158"/>
  <c r="F333" i="158"/>
  <c r="F36" i="158"/>
  <c r="J333" i="158"/>
  <c r="I36" i="158"/>
  <c r="G36" i="166"/>
  <c r="H333" i="166"/>
  <c r="I333" i="166"/>
  <c r="H36" i="166"/>
  <c r="J36" i="166"/>
  <c r="J38" i="166" s="1"/>
  <c r="J333" i="166"/>
  <c r="I36" i="166"/>
  <c r="F36" i="166"/>
  <c r="G673" i="157"/>
  <c r="F688" i="157"/>
  <c r="J333" i="157" s="1"/>
  <c r="I333" i="161"/>
  <c r="F521" i="162"/>
  <c r="F529" i="162"/>
  <c r="I530" i="9"/>
  <c r="F530" i="159" s="1"/>
  <c r="G673" i="155"/>
  <c r="J333" i="165"/>
  <c r="F333" i="165"/>
  <c r="G333" i="165"/>
  <c r="H333" i="165"/>
  <c r="I333" i="165"/>
  <c r="H36" i="165"/>
  <c r="I36" i="165"/>
  <c r="J36" i="165"/>
  <c r="F36" i="165"/>
  <c r="G36" i="165"/>
  <c r="F688" i="155"/>
  <c r="F530" i="162"/>
  <c r="F492" i="162"/>
  <c r="G38" i="49" l="1"/>
  <c r="I38" i="49"/>
  <c r="H38" i="49" s="1"/>
  <c r="H333" i="161"/>
  <c r="F36" i="161"/>
  <c r="I38" i="164"/>
  <c r="K333" i="161"/>
  <c r="G38" i="164"/>
  <c r="F38" i="164" s="1"/>
  <c r="I36" i="161"/>
  <c r="K36" i="157"/>
  <c r="G333" i="157"/>
  <c r="I38" i="166"/>
  <c r="H38" i="166" s="1"/>
  <c r="G38" i="166" s="1"/>
  <c r="G36" i="157"/>
  <c r="H333" i="157"/>
  <c r="F38" i="166"/>
  <c r="F36" i="157"/>
  <c r="F333" i="157"/>
  <c r="I36" i="157"/>
  <c r="J38" i="165"/>
  <c r="I38" i="165" s="1"/>
  <c r="H38" i="165" s="1"/>
  <c r="G38" i="165" s="1"/>
  <c r="F38" i="165" s="1"/>
  <c r="G36" i="161"/>
  <c r="J333" i="161"/>
  <c r="H36" i="161"/>
  <c r="K36" i="161"/>
  <c r="J36" i="161" s="1"/>
  <c r="F333" i="161"/>
  <c r="I333" i="157"/>
  <c r="L36" i="161"/>
  <c r="G333" i="161"/>
  <c r="H36" i="157"/>
  <c r="J36" i="157"/>
  <c r="I333" i="162"/>
  <c r="J333" i="162"/>
  <c r="F333" i="162"/>
  <c r="K333" i="162"/>
  <c r="G333" i="162"/>
  <c r="H333" i="162"/>
  <c r="H36" i="162"/>
  <c r="I36" i="162"/>
  <c r="J36" i="162"/>
  <c r="F36" i="162"/>
  <c r="K36" i="162"/>
  <c r="G36" i="162"/>
  <c r="H333" i="155"/>
  <c r="I333" i="155"/>
  <c r="J333" i="155"/>
  <c r="F333" i="155"/>
  <c r="K333" i="155"/>
  <c r="G333" i="155"/>
  <c r="K36" i="155"/>
  <c r="F36" i="155"/>
  <c r="L36" i="155"/>
  <c r="G36" i="155"/>
  <c r="H36" i="155"/>
  <c r="J36" i="155"/>
  <c r="I36" i="155" s="1"/>
  <c r="H530" i="159"/>
  <c r="K333" i="160"/>
  <c r="G333" i="160"/>
  <c r="H333" i="160"/>
  <c r="I333" i="160"/>
  <c r="J333" i="160"/>
  <c r="F333" i="160"/>
  <c r="K36" i="160"/>
  <c r="L36" i="160"/>
  <c r="H36" i="160"/>
  <c r="J36" i="160"/>
  <c r="I36" i="160" s="1"/>
  <c r="F36" i="160"/>
  <c r="G36" i="160"/>
  <c r="D492" i="9"/>
  <c r="F487" i="162"/>
  <c r="F485" i="162"/>
  <c r="F484" i="162"/>
  <c r="F480" i="162"/>
  <c r="F479" i="162"/>
  <c r="I476" i="9"/>
  <c r="H476" i="9"/>
  <c r="G476" i="9"/>
  <c r="D492" i="167" l="1"/>
  <c r="D492" i="166"/>
  <c r="D492" i="165"/>
  <c r="D492" i="164"/>
  <c r="D492" i="162"/>
  <c r="D492" i="158"/>
  <c r="D492" i="161"/>
  <c r="D492" i="160"/>
  <c r="D492" i="159"/>
  <c r="D492" i="155"/>
  <c r="D492" i="157"/>
  <c r="F481" i="9"/>
  <c r="F486" i="162"/>
  <c r="F488" i="162" s="1"/>
  <c r="K38" i="162"/>
  <c r="J38" i="162" s="1"/>
  <c r="I38" i="162" s="1"/>
  <c r="H38" i="162" s="1"/>
  <c r="G38" i="162" s="1"/>
  <c r="F38" i="162" s="1"/>
  <c r="F481" i="162"/>
  <c r="F488" i="9"/>
  <c r="F461" i="162" l="1"/>
  <c r="F462" i="9"/>
  <c r="F457" i="162" l="1"/>
  <c r="F458" i="9"/>
  <c r="F453" i="162"/>
  <c r="K450" i="9"/>
  <c r="J450" i="9"/>
  <c r="I450" i="9"/>
  <c r="H450" i="9"/>
  <c r="G450" i="9"/>
  <c r="F450" i="9"/>
  <c r="F446" i="162"/>
  <c r="I444" i="9"/>
  <c r="H444" i="9"/>
  <c r="G444" i="9"/>
  <c r="F430" i="162"/>
  <c r="F427" i="162"/>
  <c r="F421" i="162"/>
  <c r="F420" i="162"/>
  <c r="F418" i="162"/>
  <c r="F454" i="9" l="1"/>
  <c r="F423" i="162"/>
  <c r="F429" i="162"/>
  <c r="F426" i="162"/>
  <c r="F428" i="162"/>
  <c r="F417" i="162"/>
  <c r="F425" i="162"/>
  <c r="F424" i="162"/>
  <c r="F447" i="9"/>
  <c r="F465" i="9" l="1"/>
  <c r="I400" i="9"/>
  <c r="H400" i="9"/>
  <c r="G400" i="9"/>
  <c r="F388" i="162" l="1"/>
  <c r="F387" i="162"/>
  <c r="F382" i="162"/>
  <c r="F377" i="162" l="1"/>
  <c r="F385" i="162"/>
  <c r="F381" i="162"/>
  <c r="H375" i="9"/>
  <c r="F369" i="162"/>
  <c r="F368" i="162"/>
  <c r="K364" i="9"/>
  <c r="J364" i="9"/>
  <c r="I364" i="9"/>
  <c r="H364" i="9"/>
  <c r="G364" i="9"/>
  <c r="F364" i="9"/>
  <c r="F358" i="9"/>
  <c r="F354" i="9"/>
  <c r="I353" i="9"/>
  <c r="H353" i="9"/>
  <c r="I345" i="9"/>
  <c r="H345" i="9"/>
  <c r="G345" i="9"/>
  <c r="K333" i="9"/>
  <c r="J333" i="9"/>
  <c r="I333" i="9"/>
  <c r="G353" i="9" l="1"/>
  <c r="G354" i="9" s="1"/>
  <c r="F374" i="162"/>
  <c r="F367" i="162"/>
  <c r="F378" i="9"/>
  <c r="F371" i="162"/>
  <c r="F373" i="162"/>
  <c r="F357" i="162"/>
  <c r="F370" i="162"/>
  <c r="F372" i="162"/>
  <c r="I357" i="9"/>
  <c r="I358" i="9" s="1"/>
  <c r="F375" i="162"/>
  <c r="H333" i="9"/>
  <c r="G333" i="9"/>
  <c r="F333" i="9"/>
  <c r="F319" i="9"/>
  <c r="I316" i="9"/>
  <c r="H316" i="9"/>
  <c r="F310" i="9"/>
  <c r="I309" i="9"/>
  <c r="H309" i="9"/>
  <c r="F302" i="162"/>
  <c r="F301" i="162"/>
  <c r="I294" i="9"/>
  <c r="H294" i="9"/>
  <c r="G294" i="9"/>
  <c r="F258" i="162"/>
  <c r="F256" i="162"/>
  <c r="H255" i="9"/>
  <c r="H254" i="9"/>
  <c r="F253" i="162"/>
  <c r="F252" i="162"/>
  <c r="I249" i="9"/>
  <c r="H249" i="9"/>
  <c r="G249" i="9"/>
  <c r="F235" i="162"/>
  <c r="F233" i="162"/>
  <c r="F232" i="162"/>
  <c r="F222" i="162"/>
  <c r="F221" i="162"/>
  <c r="F220" i="162"/>
  <c r="F218" i="162"/>
  <c r="F207" i="162"/>
  <c r="F206" i="162"/>
  <c r="I202" i="9"/>
  <c r="H202" i="9"/>
  <c r="G202" i="9"/>
  <c r="C191" i="9"/>
  <c r="F316" i="159" l="1"/>
  <c r="H301" i="9"/>
  <c r="G309" i="9"/>
  <c r="F309" i="157" s="1"/>
  <c r="G309" i="157" s="1"/>
  <c r="C191" i="167"/>
  <c r="C191" i="166"/>
  <c r="C191" i="165"/>
  <c r="C191" i="164"/>
  <c r="C191" i="162"/>
  <c r="C191" i="158"/>
  <c r="C191" i="161"/>
  <c r="C191" i="160"/>
  <c r="C191" i="159"/>
  <c r="C191" i="155"/>
  <c r="C191" i="157"/>
  <c r="F264" i="162"/>
  <c r="F226" i="162"/>
  <c r="F255" i="162"/>
  <c r="F262" i="162"/>
  <c r="F210" i="162"/>
  <c r="F225" i="162"/>
  <c r="F234" i="162"/>
  <c r="F236" i="162" s="1"/>
  <c r="F254" i="162"/>
  <c r="F257" i="162"/>
  <c r="F260" i="162"/>
  <c r="F266" i="162"/>
  <c r="F270" i="162"/>
  <c r="F272" i="162"/>
  <c r="F378" i="162"/>
  <c r="H253" i="9"/>
  <c r="F236" i="9"/>
  <c r="G316" i="9"/>
  <c r="F214" i="162"/>
  <c r="F219" i="162"/>
  <c r="F224" i="162"/>
  <c r="F259" i="162"/>
  <c r="F265" i="162"/>
  <c r="F269" i="162"/>
  <c r="F303" i="162"/>
  <c r="F303" i="9"/>
  <c r="F304" i="9" s="1"/>
  <c r="C10" i="5" s="1"/>
  <c r="F209" i="162"/>
  <c r="F212" i="162"/>
  <c r="F223" i="162"/>
  <c r="F227" i="162"/>
  <c r="F268" i="162"/>
  <c r="F278" i="162"/>
  <c r="I301" i="9"/>
  <c r="F228" i="162"/>
  <c r="F208" i="162"/>
  <c r="F211" i="162"/>
  <c r="F267" i="162"/>
  <c r="F271" i="162"/>
  <c r="H316" i="159" l="1"/>
  <c r="G316" i="159"/>
  <c r="F316" i="160" s="1"/>
  <c r="G301" i="9"/>
  <c r="F301" i="157" s="1"/>
  <c r="H309" i="157"/>
  <c r="I309" i="157"/>
  <c r="J309" i="9"/>
  <c r="K309" i="9" s="1"/>
  <c r="F215" i="162"/>
  <c r="F275" i="162"/>
  <c r="F316" i="157"/>
  <c r="J316" i="9"/>
  <c r="F301" i="159"/>
  <c r="F229" i="162"/>
  <c r="F238" i="9"/>
  <c r="I162" i="9"/>
  <c r="H162" i="9"/>
  <c r="G162" i="9"/>
  <c r="B161" i="9"/>
  <c r="F148" i="9"/>
  <c r="F147" i="9"/>
  <c r="F146" i="9"/>
  <c r="F146" i="162" s="1"/>
  <c r="F145" i="9"/>
  <c r="F144" i="9"/>
  <c r="F144" i="162" s="1"/>
  <c r="J301" i="9" l="1"/>
  <c r="K301" i="9" s="1"/>
  <c r="F238" i="162"/>
  <c r="F145" i="162"/>
  <c r="F148" i="162"/>
  <c r="I316" i="157"/>
  <c r="G316" i="157"/>
  <c r="H316" i="157"/>
  <c r="I301" i="157"/>
  <c r="G301" i="157"/>
  <c r="H301" i="157"/>
  <c r="F147" i="162"/>
  <c r="I316" i="160"/>
  <c r="J316" i="160"/>
  <c r="H316" i="160"/>
  <c r="K316" i="9"/>
  <c r="K595" i="9" s="1"/>
  <c r="F323" i="9"/>
  <c r="H301" i="159"/>
  <c r="G301" i="159" s="1"/>
  <c r="I301" i="159"/>
  <c r="F143" i="9"/>
  <c r="F139" i="9"/>
  <c r="F138" i="9"/>
  <c r="F137" i="9"/>
  <c r="F137" i="162" s="1"/>
  <c r="F136" i="9"/>
  <c r="F135" i="9"/>
  <c r="F135" i="162" s="1"/>
  <c r="F134" i="9"/>
  <c r="I134" i="9" s="1"/>
  <c r="F134" i="159" s="1"/>
  <c r="F123" i="162"/>
  <c r="F122" i="162"/>
  <c r="K119" i="9"/>
  <c r="J119" i="9"/>
  <c r="J170" i="9" s="1"/>
  <c r="I119" i="9"/>
  <c r="I170" i="9" s="1"/>
  <c r="H119" i="9"/>
  <c r="H170" i="9" s="1"/>
  <c r="G119" i="9"/>
  <c r="G170" i="9" s="1"/>
  <c r="F119" i="9"/>
  <c r="F170" i="9" s="1"/>
  <c r="F114" i="162"/>
  <c r="I112" i="9"/>
  <c r="H112" i="9"/>
  <c r="G112" i="9"/>
  <c r="F98" i="9"/>
  <c r="F97" i="9"/>
  <c r="F96" i="9"/>
  <c r="F96" i="162" s="1"/>
  <c r="F95" i="9"/>
  <c r="F94" i="9"/>
  <c r="F93" i="9"/>
  <c r="F93" i="162" s="1"/>
  <c r="F89" i="9"/>
  <c r="F88" i="9"/>
  <c r="F87" i="9"/>
  <c r="F87" i="162" s="1"/>
  <c r="F86" i="9"/>
  <c r="F85" i="9"/>
  <c r="F84" i="9"/>
  <c r="F84" i="162" s="1"/>
  <c r="I76" i="9"/>
  <c r="F74" i="162"/>
  <c r="H70" i="9"/>
  <c r="F69" i="162"/>
  <c r="K63" i="9"/>
  <c r="J63" i="9"/>
  <c r="J169" i="9" s="1"/>
  <c r="I63" i="9"/>
  <c r="I169" i="9" s="1"/>
  <c r="H63" i="9"/>
  <c r="G63" i="9"/>
  <c r="G169" i="9" s="1"/>
  <c r="F63" i="9"/>
  <c r="F169" i="9" s="1"/>
  <c r="F57" i="162"/>
  <c r="I55" i="9"/>
  <c r="H55" i="9"/>
  <c r="G55" i="9"/>
  <c r="F40" i="9"/>
  <c r="K36" i="9"/>
  <c r="J36" i="9"/>
  <c r="I36" i="9"/>
  <c r="H36" i="9"/>
  <c r="G36" i="9"/>
  <c r="F36" i="9"/>
  <c r="F31" i="9"/>
  <c r="D29" i="9"/>
  <c r="F27" i="9"/>
  <c r="F19" i="9"/>
  <c r="I29" i="168"/>
  <c r="G29" i="168"/>
  <c r="E29" i="168"/>
  <c r="C29" i="168"/>
  <c r="B21" i="168"/>
  <c r="A8" i="168"/>
  <c r="A7" i="168"/>
  <c r="A4" i="168"/>
  <c r="A2" i="168"/>
  <c r="A1" i="168"/>
  <c r="C71" i="5"/>
  <c r="E68" i="5"/>
  <c r="C63" i="5"/>
  <c r="D40" i="5"/>
  <c r="C39" i="5"/>
  <c r="C38" i="5"/>
  <c r="J171" i="9" l="1"/>
  <c r="C40" i="5"/>
  <c r="E39" i="5" s="1"/>
  <c r="K169" i="9"/>
  <c r="F171" i="9"/>
  <c r="K170" i="9" s="1"/>
  <c r="I171" i="9"/>
  <c r="H169" i="9"/>
  <c r="E38" i="5"/>
  <c r="G316" i="160"/>
  <c r="G316" i="164" s="1"/>
  <c r="F59" i="9"/>
  <c r="F65" i="9" s="1"/>
  <c r="H76" i="9"/>
  <c r="F76" i="158" s="1"/>
  <c r="I76" i="158" s="1"/>
  <c r="K38" i="9"/>
  <c r="E57" i="5"/>
  <c r="F68" i="162"/>
  <c r="F126" i="162"/>
  <c r="F770" i="158"/>
  <c r="F770" i="159"/>
  <c r="F770" i="9"/>
  <c r="F138" i="162"/>
  <c r="F72" i="162"/>
  <c r="F768" i="158"/>
  <c r="F768" i="159"/>
  <c r="F768" i="9"/>
  <c r="F75" i="162"/>
  <c r="F775" i="158"/>
  <c r="F775" i="159"/>
  <c r="F775" i="9"/>
  <c r="F86" i="162"/>
  <c r="F89" i="162"/>
  <c r="F95" i="162"/>
  <c r="F98" i="162"/>
  <c r="F128" i="162"/>
  <c r="F134" i="162"/>
  <c r="J301" i="157"/>
  <c r="F115" i="9"/>
  <c r="F165" i="9" s="1"/>
  <c r="H124" i="9"/>
  <c r="H130" i="9"/>
  <c r="F140" i="9"/>
  <c r="F88" i="162"/>
  <c r="F94" i="162"/>
  <c r="F97" i="162"/>
  <c r="F127" i="162"/>
  <c r="F776" i="158"/>
  <c r="F776" i="159"/>
  <c r="F776" i="9"/>
  <c r="I134" i="159"/>
  <c r="F136" i="162"/>
  <c r="F139" i="162"/>
  <c r="J301" i="159"/>
  <c r="F301" i="155"/>
  <c r="F124" i="162"/>
  <c r="F130" i="162"/>
  <c r="G316" i="166"/>
  <c r="F316" i="155"/>
  <c r="F85" i="162"/>
  <c r="F71" i="162"/>
  <c r="F767" i="158"/>
  <c r="F767" i="159"/>
  <c r="F767" i="9"/>
  <c r="F70" i="162"/>
  <c r="F73" i="162"/>
  <c r="F774" i="158"/>
  <c r="F774" i="159"/>
  <c r="F774" i="9"/>
  <c r="F76" i="162"/>
  <c r="F129" i="162"/>
  <c r="F777" i="158"/>
  <c r="F777" i="159"/>
  <c r="F777" i="9"/>
  <c r="F143" i="162"/>
  <c r="F149" i="9"/>
  <c r="I143" i="9"/>
  <c r="F301" i="161"/>
  <c r="G316" i="165"/>
  <c r="G316" i="167"/>
  <c r="F78" i="9"/>
  <c r="J38" i="9"/>
  <c r="I38" i="9" s="1"/>
  <c r="H38" i="9" s="1"/>
  <c r="G38" i="9" s="1"/>
  <c r="F38" i="9" s="1"/>
  <c r="F90" i="9"/>
  <c r="F99" i="9"/>
  <c r="I130" i="9"/>
  <c r="C37" i="5"/>
  <c r="E40" i="5" l="1"/>
  <c r="H76" i="158"/>
  <c r="G76" i="9"/>
  <c r="J76" i="9" s="1"/>
  <c r="K76" i="9" s="1"/>
  <c r="G76" i="158"/>
  <c r="K316" i="160"/>
  <c r="L316" i="160" s="1"/>
  <c r="F90" i="162"/>
  <c r="H171" i="9"/>
  <c r="G171" i="9" s="1"/>
  <c r="K171" i="9"/>
  <c r="G130" i="9"/>
  <c r="J130" i="9" s="1"/>
  <c r="K130" i="9" s="1"/>
  <c r="F182" i="9"/>
  <c r="F778" i="159"/>
  <c r="K301" i="159"/>
  <c r="F143" i="159"/>
  <c r="H316" i="155"/>
  <c r="H301" i="155"/>
  <c r="F140" i="162"/>
  <c r="F80" i="9"/>
  <c r="J301" i="161"/>
  <c r="H301" i="161"/>
  <c r="I301" i="161"/>
  <c r="F149" i="162"/>
  <c r="L764" i="155"/>
  <c r="H134" i="159"/>
  <c r="G134" i="159" s="1"/>
  <c r="F99" i="162"/>
  <c r="F778" i="9"/>
  <c r="F778" i="158"/>
  <c r="K301" i="157"/>
  <c r="F78" i="162"/>
  <c r="C31" i="5"/>
  <c r="E31" i="5" s="1"/>
  <c r="F76" i="157" l="1"/>
  <c r="I76" i="157" s="1"/>
  <c r="F130" i="157"/>
  <c r="I130" i="157" s="1"/>
  <c r="G301" i="161"/>
  <c r="I301" i="164" s="1"/>
  <c r="F134" i="160"/>
  <c r="J134" i="159"/>
  <c r="F188" i="162"/>
  <c r="F759" i="158"/>
  <c r="F759" i="9"/>
  <c r="H301" i="165"/>
  <c r="F174" i="162"/>
  <c r="F80" i="162"/>
  <c r="I301" i="165"/>
  <c r="H316" i="165"/>
  <c r="I301" i="166"/>
  <c r="I301" i="167"/>
  <c r="I143" i="159"/>
  <c r="F759" i="159"/>
  <c r="C30" i="5"/>
  <c r="E30" i="5" s="1"/>
  <c r="G76" i="157" l="1"/>
  <c r="H76" i="157"/>
  <c r="H130" i="157"/>
  <c r="G130" i="157" s="1"/>
  <c r="J130" i="157" s="1"/>
  <c r="K130" i="157" s="1"/>
  <c r="H143" i="159"/>
  <c r="G143" i="159" s="1"/>
  <c r="K134" i="159"/>
  <c r="J134" i="160"/>
  <c r="H134" i="160"/>
  <c r="I134" i="160"/>
  <c r="G134" i="160" l="1"/>
  <c r="K134" i="160" s="1"/>
  <c r="F143" i="160"/>
  <c r="J143" i="159"/>
  <c r="L764" i="160"/>
  <c r="C22" i="5"/>
  <c r="D20" i="5"/>
  <c r="G134" i="164" l="1"/>
  <c r="L134" i="160"/>
  <c r="I143" i="160"/>
  <c r="J143" i="160"/>
  <c r="H143" i="160"/>
  <c r="K143" i="159"/>
  <c r="E22" i="5"/>
  <c r="C19" i="5"/>
  <c r="E19" i="5" s="1"/>
  <c r="G143" i="165" l="1"/>
  <c r="G143" i="166"/>
  <c r="G143" i="167"/>
  <c r="G143" i="160"/>
  <c r="C18" i="5"/>
  <c r="E18" i="5" s="1"/>
  <c r="C17" i="5"/>
  <c r="E17" i="5" s="1"/>
  <c r="C16" i="5"/>
  <c r="G143" i="164" l="1"/>
  <c r="K143" i="160"/>
  <c r="E16" i="5"/>
  <c r="C15" i="5"/>
  <c r="E15" i="5" s="1"/>
  <c r="C14" i="5"/>
  <c r="C20" i="5" l="1"/>
  <c r="E20" i="5" s="1"/>
  <c r="E14" i="5"/>
  <c r="L143" i="160"/>
  <c r="E9" i="5"/>
  <c r="F43" i="9" l="1"/>
  <c r="F44" i="9" s="1"/>
  <c r="F763" i="9"/>
  <c r="K38" i="157"/>
  <c r="J38" i="157"/>
  <c r="I38" i="157"/>
  <c r="H38" i="157"/>
  <c r="G38" i="157"/>
  <c r="F38" i="157"/>
  <c r="K883" i="9"/>
  <c r="I883" i="9"/>
  <c r="H883" i="9"/>
  <c r="G883" i="9"/>
  <c r="L38" i="155"/>
  <c r="K38" i="155"/>
  <c r="J38" i="155"/>
  <c r="I38" i="155"/>
  <c r="H38" i="155"/>
  <c r="G38" i="155"/>
  <c r="F38" i="155"/>
  <c r="K38" i="159"/>
  <c r="J38" i="159"/>
  <c r="I38" i="159"/>
  <c r="H38" i="159"/>
  <c r="G38" i="159"/>
  <c r="F38" i="159"/>
  <c r="L38" i="160"/>
  <c r="K38" i="160"/>
  <c r="J38" i="160"/>
  <c r="I38" i="160"/>
  <c r="H38" i="160"/>
  <c r="G38" i="160"/>
  <c r="F38" i="160"/>
  <c r="L38" i="161"/>
  <c r="K38" i="161"/>
  <c r="J38" i="161"/>
  <c r="I38" i="161"/>
  <c r="H38" i="161"/>
  <c r="G38" i="161"/>
  <c r="F38" i="161"/>
  <c r="K43" i="158"/>
  <c r="K38" i="158"/>
  <c r="J38" i="158"/>
  <c r="I38" i="158"/>
  <c r="H38" i="158"/>
  <c r="G38" i="158"/>
  <c r="F38" i="158"/>
  <c r="F855" i="158"/>
  <c r="F310" i="162"/>
  <c r="D35" i="6"/>
  <c r="D20" i="7"/>
  <c r="D35" i="7" s="1"/>
  <c r="G20" i="7" l="1"/>
  <c r="F187" i="9"/>
  <c r="F188" i="9"/>
  <c r="H708" i="9"/>
  <c r="H93" i="9" s="1"/>
  <c r="F174" i="9"/>
  <c r="I93" i="9"/>
  <c r="F93" i="159" s="1"/>
  <c r="I714" i="9"/>
  <c r="I738" i="9"/>
  <c r="I375" i="9" s="1"/>
  <c r="F183" i="9"/>
  <c r="F184" i="9" s="1"/>
  <c r="I84" i="9"/>
  <c r="F84" i="159" s="1"/>
  <c r="H84" i="159" s="1"/>
  <c r="F76" i="159"/>
  <c r="G76" i="159" s="1"/>
  <c r="F76" i="160" s="1"/>
  <c r="I76" i="160" s="1"/>
  <c r="G76" i="166" s="1"/>
  <c r="F130" i="159"/>
  <c r="H130" i="159" s="1"/>
  <c r="F143" i="161"/>
  <c r="H143" i="161" s="1"/>
  <c r="I143" i="165" s="1"/>
  <c r="F134" i="161"/>
  <c r="H134" i="161" s="1"/>
  <c r="F76" i="155"/>
  <c r="I76" i="155" s="1"/>
  <c r="H76" i="166" s="1"/>
  <c r="F130" i="155"/>
  <c r="I130" i="155" s="1"/>
  <c r="H130" i="166" s="1"/>
  <c r="I708" i="155"/>
  <c r="I716" i="155"/>
  <c r="J708" i="155"/>
  <c r="J716" i="155"/>
  <c r="F358" i="162"/>
  <c r="F462" i="162"/>
  <c r="F458" i="162"/>
  <c r="F454" i="162"/>
  <c r="F447" i="162"/>
  <c r="F187" i="162"/>
  <c r="F189" i="162" s="1"/>
  <c r="F182" i="162"/>
  <c r="F183" i="162"/>
  <c r="F59" i="162"/>
  <c r="F323" i="162"/>
  <c r="F304" i="162"/>
  <c r="F536" i="162"/>
  <c r="F544" i="162" s="1"/>
  <c r="F639" i="162"/>
  <c r="K708" i="160"/>
  <c r="L708" i="160" s="1"/>
  <c r="H852" i="155"/>
  <c r="J852" i="161"/>
  <c r="K852" i="161" s="1"/>
  <c r="L852" i="161" s="1"/>
  <c r="F499" i="9"/>
  <c r="F301" i="160"/>
  <c r="J301" i="160" s="1"/>
  <c r="F375" i="158"/>
  <c r="H375" i="158" s="1"/>
  <c r="F301" i="158"/>
  <c r="H301" i="158" s="1"/>
  <c r="F70" i="158"/>
  <c r="H70" i="158" s="1"/>
  <c r="F124" i="158"/>
  <c r="H124" i="158" s="1"/>
  <c r="F130" i="158"/>
  <c r="I130" i="158" s="1"/>
  <c r="G707" i="158"/>
  <c r="J707" i="158" s="1"/>
  <c r="K707" i="158" s="1"/>
  <c r="F253" i="158"/>
  <c r="H253" i="158" s="1"/>
  <c r="F254" i="158"/>
  <c r="I254" i="158" s="1"/>
  <c r="F255" i="158"/>
  <c r="H255" i="158" s="1"/>
  <c r="I738" i="158"/>
  <c r="J738" i="158" s="1"/>
  <c r="K738" i="158" s="1"/>
  <c r="J76" i="158"/>
  <c r="K76" i="158" s="1"/>
  <c r="G134" i="167"/>
  <c r="I718" i="158"/>
  <c r="I627" i="158" s="1"/>
  <c r="J627" i="158" s="1"/>
  <c r="K627" i="158" s="1"/>
  <c r="G134" i="166"/>
  <c r="G134" i="165"/>
  <c r="K301" i="161"/>
  <c r="L301" i="161" s="1"/>
  <c r="J76" i="157"/>
  <c r="K76" i="157" s="1"/>
  <c r="F81" i="9"/>
  <c r="F101" i="9" s="1"/>
  <c r="C3" i="5" s="1"/>
  <c r="I316" i="159"/>
  <c r="I718" i="9"/>
  <c r="J718" i="9" s="1"/>
  <c r="K718" i="9" s="1"/>
  <c r="I849" i="9"/>
  <c r="J849" i="9" s="1"/>
  <c r="K849" i="9" s="1"/>
  <c r="I852" i="9"/>
  <c r="J852" i="9" s="1"/>
  <c r="K852" i="9" s="1"/>
  <c r="F28" i="49"/>
  <c r="F316" i="158"/>
  <c r="J316" i="157"/>
  <c r="F886" i="9"/>
  <c r="K764" i="161"/>
  <c r="L764" i="161" s="1"/>
  <c r="J309" i="157"/>
  <c r="K309" i="157" s="1"/>
  <c r="J353" i="9"/>
  <c r="I354" i="9"/>
  <c r="H354" i="9"/>
  <c r="I530" i="159"/>
  <c r="G530" i="159" s="1"/>
  <c r="F530" i="157"/>
  <c r="H530" i="157" s="1"/>
  <c r="F627" i="157"/>
  <c r="J736" i="9"/>
  <c r="K736" i="9" s="1"/>
  <c r="F625" i="157"/>
  <c r="F855" i="9"/>
  <c r="F855" i="157"/>
  <c r="J714" i="157"/>
  <c r="K714" i="157" s="1"/>
  <c r="J736" i="157"/>
  <c r="K736" i="157" s="1"/>
  <c r="F562" i="157"/>
  <c r="F309" i="155"/>
  <c r="F855" i="155"/>
  <c r="K714" i="155"/>
  <c r="P714" i="155" s="1"/>
  <c r="K738" i="155"/>
  <c r="P738" i="155" s="1"/>
  <c r="K736" i="155"/>
  <c r="P736" i="155" s="1"/>
  <c r="K718" i="155"/>
  <c r="L718" i="155" s="1"/>
  <c r="F562" i="155"/>
  <c r="F309" i="159"/>
  <c r="F357" i="159"/>
  <c r="I357" i="159" s="1"/>
  <c r="I358" i="159" s="1"/>
  <c r="I735" i="159"/>
  <c r="F855" i="159"/>
  <c r="F891" i="159"/>
  <c r="K714" i="160"/>
  <c r="K716" i="160"/>
  <c r="P716" i="160" s="1"/>
  <c r="K718" i="160"/>
  <c r="P718" i="160" s="1"/>
  <c r="K736" i="160"/>
  <c r="P736" i="160" s="1"/>
  <c r="K738" i="160"/>
  <c r="L738" i="160" s="1"/>
  <c r="F562" i="160"/>
  <c r="K714" i="161"/>
  <c r="P714" i="161" s="1"/>
  <c r="K708" i="161"/>
  <c r="L708" i="161" s="1"/>
  <c r="K738" i="161"/>
  <c r="P738" i="161" s="1"/>
  <c r="K762" i="161"/>
  <c r="L762" i="161" s="1"/>
  <c r="F855" i="161"/>
  <c r="F640" i="161" s="1"/>
  <c r="F562" i="161"/>
  <c r="F309" i="158"/>
  <c r="H309" i="158" s="1"/>
  <c r="J714" i="158"/>
  <c r="K714" i="158" s="1"/>
  <c r="J736" i="158"/>
  <c r="K736" i="158" s="1"/>
  <c r="J735" i="158"/>
  <c r="K735" i="158" s="1"/>
  <c r="F891" i="158"/>
  <c r="I354" i="164"/>
  <c r="G354" i="164"/>
  <c r="I354" i="166"/>
  <c r="G354" i="166"/>
  <c r="I354" i="167"/>
  <c r="G354" i="167"/>
  <c r="J316" i="159" l="1"/>
  <c r="H316" i="158"/>
  <c r="H595" i="158" s="1"/>
  <c r="F595" i="158"/>
  <c r="K316" i="157"/>
  <c r="H134" i="9"/>
  <c r="G134" i="9" s="1"/>
  <c r="J134" i="9" s="1"/>
  <c r="K134" i="9" s="1"/>
  <c r="H530" i="9"/>
  <c r="J530" i="9" s="1"/>
  <c r="K530" i="9" s="1"/>
  <c r="P708" i="160"/>
  <c r="J708" i="9"/>
  <c r="K708" i="9" s="1"/>
  <c r="H357" i="9"/>
  <c r="G357" i="9" s="1"/>
  <c r="F357" i="157" s="1"/>
  <c r="H84" i="9"/>
  <c r="F84" i="158" s="1"/>
  <c r="O738" i="158"/>
  <c r="J316" i="155"/>
  <c r="H316" i="167" s="1"/>
  <c r="F886" i="162"/>
  <c r="I301" i="155"/>
  <c r="H301" i="166" s="1"/>
  <c r="I353" i="155"/>
  <c r="H353" i="166" s="1"/>
  <c r="J353" i="166" s="1"/>
  <c r="J354" i="166" s="1"/>
  <c r="I316" i="155"/>
  <c r="H316" i="166" s="1"/>
  <c r="I309" i="155"/>
  <c r="H309" i="166" s="1"/>
  <c r="J718" i="158"/>
  <c r="K718" i="158" s="1"/>
  <c r="G301" i="158"/>
  <c r="J738" i="9"/>
  <c r="K738" i="9" s="1"/>
  <c r="O718" i="158"/>
  <c r="I375" i="158"/>
  <c r="G375" i="158" s="1"/>
  <c r="J375" i="158" s="1"/>
  <c r="K375" i="158" s="1"/>
  <c r="G716" i="155"/>
  <c r="K716" i="155" s="1"/>
  <c r="L716" i="155" s="1"/>
  <c r="J353" i="155"/>
  <c r="J301" i="155"/>
  <c r="H301" i="167" s="1"/>
  <c r="H76" i="155"/>
  <c r="H76" i="165" s="1"/>
  <c r="H143" i="9"/>
  <c r="F357" i="161"/>
  <c r="F358" i="161" s="1"/>
  <c r="J714" i="9"/>
  <c r="K714" i="9" s="1"/>
  <c r="I301" i="158"/>
  <c r="I253" i="9"/>
  <c r="F253" i="159" s="1"/>
  <c r="H253" i="159" s="1"/>
  <c r="I254" i="9"/>
  <c r="F254" i="159" s="1"/>
  <c r="I254" i="159" s="1"/>
  <c r="F254" i="161" s="1"/>
  <c r="I255" i="9"/>
  <c r="F255" i="159" s="1"/>
  <c r="I255" i="159" s="1"/>
  <c r="F255" i="161" s="1"/>
  <c r="I625" i="158"/>
  <c r="J625" i="158" s="1"/>
  <c r="K625" i="158" s="1"/>
  <c r="H130" i="158"/>
  <c r="G130" i="158" s="1"/>
  <c r="J130" i="158" s="1"/>
  <c r="J134" i="161"/>
  <c r="I134" i="167" s="1"/>
  <c r="F184" i="162"/>
  <c r="I84" i="159"/>
  <c r="F84" i="161" s="1"/>
  <c r="H84" i="161" s="1"/>
  <c r="I84" i="165" s="1"/>
  <c r="I530" i="157"/>
  <c r="G530" i="157" s="1"/>
  <c r="J530" i="157" s="1"/>
  <c r="K530" i="157" s="1"/>
  <c r="I76" i="159"/>
  <c r="F76" i="161" s="1"/>
  <c r="J76" i="161" s="1"/>
  <c r="I76" i="167" s="1"/>
  <c r="G708" i="155"/>
  <c r="K708" i="155" s="1"/>
  <c r="L708" i="155" s="1"/>
  <c r="H76" i="160"/>
  <c r="H357" i="159"/>
  <c r="H358" i="159" s="1"/>
  <c r="J76" i="160"/>
  <c r="G76" i="167" s="1"/>
  <c r="G84" i="159"/>
  <c r="F84" i="160" s="1"/>
  <c r="J84" i="160" s="1"/>
  <c r="G84" i="167" s="1"/>
  <c r="I124" i="158"/>
  <c r="I301" i="160"/>
  <c r="G301" i="166" s="1"/>
  <c r="P738" i="160"/>
  <c r="H254" i="158"/>
  <c r="G254" i="158" s="1"/>
  <c r="J254" i="158" s="1"/>
  <c r="K254" i="158" s="1"/>
  <c r="H93" i="159"/>
  <c r="G93" i="159"/>
  <c r="I93" i="159"/>
  <c r="F93" i="161" s="1"/>
  <c r="H93" i="161" s="1"/>
  <c r="I93" i="165" s="1"/>
  <c r="F93" i="158"/>
  <c r="G93" i="9"/>
  <c r="G309" i="158"/>
  <c r="I309" i="158"/>
  <c r="I255" i="158"/>
  <c r="G255" i="158" s="1"/>
  <c r="J255" i="158" s="1"/>
  <c r="K255" i="158" s="1"/>
  <c r="J852" i="155"/>
  <c r="I130" i="159"/>
  <c r="F130" i="161" s="1"/>
  <c r="H130" i="161" s="1"/>
  <c r="I130" i="165" s="1"/>
  <c r="F640" i="158"/>
  <c r="F640" i="159"/>
  <c r="F640" i="155"/>
  <c r="F640" i="157"/>
  <c r="F640" i="9"/>
  <c r="F641" i="9" s="1"/>
  <c r="F644" i="9" s="1"/>
  <c r="P718" i="155"/>
  <c r="F316" i="161"/>
  <c r="H316" i="161" s="1"/>
  <c r="I70" i="9"/>
  <c r="F70" i="159" s="1"/>
  <c r="I253" i="158"/>
  <c r="G253" i="158" s="1"/>
  <c r="J253" i="158" s="1"/>
  <c r="K253" i="158" s="1"/>
  <c r="J76" i="155"/>
  <c r="K353" i="9"/>
  <c r="K354" i="9" s="1"/>
  <c r="J354" i="9"/>
  <c r="F12" i="9"/>
  <c r="J130" i="155"/>
  <c r="H130" i="167" s="1"/>
  <c r="H130" i="155"/>
  <c r="H130" i="165" s="1"/>
  <c r="P714" i="160"/>
  <c r="L714" i="160"/>
  <c r="G309" i="159"/>
  <c r="H309" i="159"/>
  <c r="I309" i="159"/>
  <c r="F309" i="161" s="1"/>
  <c r="H309" i="161" s="1"/>
  <c r="I625" i="9"/>
  <c r="I627" i="9"/>
  <c r="I134" i="165"/>
  <c r="G736" i="159"/>
  <c r="I736" i="159"/>
  <c r="G625" i="157"/>
  <c r="H625" i="157"/>
  <c r="F625" i="155" s="1"/>
  <c r="H627" i="157"/>
  <c r="F627" i="155" s="1"/>
  <c r="H627" i="155" s="1"/>
  <c r="H627" i="165" s="1"/>
  <c r="I627" i="157"/>
  <c r="G627" i="157"/>
  <c r="H708" i="158"/>
  <c r="G708" i="158"/>
  <c r="I708" i="158"/>
  <c r="G70" i="158"/>
  <c r="I70" i="158"/>
  <c r="F164" i="162"/>
  <c r="F65" i="162"/>
  <c r="F81" i="162" s="1"/>
  <c r="F101" i="162" s="1"/>
  <c r="F12" i="162" s="1"/>
  <c r="F13" i="49" s="1"/>
  <c r="P762" i="161"/>
  <c r="L736" i="160"/>
  <c r="F358" i="159"/>
  <c r="F465" i="162"/>
  <c r="F499" i="162" s="1"/>
  <c r="F189" i="9"/>
  <c r="I852" i="155"/>
  <c r="J143" i="161"/>
  <c r="I143" i="167" s="1"/>
  <c r="I143" i="161"/>
  <c r="I143" i="166" s="1"/>
  <c r="I124" i="9"/>
  <c r="J530" i="159"/>
  <c r="K530" i="159" s="1"/>
  <c r="F530" i="160"/>
  <c r="L738" i="161"/>
  <c r="P708" i="161"/>
  <c r="L714" i="161"/>
  <c r="L716" i="160"/>
  <c r="L718" i="160"/>
  <c r="F530" i="155"/>
  <c r="L714" i="155"/>
  <c r="J309" i="155"/>
  <c r="H309" i="167" s="1"/>
  <c r="F530" i="161"/>
  <c r="I316" i="158"/>
  <c r="I595" i="158" s="1"/>
  <c r="L736" i="155"/>
  <c r="L738" i="155"/>
  <c r="I625" i="157"/>
  <c r="H736" i="159"/>
  <c r="J735" i="159"/>
  <c r="K735" i="159" s="1"/>
  <c r="H309" i="155"/>
  <c r="G316" i="158"/>
  <c r="G595" i="158" s="1"/>
  <c r="G301" i="167"/>
  <c r="H301" i="160"/>
  <c r="G375" i="9"/>
  <c r="F375" i="159"/>
  <c r="I134" i="161"/>
  <c r="H76" i="159"/>
  <c r="K316" i="159" l="1"/>
  <c r="K595" i="159" s="1"/>
  <c r="F530" i="158"/>
  <c r="H530" i="158" s="1"/>
  <c r="F134" i="157"/>
  <c r="I134" i="157" s="1"/>
  <c r="F134" i="158"/>
  <c r="I134" i="158" s="1"/>
  <c r="G84" i="158"/>
  <c r="G358" i="9"/>
  <c r="F357" i="158"/>
  <c r="F358" i="158" s="1"/>
  <c r="J357" i="9"/>
  <c r="J358" i="9" s="1"/>
  <c r="H358" i="9"/>
  <c r="I84" i="158"/>
  <c r="G84" i="9"/>
  <c r="J84" i="9" s="1"/>
  <c r="K84" i="9" s="1"/>
  <c r="J301" i="158"/>
  <c r="K301" i="158" s="1"/>
  <c r="P716" i="155"/>
  <c r="I354" i="155"/>
  <c r="J301" i="166"/>
  <c r="G316" i="155"/>
  <c r="K316" i="155" s="1"/>
  <c r="L316" i="155" s="1"/>
  <c r="I353" i="162"/>
  <c r="I354" i="162" s="1"/>
  <c r="G353" i="155"/>
  <c r="H353" i="164" s="1"/>
  <c r="P708" i="155"/>
  <c r="H354" i="166"/>
  <c r="I93" i="161"/>
  <c r="I93" i="166" s="1"/>
  <c r="I301" i="162"/>
  <c r="F301" i="166" s="1"/>
  <c r="F19" i="162"/>
  <c r="F20" i="49" s="1"/>
  <c r="H254" i="159"/>
  <c r="G254" i="159" s="1"/>
  <c r="J254" i="159" s="1"/>
  <c r="K254" i="159" s="1"/>
  <c r="G254" i="9"/>
  <c r="F254" i="157" s="1"/>
  <c r="I253" i="159"/>
  <c r="F253" i="161" s="1"/>
  <c r="H84" i="160"/>
  <c r="G84" i="165" s="1"/>
  <c r="J309" i="158"/>
  <c r="K309" i="158" s="1"/>
  <c r="G255" i="9"/>
  <c r="J255" i="9" s="1"/>
  <c r="K255" i="9" s="1"/>
  <c r="H255" i="159"/>
  <c r="G255" i="159" s="1"/>
  <c r="J255" i="159" s="1"/>
  <c r="K255" i="159" s="1"/>
  <c r="J93" i="161"/>
  <c r="I93" i="167" s="1"/>
  <c r="I357" i="161"/>
  <c r="I358" i="161" s="1"/>
  <c r="J130" i="161"/>
  <c r="I130" i="167" s="1"/>
  <c r="G124" i="158"/>
  <c r="J124" i="158" s="1"/>
  <c r="K124" i="158" s="1"/>
  <c r="H357" i="161"/>
  <c r="I357" i="165" s="1"/>
  <c r="I358" i="165" s="1"/>
  <c r="G253" i="9"/>
  <c r="J253" i="9" s="1"/>
  <c r="G852" i="155"/>
  <c r="K852" i="155" s="1"/>
  <c r="L852" i="155" s="1"/>
  <c r="J357" i="161"/>
  <c r="I357" i="167" s="1"/>
  <c r="I358" i="167" s="1"/>
  <c r="J309" i="159"/>
  <c r="K309" i="159" s="1"/>
  <c r="I84" i="161"/>
  <c r="I84" i="166" s="1"/>
  <c r="F309" i="160"/>
  <c r="H309" i="160" s="1"/>
  <c r="G309" i="165" s="1"/>
  <c r="J84" i="161"/>
  <c r="I84" i="167" s="1"/>
  <c r="J354" i="155"/>
  <c r="H353" i="167"/>
  <c r="J353" i="162"/>
  <c r="I130" i="161"/>
  <c r="I130" i="166" s="1"/>
  <c r="J625" i="157"/>
  <c r="K625" i="157" s="1"/>
  <c r="G357" i="159"/>
  <c r="J357" i="159" s="1"/>
  <c r="G130" i="159"/>
  <c r="J130" i="159" s="1"/>
  <c r="K130" i="159" s="1"/>
  <c r="J301" i="162"/>
  <c r="F301" i="167" s="1"/>
  <c r="O736" i="159"/>
  <c r="G301" i="155"/>
  <c r="K301" i="155" s="1"/>
  <c r="L301" i="155" s="1"/>
  <c r="G143" i="9"/>
  <c r="F143" i="158"/>
  <c r="H143" i="158" s="1"/>
  <c r="H93" i="158"/>
  <c r="I76" i="161"/>
  <c r="I76" i="162" s="1"/>
  <c r="F76" i="166" s="1"/>
  <c r="G130" i="155"/>
  <c r="H130" i="164" s="1"/>
  <c r="G93" i="158"/>
  <c r="J76" i="159"/>
  <c r="K76" i="159" s="1"/>
  <c r="H76" i="161"/>
  <c r="H76" i="162" s="1"/>
  <c r="F76" i="165" s="1"/>
  <c r="I84" i="160"/>
  <c r="G84" i="166" s="1"/>
  <c r="J84" i="159"/>
  <c r="K84" i="159" s="1"/>
  <c r="G76" i="160"/>
  <c r="G76" i="165"/>
  <c r="J316" i="161"/>
  <c r="I316" i="161"/>
  <c r="J93" i="9"/>
  <c r="K93" i="9" s="1"/>
  <c r="F93" i="157"/>
  <c r="J76" i="162"/>
  <c r="F76" i="167" s="1"/>
  <c r="H76" i="167"/>
  <c r="J76" i="167" s="1"/>
  <c r="J93" i="159"/>
  <c r="K93" i="159" s="1"/>
  <c r="F93" i="160"/>
  <c r="H84" i="158"/>
  <c r="G70" i="9"/>
  <c r="F70" i="157" s="1"/>
  <c r="G76" i="155"/>
  <c r="J70" i="158"/>
  <c r="G124" i="9"/>
  <c r="F124" i="159"/>
  <c r="G70" i="159"/>
  <c r="I70" i="159"/>
  <c r="F70" i="161" s="1"/>
  <c r="H70" i="159"/>
  <c r="J627" i="155"/>
  <c r="H627" i="167" s="1"/>
  <c r="F625" i="159"/>
  <c r="J625" i="9"/>
  <c r="K625" i="9" s="1"/>
  <c r="I627" i="155"/>
  <c r="H627" i="166" s="1"/>
  <c r="J627" i="157"/>
  <c r="K627" i="157" s="1"/>
  <c r="G143" i="161"/>
  <c r="K130" i="158"/>
  <c r="I93" i="158"/>
  <c r="J708" i="158"/>
  <c r="K708" i="158" s="1"/>
  <c r="O708" i="158"/>
  <c r="I625" i="155"/>
  <c r="H625" i="166" s="1"/>
  <c r="H625" i="155"/>
  <c r="J625" i="155"/>
  <c r="H625" i="167" s="1"/>
  <c r="J627" i="9"/>
  <c r="K627" i="9" s="1"/>
  <c r="F627" i="159"/>
  <c r="J309" i="161"/>
  <c r="I309" i="167" s="1"/>
  <c r="I309" i="161"/>
  <c r="I309" i="166" s="1"/>
  <c r="E3" i="5"/>
  <c r="I375" i="159"/>
  <c r="F375" i="161" s="1"/>
  <c r="H375" i="159"/>
  <c r="J254" i="161"/>
  <c r="I254" i="161"/>
  <c r="H254" i="161"/>
  <c r="I309" i="165"/>
  <c r="J736" i="159"/>
  <c r="K736" i="159" s="1"/>
  <c r="G134" i="161"/>
  <c r="I134" i="166"/>
  <c r="G309" i="155"/>
  <c r="H309" i="165"/>
  <c r="J530" i="161"/>
  <c r="I530" i="161"/>
  <c r="H530" i="161"/>
  <c r="J530" i="155"/>
  <c r="H530" i="167" s="1"/>
  <c r="I530" i="155"/>
  <c r="H530" i="166" s="1"/>
  <c r="H530" i="155"/>
  <c r="H530" i="165" s="1"/>
  <c r="I316" i="165"/>
  <c r="H316" i="162"/>
  <c r="I357" i="157"/>
  <c r="I358" i="157" s="1"/>
  <c r="H357" i="157"/>
  <c r="F358" i="157"/>
  <c r="I530" i="160"/>
  <c r="G530" i="166" s="1"/>
  <c r="H530" i="160"/>
  <c r="G530" i="165" s="1"/>
  <c r="J530" i="160"/>
  <c r="G530" i="167" s="1"/>
  <c r="F375" i="157"/>
  <c r="J375" i="9"/>
  <c r="K375" i="9" s="1"/>
  <c r="J255" i="161"/>
  <c r="I255" i="161"/>
  <c r="H255" i="161"/>
  <c r="H301" i="162"/>
  <c r="G301" i="160"/>
  <c r="G301" i="165"/>
  <c r="J301" i="167"/>
  <c r="J316" i="158"/>
  <c r="J595" i="158" s="1"/>
  <c r="H134" i="157" l="1"/>
  <c r="G134" i="157" s="1"/>
  <c r="J134" i="157" s="1"/>
  <c r="K134" i="157" s="1"/>
  <c r="I530" i="158"/>
  <c r="G530" i="158" s="1"/>
  <c r="J530" i="158" s="1"/>
  <c r="K530" i="158" s="1"/>
  <c r="H134" i="158"/>
  <c r="G134" i="158" s="1"/>
  <c r="J134" i="158" s="1"/>
  <c r="I357" i="158"/>
  <c r="I358" i="158" s="1"/>
  <c r="H357" i="158"/>
  <c r="H358" i="158" s="1"/>
  <c r="K357" i="9"/>
  <c r="K358" i="9" s="1"/>
  <c r="J84" i="158"/>
  <c r="K84" i="158" s="1"/>
  <c r="F84" i="157"/>
  <c r="G84" i="157" s="1"/>
  <c r="F353" i="166"/>
  <c r="K353" i="166" s="1"/>
  <c r="K354" i="166" s="1"/>
  <c r="G354" i="155"/>
  <c r="F255" i="157"/>
  <c r="I255" i="157" s="1"/>
  <c r="H316" i="164"/>
  <c r="K301" i="166"/>
  <c r="G353" i="162"/>
  <c r="K353" i="162" s="1"/>
  <c r="K353" i="155"/>
  <c r="I143" i="158"/>
  <c r="G143" i="158" s="1"/>
  <c r="J143" i="158" s="1"/>
  <c r="H301" i="164"/>
  <c r="I309" i="160"/>
  <c r="G309" i="166" s="1"/>
  <c r="J309" i="166" s="1"/>
  <c r="F130" i="160"/>
  <c r="H130" i="160" s="1"/>
  <c r="J70" i="9"/>
  <c r="K70" i="9" s="1"/>
  <c r="J254" i="9"/>
  <c r="K254" i="9" s="1"/>
  <c r="I76" i="165"/>
  <c r="J76" i="165" s="1"/>
  <c r="K76" i="165" s="1"/>
  <c r="I357" i="166"/>
  <c r="I358" i="166" s="1"/>
  <c r="H358" i="161"/>
  <c r="F254" i="160"/>
  <c r="H254" i="160" s="1"/>
  <c r="G254" i="165" s="1"/>
  <c r="G93" i="161"/>
  <c r="I93" i="164" s="1"/>
  <c r="F253" i="157"/>
  <c r="I253" i="157" s="1"/>
  <c r="G253" i="159"/>
  <c r="J309" i="165"/>
  <c r="J358" i="161"/>
  <c r="J309" i="160"/>
  <c r="J309" i="162" s="1"/>
  <c r="F309" i="167" s="1"/>
  <c r="F255" i="160"/>
  <c r="H255" i="160" s="1"/>
  <c r="G255" i="165" s="1"/>
  <c r="J93" i="158"/>
  <c r="K93" i="158" s="1"/>
  <c r="G357" i="161"/>
  <c r="K357" i="161" s="1"/>
  <c r="G358" i="159"/>
  <c r="G76" i="161"/>
  <c r="K76" i="161" s="1"/>
  <c r="L76" i="161" s="1"/>
  <c r="F357" i="160"/>
  <c r="F358" i="160" s="1"/>
  <c r="I76" i="166"/>
  <c r="J76" i="166" s="1"/>
  <c r="K76" i="166" s="1"/>
  <c r="J353" i="167"/>
  <c r="J354" i="167" s="1"/>
  <c r="H354" i="167"/>
  <c r="G130" i="161"/>
  <c r="K130" i="161" s="1"/>
  <c r="L130" i="161" s="1"/>
  <c r="G84" i="161"/>
  <c r="K84" i="161" s="1"/>
  <c r="J354" i="162"/>
  <c r="F353" i="167"/>
  <c r="F143" i="157"/>
  <c r="J143" i="9"/>
  <c r="K143" i="9" s="1"/>
  <c r="K130" i="155"/>
  <c r="L130" i="155" s="1"/>
  <c r="G309" i="161"/>
  <c r="K309" i="161" s="1"/>
  <c r="L309" i="161" s="1"/>
  <c r="G84" i="160"/>
  <c r="K84" i="160" s="1"/>
  <c r="L84" i="160" s="1"/>
  <c r="K76" i="167"/>
  <c r="G316" i="161"/>
  <c r="G316" i="162" s="1"/>
  <c r="F316" i="164" s="1"/>
  <c r="K76" i="160"/>
  <c r="L76" i="160" s="1"/>
  <c r="G76" i="164"/>
  <c r="G357" i="157"/>
  <c r="J357" i="157" s="1"/>
  <c r="J353" i="164"/>
  <c r="H354" i="164"/>
  <c r="I316" i="167"/>
  <c r="J316" i="162"/>
  <c r="F316" i="167" s="1"/>
  <c r="H76" i="164"/>
  <c r="K76" i="155"/>
  <c r="L76" i="155" s="1"/>
  <c r="I316" i="162"/>
  <c r="F316" i="166" s="1"/>
  <c r="I316" i="166"/>
  <c r="H93" i="160"/>
  <c r="J93" i="160"/>
  <c r="I93" i="160"/>
  <c r="G93" i="166" s="1"/>
  <c r="H93" i="157"/>
  <c r="F93" i="155" s="1"/>
  <c r="I93" i="157"/>
  <c r="G93" i="157"/>
  <c r="G36" i="167"/>
  <c r="G38" i="167" s="1"/>
  <c r="J333" i="167"/>
  <c r="F333" i="167"/>
  <c r="I36" i="167"/>
  <c r="I38" i="167" s="1"/>
  <c r="F36" i="167"/>
  <c r="F38" i="167" s="1"/>
  <c r="I333" i="167"/>
  <c r="G333" i="167"/>
  <c r="H36" i="167"/>
  <c r="H38" i="167" s="1"/>
  <c r="H333" i="167"/>
  <c r="J36" i="167"/>
  <c r="J38" i="167" s="1"/>
  <c r="G625" i="155"/>
  <c r="H625" i="165"/>
  <c r="I70" i="157"/>
  <c r="G70" i="157"/>
  <c r="H70" i="157"/>
  <c r="K70" i="158"/>
  <c r="G375" i="159"/>
  <c r="F375" i="160" s="1"/>
  <c r="K143" i="161"/>
  <c r="L143" i="161" s="1"/>
  <c r="I143" i="164"/>
  <c r="F70" i="160"/>
  <c r="J70" i="159"/>
  <c r="K70" i="159" s="1"/>
  <c r="I625" i="159"/>
  <c r="F625" i="161" s="1"/>
  <c r="H625" i="159"/>
  <c r="G625" i="159"/>
  <c r="J70" i="161"/>
  <c r="I70" i="167" s="1"/>
  <c r="I70" i="161"/>
  <c r="I70" i="166" s="1"/>
  <c r="H70" i="161"/>
  <c r="G627" i="155"/>
  <c r="K627" i="155" s="1"/>
  <c r="L627" i="155" s="1"/>
  <c r="I627" i="159"/>
  <c r="F627" i="161" s="1"/>
  <c r="G627" i="159"/>
  <c r="F627" i="160" s="1"/>
  <c r="H627" i="159"/>
  <c r="H124" i="159"/>
  <c r="I124" i="159"/>
  <c r="J124" i="9"/>
  <c r="F124" i="157"/>
  <c r="G530" i="160"/>
  <c r="K530" i="160" s="1"/>
  <c r="L530" i="160" s="1"/>
  <c r="G530" i="161"/>
  <c r="K530" i="161" s="1"/>
  <c r="L530" i="161" s="1"/>
  <c r="G254" i="161"/>
  <c r="K254" i="161" s="1"/>
  <c r="L254" i="161" s="1"/>
  <c r="K316" i="158"/>
  <c r="K595" i="158" s="1"/>
  <c r="I255" i="167"/>
  <c r="J316" i="165"/>
  <c r="I530" i="162"/>
  <c r="F530" i="166" s="1"/>
  <c r="I530" i="166"/>
  <c r="J530" i="166" s="1"/>
  <c r="H375" i="161"/>
  <c r="J375" i="161"/>
  <c r="I375" i="161"/>
  <c r="G530" i="155"/>
  <c r="H309" i="162"/>
  <c r="F309" i="165" s="1"/>
  <c r="F301" i="165"/>
  <c r="I255" i="166"/>
  <c r="F316" i="165"/>
  <c r="K357" i="159"/>
  <c r="K358" i="159" s="1"/>
  <c r="J358" i="159"/>
  <c r="H254" i="157"/>
  <c r="F254" i="155" s="1"/>
  <c r="I254" i="157"/>
  <c r="H530" i="162"/>
  <c r="F530" i="165" s="1"/>
  <c r="I530" i="165"/>
  <c r="J530" i="165" s="1"/>
  <c r="K309" i="155"/>
  <c r="L309" i="155" s="1"/>
  <c r="H309" i="164"/>
  <c r="I134" i="164"/>
  <c r="K134" i="161"/>
  <c r="I254" i="167"/>
  <c r="G301" i="162"/>
  <c r="K301" i="160"/>
  <c r="G301" i="164"/>
  <c r="I255" i="165"/>
  <c r="K253" i="9"/>
  <c r="H375" i="157"/>
  <c r="F375" i="155" s="1"/>
  <c r="I375" i="157"/>
  <c r="H358" i="157"/>
  <c r="F357" i="155"/>
  <c r="J253" i="161"/>
  <c r="I253" i="161"/>
  <c r="H253" i="161"/>
  <c r="I254" i="166"/>
  <c r="J301" i="165"/>
  <c r="K301" i="167"/>
  <c r="J530" i="162"/>
  <c r="F530" i="167" s="1"/>
  <c r="I530" i="167"/>
  <c r="J530" i="167" s="1"/>
  <c r="I254" i="165"/>
  <c r="G255" i="161"/>
  <c r="F134" i="155" l="1"/>
  <c r="H134" i="155" s="1"/>
  <c r="J316" i="167"/>
  <c r="K316" i="167" s="1"/>
  <c r="K595" i="167" s="1"/>
  <c r="J316" i="166"/>
  <c r="G357" i="158"/>
  <c r="G358" i="158" s="1"/>
  <c r="I84" i="157"/>
  <c r="H84" i="157"/>
  <c r="F84" i="155" s="1"/>
  <c r="J84" i="155" s="1"/>
  <c r="J84" i="162" s="1"/>
  <c r="F84" i="167" s="1"/>
  <c r="F354" i="166"/>
  <c r="J254" i="160"/>
  <c r="G254" i="167" s="1"/>
  <c r="H255" i="157"/>
  <c r="F255" i="155" s="1"/>
  <c r="J255" i="155" s="1"/>
  <c r="H255" i="167" s="1"/>
  <c r="J255" i="160"/>
  <c r="G255" i="167" s="1"/>
  <c r="F353" i="164"/>
  <c r="F354" i="164" s="1"/>
  <c r="I130" i="160"/>
  <c r="I130" i="162" s="1"/>
  <c r="F130" i="166" s="1"/>
  <c r="I254" i="160"/>
  <c r="G254" i="166" s="1"/>
  <c r="J130" i="160"/>
  <c r="J130" i="162" s="1"/>
  <c r="F130" i="167" s="1"/>
  <c r="H627" i="164"/>
  <c r="G358" i="157"/>
  <c r="K354" i="155"/>
  <c r="L353" i="155"/>
  <c r="L354" i="155" s="1"/>
  <c r="I84" i="164"/>
  <c r="G354" i="162"/>
  <c r="I309" i="162"/>
  <c r="F309" i="166" s="1"/>
  <c r="K309" i="166" s="1"/>
  <c r="H357" i="160"/>
  <c r="H358" i="160" s="1"/>
  <c r="G76" i="162"/>
  <c r="F76" i="164" s="1"/>
  <c r="K93" i="161"/>
  <c r="L93" i="161" s="1"/>
  <c r="I255" i="160"/>
  <c r="G255" i="166" s="1"/>
  <c r="I357" i="164"/>
  <c r="I358" i="164" s="1"/>
  <c r="K309" i="165"/>
  <c r="J357" i="160"/>
  <c r="J358" i="160" s="1"/>
  <c r="H253" i="157"/>
  <c r="G253" i="157" s="1"/>
  <c r="J253" i="157" s="1"/>
  <c r="I357" i="160"/>
  <c r="G357" i="166" s="1"/>
  <c r="J253" i="159"/>
  <c r="K253" i="159" s="1"/>
  <c r="F253" i="160"/>
  <c r="G309" i="167"/>
  <c r="J309" i="167" s="1"/>
  <c r="K309" i="167" s="1"/>
  <c r="G309" i="160"/>
  <c r="G309" i="162" s="1"/>
  <c r="G84" i="164"/>
  <c r="G358" i="161"/>
  <c r="I76" i="164"/>
  <c r="J76" i="164" s="1"/>
  <c r="I130" i="164"/>
  <c r="I309" i="164"/>
  <c r="I316" i="164"/>
  <c r="G530" i="164"/>
  <c r="K353" i="167"/>
  <c r="K354" i="167" s="1"/>
  <c r="F354" i="167"/>
  <c r="I143" i="157"/>
  <c r="H143" i="157"/>
  <c r="F143" i="155" s="1"/>
  <c r="J375" i="159"/>
  <c r="K375" i="159" s="1"/>
  <c r="K316" i="161"/>
  <c r="L316" i="161" s="1"/>
  <c r="I254" i="164"/>
  <c r="K316" i="162"/>
  <c r="L316" i="162" s="1"/>
  <c r="J354" i="164"/>
  <c r="J93" i="157"/>
  <c r="K93" i="157" s="1"/>
  <c r="K354" i="162"/>
  <c r="L353" i="162"/>
  <c r="L354" i="162" s="1"/>
  <c r="G93" i="167"/>
  <c r="I530" i="164"/>
  <c r="H93" i="155"/>
  <c r="J93" i="155"/>
  <c r="H93" i="167" s="1"/>
  <c r="I93" i="155"/>
  <c r="G93" i="165"/>
  <c r="G93" i="160"/>
  <c r="J627" i="161"/>
  <c r="H627" i="161"/>
  <c r="I627" i="161"/>
  <c r="K124" i="9"/>
  <c r="J627" i="160"/>
  <c r="G627" i="167" s="1"/>
  <c r="I627" i="160"/>
  <c r="G627" i="166" s="1"/>
  <c r="H627" i="160"/>
  <c r="G627" i="165" s="1"/>
  <c r="F625" i="160"/>
  <c r="J625" i="159"/>
  <c r="K625" i="159" s="1"/>
  <c r="H625" i="164"/>
  <c r="K625" i="155"/>
  <c r="L625" i="155" s="1"/>
  <c r="L357" i="161"/>
  <c r="L358" i="161" s="1"/>
  <c r="K358" i="161"/>
  <c r="H124" i="157"/>
  <c r="I124" i="157"/>
  <c r="F124" i="161"/>
  <c r="H70" i="160"/>
  <c r="G70" i="165" s="1"/>
  <c r="I70" i="160"/>
  <c r="G70" i="166" s="1"/>
  <c r="J70" i="160"/>
  <c r="G70" i="167" s="1"/>
  <c r="J70" i="157"/>
  <c r="J627" i="159"/>
  <c r="K627" i="159" s="1"/>
  <c r="I70" i="165"/>
  <c r="G70" i="161"/>
  <c r="H625" i="161"/>
  <c r="I625" i="161"/>
  <c r="J625" i="161"/>
  <c r="F70" i="155"/>
  <c r="G124" i="159"/>
  <c r="G375" i="161"/>
  <c r="I375" i="164" s="1"/>
  <c r="I255" i="164"/>
  <c r="K255" i="161"/>
  <c r="L255" i="161" s="1"/>
  <c r="I253" i="165"/>
  <c r="I357" i="155"/>
  <c r="H357" i="155"/>
  <c r="F358" i="155"/>
  <c r="J357" i="155"/>
  <c r="K301" i="162"/>
  <c r="F301" i="164"/>
  <c r="L84" i="161"/>
  <c r="L134" i="161"/>
  <c r="J254" i="155"/>
  <c r="I254" i="155"/>
  <c r="H254" i="155"/>
  <c r="K316" i="165"/>
  <c r="K595" i="165" s="1"/>
  <c r="I375" i="165"/>
  <c r="K143" i="158"/>
  <c r="J375" i="160"/>
  <c r="G375" i="167" s="1"/>
  <c r="H375" i="160"/>
  <c r="G375" i="165" s="1"/>
  <c r="I375" i="160"/>
  <c r="G375" i="166" s="1"/>
  <c r="K134" i="158"/>
  <c r="L301" i="160"/>
  <c r="I375" i="167"/>
  <c r="G253" i="161"/>
  <c r="G375" i="157"/>
  <c r="J375" i="157" s="1"/>
  <c r="K375" i="157" s="1"/>
  <c r="G254" i="157"/>
  <c r="J254" i="157" s="1"/>
  <c r="K254" i="157" s="1"/>
  <c r="I253" i="167"/>
  <c r="I375" i="155"/>
  <c r="H375" i="166" s="1"/>
  <c r="H375" i="155"/>
  <c r="H375" i="165" s="1"/>
  <c r="J375" i="155"/>
  <c r="H375" i="167" s="1"/>
  <c r="J301" i="164"/>
  <c r="K301" i="165"/>
  <c r="I375" i="166"/>
  <c r="K530" i="167"/>
  <c r="K530" i="165"/>
  <c r="H130" i="162"/>
  <c r="F130" i="165" s="1"/>
  <c r="G130" i="165"/>
  <c r="J130" i="165" s="1"/>
  <c r="I253" i="166"/>
  <c r="J358" i="157"/>
  <c r="K357" i="157"/>
  <c r="K358" i="157" s="1"/>
  <c r="K530" i="155"/>
  <c r="L530" i="155" s="1"/>
  <c r="H530" i="164"/>
  <c r="K530" i="166"/>
  <c r="G530" i="162"/>
  <c r="I134" i="155" l="1"/>
  <c r="I134" i="162" s="1"/>
  <c r="F134" i="166" s="1"/>
  <c r="J134" i="155"/>
  <c r="K316" i="166"/>
  <c r="K595" i="166" s="1"/>
  <c r="J316" i="164"/>
  <c r="J357" i="158"/>
  <c r="J358" i="158" s="1"/>
  <c r="H84" i="167"/>
  <c r="J84" i="167" s="1"/>
  <c r="K84" i="167" s="1"/>
  <c r="H84" i="155"/>
  <c r="H84" i="162" s="1"/>
  <c r="F84" i="165" s="1"/>
  <c r="I84" i="155"/>
  <c r="H84" i="166" s="1"/>
  <c r="J84" i="166" s="1"/>
  <c r="J84" i="157"/>
  <c r="K84" i="157" s="1"/>
  <c r="G254" i="160"/>
  <c r="G254" i="164" s="1"/>
  <c r="I255" i="155"/>
  <c r="I255" i="162" s="1"/>
  <c r="F255" i="166" s="1"/>
  <c r="H255" i="155"/>
  <c r="G255" i="157"/>
  <c r="J255" i="157" s="1"/>
  <c r="K255" i="157" s="1"/>
  <c r="J255" i="167"/>
  <c r="G357" i="165"/>
  <c r="G358" i="165" s="1"/>
  <c r="G130" i="166"/>
  <c r="J130" i="166" s="1"/>
  <c r="K130" i="166" s="1"/>
  <c r="G130" i="160"/>
  <c r="G130" i="162" s="1"/>
  <c r="F130" i="164" s="1"/>
  <c r="G130" i="167"/>
  <c r="J130" i="167" s="1"/>
  <c r="K130" i="167" s="1"/>
  <c r="K353" i="164"/>
  <c r="K354" i="164" s="1"/>
  <c r="H357" i="162"/>
  <c r="F357" i="165" s="1"/>
  <c r="K76" i="162"/>
  <c r="L76" i="162" s="1"/>
  <c r="F253" i="155"/>
  <c r="I253" i="155" s="1"/>
  <c r="G255" i="160"/>
  <c r="G255" i="164" s="1"/>
  <c r="K309" i="162"/>
  <c r="L309" i="162" s="1"/>
  <c r="F309" i="164"/>
  <c r="G357" i="167"/>
  <c r="G358" i="167" s="1"/>
  <c r="G357" i="160"/>
  <c r="G358" i="160" s="1"/>
  <c r="I358" i="160"/>
  <c r="I357" i="162"/>
  <c r="F357" i="166" s="1"/>
  <c r="H253" i="160"/>
  <c r="J253" i="160"/>
  <c r="G253" i="167" s="1"/>
  <c r="I253" i="160"/>
  <c r="G253" i="166" s="1"/>
  <c r="K309" i="160"/>
  <c r="L309" i="160" s="1"/>
  <c r="G309" i="164"/>
  <c r="J309" i="164" s="1"/>
  <c r="J93" i="167"/>
  <c r="K76" i="164"/>
  <c r="J530" i="164"/>
  <c r="J143" i="155"/>
  <c r="I143" i="155"/>
  <c r="H143" i="155"/>
  <c r="G143" i="157"/>
  <c r="J143" i="157" s="1"/>
  <c r="K143" i="157" s="1"/>
  <c r="K375" i="161"/>
  <c r="L375" i="161" s="1"/>
  <c r="G625" i="161"/>
  <c r="I625" i="164" s="1"/>
  <c r="H134" i="165"/>
  <c r="J134" i="165" s="1"/>
  <c r="H134" i="162"/>
  <c r="F134" i="165" s="1"/>
  <c r="J134" i="162"/>
  <c r="F134" i="167" s="1"/>
  <c r="H134" i="167"/>
  <c r="J134" i="167" s="1"/>
  <c r="G93" i="155"/>
  <c r="H93" i="165"/>
  <c r="J93" i="165" s="1"/>
  <c r="H93" i="162"/>
  <c r="F93" i="165" s="1"/>
  <c r="G357" i="155"/>
  <c r="K357" i="155" s="1"/>
  <c r="G124" i="157"/>
  <c r="J93" i="162"/>
  <c r="F93" i="167" s="1"/>
  <c r="I375" i="162"/>
  <c r="F375" i="166" s="1"/>
  <c r="G93" i="164"/>
  <c r="K93" i="160"/>
  <c r="L93" i="160" s="1"/>
  <c r="I93" i="162"/>
  <c r="F93" i="166" s="1"/>
  <c r="H93" i="166"/>
  <c r="J93" i="166" s="1"/>
  <c r="H70" i="155"/>
  <c r="I70" i="155"/>
  <c r="J70" i="155"/>
  <c r="I627" i="167"/>
  <c r="J627" i="167" s="1"/>
  <c r="J627" i="162"/>
  <c r="F627" i="167" s="1"/>
  <c r="I625" i="167"/>
  <c r="K70" i="161"/>
  <c r="I70" i="164"/>
  <c r="K70" i="157"/>
  <c r="F124" i="155"/>
  <c r="I627" i="165"/>
  <c r="J627" i="165" s="1"/>
  <c r="H627" i="162"/>
  <c r="F627" i="165" s="1"/>
  <c r="G254" i="155"/>
  <c r="G627" i="160"/>
  <c r="I625" i="165"/>
  <c r="I625" i="160"/>
  <c r="G625" i="166" s="1"/>
  <c r="J625" i="160"/>
  <c r="G625" i="167" s="1"/>
  <c r="H625" i="160"/>
  <c r="G625" i="165" s="1"/>
  <c r="I627" i="166"/>
  <c r="J627" i="166" s="1"/>
  <c r="I627" i="162"/>
  <c r="F627" i="166" s="1"/>
  <c r="J124" i="159"/>
  <c r="F124" i="160"/>
  <c r="I625" i="166"/>
  <c r="K357" i="158"/>
  <c r="K358" i="158" s="1"/>
  <c r="H124" i="161"/>
  <c r="I124" i="161"/>
  <c r="J124" i="161"/>
  <c r="G70" i="160"/>
  <c r="G627" i="161"/>
  <c r="G375" i="155"/>
  <c r="K375" i="155" s="1"/>
  <c r="L375" i="155" s="1"/>
  <c r="I253" i="164"/>
  <c r="K253" i="161"/>
  <c r="H254" i="166"/>
  <c r="J254" i="166" s="1"/>
  <c r="I254" i="162"/>
  <c r="F254" i="166" s="1"/>
  <c r="L301" i="162"/>
  <c r="H358" i="155"/>
  <c r="H357" i="165"/>
  <c r="H358" i="165" s="1"/>
  <c r="K130" i="165"/>
  <c r="J375" i="165"/>
  <c r="H375" i="162"/>
  <c r="F375" i="165" s="1"/>
  <c r="K530" i="162"/>
  <c r="L530" i="162" s="1"/>
  <c r="F530" i="164"/>
  <c r="H254" i="165"/>
  <c r="J254" i="165" s="1"/>
  <c r="H254" i="162"/>
  <c r="F254" i="165" s="1"/>
  <c r="K301" i="164"/>
  <c r="K253" i="157"/>
  <c r="J375" i="162"/>
  <c r="F375" i="167" s="1"/>
  <c r="J255" i="162"/>
  <c r="F255" i="167" s="1"/>
  <c r="J375" i="166"/>
  <c r="G358" i="166"/>
  <c r="I358" i="155"/>
  <c r="H357" i="166"/>
  <c r="H358" i="166" s="1"/>
  <c r="H254" i="167"/>
  <c r="J254" i="167" s="1"/>
  <c r="J254" i="162"/>
  <c r="F254" i="167" s="1"/>
  <c r="J358" i="155"/>
  <c r="H357" i="167"/>
  <c r="H358" i="167" s="1"/>
  <c r="G375" i="160"/>
  <c r="J375" i="167"/>
  <c r="J357" i="162"/>
  <c r="H134" i="166" l="1"/>
  <c r="J134" i="166" s="1"/>
  <c r="K134" i="166" s="1"/>
  <c r="G134" i="155"/>
  <c r="G134" i="162" s="1"/>
  <c r="K316" i="164"/>
  <c r="K595" i="164" s="1"/>
  <c r="H84" i="165"/>
  <c r="J84" i="165" s="1"/>
  <c r="K84" i="165" s="1"/>
  <c r="G84" i="155"/>
  <c r="G84" i="162" s="1"/>
  <c r="F84" i="164" s="1"/>
  <c r="I84" i="162"/>
  <c r="F84" i="166" s="1"/>
  <c r="K84" i="166" s="1"/>
  <c r="K254" i="160"/>
  <c r="L254" i="160" s="1"/>
  <c r="H255" i="166"/>
  <c r="J255" i="166" s="1"/>
  <c r="K255" i="166" s="1"/>
  <c r="G255" i="155"/>
  <c r="K255" i="155" s="1"/>
  <c r="L255" i="155" s="1"/>
  <c r="G254" i="162"/>
  <c r="K254" i="162" s="1"/>
  <c r="L254" i="162" s="1"/>
  <c r="K130" i="160"/>
  <c r="L130" i="160" s="1"/>
  <c r="K130" i="162"/>
  <c r="L130" i="162" s="1"/>
  <c r="H255" i="162"/>
  <c r="F255" i="165" s="1"/>
  <c r="H255" i="165"/>
  <c r="J255" i="165" s="1"/>
  <c r="G130" i="164"/>
  <c r="J130" i="164" s="1"/>
  <c r="K130" i="164" s="1"/>
  <c r="K255" i="167"/>
  <c r="H253" i="155"/>
  <c r="H253" i="165" s="1"/>
  <c r="J253" i="155"/>
  <c r="H358" i="162"/>
  <c r="K255" i="160"/>
  <c r="L255" i="160" s="1"/>
  <c r="K309" i="164"/>
  <c r="G357" i="164"/>
  <c r="G358" i="164" s="1"/>
  <c r="K357" i="160"/>
  <c r="L357" i="160" s="1"/>
  <c r="L358" i="160" s="1"/>
  <c r="G357" i="162"/>
  <c r="K357" i="162" s="1"/>
  <c r="I358" i="162"/>
  <c r="K134" i="155"/>
  <c r="L134" i="155" s="1"/>
  <c r="K254" i="155"/>
  <c r="L254" i="155" s="1"/>
  <c r="G253" i="165"/>
  <c r="G253" i="160"/>
  <c r="G358" i="155"/>
  <c r="H357" i="164"/>
  <c r="H358" i="164" s="1"/>
  <c r="K93" i="167"/>
  <c r="K375" i="166"/>
  <c r="H375" i="164"/>
  <c r="J625" i="167"/>
  <c r="J357" i="165"/>
  <c r="J358" i="165" s="1"/>
  <c r="K530" i="164"/>
  <c r="H254" i="164"/>
  <c r="J254" i="164" s="1"/>
  <c r="J143" i="162"/>
  <c r="F143" i="167" s="1"/>
  <c r="H143" i="167"/>
  <c r="J143" i="167" s="1"/>
  <c r="K93" i="166"/>
  <c r="I143" i="162"/>
  <c r="F143" i="166" s="1"/>
  <c r="H143" i="166"/>
  <c r="J143" i="166" s="1"/>
  <c r="H143" i="165"/>
  <c r="J143" i="165" s="1"/>
  <c r="H143" i="162"/>
  <c r="F143" i="165" s="1"/>
  <c r="G143" i="155"/>
  <c r="J124" i="157"/>
  <c r="K124" i="157" s="1"/>
  <c r="K625" i="161"/>
  <c r="L625" i="161" s="1"/>
  <c r="K93" i="165"/>
  <c r="K134" i="167"/>
  <c r="H134" i="164"/>
  <c r="J134" i="164" s="1"/>
  <c r="J625" i="165"/>
  <c r="K134" i="165"/>
  <c r="K134" i="162"/>
  <c r="L134" i="162" s="1"/>
  <c r="F134" i="164"/>
  <c r="G124" i="161"/>
  <c r="K124" i="161" s="1"/>
  <c r="K254" i="166"/>
  <c r="J625" i="166"/>
  <c r="K627" i="167"/>
  <c r="G93" i="162"/>
  <c r="K93" i="155"/>
  <c r="L93" i="155" s="1"/>
  <c r="H93" i="164"/>
  <c r="J93" i="164" s="1"/>
  <c r="H625" i="162"/>
  <c r="F625" i="165" s="1"/>
  <c r="K70" i="160"/>
  <c r="L70" i="160" s="1"/>
  <c r="G70" i="164"/>
  <c r="L70" i="161"/>
  <c r="H70" i="167"/>
  <c r="J70" i="162"/>
  <c r="I124" i="165"/>
  <c r="I124" i="160"/>
  <c r="H124" i="160"/>
  <c r="J124" i="160"/>
  <c r="I627" i="164"/>
  <c r="K627" i="161"/>
  <c r="L627" i="161" s="1"/>
  <c r="G627" i="162"/>
  <c r="I124" i="166"/>
  <c r="K627" i="160"/>
  <c r="L627" i="160" s="1"/>
  <c r="G627" i="164"/>
  <c r="H70" i="162"/>
  <c r="H70" i="165"/>
  <c r="G70" i="155"/>
  <c r="G70" i="162" s="1"/>
  <c r="F70" i="164" s="1"/>
  <c r="K627" i="166"/>
  <c r="I124" i="155"/>
  <c r="J124" i="155"/>
  <c r="H124" i="155"/>
  <c r="H70" i="166"/>
  <c r="I70" i="162"/>
  <c r="I625" i="162"/>
  <c r="F625" i="166" s="1"/>
  <c r="I124" i="167"/>
  <c r="K124" i="159"/>
  <c r="K375" i="165"/>
  <c r="G625" i="160"/>
  <c r="K627" i="165"/>
  <c r="J625" i="162"/>
  <c r="F625" i="167" s="1"/>
  <c r="K254" i="167"/>
  <c r="K358" i="155"/>
  <c r="L357" i="155"/>
  <c r="L358" i="155" s="1"/>
  <c r="K375" i="167"/>
  <c r="F357" i="167"/>
  <c r="J358" i="162"/>
  <c r="K375" i="160"/>
  <c r="L375" i="160" s="1"/>
  <c r="G375" i="164"/>
  <c r="G375" i="162"/>
  <c r="F358" i="166"/>
  <c r="L253" i="161"/>
  <c r="F358" i="165"/>
  <c r="K254" i="165"/>
  <c r="H253" i="166"/>
  <c r="I253" i="162"/>
  <c r="F253" i="166" s="1"/>
  <c r="J357" i="166"/>
  <c r="J358" i="166" s="1"/>
  <c r="J357" i="167"/>
  <c r="J358" i="167" s="1"/>
  <c r="K84" i="155" l="1"/>
  <c r="L84" i="155" s="1"/>
  <c r="H84" i="164"/>
  <c r="J84" i="164" s="1"/>
  <c r="K84" i="164" s="1"/>
  <c r="K84" i="162"/>
  <c r="L84" i="162" s="1"/>
  <c r="K134" i="164"/>
  <c r="F254" i="164"/>
  <c r="K254" i="164" s="1"/>
  <c r="H255" i="164"/>
  <c r="J255" i="164" s="1"/>
  <c r="G255" i="162"/>
  <c r="F255" i="164" s="1"/>
  <c r="K255" i="165"/>
  <c r="K358" i="160"/>
  <c r="H253" i="162"/>
  <c r="F253" i="165" s="1"/>
  <c r="G253" i="155"/>
  <c r="G253" i="162" s="1"/>
  <c r="F253" i="164" s="1"/>
  <c r="H253" i="167"/>
  <c r="J253" i="167" s="1"/>
  <c r="J357" i="164"/>
  <c r="J358" i="164" s="1"/>
  <c r="J253" i="162"/>
  <c r="F253" i="167" s="1"/>
  <c r="G358" i="162"/>
  <c r="F357" i="164"/>
  <c r="F358" i="164" s="1"/>
  <c r="K625" i="167"/>
  <c r="K253" i="160"/>
  <c r="L253" i="160" s="1"/>
  <c r="G253" i="164"/>
  <c r="K357" i="165"/>
  <c r="K358" i="165" s="1"/>
  <c r="K625" i="166"/>
  <c r="K143" i="165"/>
  <c r="K625" i="165"/>
  <c r="J375" i="164"/>
  <c r="K143" i="167"/>
  <c r="K143" i="166"/>
  <c r="I124" i="162"/>
  <c r="F124" i="166" s="1"/>
  <c r="K143" i="155"/>
  <c r="L143" i="155" s="1"/>
  <c r="H143" i="164"/>
  <c r="J143" i="164" s="1"/>
  <c r="G143" i="162"/>
  <c r="I124" i="164"/>
  <c r="K70" i="162"/>
  <c r="L70" i="162" s="1"/>
  <c r="J124" i="162"/>
  <c r="G124" i="155"/>
  <c r="K93" i="162"/>
  <c r="L93" i="162" s="1"/>
  <c r="F93" i="164"/>
  <c r="K93" i="164" s="1"/>
  <c r="J627" i="164"/>
  <c r="H124" i="162"/>
  <c r="F124" i="165" s="1"/>
  <c r="J70" i="166"/>
  <c r="J70" i="165"/>
  <c r="G124" i="167"/>
  <c r="J70" i="167"/>
  <c r="G124" i="165"/>
  <c r="K625" i="160"/>
  <c r="L625" i="160" s="1"/>
  <c r="G625" i="164"/>
  <c r="J625" i="164" s="1"/>
  <c r="G625" i="162"/>
  <c r="H124" i="166"/>
  <c r="K70" i="155"/>
  <c r="H70" i="164"/>
  <c r="F70" i="167"/>
  <c r="L124" i="161"/>
  <c r="H124" i="165"/>
  <c r="F70" i="166"/>
  <c r="H124" i="167"/>
  <c r="F70" i="165"/>
  <c r="F627" i="164"/>
  <c r="K627" i="162"/>
  <c r="L627" i="162" s="1"/>
  <c r="G124" i="160"/>
  <c r="G124" i="166"/>
  <c r="K358" i="162"/>
  <c r="L357" i="162"/>
  <c r="L358" i="162" s="1"/>
  <c r="F375" i="164"/>
  <c r="K375" i="162"/>
  <c r="L375" i="162" s="1"/>
  <c r="F358" i="167"/>
  <c r="K357" i="167"/>
  <c r="K358" i="167" s="1"/>
  <c r="J253" i="165"/>
  <c r="J253" i="166"/>
  <c r="K253" i="166" s="1"/>
  <c r="K357" i="166"/>
  <c r="K358" i="166" s="1"/>
  <c r="K255" i="164" l="1"/>
  <c r="K255" i="162"/>
  <c r="L255" i="162" s="1"/>
  <c r="K253" i="165"/>
  <c r="K253" i="155"/>
  <c r="L253" i="155" s="1"/>
  <c r="K253" i="167"/>
  <c r="H253" i="164"/>
  <c r="J253" i="164" s="1"/>
  <c r="K253" i="164" s="1"/>
  <c r="K357" i="164"/>
  <c r="K358" i="164" s="1"/>
  <c r="K253" i="162"/>
  <c r="L253" i="162" s="1"/>
  <c r="K627" i="164"/>
  <c r="K375" i="164"/>
  <c r="F143" i="164"/>
  <c r="K143" i="164" s="1"/>
  <c r="K143" i="162"/>
  <c r="L143" i="162" s="1"/>
  <c r="F124" i="167"/>
  <c r="H124" i="164"/>
  <c r="K124" i="155"/>
  <c r="L124" i="155" s="1"/>
  <c r="J124" i="166"/>
  <c r="J70" i="164"/>
  <c r="K70" i="165"/>
  <c r="L70" i="155"/>
  <c r="K70" i="167"/>
  <c r="J124" i="167"/>
  <c r="K124" i="160"/>
  <c r="G124" i="164"/>
  <c r="G124" i="162"/>
  <c r="K70" i="166"/>
  <c r="K625" i="162"/>
  <c r="L625" i="162" s="1"/>
  <c r="F625" i="164"/>
  <c r="K625" i="164" s="1"/>
  <c r="J124" i="165"/>
  <c r="F124" i="164" l="1"/>
  <c r="K124" i="162"/>
  <c r="L124" i="160"/>
  <c r="K124" i="165"/>
  <c r="J124" i="164"/>
  <c r="K124" i="167"/>
  <c r="K70" i="164"/>
  <c r="K124" i="166"/>
  <c r="K124" i="164" l="1"/>
  <c r="L124" i="162"/>
  <c r="J171" i="155" l="1"/>
  <c r="K169" i="155"/>
  <c r="K171" i="155" s="1"/>
  <c r="L169" i="155"/>
  <c r="L171" i="155" s="1"/>
  <c r="J740" i="157"/>
  <c r="K740" i="157" s="1"/>
  <c r="K740" i="155"/>
  <c r="K742" i="155"/>
  <c r="P742" i="155" s="1"/>
  <c r="L742" i="155"/>
  <c r="K762" i="155"/>
  <c r="L762" i="155" s="1"/>
  <c r="K740" i="160"/>
  <c r="P740" i="160"/>
  <c r="L740" i="160"/>
  <c r="K742" i="160"/>
  <c r="K740" i="161"/>
  <c r="L740" i="161" s="1"/>
  <c r="K742" i="161"/>
  <c r="P742" i="161" s="1"/>
  <c r="P740" i="161" l="1"/>
  <c r="P762" i="155"/>
  <c r="L742" i="161"/>
  <c r="P742" i="160"/>
  <c r="L742" i="160"/>
  <c r="L740" i="155"/>
  <c r="P740" i="155"/>
  <c r="C12" i="26"/>
  <c r="O17" i="26" s="1"/>
  <c r="E19" i="26"/>
  <c r="K19" i="26" s="1"/>
  <c r="K21" i="26"/>
  <c r="F39" i="32"/>
  <c r="I41" i="35"/>
  <c r="K41" i="35" s="1"/>
  <c r="I42" i="35"/>
  <c r="K42" i="35" s="1"/>
  <c r="H61" i="35"/>
  <c r="E61" i="35"/>
  <c r="H62" i="35"/>
  <c r="J62" i="35" s="1"/>
  <c r="E62" i="35"/>
  <c r="H63" i="35"/>
  <c r="E63" i="35"/>
  <c r="H64" i="35"/>
  <c r="I64" i="35" s="1"/>
  <c r="H66" i="35"/>
  <c r="J66" i="35" s="1"/>
  <c r="E66" i="35"/>
  <c r="H67" i="35"/>
  <c r="J67" i="35" s="1"/>
  <c r="E67" i="35"/>
  <c r="H68" i="35"/>
  <c r="J68" i="35" s="1"/>
  <c r="E68" i="35"/>
  <c r="H69" i="35"/>
  <c r="J69" i="35" s="1"/>
  <c r="E69" i="35"/>
  <c r="H70" i="35"/>
  <c r="J70" i="35" s="1"/>
  <c r="E70" i="35"/>
  <c r="H71" i="35"/>
  <c r="J71" i="35" s="1"/>
  <c r="E71" i="35"/>
  <c r="H72" i="35"/>
  <c r="J72" i="35" s="1"/>
  <c r="E72" i="35"/>
  <c r="E15" i="35"/>
  <c r="G15" i="35" s="1"/>
  <c r="E16" i="35"/>
  <c r="G16" i="35" s="1"/>
  <c r="E17" i="35"/>
  <c r="G17" i="35" s="1"/>
  <c r="E18" i="35"/>
  <c r="G18" i="35" s="1"/>
  <c r="E19" i="35"/>
  <c r="G19" i="35" s="1"/>
  <c r="E20" i="35"/>
  <c r="G20" i="35" s="1"/>
  <c r="E21" i="35"/>
  <c r="G21" i="35" s="1"/>
  <c r="E22" i="35"/>
  <c r="G22" i="35" s="1"/>
  <c r="E23" i="35"/>
  <c r="G23" i="35" s="1"/>
  <c r="F15" i="35"/>
  <c r="F16" i="35"/>
  <c r="F17" i="35"/>
  <c r="F18" i="35"/>
  <c r="F19" i="35"/>
  <c r="F20" i="35"/>
  <c r="F21" i="35"/>
  <c r="F22" i="35"/>
  <c r="F23" i="35"/>
  <c r="E64" i="35"/>
  <c r="J41" i="35"/>
  <c r="J42" i="35"/>
  <c r="J63" i="35"/>
  <c r="E73" i="35"/>
  <c r="M73" i="35" s="1"/>
  <c r="E74" i="35"/>
  <c r="M74" i="35" s="1"/>
  <c r="E75" i="35"/>
  <c r="M75" i="35" s="1"/>
  <c r="E76" i="35"/>
  <c r="M76" i="35" s="1"/>
  <c r="L73" i="35"/>
  <c r="L74" i="35"/>
  <c r="L75" i="35"/>
  <c r="L76" i="35"/>
  <c r="G85" i="25"/>
  <c r="H721" i="160" s="1"/>
  <c r="G86" i="25"/>
  <c r="I721" i="161" s="1"/>
  <c r="G87" i="25"/>
  <c r="J721" i="161" s="1"/>
  <c r="D98" i="25"/>
  <c r="I723" i="9" s="1"/>
  <c r="G104" i="25"/>
  <c r="G725" i="161" s="1"/>
  <c r="G105" i="25"/>
  <c r="H725" i="160" s="1"/>
  <c r="G106" i="25"/>
  <c r="I725" i="155" s="1"/>
  <c r="G107" i="25"/>
  <c r="J725" i="161" s="1"/>
  <c r="F114" i="25"/>
  <c r="G727" i="160" s="1"/>
  <c r="F116" i="25"/>
  <c r="I727" i="161" s="1"/>
  <c r="I39" i="26"/>
  <c r="I40" i="26"/>
  <c r="K40" i="26" s="1"/>
  <c r="E38" i="26"/>
  <c r="E42" i="26" s="1"/>
  <c r="F115" i="162"/>
  <c r="F165" i="162" s="1"/>
  <c r="F166" i="162" s="1"/>
  <c r="F164" i="9"/>
  <c r="F166" i="9" s="1"/>
  <c r="J130" i="27"/>
  <c r="J131" i="27"/>
  <c r="J133" i="27"/>
  <c r="J134" i="27"/>
  <c r="J135" i="27"/>
  <c r="J136" i="27"/>
  <c r="J137" i="27"/>
  <c r="J138" i="27"/>
  <c r="J139" i="27"/>
  <c r="J140" i="27"/>
  <c r="J141" i="27"/>
  <c r="H131" i="27"/>
  <c r="H132" i="27"/>
  <c r="H133" i="27"/>
  <c r="H134" i="27"/>
  <c r="H135" i="27"/>
  <c r="H136" i="27"/>
  <c r="H137" i="27"/>
  <c r="H138" i="27"/>
  <c r="H139" i="27"/>
  <c r="H140" i="27"/>
  <c r="H141" i="27"/>
  <c r="B55" i="32"/>
  <c r="D26" i="33"/>
  <c r="D28" i="33"/>
  <c r="C99" i="35"/>
  <c r="G78" i="35" l="1"/>
  <c r="I731" i="159"/>
  <c r="J725" i="155"/>
  <c r="H725" i="155"/>
  <c r="E97" i="25"/>
  <c r="E95" i="25"/>
  <c r="F723" i="158"/>
  <c r="H725" i="161"/>
  <c r="F723" i="155"/>
  <c r="J724" i="155" s="1"/>
  <c r="G723" i="158"/>
  <c r="H724" i="158" s="1"/>
  <c r="I727" i="160"/>
  <c r="K727" i="160" s="1"/>
  <c r="F723" i="160"/>
  <c r="J724" i="160" s="1"/>
  <c r="F724" i="160"/>
  <c r="I721" i="155"/>
  <c r="E96" i="25"/>
  <c r="I727" i="155"/>
  <c r="I721" i="160"/>
  <c r="F723" i="159"/>
  <c r="I724" i="160"/>
  <c r="F723" i="161"/>
  <c r="L723" i="161" s="1"/>
  <c r="F723" i="157"/>
  <c r="I723" i="159"/>
  <c r="I724" i="159" s="1"/>
  <c r="J725" i="160"/>
  <c r="F723" i="9"/>
  <c r="C51" i="32"/>
  <c r="H723" i="157"/>
  <c r="I724" i="157" s="1"/>
  <c r="F118" i="25"/>
  <c r="G117" i="25" s="1"/>
  <c r="L723" i="160"/>
  <c r="I725" i="160"/>
  <c r="J721" i="160"/>
  <c r="J721" i="155"/>
  <c r="I725" i="161"/>
  <c r="G88" i="25"/>
  <c r="F721" i="160" s="1"/>
  <c r="H721" i="155"/>
  <c r="I42" i="26"/>
  <c r="A30" i="26" s="1"/>
  <c r="G108" i="25"/>
  <c r="H725" i="157" s="1"/>
  <c r="J725" i="157" s="1"/>
  <c r="G727" i="155"/>
  <c r="H721" i="161"/>
  <c r="K721" i="161" s="1"/>
  <c r="G727" i="161"/>
  <c r="K727" i="161" s="1"/>
  <c r="K39" i="26"/>
  <c r="H130" i="27"/>
  <c r="H142" i="27" s="1"/>
  <c r="E166" i="25"/>
  <c r="E168" i="25" s="1"/>
  <c r="H39" i="32"/>
  <c r="G731" i="159" s="1"/>
  <c r="G732" i="159" s="1"/>
  <c r="J132" i="27"/>
  <c r="J142" i="27" s="1"/>
  <c r="E23" i="26"/>
  <c r="G20" i="26" s="1"/>
  <c r="O20" i="26" s="1"/>
  <c r="K38" i="26"/>
  <c r="E25" i="35"/>
  <c r="I67" i="35"/>
  <c r="K67" i="35" s="1"/>
  <c r="I61" i="35"/>
  <c r="K61" i="35" s="1"/>
  <c r="E78" i="35"/>
  <c r="J61" i="35"/>
  <c r="I70" i="35"/>
  <c r="K70" i="35" s="1"/>
  <c r="I68" i="35"/>
  <c r="K68" i="35" s="1"/>
  <c r="J64" i="35"/>
  <c r="I72" i="35"/>
  <c r="K72" i="35" s="1"/>
  <c r="I69" i="35"/>
  <c r="K69" i="35" s="1"/>
  <c r="K64" i="35"/>
  <c r="I62" i="35"/>
  <c r="K62" i="35" s="1"/>
  <c r="F78" i="35"/>
  <c r="I66" i="35"/>
  <c r="K66" i="35" s="1"/>
  <c r="L78" i="35"/>
  <c r="I63" i="35"/>
  <c r="K63" i="35" s="1"/>
  <c r="M78" i="35"/>
  <c r="I71" i="35"/>
  <c r="H78" i="35"/>
  <c r="G39" i="26"/>
  <c r="G41" i="26"/>
  <c r="G40" i="26"/>
  <c r="K23" i="26"/>
  <c r="M19" i="26" s="1"/>
  <c r="I724" i="9"/>
  <c r="G724" i="9"/>
  <c r="H724" i="9"/>
  <c r="J723" i="9"/>
  <c r="F727" i="160"/>
  <c r="G725" i="155"/>
  <c r="G725" i="160"/>
  <c r="Q17" i="26"/>
  <c r="D30" i="33"/>
  <c r="H724" i="160" l="1"/>
  <c r="F727" i="155"/>
  <c r="F728" i="155" s="1"/>
  <c r="G116" i="25"/>
  <c r="H727" i="157"/>
  <c r="G728" i="157" s="1"/>
  <c r="F727" i="159"/>
  <c r="F727" i="157"/>
  <c r="G115" i="25"/>
  <c r="G114" i="25" s="1"/>
  <c r="G118" i="25" s="1"/>
  <c r="F727" i="161"/>
  <c r="L727" i="161" s="1"/>
  <c r="I725" i="159"/>
  <c r="G725" i="158"/>
  <c r="H726" i="158" s="1"/>
  <c r="F725" i="157"/>
  <c r="F725" i="9"/>
  <c r="F725" i="155"/>
  <c r="F726" i="155" s="1"/>
  <c r="I725" i="9"/>
  <c r="J725" i="9" s="1"/>
  <c r="K725" i="9" s="1"/>
  <c r="H105" i="25"/>
  <c r="K725" i="161"/>
  <c r="H724" i="155"/>
  <c r="H724" i="161"/>
  <c r="J724" i="161"/>
  <c r="H107" i="25"/>
  <c r="H106" i="25"/>
  <c r="F725" i="158"/>
  <c r="K721" i="155"/>
  <c r="E170" i="25"/>
  <c r="E169" i="25"/>
  <c r="G166" i="25"/>
  <c r="E167" i="25"/>
  <c r="C48" i="32"/>
  <c r="C52" i="32"/>
  <c r="C50" i="32"/>
  <c r="C55" i="32"/>
  <c r="C47" i="32"/>
  <c r="K721" i="160"/>
  <c r="L721" i="160" s="1"/>
  <c r="G724" i="159"/>
  <c r="F727" i="158"/>
  <c r="I727" i="9"/>
  <c r="J727" i="9" s="1"/>
  <c r="H728" i="155"/>
  <c r="F727" i="9"/>
  <c r="I728" i="155"/>
  <c r="G727" i="158"/>
  <c r="I728" i="158" s="1"/>
  <c r="I727" i="159"/>
  <c r="H728" i="159" s="1"/>
  <c r="I724" i="161"/>
  <c r="F724" i="155"/>
  <c r="I724" i="155"/>
  <c r="J723" i="158"/>
  <c r="K723" i="158" s="1"/>
  <c r="I724" i="158"/>
  <c r="K727" i="155"/>
  <c r="L727" i="155" s="1"/>
  <c r="H724" i="159"/>
  <c r="G724" i="158"/>
  <c r="L723" i="155"/>
  <c r="E94" i="25"/>
  <c r="E98" i="25" s="1"/>
  <c r="F725" i="159"/>
  <c r="G726" i="158"/>
  <c r="F725" i="160"/>
  <c r="F726" i="160" s="1"/>
  <c r="J723" i="159"/>
  <c r="K723" i="159" s="1"/>
  <c r="F725" i="161"/>
  <c r="G724" i="160"/>
  <c r="K724" i="160" s="1"/>
  <c r="L724" i="160" s="1"/>
  <c r="K723" i="9"/>
  <c r="J723" i="157"/>
  <c r="K723" i="157" s="1"/>
  <c r="H724" i="157"/>
  <c r="C54" i="32"/>
  <c r="C49" i="32"/>
  <c r="C46" i="32"/>
  <c r="I721" i="159"/>
  <c r="H722" i="159" s="1"/>
  <c r="G724" i="157"/>
  <c r="C53" i="32"/>
  <c r="H721" i="157"/>
  <c r="J721" i="157" s="1"/>
  <c r="F721" i="157"/>
  <c r="F721" i="161"/>
  <c r="H722" i="161" s="1"/>
  <c r="C30" i="26"/>
  <c r="C31" i="26" s="1"/>
  <c r="O36" i="26" s="1"/>
  <c r="Q36" i="26" s="1"/>
  <c r="J722" i="160"/>
  <c r="F722" i="160"/>
  <c r="I722" i="160"/>
  <c r="F721" i="9"/>
  <c r="H728" i="157"/>
  <c r="F721" i="158"/>
  <c r="I721" i="9"/>
  <c r="G722" i="9" s="1"/>
  <c r="F721" i="155"/>
  <c r="J722" i="155" s="1"/>
  <c r="G19" i="26"/>
  <c r="H85" i="25"/>
  <c r="F721" i="159"/>
  <c r="H87" i="25"/>
  <c r="H86" i="25"/>
  <c r="G721" i="158"/>
  <c r="I722" i="158" s="1"/>
  <c r="G726" i="157"/>
  <c r="K42" i="26"/>
  <c r="I728" i="157"/>
  <c r="J728" i="155"/>
  <c r="J727" i="157"/>
  <c r="K727" i="157" s="1"/>
  <c r="I726" i="157"/>
  <c r="H726" i="157"/>
  <c r="I732" i="159"/>
  <c r="I853" i="159" s="1"/>
  <c r="J731" i="159"/>
  <c r="H732" i="159"/>
  <c r="K725" i="157"/>
  <c r="G22" i="26"/>
  <c r="O22" i="26" s="1"/>
  <c r="G21" i="26"/>
  <c r="O21" i="26" s="1"/>
  <c r="H722" i="160"/>
  <c r="H726" i="155"/>
  <c r="J724" i="9"/>
  <c r="K724" i="9" s="1"/>
  <c r="E80" i="35"/>
  <c r="M80" i="35"/>
  <c r="J78" i="35"/>
  <c r="G80" i="35"/>
  <c r="G82" i="35" s="1"/>
  <c r="I78" i="35"/>
  <c r="I80" i="35" s="1"/>
  <c r="K71" i="35"/>
  <c r="K78" i="35" s="1"/>
  <c r="I728" i="161"/>
  <c r="K725" i="155"/>
  <c r="I228" i="9"/>
  <c r="F228" i="159" s="1"/>
  <c r="I252" i="9"/>
  <c r="F252" i="159" s="1"/>
  <c r="I385" i="9"/>
  <c r="F385" i="159" s="1"/>
  <c r="I388" i="9"/>
  <c r="F388" i="159" s="1"/>
  <c r="I317" i="9"/>
  <c r="F317" i="159" s="1"/>
  <c r="M20" i="26"/>
  <c r="Q20" i="26" s="1"/>
  <c r="S20" i="26" s="1"/>
  <c r="D22" i="25" s="1"/>
  <c r="M22" i="26"/>
  <c r="H388" i="9"/>
  <c r="H317" i="9"/>
  <c r="H228" i="9"/>
  <c r="H252" i="9"/>
  <c r="H385" i="9"/>
  <c r="M21" i="26"/>
  <c r="Q21" i="26" s="1"/>
  <c r="J728" i="161"/>
  <c r="K725" i="160"/>
  <c r="I726" i="159"/>
  <c r="J725" i="159"/>
  <c r="H726" i="159"/>
  <c r="G726" i="159"/>
  <c r="H728" i="160"/>
  <c r="L727" i="160"/>
  <c r="F728" i="160"/>
  <c r="I728" i="160"/>
  <c r="G38" i="26"/>
  <c r="G42" i="26" s="1"/>
  <c r="J728" i="160"/>
  <c r="O39" i="26" l="1"/>
  <c r="H728" i="161"/>
  <c r="I726" i="158"/>
  <c r="J725" i="158"/>
  <c r="L725" i="155"/>
  <c r="J726" i="155"/>
  <c r="I726" i="155"/>
  <c r="G726" i="155" s="1"/>
  <c r="K726" i="155" s="1"/>
  <c r="G726" i="9"/>
  <c r="J726" i="9" s="1"/>
  <c r="K726" i="9" s="1"/>
  <c r="I726" i="9"/>
  <c r="H726" i="9"/>
  <c r="H104" i="25"/>
  <c r="H108" i="25" s="1"/>
  <c r="G724" i="161"/>
  <c r="K724" i="161" s="1"/>
  <c r="L724" i="161" s="1"/>
  <c r="G728" i="9"/>
  <c r="I728" i="9"/>
  <c r="G728" i="159"/>
  <c r="K725" i="158"/>
  <c r="K727" i="9"/>
  <c r="J724" i="157"/>
  <c r="K724" i="157" s="1"/>
  <c r="P724" i="160"/>
  <c r="O724" i="159"/>
  <c r="S21" i="26"/>
  <c r="D23" i="25" s="1"/>
  <c r="I709" i="161" s="1"/>
  <c r="I710" i="161" s="1"/>
  <c r="O40" i="26"/>
  <c r="H726" i="160"/>
  <c r="J727" i="158"/>
  <c r="K727" i="158" s="1"/>
  <c r="J726" i="160"/>
  <c r="H728" i="9"/>
  <c r="L725" i="160"/>
  <c r="O726" i="158"/>
  <c r="O724" i="158"/>
  <c r="G724" i="155"/>
  <c r="K724" i="155" s="1"/>
  <c r="P724" i="155" s="1"/>
  <c r="G728" i="158"/>
  <c r="I722" i="159"/>
  <c r="I728" i="159"/>
  <c r="H728" i="158"/>
  <c r="O726" i="157"/>
  <c r="J727" i="159"/>
  <c r="K727" i="159" s="1"/>
  <c r="J724" i="159"/>
  <c r="K724" i="159" s="1"/>
  <c r="J726" i="157"/>
  <c r="K726" i="157" s="1"/>
  <c r="H722" i="158"/>
  <c r="G722" i="158"/>
  <c r="G728" i="155"/>
  <c r="K728" i="155" s="1"/>
  <c r="P728" i="155" s="1"/>
  <c r="K725" i="159"/>
  <c r="H722" i="9"/>
  <c r="G722" i="159"/>
  <c r="O724" i="157"/>
  <c r="H726" i="161"/>
  <c r="I726" i="161"/>
  <c r="J726" i="161"/>
  <c r="J724" i="158"/>
  <c r="K724" i="158" s="1"/>
  <c r="J721" i="159"/>
  <c r="K721" i="159" s="1"/>
  <c r="K721" i="157"/>
  <c r="I726" i="160"/>
  <c r="L725" i="161"/>
  <c r="G23" i="26"/>
  <c r="J732" i="159"/>
  <c r="K732" i="159" s="1"/>
  <c r="J721" i="158"/>
  <c r="K721" i="158" s="1"/>
  <c r="H722" i="157"/>
  <c r="I722" i="9"/>
  <c r="G722" i="157"/>
  <c r="H84" i="25"/>
  <c r="H88" i="25" s="1"/>
  <c r="I722" i="155"/>
  <c r="I722" i="157"/>
  <c r="J726" i="158"/>
  <c r="K726" i="158" s="1"/>
  <c r="J721" i="9"/>
  <c r="K721" i="9" s="1"/>
  <c r="O19" i="26"/>
  <c r="O23" i="26" s="1"/>
  <c r="J722" i="161"/>
  <c r="O732" i="159"/>
  <c r="I722" i="161"/>
  <c r="L721" i="161"/>
  <c r="O728" i="157"/>
  <c r="O41" i="26"/>
  <c r="L721" i="155"/>
  <c r="M82" i="35"/>
  <c r="D97" i="35" s="1"/>
  <c r="E75" i="25" s="1"/>
  <c r="F75" i="25" s="1"/>
  <c r="F722" i="155"/>
  <c r="J728" i="157"/>
  <c r="K728" i="157" s="1"/>
  <c r="H722" i="155"/>
  <c r="M40" i="26"/>
  <c r="Q40" i="26" s="1"/>
  <c r="M41" i="26"/>
  <c r="Q41" i="26" s="1"/>
  <c r="M38" i="26"/>
  <c r="M39" i="26"/>
  <c r="Q39" i="26" s="1"/>
  <c r="G722" i="160"/>
  <c r="K722" i="160" s="1"/>
  <c r="M23" i="26"/>
  <c r="G853" i="159"/>
  <c r="H853" i="159"/>
  <c r="K80" i="35"/>
  <c r="K82" i="35" s="1"/>
  <c r="D96" i="35" s="1"/>
  <c r="E74" i="25" s="1"/>
  <c r="F74" i="25" s="1"/>
  <c r="I82" i="35"/>
  <c r="D95" i="35" s="1"/>
  <c r="E95" i="35" s="1"/>
  <c r="J726" i="159"/>
  <c r="K726" i="159" s="1"/>
  <c r="O726" i="159"/>
  <c r="I228" i="159"/>
  <c r="F228" i="161" s="1"/>
  <c r="H228" i="159"/>
  <c r="F169" i="25"/>
  <c r="G169" i="25" s="1"/>
  <c r="H169" i="25" s="1"/>
  <c r="I731" i="160" s="1"/>
  <c r="I709" i="160"/>
  <c r="I710" i="160" s="1"/>
  <c r="F228" i="158"/>
  <c r="G228" i="9"/>
  <c r="F252" i="158"/>
  <c r="G252" i="9"/>
  <c r="F385" i="158"/>
  <c r="G385" i="9"/>
  <c r="F317" i="158"/>
  <c r="G317" i="9"/>
  <c r="I388" i="159"/>
  <c r="F388" i="161" s="1"/>
  <c r="H388" i="159"/>
  <c r="I252" i="159"/>
  <c r="F252" i="161" s="1"/>
  <c r="H252" i="159"/>
  <c r="Q22" i="26"/>
  <c r="G728" i="161"/>
  <c r="K728" i="161" s="1"/>
  <c r="F388" i="158"/>
  <c r="G388" i="9"/>
  <c r="H709" i="161"/>
  <c r="H710" i="161" s="1"/>
  <c r="F168" i="25"/>
  <c r="G168" i="25" s="1"/>
  <c r="H168" i="25" s="1"/>
  <c r="H731" i="160" s="1"/>
  <c r="H709" i="160"/>
  <c r="H710" i="160" s="1"/>
  <c r="H709" i="155"/>
  <c r="H710" i="155" s="1"/>
  <c r="H317" i="159"/>
  <c r="G317" i="159"/>
  <c r="F317" i="160" s="1"/>
  <c r="I317" i="159"/>
  <c r="F317" i="161" s="1"/>
  <c r="I385" i="159"/>
  <c r="F385" i="161" s="1"/>
  <c r="H385" i="159"/>
  <c r="G728" i="160"/>
  <c r="K728" i="160" s="1"/>
  <c r="P728" i="160" s="1"/>
  <c r="O38" i="26" l="1"/>
  <c r="O42" i="26" s="1"/>
  <c r="S40" i="26"/>
  <c r="E23" i="25" s="1"/>
  <c r="I711" i="161" s="1"/>
  <c r="I712" i="161" s="1"/>
  <c r="J728" i="159"/>
  <c r="K728" i="159" s="1"/>
  <c r="L724" i="155"/>
  <c r="P724" i="161"/>
  <c r="I709" i="155"/>
  <c r="I710" i="155" s="1"/>
  <c r="O728" i="159"/>
  <c r="O728" i="158"/>
  <c r="J722" i="158"/>
  <c r="K722" i="158" s="1"/>
  <c r="O722" i="158"/>
  <c r="J722" i="159"/>
  <c r="K722" i="159" s="1"/>
  <c r="Q38" i="26"/>
  <c r="Q42" i="26" s="1"/>
  <c r="G726" i="160"/>
  <c r="K726" i="160" s="1"/>
  <c r="P726" i="160" s="1"/>
  <c r="J728" i="9"/>
  <c r="K728" i="9" s="1"/>
  <c r="H382" i="9"/>
  <c r="F382" i="158" s="1"/>
  <c r="L728" i="155"/>
  <c r="O722" i="159"/>
  <c r="J728" i="158"/>
  <c r="K728" i="158" s="1"/>
  <c r="H381" i="9"/>
  <c r="F381" i="158" s="1"/>
  <c r="I381" i="9"/>
  <c r="F381" i="159" s="1"/>
  <c r="H387" i="9"/>
  <c r="J722" i="157"/>
  <c r="K722" i="157" s="1"/>
  <c r="G726" i="161"/>
  <c r="K726" i="161" s="1"/>
  <c r="G722" i="155"/>
  <c r="K722" i="155" s="1"/>
  <c r="P722" i="155" s="1"/>
  <c r="J722" i="9"/>
  <c r="K722" i="9" s="1"/>
  <c r="I731" i="161"/>
  <c r="O722" i="157"/>
  <c r="I382" i="9"/>
  <c r="F382" i="159" s="1"/>
  <c r="I382" i="159" s="1"/>
  <c r="F382" i="161" s="1"/>
  <c r="I387" i="9"/>
  <c r="F387" i="159" s="1"/>
  <c r="H387" i="159" s="1"/>
  <c r="S41" i="26"/>
  <c r="E24" i="25" s="1"/>
  <c r="G722" i="161"/>
  <c r="K722" i="161" s="1"/>
  <c r="I711" i="155"/>
  <c r="I712" i="155" s="1"/>
  <c r="E97" i="35"/>
  <c r="P722" i="160"/>
  <c r="L722" i="160"/>
  <c r="S39" i="26"/>
  <c r="E22" i="25" s="1"/>
  <c r="E21" i="25" s="1"/>
  <c r="I711" i="160"/>
  <c r="I712" i="160" s="1"/>
  <c r="M42" i="26"/>
  <c r="G733" i="160"/>
  <c r="G733" i="161"/>
  <c r="G733" i="155"/>
  <c r="E73" i="25"/>
  <c r="F73" i="25" s="1"/>
  <c r="H719" i="161" s="1"/>
  <c r="J853" i="159"/>
  <c r="K853" i="159" s="1"/>
  <c r="E96" i="35"/>
  <c r="I719" i="161"/>
  <c r="I719" i="160"/>
  <c r="I719" i="155"/>
  <c r="J719" i="161"/>
  <c r="J719" i="155"/>
  <c r="J719" i="160"/>
  <c r="G252" i="159"/>
  <c r="J252" i="159" s="1"/>
  <c r="K252" i="159" s="1"/>
  <c r="G228" i="159"/>
  <c r="J228" i="159" s="1"/>
  <c r="K228" i="159" s="1"/>
  <c r="I731" i="155"/>
  <c r="H388" i="161"/>
  <c r="I388" i="165" s="1"/>
  <c r="I388" i="161"/>
  <c r="I388" i="166" s="1"/>
  <c r="J388" i="161"/>
  <c r="I388" i="167" s="1"/>
  <c r="H252" i="158"/>
  <c r="I252" i="158"/>
  <c r="H317" i="160"/>
  <c r="G317" i="165" s="1"/>
  <c r="J317" i="160"/>
  <c r="G317" i="167" s="1"/>
  <c r="I317" i="160"/>
  <c r="G317" i="166" s="1"/>
  <c r="F388" i="157"/>
  <c r="J388" i="9"/>
  <c r="K388" i="9" s="1"/>
  <c r="J252" i="161"/>
  <c r="I252" i="167" s="1"/>
  <c r="H252" i="161"/>
  <c r="I252" i="165" s="1"/>
  <c r="I252" i="161"/>
  <c r="I252" i="166" s="1"/>
  <c r="H317" i="158"/>
  <c r="I317" i="158"/>
  <c r="G317" i="158"/>
  <c r="I228" i="161"/>
  <c r="I228" i="166" s="1"/>
  <c r="H228" i="161"/>
  <c r="J228" i="161"/>
  <c r="I228" i="167" s="1"/>
  <c r="H731" i="155"/>
  <c r="L728" i="160"/>
  <c r="P726" i="155"/>
  <c r="L726" i="155"/>
  <c r="J385" i="161"/>
  <c r="I385" i="167" s="1"/>
  <c r="I385" i="161"/>
  <c r="I385" i="166" s="1"/>
  <c r="H385" i="161"/>
  <c r="I385" i="165" s="1"/>
  <c r="P728" i="161"/>
  <c r="L728" i="161"/>
  <c r="I385" i="158"/>
  <c r="H385" i="158"/>
  <c r="J252" i="9"/>
  <c r="K252" i="9" s="1"/>
  <c r="F252" i="157"/>
  <c r="H228" i="158"/>
  <c r="I228" i="158"/>
  <c r="H731" i="161"/>
  <c r="G388" i="159"/>
  <c r="I317" i="161"/>
  <c r="I317" i="166" s="1"/>
  <c r="J317" i="161"/>
  <c r="I317" i="167" s="1"/>
  <c r="H317" i="161"/>
  <c r="I317" i="165" s="1"/>
  <c r="J317" i="9"/>
  <c r="K317" i="9" s="1"/>
  <c r="F317" i="157"/>
  <c r="I388" i="158"/>
  <c r="H388" i="158"/>
  <c r="S22" i="26"/>
  <c r="D24" i="25" s="1"/>
  <c r="Q19" i="26"/>
  <c r="J385" i="9"/>
  <c r="K385" i="9" s="1"/>
  <c r="F385" i="157"/>
  <c r="F228" i="157"/>
  <c r="J228" i="9"/>
  <c r="K228" i="9" s="1"/>
  <c r="G385" i="159"/>
  <c r="J317" i="159"/>
  <c r="K317" i="159" s="1"/>
  <c r="S38" i="26" l="1"/>
  <c r="S42" i="26" s="1"/>
  <c r="L726" i="160"/>
  <c r="L722" i="155"/>
  <c r="F76" i="25"/>
  <c r="G75" i="25" s="1"/>
  <c r="E99" i="35"/>
  <c r="F96" i="35" s="1"/>
  <c r="F387" i="158"/>
  <c r="I387" i="158" s="1"/>
  <c r="G381" i="9"/>
  <c r="F381" i="157" s="1"/>
  <c r="H382" i="159"/>
  <c r="G382" i="159" s="1"/>
  <c r="J382" i="159" s="1"/>
  <c r="K382" i="159" s="1"/>
  <c r="P726" i="161"/>
  <c r="L726" i="161"/>
  <c r="H711" i="160"/>
  <c r="H712" i="160" s="1"/>
  <c r="H711" i="155"/>
  <c r="H712" i="155" s="1"/>
  <c r="H711" i="161"/>
  <c r="H712" i="161" s="1"/>
  <c r="I387" i="159"/>
  <c r="F387" i="161" s="1"/>
  <c r="J387" i="161" s="1"/>
  <c r="G387" i="9"/>
  <c r="J387" i="9" s="1"/>
  <c r="K387" i="9" s="1"/>
  <c r="G382" i="9"/>
  <c r="F382" i="157" s="1"/>
  <c r="J711" i="160"/>
  <c r="J711" i="155"/>
  <c r="J711" i="161"/>
  <c r="P722" i="161"/>
  <c r="L722" i="161"/>
  <c r="H719" i="155"/>
  <c r="K719" i="155" s="1"/>
  <c r="K719" i="161"/>
  <c r="F99" i="35"/>
  <c r="H719" i="160"/>
  <c r="K719" i="160" s="1"/>
  <c r="H733" i="161"/>
  <c r="H733" i="160"/>
  <c r="H733" i="155"/>
  <c r="F252" i="160"/>
  <c r="J252" i="160" s="1"/>
  <c r="F95" i="35"/>
  <c r="G388" i="158"/>
  <c r="J388" i="158" s="1"/>
  <c r="K388" i="158" s="1"/>
  <c r="G252" i="158"/>
  <c r="J252" i="158" s="1"/>
  <c r="K252" i="158" s="1"/>
  <c r="F228" i="160"/>
  <c r="J228" i="160" s="1"/>
  <c r="G385" i="158"/>
  <c r="J385" i="158" s="1"/>
  <c r="K385" i="158" s="1"/>
  <c r="G317" i="160"/>
  <c r="K317" i="160" s="1"/>
  <c r="L317" i="160" s="1"/>
  <c r="G317" i="157"/>
  <c r="H317" i="157"/>
  <c r="F317" i="155" s="1"/>
  <c r="I317" i="157"/>
  <c r="J385" i="159"/>
  <c r="K385" i="159" s="1"/>
  <c r="F385" i="160"/>
  <c r="H381" i="158"/>
  <c r="I381" i="158"/>
  <c r="J388" i="159"/>
  <c r="K388" i="159" s="1"/>
  <c r="F388" i="160"/>
  <c r="H381" i="159"/>
  <c r="I381" i="159"/>
  <c r="H252" i="157"/>
  <c r="I252" i="157"/>
  <c r="I382" i="158"/>
  <c r="H382" i="158"/>
  <c r="I228" i="165"/>
  <c r="G228" i="161"/>
  <c r="G385" i="161"/>
  <c r="G252" i="161"/>
  <c r="G388" i="161"/>
  <c r="G317" i="161"/>
  <c r="I228" i="157"/>
  <c r="H228" i="157"/>
  <c r="F228" i="155" s="1"/>
  <c r="H385" i="157"/>
  <c r="F385" i="155" s="1"/>
  <c r="I385" i="157"/>
  <c r="J709" i="155"/>
  <c r="J709" i="161"/>
  <c r="J709" i="160"/>
  <c r="F170" i="25"/>
  <c r="G170" i="25" s="1"/>
  <c r="H170" i="25" s="1"/>
  <c r="D21" i="25"/>
  <c r="G711" i="161"/>
  <c r="G711" i="160"/>
  <c r="G711" i="155"/>
  <c r="G711" i="158"/>
  <c r="E25" i="25"/>
  <c r="H388" i="157"/>
  <c r="I388" i="157"/>
  <c r="G228" i="158"/>
  <c r="J228" i="158" s="1"/>
  <c r="K228" i="158" s="1"/>
  <c r="J317" i="158"/>
  <c r="K317" i="158" s="1"/>
  <c r="Q23" i="26"/>
  <c r="S19" i="26"/>
  <c r="S23" i="26" s="1"/>
  <c r="J382" i="161"/>
  <c r="H382" i="161"/>
  <c r="I382" i="161"/>
  <c r="I382" i="166" s="1"/>
  <c r="F719" i="9" l="1"/>
  <c r="I719" i="9"/>
  <c r="G73" i="25"/>
  <c r="G74" i="25"/>
  <c r="G719" i="158"/>
  <c r="I720" i="158" s="1"/>
  <c r="I719" i="159"/>
  <c r="J719" i="159" s="1"/>
  <c r="F719" i="157"/>
  <c r="F719" i="158"/>
  <c r="F719" i="159"/>
  <c r="F719" i="161"/>
  <c r="J720" i="161" s="1"/>
  <c r="H719" i="157"/>
  <c r="G720" i="157" s="1"/>
  <c r="F719" i="155"/>
  <c r="F97" i="35"/>
  <c r="F94" i="35" s="1"/>
  <c r="F719" i="160"/>
  <c r="J720" i="160" s="1"/>
  <c r="J381" i="9"/>
  <c r="K381" i="9" s="1"/>
  <c r="H387" i="158"/>
  <c r="G387" i="158" s="1"/>
  <c r="J387" i="158" s="1"/>
  <c r="K387" i="158" s="1"/>
  <c r="F387" i="157"/>
  <c r="H387" i="161"/>
  <c r="I387" i="165" s="1"/>
  <c r="I387" i="161"/>
  <c r="G387" i="159"/>
  <c r="F387" i="160" s="1"/>
  <c r="H387" i="160" s="1"/>
  <c r="G387" i="165" s="1"/>
  <c r="J382" i="9"/>
  <c r="K382" i="9" s="1"/>
  <c r="G711" i="9"/>
  <c r="H712" i="9" s="1"/>
  <c r="G711" i="159"/>
  <c r="H712" i="159" s="1"/>
  <c r="H711" i="157"/>
  <c r="J711" i="157" s="1"/>
  <c r="K711" i="157" s="1"/>
  <c r="I252" i="160"/>
  <c r="G252" i="166" s="1"/>
  <c r="H252" i="160"/>
  <c r="F382" i="160"/>
  <c r="J382" i="160" s="1"/>
  <c r="G382" i="167" s="1"/>
  <c r="H228" i="160"/>
  <c r="I228" i="160"/>
  <c r="G228" i="166" s="1"/>
  <c r="G72" i="25"/>
  <c r="G76" i="25" s="1"/>
  <c r="I720" i="9"/>
  <c r="H720" i="9"/>
  <c r="G720" i="9"/>
  <c r="J719" i="9"/>
  <c r="H720" i="155"/>
  <c r="F720" i="155"/>
  <c r="L719" i="155"/>
  <c r="I720" i="155"/>
  <c r="J720" i="155"/>
  <c r="G317" i="164"/>
  <c r="G228" i="157"/>
  <c r="J228" i="157" s="1"/>
  <c r="K228" i="157" s="1"/>
  <c r="G382" i="158"/>
  <c r="J382" i="158" s="1"/>
  <c r="K382" i="158" s="1"/>
  <c r="K711" i="155"/>
  <c r="L711" i="155" s="1"/>
  <c r="J712" i="155"/>
  <c r="G709" i="161"/>
  <c r="G709" i="155"/>
  <c r="G709" i="158"/>
  <c r="F167" i="25"/>
  <c r="G709" i="160"/>
  <c r="D25" i="25"/>
  <c r="I228" i="155"/>
  <c r="H228" i="155"/>
  <c r="J228" i="155"/>
  <c r="H228" i="167" s="1"/>
  <c r="H382" i="157"/>
  <c r="F382" i="155" s="1"/>
  <c r="I382" i="157"/>
  <c r="J388" i="160"/>
  <c r="I388" i="160"/>
  <c r="H388" i="160"/>
  <c r="G381" i="158"/>
  <c r="G381" i="159"/>
  <c r="J317" i="157"/>
  <c r="K317" i="157" s="1"/>
  <c r="G385" i="157"/>
  <c r="J385" i="157" s="1"/>
  <c r="K385" i="157" s="1"/>
  <c r="K711" i="161"/>
  <c r="L711" i="161" s="1"/>
  <c r="J712" i="161"/>
  <c r="J385" i="155"/>
  <c r="H385" i="167" s="1"/>
  <c r="I385" i="155"/>
  <c r="H385" i="166" s="1"/>
  <c r="H385" i="155"/>
  <c r="I388" i="164"/>
  <c r="K388" i="161"/>
  <c r="L388" i="161" s="1"/>
  <c r="I317" i="155"/>
  <c r="J317" i="155"/>
  <c r="H317" i="155"/>
  <c r="G228" i="167"/>
  <c r="I382" i="167"/>
  <c r="G252" i="167"/>
  <c r="F388" i="155"/>
  <c r="G388" i="157"/>
  <c r="J388" i="157" s="1"/>
  <c r="K388" i="157" s="1"/>
  <c r="H712" i="158"/>
  <c r="J711" i="158"/>
  <c r="K711" i="158" s="1"/>
  <c r="G712" i="158"/>
  <c r="I712" i="158"/>
  <c r="K711" i="160"/>
  <c r="L711" i="160" s="1"/>
  <c r="J712" i="160"/>
  <c r="I317" i="164"/>
  <c r="K317" i="161"/>
  <c r="L317" i="161" s="1"/>
  <c r="I385" i="164"/>
  <c r="K385" i="161"/>
  <c r="L385" i="161" s="1"/>
  <c r="F252" i="155"/>
  <c r="G252" i="157"/>
  <c r="J252" i="157" s="1"/>
  <c r="K252" i="157" s="1"/>
  <c r="F381" i="161"/>
  <c r="J385" i="160"/>
  <c r="H385" i="160"/>
  <c r="I385" i="160"/>
  <c r="H381" i="157"/>
  <c r="I381" i="157"/>
  <c r="G382" i="161"/>
  <c r="I382" i="165"/>
  <c r="J731" i="155"/>
  <c r="J731" i="161"/>
  <c r="J731" i="160"/>
  <c r="H167" i="25"/>
  <c r="I387" i="167"/>
  <c r="I252" i="164"/>
  <c r="K252" i="161"/>
  <c r="L252" i="161" s="1"/>
  <c r="K228" i="161"/>
  <c r="L228" i="161" s="1"/>
  <c r="I228" i="164"/>
  <c r="I712" i="159" l="1"/>
  <c r="H720" i="158"/>
  <c r="I720" i="159"/>
  <c r="K719" i="9"/>
  <c r="J719" i="158"/>
  <c r="K719" i="158" s="1"/>
  <c r="G720" i="158"/>
  <c r="J720" i="158" s="1"/>
  <c r="K720" i="158" s="1"/>
  <c r="G720" i="159"/>
  <c r="H720" i="159"/>
  <c r="L719" i="160"/>
  <c r="I720" i="160"/>
  <c r="K719" i="159"/>
  <c r="I720" i="157"/>
  <c r="H720" i="160"/>
  <c r="L719" i="161"/>
  <c r="I720" i="161"/>
  <c r="F720" i="160"/>
  <c r="H720" i="161"/>
  <c r="H720" i="157"/>
  <c r="J719" i="157"/>
  <c r="K719" i="157" s="1"/>
  <c r="I387" i="157"/>
  <c r="H387" i="157"/>
  <c r="F387" i="155" s="1"/>
  <c r="H387" i="155" s="1"/>
  <c r="H387" i="165" s="1"/>
  <c r="J387" i="165" s="1"/>
  <c r="G387" i="161"/>
  <c r="K387" i="161" s="1"/>
  <c r="L387" i="161" s="1"/>
  <c r="I387" i="160"/>
  <c r="G387" i="166" s="1"/>
  <c r="G712" i="157"/>
  <c r="I712" i="9"/>
  <c r="I114" i="9" s="1"/>
  <c r="I712" i="157"/>
  <c r="H712" i="157"/>
  <c r="G712" i="9"/>
  <c r="J711" i="9"/>
  <c r="K711" i="9" s="1"/>
  <c r="J387" i="160"/>
  <c r="G387" i="167" s="1"/>
  <c r="I387" i="166"/>
  <c r="J387" i="159"/>
  <c r="K387" i="159" s="1"/>
  <c r="J711" i="159"/>
  <c r="K711" i="159" s="1"/>
  <c r="G712" i="159"/>
  <c r="O712" i="159" s="1"/>
  <c r="I382" i="160"/>
  <c r="G382" i="166" s="1"/>
  <c r="J733" i="161"/>
  <c r="J733" i="155"/>
  <c r="J733" i="160"/>
  <c r="G252" i="160"/>
  <c r="K252" i="160" s="1"/>
  <c r="L252" i="160" s="1"/>
  <c r="I709" i="9"/>
  <c r="H710" i="9" s="1"/>
  <c r="G709" i="159"/>
  <c r="G710" i="159" s="1"/>
  <c r="H709" i="157"/>
  <c r="I710" i="157" s="1"/>
  <c r="I733" i="161"/>
  <c r="I733" i="155"/>
  <c r="I733" i="160"/>
  <c r="D151" i="25"/>
  <c r="E150" i="25" s="1"/>
  <c r="H382" i="160"/>
  <c r="G382" i="165" s="1"/>
  <c r="G252" i="165"/>
  <c r="G228" i="160"/>
  <c r="K228" i="160" s="1"/>
  <c r="L228" i="160" s="1"/>
  <c r="G228" i="165"/>
  <c r="J228" i="162"/>
  <c r="F228" i="167" s="1"/>
  <c r="J228" i="167"/>
  <c r="J720" i="9"/>
  <c r="K720" i="9" s="1"/>
  <c r="G720" i="155"/>
  <c r="K720" i="155" s="1"/>
  <c r="P720" i="155" s="1"/>
  <c r="I373" i="9"/>
  <c r="F373" i="159" s="1"/>
  <c r="I126" i="9"/>
  <c r="I72" i="9"/>
  <c r="G388" i="160"/>
  <c r="G388" i="164" s="1"/>
  <c r="H373" i="9"/>
  <c r="H72" i="9"/>
  <c r="H126" i="9"/>
  <c r="G382" i="157"/>
  <c r="J382" i="157" s="1"/>
  <c r="K382" i="157" s="1"/>
  <c r="G381" i="157"/>
  <c r="J381" i="157" s="1"/>
  <c r="H385" i="162"/>
  <c r="F385" i="165" s="1"/>
  <c r="G385" i="165"/>
  <c r="J252" i="155"/>
  <c r="H252" i="155"/>
  <c r="I252" i="155"/>
  <c r="J388" i="155"/>
  <c r="H388" i="167" s="1"/>
  <c r="H388" i="155"/>
  <c r="H388" i="165" s="1"/>
  <c r="I388" i="155"/>
  <c r="H388" i="166" s="1"/>
  <c r="J317" i="162"/>
  <c r="F317" i="167" s="1"/>
  <c r="H317" i="167"/>
  <c r="J317" i="167" s="1"/>
  <c r="J381" i="159"/>
  <c r="F381" i="160"/>
  <c r="H57" i="9"/>
  <c r="H58" i="9"/>
  <c r="H114" i="9"/>
  <c r="I382" i="164"/>
  <c r="K382" i="161"/>
  <c r="L382" i="161" s="1"/>
  <c r="G385" i="166"/>
  <c r="J385" i="166" s="1"/>
  <c r="I385" i="162"/>
  <c r="F385" i="166" s="1"/>
  <c r="H381" i="161"/>
  <c r="I381" i="161"/>
  <c r="J381" i="161"/>
  <c r="O712" i="158"/>
  <c r="J712" i="158"/>
  <c r="K712" i="158" s="1"/>
  <c r="G317" i="155"/>
  <c r="H317" i="162"/>
  <c r="F317" i="165" s="1"/>
  <c r="H317" i="165"/>
  <c r="J317" i="165" s="1"/>
  <c r="J381" i="158"/>
  <c r="G388" i="167"/>
  <c r="H382" i="155"/>
  <c r="H382" i="165" s="1"/>
  <c r="J382" i="155"/>
  <c r="H382" i="167" s="1"/>
  <c r="J382" i="167" s="1"/>
  <c r="I382" i="155"/>
  <c r="H382" i="166" s="1"/>
  <c r="J709" i="158"/>
  <c r="K709" i="158" s="1"/>
  <c r="G710" i="158"/>
  <c r="I710" i="158"/>
  <c r="H710" i="158"/>
  <c r="G712" i="161"/>
  <c r="K712" i="161" s="1"/>
  <c r="G388" i="166"/>
  <c r="H228" i="166"/>
  <c r="J228" i="166" s="1"/>
  <c r="I228" i="162"/>
  <c r="F228" i="166" s="1"/>
  <c r="F171" i="25"/>
  <c r="G167" i="25"/>
  <c r="J710" i="161"/>
  <c r="K709" i="161"/>
  <c r="L709" i="161" s="1"/>
  <c r="G385" i="160"/>
  <c r="G731" i="161"/>
  <c r="G731" i="160"/>
  <c r="H171" i="25"/>
  <c r="G731" i="155"/>
  <c r="F381" i="155"/>
  <c r="G385" i="167"/>
  <c r="J385" i="167" s="1"/>
  <c r="J385" i="162"/>
  <c r="F385" i="167" s="1"/>
  <c r="H317" i="166"/>
  <c r="J317" i="166" s="1"/>
  <c r="I317" i="162"/>
  <c r="F317" i="166" s="1"/>
  <c r="G385" i="155"/>
  <c r="H385" i="165"/>
  <c r="G388" i="165"/>
  <c r="H228" i="165"/>
  <c r="H228" i="162"/>
  <c r="F228" i="165" s="1"/>
  <c r="G228" i="155"/>
  <c r="J710" i="160"/>
  <c r="K709" i="160"/>
  <c r="L709" i="160" s="1"/>
  <c r="K709" i="155"/>
  <c r="L709" i="155" s="1"/>
  <c r="J710" i="155"/>
  <c r="G712" i="160"/>
  <c r="K712" i="160" s="1"/>
  <c r="G712" i="155"/>
  <c r="K712" i="155" s="1"/>
  <c r="O720" i="159" l="1"/>
  <c r="J720" i="159"/>
  <c r="K720" i="159" s="1"/>
  <c r="O720" i="158"/>
  <c r="G720" i="161"/>
  <c r="K720" i="161" s="1"/>
  <c r="L720" i="161" s="1"/>
  <c r="G720" i="160"/>
  <c r="K720" i="160" s="1"/>
  <c r="P720" i="160" s="1"/>
  <c r="J720" i="157"/>
  <c r="K720" i="157" s="1"/>
  <c r="O720" i="157"/>
  <c r="J712" i="157"/>
  <c r="K712" i="157" s="1"/>
  <c r="I57" i="9"/>
  <c r="F57" i="159" s="1"/>
  <c r="J712" i="9"/>
  <c r="K712" i="9" s="1"/>
  <c r="I387" i="164"/>
  <c r="G387" i="157"/>
  <c r="J387" i="157" s="1"/>
  <c r="K387" i="157" s="1"/>
  <c r="I387" i="155"/>
  <c r="H387" i="166" s="1"/>
  <c r="J387" i="166" s="1"/>
  <c r="J387" i="155"/>
  <c r="I58" i="9"/>
  <c r="F58" i="159" s="1"/>
  <c r="I58" i="159" s="1"/>
  <c r="F58" i="161" s="1"/>
  <c r="I710" i="159"/>
  <c r="O712" i="157"/>
  <c r="G387" i="160"/>
  <c r="G387" i="164" s="1"/>
  <c r="J228" i="165"/>
  <c r="K228" i="165" s="1"/>
  <c r="H710" i="157"/>
  <c r="G710" i="157"/>
  <c r="K733" i="155"/>
  <c r="I710" i="9"/>
  <c r="I68" i="9" s="1"/>
  <c r="F68" i="159" s="1"/>
  <c r="G382" i="160"/>
  <c r="G382" i="164" s="1"/>
  <c r="J709" i="157"/>
  <c r="K709" i="157" s="1"/>
  <c r="J709" i="159"/>
  <c r="K709" i="159" s="1"/>
  <c r="H710" i="159"/>
  <c r="G252" i="164"/>
  <c r="E149" i="25"/>
  <c r="J709" i="9"/>
  <c r="K709" i="9" s="1"/>
  <c r="K733" i="161"/>
  <c r="J712" i="159"/>
  <c r="K712" i="159" s="1"/>
  <c r="G710" i="9"/>
  <c r="K733" i="160"/>
  <c r="F733" i="160"/>
  <c r="J734" i="160" s="1"/>
  <c r="F733" i="161"/>
  <c r="J734" i="161" s="1"/>
  <c r="F733" i="159"/>
  <c r="I733" i="159"/>
  <c r="G733" i="158"/>
  <c r="F733" i="9"/>
  <c r="F733" i="155"/>
  <c r="J734" i="155" s="1"/>
  <c r="H733" i="157"/>
  <c r="F733" i="158"/>
  <c r="F733" i="157"/>
  <c r="I733" i="9"/>
  <c r="E148" i="25"/>
  <c r="G710" i="155"/>
  <c r="K710" i="155" s="1"/>
  <c r="L710" i="155" s="1"/>
  <c r="G228" i="164"/>
  <c r="H388" i="162"/>
  <c r="F388" i="165" s="1"/>
  <c r="K228" i="167"/>
  <c r="J385" i="165"/>
  <c r="K385" i="165" s="1"/>
  <c r="K317" i="167"/>
  <c r="H382" i="162"/>
  <c r="F382" i="165" s="1"/>
  <c r="K388" i="160"/>
  <c r="L388" i="160" s="1"/>
  <c r="I388" i="162"/>
  <c r="F388" i="166" s="1"/>
  <c r="L720" i="160"/>
  <c r="F373" i="158"/>
  <c r="G373" i="9"/>
  <c r="I768" i="9"/>
  <c r="F72" i="159"/>
  <c r="P720" i="161"/>
  <c r="F72" i="158"/>
  <c r="G72" i="9"/>
  <c r="H768" i="9"/>
  <c r="L720" i="155"/>
  <c r="F126" i="158"/>
  <c r="G126" i="9"/>
  <c r="H770" i="9"/>
  <c r="I373" i="159"/>
  <c r="F373" i="161" s="1"/>
  <c r="H373" i="159"/>
  <c r="F126" i="159"/>
  <c r="I770" i="9"/>
  <c r="K317" i="166"/>
  <c r="K317" i="165"/>
  <c r="J382" i="165"/>
  <c r="J382" i="162"/>
  <c r="F382" i="167" s="1"/>
  <c r="K382" i="167" s="1"/>
  <c r="J388" i="162"/>
  <c r="F388" i="167" s="1"/>
  <c r="G381" i="161"/>
  <c r="K381" i="161" s="1"/>
  <c r="G252" i="155"/>
  <c r="K252" i="155" s="1"/>
  <c r="L252" i="155" s="1"/>
  <c r="K228" i="155"/>
  <c r="L228" i="155" s="1"/>
  <c r="H228" i="164"/>
  <c r="G385" i="162"/>
  <c r="H385" i="164"/>
  <c r="K385" i="155"/>
  <c r="L385" i="155" s="1"/>
  <c r="K731" i="161"/>
  <c r="G385" i="164"/>
  <c r="K385" i="160"/>
  <c r="L385" i="160" s="1"/>
  <c r="K381" i="158"/>
  <c r="F58" i="158"/>
  <c r="H69" i="9"/>
  <c r="H123" i="9"/>
  <c r="F123" i="158" s="1"/>
  <c r="H68" i="9"/>
  <c r="H122" i="9"/>
  <c r="F122" i="158" s="1"/>
  <c r="H369" i="9"/>
  <c r="H77" i="9"/>
  <c r="H74" i="9"/>
  <c r="H128" i="9"/>
  <c r="F128" i="158" s="1"/>
  <c r="H376" i="9"/>
  <c r="H367" i="9"/>
  <c r="K381" i="159"/>
  <c r="H252" i="166"/>
  <c r="J252" i="166" s="1"/>
  <c r="I252" i="162"/>
  <c r="F252" i="166" s="1"/>
  <c r="K385" i="167"/>
  <c r="G382" i="155"/>
  <c r="G228" i="162"/>
  <c r="J388" i="166"/>
  <c r="L712" i="155"/>
  <c r="P712" i="155"/>
  <c r="J381" i="155"/>
  <c r="H381" i="155"/>
  <c r="I381" i="155"/>
  <c r="K731" i="160"/>
  <c r="J710" i="158"/>
  <c r="K710" i="158" s="1"/>
  <c r="O710" i="158"/>
  <c r="I381" i="165"/>
  <c r="F114" i="158"/>
  <c r="H115" i="9"/>
  <c r="H165" i="9" s="1"/>
  <c r="I381" i="160"/>
  <c r="H381" i="160"/>
  <c r="J381" i="160"/>
  <c r="G388" i="155"/>
  <c r="L712" i="160"/>
  <c r="P712" i="160"/>
  <c r="F731" i="157"/>
  <c r="F731" i="158"/>
  <c r="F731" i="9"/>
  <c r="F731" i="160"/>
  <c r="F731" i="159"/>
  <c r="K731" i="159" s="1"/>
  <c r="G731" i="158"/>
  <c r="F731" i="161"/>
  <c r="J732" i="161" s="1"/>
  <c r="J853" i="161" s="1"/>
  <c r="F731" i="155"/>
  <c r="J732" i="155" s="1"/>
  <c r="J853" i="155" s="1"/>
  <c r="I731" i="9"/>
  <c r="H731" i="157"/>
  <c r="G114" i="9"/>
  <c r="I115" i="9"/>
  <c r="I165" i="9" s="1"/>
  <c r="F114" i="159"/>
  <c r="G317" i="162"/>
  <c r="K317" i="155"/>
  <c r="L317" i="155" s="1"/>
  <c r="H317" i="164"/>
  <c r="J317" i="164" s="1"/>
  <c r="I381" i="166"/>
  <c r="H252" i="167"/>
  <c r="J252" i="167" s="1"/>
  <c r="J252" i="162"/>
  <c r="F252" i="167" s="1"/>
  <c r="G710" i="160"/>
  <c r="K710" i="160" s="1"/>
  <c r="G710" i="161"/>
  <c r="K710" i="161" s="1"/>
  <c r="K228" i="166"/>
  <c r="H387" i="162"/>
  <c r="F387" i="165" s="1"/>
  <c r="K387" i="165" s="1"/>
  <c r="J388" i="167"/>
  <c r="I382" i="162"/>
  <c r="F382" i="166" s="1"/>
  <c r="K731" i="155"/>
  <c r="P712" i="161"/>
  <c r="L712" i="161"/>
  <c r="I381" i="167"/>
  <c r="H59" i="9"/>
  <c r="F57" i="158"/>
  <c r="H252" i="165"/>
  <c r="J252" i="165" s="1"/>
  <c r="H252" i="162"/>
  <c r="F252" i="165" s="1"/>
  <c r="K381" i="157"/>
  <c r="K385" i="166"/>
  <c r="J388" i="165"/>
  <c r="J382" i="166"/>
  <c r="O710" i="159" l="1"/>
  <c r="G57" i="9"/>
  <c r="I376" i="9"/>
  <c r="F376" i="159" s="1"/>
  <c r="G387" i="155"/>
  <c r="G387" i="162" s="1"/>
  <c r="H387" i="167"/>
  <c r="J387" i="167" s="1"/>
  <c r="I387" i="162"/>
  <c r="F387" i="166" s="1"/>
  <c r="K387" i="166" s="1"/>
  <c r="J387" i="162"/>
  <c r="F387" i="167" s="1"/>
  <c r="G58" i="9"/>
  <c r="H58" i="159"/>
  <c r="I59" i="9"/>
  <c r="I164" i="9" s="1"/>
  <c r="I166" i="9" s="1"/>
  <c r="I792" i="9" s="1"/>
  <c r="G58" i="159"/>
  <c r="F58" i="160" s="1"/>
  <c r="E147" i="25"/>
  <c r="E151" i="25" s="1"/>
  <c r="K387" i="160"/>
  <c r="L387" i="160" s="1"/>
  <c r="I369" i="9"/>
  <c r="F369" i="159" s="1"/>
  <c r="H369" i="159" s="1"/>
  <c r="I128" i="9"/>
  <c r="G128" i="9" s="1"/>
  <c r="I123" i="9"/>
  <c r="G123" i="9" s="1"/>
  <c r="P710" i="155"/>
  <c r="O710" i="157"/>
  <c r="J710" i="157"/>
  <c r="K710" i="157" s="1"/>
  <c r="J710" i="159"/>
  <c r="K710" i="159" s="1"/>
  <c r="K382" i="160"/>
  <c r="L382" i="160" s="1"/>
  <c r="G382" i="162"/>
  <c r="K382" i="162" s="1"/>
  <c r="L382" i="162" s="1"/>
  <c r="I69" i="9"/>
  <c r="F69" i="159" s="1"/>
  <c r="H69" i="159" s="1"/>
  <c r="I122" i="9"/>
  <c r="G122" i="9" s="1"/>
  <c r="I74" i="9"/>
  <c r="F74" i="159" s="1"/>
  <c r="H74" i="159" s="1"/>
  <c r="I77" i="9"/>
  <c r="F77" i="159" s="1"/>
  <c r="I77" i="159" s="1"/>
  <c r="F77" i="161" s="1"/>
  <c r="I367" i="9"/>
  <c r="F367" i="159" s="1"/>
  <c r="H367" i="159" s="1"/>
  <c r="J710" i="9"/>
  <c r="K710" i="9" s="1"/>
  <c r="K388" i="165"/>
  <c r="G734" i="157"/>
  <c r="J733" i="157"/>
  <c r="K733" i="157" s="1"/>
  <c r="I734" i="157"/>
  <c r="H734" i="157"/>
  <c r="J733" i="159"/>
  <c r="K733" i="159" s="1"/>
  <c r="I734" i="159"/>
  <c r="H734" i="159"/>
  <c r="G734" i="159"/>
  <c r="H734" i="158"/>
  <c r="I734" i="158"/>
  <c r="J733" i="158"/>
  <c r="K733" i="158" s="1"/>
  <c r="G734" i="158"/>
  <c r="H734" i="160"/>
  <c r="F734" i="160"/>
  <c r="I734" i="160"/>
  <c r="L733" i="160"/>
  <c r="I734" i="161"/>
  <c r="L733" i="161"/>
  <c r="H734" i="161"/>
  <c r="I734" i="9"/>
  <c r="J733" i="9"/>
  <c r="K733" i="9" s="1"/>
  <c r="H734" i="9"/>
  <c r="G734" i="9"/>
  <c r="L733" i="155"/>
  <c r="F734" i="155"/>
  <c r="I734" i="155"/>
  <c r="H734" i="155"/>
  <c r="F770" i="155"/>
  <c r="F770" i="157"/>
  <c r="F768" i="155"/>
  <c r="F768" i="157"/>
  <c r="J228" i="164"/>
  <c r="K382" i="165"/>
  <c r="H381" i="162"/>
  <c r="F381" i="165" s="1"/>
  <c r="J381" i="162"/>
  <c r="I381" i="162"/>
  <c r="F381" i="166" s="1"/>
  <c r="K388" i="166"/>
  <c r="G373" i="159"/>
  <c r="J373" i="159" s="1"/>
  <c r="K373" i="159" s="1"/>
  <c r="K388" i="167"/>
  <c r="I126" i="159"/>
  <c r="H126" i="159"/>
  <c r="H770" i="159" s="1"/>
  <c r="H373" i="158"/>
  <c r="I373" i="158"/>
  <c r="I373" i="161"/>
  <c r="I373" i="166" s="1"/>
  <c r="J373" i="161"/>
  <c r="I373" i="167" s="1"/>
  <c r="H373" i="161"/>
  <c r="I373" i="165" s="1"/>
  <c r="J373" i="9"/>
  <c r="K373" i="9" s="1"/>
  <c r="F373" i="157"/>
  <c r="H126" i="158"/>
  <c r="H770" i="158" s="1"/>
  <c r="I126" i="158"/>
  <c r="I770" i="158" s="1"/>
  <c r="H72" i="158"/>
  <c r="H768" i="158" s="1"/>
  <c r="G72" i="158"/>
  <c r="I72" i="158"/>
  <c r="I768" i="158" s="1"/>
  <c r="J126" i="9"/>
  <c r="K126" i="9" s="1"/>
  <c r="F126" i="157"/>
  <c r="G770" i="9"/>
  <c r="J770" i="9" s="1"/>
  <c r="K770" i="9" s="1"/>
  <c r="J72" i="9"/>
  <c r="K72" i="9" s="1"/>
  <c r="F72" i="157"/>
  <c r="G768" i="9"/>
  <c r="J768" i="9" s="1"/>
  <c r="K768" i="9" s="1"/>
  <c r="I72" i="159"/>
  <c r="G72" i="159"/>
  <c r="H72" i="159"/>
  <c r="H768" i="159" s="1"/>
  <c r="K252" i="167"/>
  <c r="K252" i="166"/>
  <c r="H252" i="164"/>
  <c r="J252" i="164" s="1"/>
  <c r="I381" i="164"/>
  <c r="K382" i="166"/>
  <c r="G252" i="162"/>
  <c r="F252" i="164" s="1"/>
  <c r="G381" i="160"/>
  <c r="K381" i="160" s="1"/>
  <c r="H164" i="9"/>
  <c r="H166" i="9" s="1"/>
  <c r="H792" i="9" s="1"/>
  <c r="H782" i="9"/>
  <c r="H65" i="9"/>
  <c r="F732" i="155"/>
  <c r="H732" i="155"/>
  <c r="H853" i="155" s="1"/>
  <c r="I732" i="155"/>
  <c r="I853" i="155" s="1"/>
  <c r="L731" i="155"/>
  <c r="I732" i="160"/>
  <c r="I853" i="160" s="1"/>
  <c r="F732" i="160"/>
  <c r="L731" i="160"/>
  <c r="H732" i="160"/>
  <c r="H853" i="160" s="1"/>
  <c r="G381" i="167"/>
  <c r="H381" i="165"/>
  <c r="K382" i="155"/>
  <c r="L382" i="155" s="1"/>
  <c r="H382" i="164"/>
  <c r="J382" i="164" s="1"/>
  <c r="F376" i="158"/>
  <c r="G376" i="9"/>
  <c r="F369" i="158"/>
  <c r="F69" i="158"/>
  <c r="H58" i="158"/>
  <c r="G58" i="158"/>
  <c r="I58" i="158"/>
  <c r="H57" i="158"/>
  <c r="G57" i="158"/>
  <c r="F59" i="158"/>
  <c r="I57" i="158"/>
  <c r="P710" i="161"/>
  <c r="L710" i="161"/>
  <c r="F317" i="164"/>
  <c r="K317" i="164" s="1"/>
  <c r="K317" i="162"/>
  <c r="L317" i="162" s="1"/>
  <c r="J114" i="9"/>
  <c r="F114" i="157"/>
  <c r="G115" i="9"/>
  <c r="G165" i="9" s="1"/>
  <c r="I732" i="9"/>
  <c r="H732" i="9"/>
  <c r="J731" i="9"/>
  <c r="K731" i="9" s="1"/>
  <c r="G732" i="9"/>
  <c r="H388" i="164"/>
  <c r="J388" i="164" s="1"/>
  <c r="K388" i="155"/>
  <c r="L388" i="155" s="1"/>
  <c r="G388" i="162"/>
  <c r="H381" i="166"/>
  <c r="F367" i="158"/>
  <c r="F77" i="158"/>
  <c r="H123" i="158"/>
  <c r="I123" i="158"/>
  <c r="H57" i="159"/>
  <c r="F59" i="159"/>
  <c r="G57" i="159"/>
  <c r="I57" i="159"/>
  <c r="K385" i="162"/>
  <c r="L385" i="162" s="1"/>
  <c r="F385" i="164"/>
  <c r="L381" i="161"/>
  <c r="J57" i="9"/>
  <c r="F57" i="157"/>
  <c r="I58" i="161"/>
  <c r="H58" i="161"/>
  <c r="J58" i="161"/>
  <c r="P710" i="160"/>
  <c r="L710" i="160"/>
  <c r="H68" i="159"/>
  <c r="G68" i="159"/>
  <c r="I68" i="159"/>
  <c r="F68" i="161" s="1"/>
  <c r="I376" i="159"/>
  <c r="F376" i="161" s="1"/>
  <c r="H376" i="159"/>
  <c r="H732" i="157"/>
  <c r="G732" i="157"/>
  <c r="J731" i="157"/>
  <c r="K731" i="157" s="1"/>
  <c r="I732" i="157"/>
  <c r="I853" i="157" s="1"/>
  <c r="H732" i="158"/>
  <c r="I732" i="158"/>
  <c r="I853" i="158" s="1"/>
  <c r="G732" i="158"/>
  <c r="J731" i="158"/>
  <c r="K731" i="158" s="1"/>
  <c r="G381" i="166"/>
  <c r="F115" i="158"/>
  <c r="F165" i="158" s="1"/>
  <c r="H114" i="158"/>
  <c r="H115" i="158" s="1"/>
  <c r="H165" i="158" s="1"/>
  <c r="I114" i="158"/>
  <c r="I115" i="158" s="1"/>
  <c r="I165" i="158" s="1"/>
  <c r="F228" i="164"/>
  <c r="K228" i="162"/>
  <c r="L228" i="162" s="1"/>
  <c r="F74" i="158"/>
  <c r="F68" i="158"/>
  <c r="G68" i="9"/>
  <c r="K252" i="165"/>
  <c r="J732" i="160"/>
  <c r="J853" i="160" s="1"/>
  <c r="G381" i="155"/>
  <c r="J385" i="164"/>
  <c r="F115" i="159"/>
  <c r="F165" i="159" s="1"/>
  <c r="I114" i="159"/>
  <c r="H114" i="159"/>
  <c r="H115" i="159" s="1"/>
  <c r="H165" i="159" s="1"/>
  <c r="L731" i="161"/>
  <c r="I732" i="161"/>
  <c r="I853" i="161" s="1"/>
  <c r="H732" i="161"/>
  <c r="H853" i="161" s="1"/>
  <c r="G381" i="165"/>
  <c r="H381" i="167"/>
  <c r="H128" i="158"/>
  <c r="I128" i="158"/>
  <c r="I122" i="158"/>
  <c r="H122" i="158"/>
  <c r="G59" i="9" l="1"/>
  <c r="G782" i="9" s="1"/>
  <c r="H387" i="164"/>
  <c r="J387" i="164" s="1"/>
  <c r="K387" i="155"/>
  <c r="L387" i="155" s="1"/>
  <c r="K387" i="167"/>
  <c r="J58" i="9"/>
  <c r="K58" i="9" s="1"/>
  <c r="F58" i="157"/>
  <c r="H58" i="157" s="1"/>
  <c r="F58" i="155" s="1"/>
  <c r="H59" i="159"/>
  <c r="H164" i="159" s="1"/>
  <c r="H166" i="159" s="1"/>
  <c r="K387" i="162"/>
  <c r="L387" i="162" s="1"/>
  <c r="I65" i="9"/>
  <c r="J58" i="159"/>
  <c r="K58" i="159" s="1"/>
  <c r="I782" i="9"/>
  <c r="G59" i="159"/>
  <c r="G65" i="159" s="1"/>
  <c r="F387" i="164"/>
  <c r="G369" i="9"/>
  <c r="J369" i="9" s="1"/>
  <c r="K369" i="9" s="1"/>
  <c r="I369" i="159"/>
  <c r="F369" i="161" s="1"/>
  <c r="H369" i="161" s="1"/>
  <c r="F128" i="159"/>
  <c r="I128" i="159" s="1"/>
  <c r="F128" i="161" s="1"/>
  <c r="F123" i="159"/>
  <c r="H123" i="159" s="1"/>
  <c r="F382" i="164"/>
  <c r="K382" i="164" s="1"/>
  <c r="I367" i="159"/>
  <c r="F367" i="161" s="1"/>
  <c r="J367" i="161" s="1"/>
  <c r="G69" i="159"/>
  <c r="F69" i="160" s="1"/>
  <c r="H77" i="159"/>
  <c r="I69" i="159"/>
  <c r="F69" i="161" s="1"/>
  <c r="H69" i="161" s="1"/>
  <c r="G367" i="9"/>
  <c r="F367" i="157" s="1"/>
  <c r="G69" i="9"/>
  <c r="F69" i="157" s="1"/>
  <c r="F122" i="159"/>
  <c r="H122" i="159" s="1"/>
  <c r="K228" i="164"/>
  <c r="I74" i="159"/>
  <c r="F74" i="161" s="1"/>
  <c r="H74" i="161" s="1"/>
  <c r="G77" i="159"/>
  <c r="F77" i="160" s="1"/>
  <c r="G74" i="9"/>
  <c r="J74" i="9" s="1"/>
  <c r="K74" i="9" s="1"/>
  <c r="G77" i="9"/>
  <c r="J77" i="9" s="1"/>
  <c r="K77" i="9" s="1"/>
  <c r="G74" i="159"/>
  <c r="F74" i="160" s="1"/>
  <c r="I75" i="9"/>
  <c r="I129" i="9"/>
  <c r="J734" i="157"/>
  <c r="K734" i="157" s="1"/>
  <c r="O734" i="157"/>
  <c r="G734" i="155"/>
  <c r="K734" i="155" s="1"/>
  <c r="P734" i="155" s="1"/>
  <c r="G734" i="161"/>
  <c r="K734" i="161" s="1"/>
  <c r="H129" i="9"/>
  <c r="H75" i="9"/>
  <c r="O734" i="158"/>
  <c r="J734" i="158"/>
  <c r="K734" i="158" s="1"/>
  <c r="J734" i="159"/>
  <c r="K734" i="159" s="1"/>
  <c r="O734" i="159"/>
  <c r="J734" i="9"/>
  <c r="K734" i="9" s="1"/>
  <c r="G734" i="160"/>
  <c r="K734" i="160" s="1"/>
  <c r="P734" i="160" s="1"/>
  <c r="G381" i="162"/>
  <c r="F381" i="164" s="1"/>
  <c r="G381" i="164"/>
  <c r="F381" i="167"/>
  <c r="K252" i="164"/>
  <c r="F373" i="160"/>
  <c r="J373" i="160" s="1"/>
  <c r="G373" i="158"/>
  <c r="J373" i="158" s="1"/>
  <c r="K373" i="158" s="1"/>
  <c r="K252" i="162"/>
  <c r="L252" i="162" s="1"/>
  <c r="F72" i="161"/>
  <c r="F768" i="161"/>
  <c r="I768" i="159"/>
  <c r="G122" i="158"/>
  <c r="J122" i="158" s="1"/>
  <c r="K122" i="158" s="1"/>
  <c r="G126" i="158"/>
  <c r="G126" i="159"/>
  <c r="J72" i="159"/>
  <c r="K72" i="159" s="1"/>
  <c r="G768" i="159"/>
  <c r="F72" i="160"/>
  <c r="F768" i="160"/>
  <c r="I373" i="157"/>
  <c r="H373" i="157"/>
  <c r="F373" i="155" s="1"/>
  <c r="H72" i="157"/>
  <c r="I72" i="157"/>
  <c r="I768" i="157" s="1"/>
  <c r="G72" i="157"/>
  <c r="J72" i="158"/>
  <c r="K72" i="158" s="1"/>
  <c r="G768" i="158"/>
  <c r="J768" i="158" s="1"/>
  <c r="K768" i="158" s="1"/>
  <c r="F770" i="161"/>
  <c r="I770" i="159"/>
  <c r="F126" i="161"/>
  <c r="I126" i="157"/>
  <c r="I770" i="157" s="1"/>
  <c r="H126" i="157"/>
  <c r="G376" i="159"/>
  <c r="F376" i="160" s="1"/>
  <c r="G373" i="161"/>
  <c r="G128" i="158"/>
  <c r="J128" i="158" s="1"/>
  <c r="K128" i="158" s="1"/>
  <c r="G123" i="158"/>
  <c r="J123" i="158" s="1"/>
  <c r="K123" i="158" s="1"/>
  <c r="G58" i="161"/>
  <c r="K58" i="161" s="1"/>
  <c r="L58" i="161" s="1"/>
  <c r="J77" i="161"/>
  <c r="I77" i="161"/>
  <c r="H77" i="161"/>
  <c r="H74" i="158"/>
  <c r="I74" i="158"/>
  <c r="G74" i="158"/>
  <c r="J381" i="166"/>
  <c r="J68" i="161"/>
  <c r="H68" i="161"/>
  <c r="I68" i="161"/>
  <c r="F65" i="159"/>
  <c r="G782" i="159"/>
  <c r="H782" i="159"/>
  <c r="F164" i="159"/>
  <c r="I782" i="159"/>
  <c r="K388" i="162"/>
  <c r="L388" i="162" s="1"/>
  <c r="F388" i="164"/>
  <c r="K388" i="164" s="1"/>
  <c r="J115" i="9"/>
  <c r="J165" i="9" s="1"/>
  <c r="K165" i="9" s="1"/>
  <c r="K114" i="9"/>
  <c r="K115" i="9" s="1"/>
  <c r="F123" i="157"/>
  <c r="J123" i="9"/>
  <c r="K123" i="9" s="1"/>
  <c r="H446" i="9"/>
  <c r="H267" i="9"/>
  <c r="H268" i="9"/>
  <c r="G114" i="159"/>
  <c r="K385" i="164"/>
  <c r="J732" i="9"/>
  <c r="K732" i="9" s="1"/>
  <c r="H59" i="158"/>
  <c r="J58" i="158"/>
  <c r="K58" i="158" s="1"/>
  <c r="G853" i="160"/>
  <c r="K853" i="160" s="1"/>
  <c r="L853" i="160" s="1"/>
  <c r="G732" i="155"/>
  <c r="K732" i="155" s="1"/>
  <c r="P732" i="155" s="1"/>
  <c r="H381" i="164"/>
  <c r="K381" i="155"/>
  <c r="G853" i="158"/>
  <c r="H853" i="158"/>
  <c r="G853" i="157"/>
  <c r="H853" i="157"/>
  <c r="H376" i="161"/>
  <c r="I376" i="161"/>
  <c r="J376" i="161"/>
  <c r="I58" i="166"/>
  <c r="K57" i="9"/>
  <c r="J57" i="159"/>
  <c r="F57" i="160"/>
  <c r="H367" i="158"/>
  <c r="I367" i="158"/>
  <c r="L381" i="160"/>
  <c r="I370" i="9"/>
  <c r="F370" i="159" s="1"/>
  <c r="I71" i="9"/>
  <c r="I853" i="9"/>
  <c r="I372" i="9"/>
  <c r="F372" i="159" s="1"/>
  <c r="I377" i="9"/>
  <c r="F377" i="159" s="1"/>
  <c r="I114" i="157"/>
  <c r="I115" i="157" s="1"/>
  <c r="I165" i="157" s="1"/>
  <c r="H114" i="157"/>
  <c r="F115" i="157"/>
  <c r="F165" i="157" s="1"/>
  <c r="J57" i="158"/>
  <c r="G59" i="158"/>
  <c r="G69" i="158"/>
  <c r="H69" i="158"/>
  <c r="I69" i="158"/>
  <c r="I376" i="158"/>
  <c r="H376" i="158"/>
  <c r="J381" i="167"/>
  <c r="G114" i="158"/>
  <c r="I59" i="158"/>
  <c r="J381" i="165"/>
  <c r="I115" i="159"/>
  <c r="I165" i="159" s="1"/>
  <c r="F114" i="161"/>
  <c r="G68" i="158"/>
  <c r="H68" i="158"/>
  <c r="I68" i="158"/>
  <c r="O732" i="157"/>
  <c r="J732" i="157"/>
  <c r="K732" i="157" s="1"/>
  <c r="I58" i="165"/>
  <c r="I57" i="157"/>
  <c r="G57" i="157"/>
  <c r="H57" i="157"/>
  <c r="F57" i="161"/>
  <c r="I59" i="159"/>
  <c r="H77" i="158"/>
  <c r="G77" i="158"/>
  <c r="I77" i="158"/>
  <c r="G853" i="9"/>
  <c r="H71" i="9"/>
  <c r="H377" i="9"/>
  <c r="H370" i="9"/>
  <c r="H853" i="9"/>
  <c r="H372" i="9"/>
  <c r="F128" i="157"/>
  <c r="J128" i="9"/>
  <c r="K128" i="9" s="1"/>
  <c r="H782" i="158"/>
  <c r="I782" i="158"/>
  <c r="F65" i="158"/>
  <c r="F164" i="158"/>
  <c r="G782" i="158"/>
  <c r="J376" i="9"/>
  <c r="K376" i="9" s="1"/>
  <c r="F376" i="157"/>
  <c r="J122" i="9"/>
  <c r="K122" i="9" s="1"/>
  <c r="F122" i="157"/>
  <c r="G732" i="161"/>
  <c r="G853" i="155"/>
  <c r="K853" i="155" s="1"/>
  <c r="L853" i="155" s="1"/>
  <c r="H58" i="160"/>
  <c r="G58" i="165" s="1"/>
  <c r="J58" i="160"/>
  <c r="G58" i="167" s="1"/>
  <c r="I58" i="160"/>
  <c r="G58" i="166" s="1"/>
  <c r="I268" i="9"/>
  <c r="F268" i="159" s="1"/>
  <c r="I446" i="9"/>
  <c r="I267" i="9"/>
  <c r="F267" i="159" s="1"/>
  <c r="J68" i="9"/>
  <c r="K68" i="9" s="1"/>
  <c r="F68" i="157"/>
  <c r="O732" i="158"/>
  <c r="J732" i="158"/>
  <c r="K732" i="158" s="1"/>
  <c r="F68" i="160"/>
  <c r="J68" i="159"/>
  <c r="K68" i="159" s="1"/>
  <c r="I58" i="167"/>
  <c r="I369" i="158"/>
  <c r="H369" i="158"/>
  <c r="G732" i="160"/>
  <c r="K732" i="160" s="1"/>
  <c r="P732" i="160" s="1"/>
  <c r="G164" i="9" l="1"/>
  <c r="G166" i="9" s="1"/>
  <c r="G792" i="9" s="1"/>
  <c r="J792" i="9" s="1"/>
  <c r="K792" i="9" s="1"/>
  <c r="G65" i="9"/>
  <c r="K387" i="164"/>
  <c r="G58" i="157"/>
  <c r="G59" i="157" s="1"/>
  <c r="H65" i="159"/>
  <c r="F59" i="157"/>
  <c r="F164" i="157" s="1"/>
  <c r="J59" i="9"/>
  <c r="J164" i="9" s="1"/>
  <c r="K59" i="9"/>
  <c r="K65" i="9" s="1"/>
  <c r="I58" i="157"/>
  <c r="J782" i="9"/>
  <c r="K782" i="9" s="1"/>
  <c r="G164" i="159"/>
  <c r="F369" i="157"/>
  <c r="H369" i="157" s="1"/>
  <c r="F369" i="155" s="1"/>
  <c r="I369" i="161"/>
  <c r="J369" i="161"/>
  <c r="I369" i="167" s="1"/>
  <c r="H128" i="159"/>
  <c r="G128" i="159" s="1"/>
  <c r="G369" i="159"/>
  <c r="F369" i="160" s="1"/>
  <c r="I369" i="160" s="1"/>
  <c r="G369" i="166" s="1"/>
  <c r="L732" i="155"/>
  <c r="I123" i="159"/>
  <c r="F123" i="161" s="1"/>
  <c r="I123" i="161" s="1"/>
  <c r="H367" i="161"/>
  <c r="I367" i="165" s="1"/>
  <c r="I367" i="161"/>
  <c r="I367" i="166" s="1"/>
  <c r="J367" i="9"/>
  <c r="K367" i="9" s="1"/>
  <c r="G367" i="159"/>
  <c r="F367" i="160" s="1"/>
  <c r="H367" i="160" s="1"/>
  <c r="G367" i="165" s="1"/>
  <c r="I69" i="161"/>
  <c r="I69" i="166" s="1"/>
  <c r="J69" i="159"/>
  <c r="K69" i="159" s="1"/>
  <c r="I122" i="159"/>
  <c r="F122" i="161" s="1"/>
  <c r="J122" i="161" s="1"/>
  <c r="J77" i="159"/>
  <c r="K77" i="159" s="1"/>
  <c r="J69" i="161"/>
  <c r="I69" i="167" s="1"/>
  <c r="J69" i="9"/>
  <c r="K69" i="9" s="1"/>
  <c r="F74" i="157"/>
  <c r="I74" i="157" s="1"/>
  <c r="I74" i="161"/>
  <c r="I74" i="166" s="1"/>
  <c r="J74" i="161"/>
  <c r="I74" i="167" s="1"/>
  <c r="J74" i="159"/>
  <c r="K74" i="159" s="1"/>
  <c r="F77" i="157"/>
  <c r="H77" i="157" s="1"/>
  <c r="F77" i="155" s="1"/>
  <c r="J376" i="159"/>
  <c r="K376" i="159" s="1"/>
  <c r="I373" i="160"/>
  <c r="G373" i="166" s="1"/>
  <c r="H373" i="160"/>
  <c r="G373" i="165" s="1"/>
  <c r="H777" i="9"/>
  <c r="G129" i="9"/>
  <c r="F129" i="158"/>
  <c r="F75" i="159"/>
  <c r="I775" i="9"/>
  <c r="G75" i="9"/>
  <c r="H775" i="9"/>
  <c r="F75" i="158"/>
  <c r="I777" i="9"/>
  <c r="F129" i="159"/>
  <c r="L734" i="155"/>
  <c r="L734" i="161"/>
  <c r="P734" i="161"/>
  <c r="L734" i="160"/>
  <c r="K381" i="162"/>
  <c r="L381" i="162" s="1"/>
  <c r="K381" i="166"/>
  <c r="J768" i="159"/>
  <c r="K768" i="159" s="1"/>
  <c r="I58" i="164"/>
  <c r="J381" i="164"/>
  <c r="G126" i="157"/>
  <c r="G770" i="157" s="1"/>
  <c r="G376" i="158"/>
  <c r="J376" i="158" s="1"/>
  <c r="K376" i="158" s="1"/>
  <c r="I373" i="164"/>
  <c r="K373" i="161"/>
  <c r="L373" i="161" s="1"/>
  <c r="I126" i="161"/>
  <c r="H126" i="161"/>
  <c r="J126" i="161"/>
  <c r="J72" i="160"/>
  <c r="I72" i="160"/>
  <c r="H72" i="160"/>
  <c r="J126" i="158"/>
  <c r="K126" i="158" s="1"/>
  <c r="G770" i="158"/>
  <c r="J770" i="158" s="1"/>
  <c r="K770" i="158" s="1"/>
  <c r="G373" i="167"/>
  <c r="H72" i="161"/>
  <c r="I72" i="161"/>
  <c r="J72" i="161"/>
  <c r="G373" i="157"/>
  <c r="J373" i="157" s="1"/>
  <c r="K373" i="157" s="1"/>
  <c r="H768" i="157"/>
  <c r="F72" i="155"/>
  <c r="G770" i="159"/>
  <c r="J770" i="159" s="1"/>
  <c r="K770" i="159" s="1"/>
  <c r="J126" i="159"/>
  <c r="K126" i="159" s="1"/>
  <c r="F126" i="160"/>
  <c r="F770" i="160"/>
  <c r="G367" i="158"/>
  <c r="J367" i="158" s="1"/>
  <c r="K367" i="158" s="1"/>
  <c r="G376" i="161"/>
  <c r="I376" i="164" s="1"/>
  <c r="J853" i="157"/>
  <c r="K853" i="157" s="1"/>
  <c r="F126" i="155"/>
  <c r="H770" i="157"/>
  <c r="G768" i="157"/>
  <c r="J72" i="157"/>
  <c r="K72" i="157" s="1"/>
  <c r="J373" i="155"/>
  <c r="H373" i="167" s="1"/>
  <c r="I373" i="155"/>
  <c r="H373" i="166" s="1"/>
  <c r="H373" i="155"/>
  <c r="H373" i="165" s="1"/>
  <c r="K381" i="165"/>
  <c r="J853" i="158"/>
  <c r="K853" i="158" s="1"/>
  <c r="G77" i="161"/>
  <c r="K77" i="161" s="1"/>
  <c r="L77" i="161" s="1"/>
  <c r="J69" i="158"/>
  <c r="K69" i="158" s="1"/>
  <c r="J74" i="158"/>
  <c r="K74" i="158" s="1"/>
  <c r="I74" i="165"/>
  <c r="F446" i="159"/>
  <c r="I447" i="9"/>
  <c r="I831" i="9" s="1"/>
  <c r="H376" i="157"/>
  <c r="F376" i="155" s="1"/>
  <c r="I376" i="157"/>
  <c r="I164" i="159"/>
  <c r="I166" i="159" s="1"/>
  <c r="I65" i="159"/>
  <c r="I77" i="160"/>
  <c r="G77" i="166" s="1"/>
  <c r="H77" i="160"/>
  <c r="G77" i="165" s="1"/>
  <c r="J77" i="160"/>
  <c r="G77" i="167" s="1"/>
  <c r="I367" i="167"/>
  <c r="G115" i="158"/>
  <c r="G165" i="158" s="1"/>
  <c r="J114" i="158"/>
  <c r="I69" i="160"/>
  <c r="G69" i="166" s="1"/>
  <c r="H69" i="160"/>
  <c r="G69" i="165" s="1"/>
  <c r="J69" i="160"/>
  <c r="G69" i="167" s="1"/>
  <c r="K57" i="158"/>
  <c r="K59" i="158" s="1"/>
  <c r="K65" i="158" s="1"/>
  <c r="J59" i="158"/>
  <c r="H377" i="159"/>
  <c r="I377" i="159"/>
  <c r="F377" i="161" s="1"/>
  <c r="I767" i="9"/>
  <c r="F71" i="159"/>
  <c r="I376" i="166"/>
  <c r="F114" i="160"/>
  <c r="G115" i="159"/>
  <c r="G165" i="159" s="1"/>
  <c r="J114" i="159"/>
  <c r="F268" i="158"/>
  <c r="G268" i="9"/>
  <c r="I69" i="165"/>
  <c r="I367" i="157"/>
  <c r="H367" i="157"/>
  <c r="F367" i="155" s="1"/>
  <c r="I68" i="167"/>
  <c r="I77" i="165"/>
  <c r="L732" i="160"/>
  <c r="J853" i="9"/>
  <c r="K853" i="9" s="1"/>
  <c r="H128" i="161"/>
  <c r="I128" i="161"/>
  <c r="J128" i="161"/>
  <c r="I376" i="160"/>
  <c r="G376" i="166" s="1"/>
  <c r="J376" i="160"/>
  <c r="G376" i="167" s="1"/>
  <c r="H376" i="160"/>
  <c r="G376" i="165" s="1"/>
  <c r="H122" i="157"/>
  <c r="F122" i="155" s="1"/>
  <c r="I122" i="157"/>
  <c r="F166" i="158"/>
  <c r="G71" i="9"/>
  <c r="F71" i="158"/>
  <c r="H767" i="9"/>
  <c r="J57" i="157"/>
  <c r="G65" i="158"/>
  <c r="G164" i="158"/>
  <c r="J59" i="159"/>
  <c r="K57" i="159"/>
  <c r="K59" i="159" s="1"/>
  <c r="K65" i="159" s="1"/>
  <c r="I376" i="167"/>
  <c r="H123" i="157"/>
  <c r="F123" i="155" s="1"/>
  <c r="I123" i="157"/>
  <c r="J58" i="155"/>
  <c r="I58" i="155"/>
  <c r="H58" i="166" s="1"/>
  <c r="J58" i="166" s="1"/>
  <c r="H58" i="155"/>
  <c r="H58" i="165" s="1"/>
  <c r="J58" i="165" s="1"/>
  <c r="J782" i="159"/>
  <c r="K782" i="159" s="1"/>
  <c r="O782" i="159"/>
  <c r="I68" i="165"/>
  <c r="J68" i="158"/>
  <c r="K68" i="158" s="1"/>
  <c r="I69" i="157"/>
  <c r="G69" i="157"/>
  <c r="H69" i="157"/>
  <c r="F69" i="155" s="1"/>
  <c r="O782" i="158"/>
  <c r="J782" i="158"/>
  <c r="K782" i="158" s="1"/>
  <c r="F372" i="158"/>
  <c r="G372" i="9"/>
  <c r="F377" i="158"/>
  <c r="G377" i="9"/>
  <c r="F57" i="155"/>
  <c r="H59" i="157"/>
  <c r="I114" i="161"/>
  <c r="F115" i="161"/>
  <c r="F165" i="161" s="1"/>
  <c r="J114" i="161"/>
  <c r="H114" i="161"/>
  <c r="G114" i="157"/>
  <c r="F114" i="155"/>
  <c r="H115" i="157"/>
  <c r="H165" i="157" s="1"/>
  <c r="H57" i="160"/>
  <c r="F59" i="160"/>
  <c r="J57" i="160"/>
  <c r="I57" i="160"/>
  <c r="L381" i="155"/>
  <c r="F446" i="158"/>
  <c r="H447" i="9"/>
  <c r="H831" i="9" s="1"/>
  <c r="G446" i="9"/>
  <c r="I68" i="166"/>
  <c r="I77" i="167"/>
  <c r="I369" i="165"/>
  <c r="G369" i="158"/>
  <c r="J369" i="158" s="1"/>
  <c r="K369" i="158" s="1"/>
  <c r="G58" i="160"/>
  <c r="J77" i="158"/>
  <c r="K77" i="158" s="1"/>
  <c r="K381" i="167"/>
  <c r="J68" i="160"/>
  <c r="G68" i="167" s="1"/>
  <c r="H68" i="160"/>
  <c r="G68" i="165" s="1"/>
  <c r="I68" i="160"/>
  <c r="G68" i="166" s="1"/>
  <c r="H68" i="157"/>
  <c r="F68" i="155" s="1"/>
  <c r="G68" i="157"/>
  <c r="I68" i="157"/>
  <c r="K732" i="161"/>
  <c r="G853" i="161"/>
  <c r="K853" i="161" s="1"/>
  <c r="L853" i="161" s="1"/>
  <c r="H128" i="157"/>
  <c r="F128" i="155" s="1"/>
  <c r="I128" i="157"/>
  <c r="G370" i="9"/>
  <c r="F370" i="158"/>
  <c r="F59" i="161"/>
  <c r="J57" i="161"/>
  <c r="H57" i="161"/>
  <c r="I57" i="161"/>
  <c r="I65" i="158"/>
  <c r="I164" i="158"/>
  <c r="I166" i="158" s="1"/>
  <c r="H74" i="160"/>
  <c r="G74" i="165" s="1"/>
  <c r="J74" i="160"/>
  <c r="G74" i="167" s="1"/>
  <c r="I74" i="160"/>
  <c r="G74" i="166" s="1"/>
  <c r="H372" i="159"/>
  <c r="I372" i="159"/>
  <c r="F372" i="161" s="1"/>
  <c r="H370" i="159"/>
  <c r="I370" i="159"/>
  <c r="F370" i="161" s="1"/>
  <c r="I376" i="165"/>
  <c r="H164" i="158"/>
  <c r="H166" i="158" s="1"/>
  <c r="H65" i="158"/>
  <c r="F267" i="158"/>
  <c r="G267" i="9"/>
  <c r="F166" i="159"/>
  <c r="I77" i="166"/>
  <c r="G68" i="161"/>
  <c r="J58" i="157" l="1"/>
  <c r="K58" i="157" s="1"/>
  <c r="F65" i="157"/>
  <c r="J65" i="9"/>
  <c r="I369" i="157"/>
  <c r="G369" i="157" s="1"/>
  <c r="J369" i="157" s="1"/>
  <c r="K369" i="157" s="1"/>
  <c r="I59" i="157"/>
  <c r="I782" i="157" s="1"/>
  <c r="G166" i="159"/>
  <c r="G369" i="161"/>
  <c r="I369" i="164" s="1"/>
  <c r="H369" i="160"/>
  <c r="G369" i="165" s="1"/>
  <c r="I369" i="166"/>
  <c r="J369" i="160"/>
  <c r="G369" i="167" s="1"/>
  <c r="J369" i="159"/>
  <c r="K369" i="159" s="1"/>
  <c r="G123" i="159"/>
  <c r="F123" i="160" s="1"/>
  <c r="I123" i="160" s="1"/>
  <c r="G123" i="166" s="1"/>
  <c r="H123" i="161"/>
  <c r="I123" i="165" s="1"/>
  <c r="J123" i="161"/>
  <c r="I122" i="161"/>
  <c r="I122" i="166" s="1"/>
  <c r="J367" i="160"/>
  <c r="G367" i="167" s="1"/>
  <c r="G367" i="161"/>
  <c r="I367" i="164" s="1"/>
  <c r="H122" i="161"/>
  <c r="G74" i="157"/>
  <c r="G122" i="159"/>
  <c r="J122" i="159" s="1"/>
  <c r="K122" i="159" s="1"/>
  <c r="I367" i="160"/>
  <c r="G367" i="166" s="1"/>
  <c r="J367" i="159"/>
  <c r="K367" i="159" s="1"/>
  <c r="G69" i="161"/>
  <c r="K69" i="161" s="1"/>
  <c r="L69" i="161" s="1"/>
  <c r="G74" i="161"/>
  <c r="K74" i="161" s="1"/>
  <c r="L74" i="161" s="1"/>
  <c r="H74" i="157"/>
  <c r="F74" i="155" s="1"/>
  <c r="I74" i="155" s="1"/>
  <c r="H74" i="166" s="1"/>
  <c r="J74" i="166" s="1"/>
  <c r="G77" i="157"/>
  <c r="I77" i="157"/>
  <c r="G373" i="160"/>
  <c r="G373" i="164" s="1"/>
  <c r="I129" i="159"/>
  <c r="H129" i="159"/>
  <c r="H777" i="159" s="1"/>
  <c r="F775" i="155"/>
  <c r="F75" i="157"/>
  <c r="J75" i="9"/>
  <c r="K75" i="9" s="1"/>
  <c r="F775" i="157"/>
  <c r="G775" i="9"/>
  <c r="F129" i="157"/>
  <c r="F777" i="157"/>
  <c r="J129" i="9"/>
  <c r="K129" i="9" s="1"/>
  <c r="F777" i="155"/>
  <c r="G777" i="9"/>
  <c r="J777" i="9" s="1"/>
  <c r="K777" i="9" s="1"/>
  <c r="H129" i="158"/>
  <c r="H777" i="158" s="1"/>
  <c r="I129" i="158"/>
  <c r="I777" i="158" s="1"/>
  <c r="I75" i="158"/>
  <c r="I775" i="158" s="1"/>
  <c r="G75" i="158"/>
  <c r="H75" i="158"/>
  <c r="H775" i="158" s="1"/>
  <c r="H75" i="159"/>
  <c r="H775" i="159" s="1"/>
  <c r="G75" i="159"/>
  <c r="I75" i="159"/>
  <c r="F767" i="155"/>
  <c r="F767" i="157"/>
  <c r="K381" i="164"/>
  <c r="G367" i="157"/>
  <c r="J367" i="157" s="1"/>
  <c r="K367" i="157" s="1"/>
  <c r="J126" i="157"/>
  <c r="K126" i="157" s="1"/>
  <c r="I77" i="164"/>
  <c r="K376" i="161"/>
  <c r="L376" i="161" s="1"/>
  <c r="J373" i="166"/>
  <c r="H373" i="162"/>
  <c r="F373" i="165" s="1"/>
  <c r="I373" i="162"/>
  <c r="F373" i="166" s="1"/>
  <c r="H768" i="161"/>
  <c r="I72" i="165"/>
  <c r="J768" i="160"/>
  <c r="G72" i="167"/>
  <c r="I770" i="161"/>
  <c r="I126" i="166"/>
  <c r="G370" i="159"/>
  <c r="J370" i="159" s="1"/>
  <c r="K370" i="159" s="1"/>
  <c r="J768" i="157"/>
  <c r="K768" i="157" s="1"/>
  <c r="J770" i="157"/>
  <c r="K770" i="157" s="1"/>
  <c r="J126" i="160"/>
  <c r="I126" i="160"/>
  <c r="H126" i="160"/>
  <c r="I768" i="161"/>
  <c r="I72" i="166"/>
  <c r="G72" i="166"/>
  <c r="I768" i="160"/>
  <c r="H770" i="161"/>
  <c r="I126" i="165"/>
  <c r="G377" i="159"/>
  <c r="F377" i="160" s="1"/>
  <c r="G373" i="155"/>
  <c r="J126" i="155"/>
  <c r="I126" i="155"/>
  <c r="H126" i="155"/>
  <c r="J72" i="155"/>
  <c r="J72" i="162" s="1"/>
  <c r="F72" i="167" s="1"/>
  <c r="I72" i="155"/>
  <c r="H72" i="155"/>
  <c r="H72" i="162" s="1"/>
  <c r="F72" i="165" s="1"/>
  <c r="J768" i="161"/>
  <c r="I72" i="167"/>
  <c r="G72" i="165"/>
  <c r="H768" i="160"/>
  <c r="I126" i="167"/>
  <c r="J770" i="161"/>
  <c r="J373" i="162"/>
  <c r="F373" i="167" s="1"/>
  <c r="G166" i="158"/>
  <c r="J373" i="165"/>
  <c r="G72" i="161"/>
  <c r="J373" i="167"/>
  <c r="G72" i="160"/>
  <c r="G126" i="161"/>
  <c r="G74" i="160"/>
  <c r="K74" i="160" s="1"/>
  <c r="L74" i="160" s="1"/>
  <c r="H58" i="162"/>
  <c r="F58" i="165" s="1"/>
  <c r="K58" i="165" s="1"/>
  <c r="G57" i="160"/>
  <c r="G59" i="160" s="1"/>
  <c r="G58" i="155"/>
  <c r="H58" i="164" s="1"/>
  <c r="G57" i="161"/>
  <c r="K57" i="161" s="1"/>
  <c r="G68" i="160"/>
  <c r="G68" i="164" s="1"/>
  <c r="G128" i="161"/>
  <c r="I128" i="164" s="1"/>
  <c r="G792" i="159"/>
  <c r="I792" i="159"/>
  <c r="I446" i="159" s="1"/>
  <c r="H792" i="159"/>
  <c r="H446" i="159" s="1"/>
  <c r="H447" i="159" s="1"/>
  <c r="F164" i="161"/>
  <c r="H782" i="161"/>
  <c r="I782" i="161"/>
  <c r="J782" i="161"/>
  <c r="F65" i="161"/>
  <c r="H128" i="155"/>
  <c r="H128" i="165" s="1"/>
  <c r="I128" i="155"/>
  <c r="H128" i="166" s="1"/>
  <c r="J128" i="155"/>
  <c r="H128" i="167" s="1"/>
  <c r="L732" i="161"/>
  <c r="P732" i="161"/>
  <c r="I122" i="167"/>
  <c r="F447" i="158"/>
  <c r="G57" i="165"/>
  <c r="H59" i="160"/>
  <c r="H115" i="161"/>
  <c r="H165" i="161" s="1"/>
  <c r="I114" i="165"/>
  <c r="I115" i="165" s="1"/>
  <c r="I165" i="165" s="1"/>
  <c r="H65" i="157"/>
  <c r="H164" i="157"/>
  <c r="H166" i="157" s="1"/>
  <c r="J372" i="9"/>
  <c r="K372" i="9" s="1"/>
  <c r="F372" i="157"/>
  <c r="G164" i="157"/>
  <c r="G65" i="157"/>
  <c r="I71" i="158"/>
  <c r="H71" i="158"/>
  <c r="G71" i="158"/>
  <c r="I128" i="167"/>
  <c r="J115" i="159"/>
  <c r="J165" i="159" s="1"/>
  <c r="K165" i="159" s="1"/>
  <c r="K114" i="159"/>
  <c r="K115" i="159" s="1"/>
  <c r="J68" i="157"/>
  <c r="K68" i="157" s="1"/>
  <c r="G123" i="157"/>
  <c r="J123" i="157" s="1"/>
  <c r="K123" i="157" s="1"/>
  <c r="I58" i="162"/>
  <c r="F58" i="166" s="1"/>
  <c r="K58" i="166" s="1"/>
  <c r="G782" i="157"/>
  <c r="H782" i="157"/>
  <c r="I370" i="161"/>
  <c r="I370" i="166" s="1"/>
  <c r="H370" i="161"/>
  <c r="I370" i="165" s="1"/>
  <c r="J370" i="161"/>
  <c r="I370" i="167" s="1"/>
  <c r="I57" i="167"/>
  <c r="I59" i="167" s="1"/>
  <c r="J59" i="161"/>
  <c r="J782" i="160"/>
  <c r="F65" i="160"/>
  <c r="F164" i="160"/>
  <c r="I782" i="160"/>
  <c r="H782" i="160"/>
  <c r="J114" i="157"/>
  <c r="G115" i="157"/>
  <c r="G165" i="157" s="1"/>
  <c r="I115" i="161"/>
  <c r="I165" i="161" s="1"/>
  <c r="I114" i="166"/>
  <c r="I115" i="166" s="1"/>
  <c r="I165" i="166" s="1"/>
  <c r="H377" i="158"/>
  <c r="I377" i="158"/>
  <c r="G792" i="158"/>
  <c r="H792" i="158"/>
  <c r="H446" i="158" s="1"/>
  <c r="H447" i="158" s="1"/>
  <c r="I792" i="158"/>
  <c r="I446" i="158" s="1"/>
  <c r="I447" i="158" s="1"/>
  <c r="G71" i="159"/>
  <c r="I71" i="159"/>
  <c r="H71" i="159"/>
  <c r="H377" i="161"/>
  <c r="I377" i="165" s="1"/>
  <c r="J377" i="161"/>
  <c r="I377" i="167" s="1"/>
  <c r="I377" i="161"/>
  <c r="I377" i="166" s="1"/>
  <c r="J115" i="158"/>
  <c r="J165" i="158" s="1"/>
  <c r="K165" i="158" s="1"/>
  <c r="K114" i="158"/>
  <c r="K115" i="158" s="1"/>
  <c r="F447" i="159"/>
  <c r="G128" i="157"/>
  <c r="J128" i="157" s="1"/>
  <c r="K128" i="157" s="1"/>
  <c r="G114" i="161"/>
  <c r="J69" i="157"/>
  <c r="K69" i="157" s="1"/>
  <c r="G122" i="157"/>
  <c r="J122" i="157" s="1"/>
  <c r="K122" i="157" s="1"/>
  <c r="G376" i="160"/>
  <c r="G69" i="160"/>
  <c r="G376" i="157"/>
  <c r="J376" i="157" s="1"/>
  <c r="K376" i="157" s="1"/>
  <c r="I68" i="164"/>
  <c r="K68" i="161"/>
  <c r="L68" i="161" s="1"/>
  <c r="J369" i="155"/>
  <c r="H369" i="155"/>
  <c r="I369" i="155"/>
  <c r="H369" i="166" s="1"/>
  <c r="F267" i="157"/>
  <c r="J267" i="9"/>
  <c r="K267" i="9" s="1"/>
  <c r="I57" i="165"/>
  <c r="I59" i="165" s="1"/>
  <c r="H59" i="161"/>
  <c r="J370" i="9"/>
  <c r="K370" i="9" s="1"/>
  <c r="F370" i="157"/>
  <c r="J446" i="9"/>
  <c r="F446" i="157"/>
  <c r="G447" i="9"/>
  <c r="G831" i="9" s="1"/>
  <c r="J831" i="9" s="1"/>
  <c r="K831" i="9" s="1"/>
  <c r="J166" i="9"/>
  <c r="K164" i="9"/>
  <c r="K166" i="9" s="1"/>
  <c r="J59" i="160"/>
  <c r="G57" i="167"/>
  <c r="I114" i="155"/>
  <c r="J114" i="155"/>
  <c r="F115" i="155"/>
  <c r="F165" i="155" s="1"/>
  <c r="H114" i="155"/>
  <c r="F377" i="157"/>
  <c r="J377" i="9"/>
  <c r="K377" i="9" s="1"/>
  <c r="I69" i="155"/>
  <c r="J69" i="155"/>
  <c r="H69" i="155"/>
  <c r="J123" i="155"/>
  <c r="H123" i="167" s="1"/>
  <c r="I123" i="155"/>
  <c r="H123" i="166" s="1"/>
  <c r="H123" i="155"/>
  <c r="H123" i="165" s="1"/>
  <c r="J65" i="159"/>
  <c r="J164" i="159"/>
  <c r="I128" i="165"/>
  <c r="J367" i="155"/>
  <c r="H367" i="167" s="1"/>
  <c r="H367" i="155"/>
  <c r="I367" i="155"/>
  <c r="H367" i="166" s="1"/>
  <c r="F268" i="157"/>
  <c r="J268" i="9"/>
  <c r="K268" i="9" s="1"/>
  <c r="H114" i="160"/>
  <c r="J114" i="160"/>
  <c r="F115" i="160"/>
  <c r="F165" i="160" s="1"/>
  <c r="I114" i="160"/>
  <c r="I77" i="155"/>
  <c r="H77" i="155"/>
  <c r="J77" i="155"/>
  <c r="G372" i="159"/>
  <c r="G77" i="160"/>
  <c r="J372" i="161"/>
  <c r="I372" i="161"/>
  <c r="I372" i="166" s="1"/>
  <c r="H372" i="161"/>
  <c r="I372" i="165" s="1"/>
  <c r="I57" i="166"/>
  <c r="I59" i="166" s="1"/>
  <c r="I59" i="161"/>
  <c r="H370" i="158"/>
  <c r="I370" i="158"/>
  <c r="I68" i="155"/>
  <c r="H68" i="166" s="1"/>
  <c r="J68" i="166" s="1"/>
  <c r="H68" i="155"/>
  <c r="H68" i="165" s="1"/>
  <c r="J68" i="165" s="1"/>
  <c r="J68" i="155"/>
  <c r="H68" i="167" s="1"/>
  <c r="J68" i="167" s="1"/>
  <c r="K58" i="160"/>
  <c r="L58" i="160" s="1"/>
  <c r="G58" i="164"/>
  <c r="J128" i="159"/>
  <c r="K128" i="159" s="1"/>
  <c r="F128" i="160"/>
  <c r="G57" i="166"/>
  <c r="I59" i="160"/>
  <c r="J115" i="161"/>
  <c r="J165" i="161" s="1"/>
  <c r="I114" i="167"/>
  <c r="I115" i="167" s="1"/>
  <c r="I165" i="167" s="1"/>
  <c r="H57" i="155"/>
  <c r="H57" i="162" s="1"/>
  <c r="J57" i="155"/>
  <c r="I57" i="155"/>
  <c r="F59" i="155"/>
  <c r="I372" i="158"/>
  <c r="H372" i="158"/>
  <c r="H58" i="167"/>
  <c r="J58" i="167" s="1"/>
  <c r="J58" i="162"/>
  <c r="F58" i="167" s="1"/>
  <c r="I123" i="166"/>
  <c r="K57" i="157"/>
  <c r="K59" i="157" s="1"/>
  <c r="K65" i="157" s="1"/>
  <c r="J59" i="157"/>
  <c r="G767" i="9"/>
  <c r="F71" i="157"/>
  <c r="J71" i="9"/>
  <c r="J122" i="155"/>
  <c r="H122" i="167" s="1"/>
  <c r="I122" i="155"/>
  <c r="H122" i="166" s="1"/>
  <c r="H122" i="155"/>
  <c r="H122" i="165" s="1"/>
  <c r="I128" i="166"/>
  <c r="J164" i="158"/>
  <c r="J65" i="158"/>
  <c r="F166" i="157"/>
  <c r="J376" i="155"/>
  <c r="H376" i="155"/>
  <c r="I376" i="155"/>
  <c r="H376" i="166" s="1"/>
  <c r="J376" i="166" s="1"/>
  <c r="I164" i="157" l="1"/>
  <c r="I166" i="157" s="1"/>
  <c r="I792" i="157" s="1"/>
  <c r="I267" i="157" s="1"/>
  <c r="I65" i="157"/>
  <c r="K369" i="161"/>
  <c r="L369" i="161" s="1"/>
  <c r="J369" i="166"/>
  <c r="H123" i="160"/>
  <c r="G123" i="165" s="1"/>
  <c r="J123" i="165" s="1"/>
  <c r="G369" i="160"/>
  <c r="K369" i="160" s="1"/>
  <c r="L369" i="160" s="1"/>
  <c r="J123" i="159"/>
  <c r="K123" i="159" s="1"/>
  <c r="J123" i="160"/>
  <c r="G123" i="167" s="1"/>
  <c r="G123" i="161"/>
  <c r="I123" i="164" s="1"/>
  <c r="G122" i="161"/>
  <c r="I122" i="164" s="1"/>
  <c r="I123" i="167"/>
  <c r="K367" i="161"/>
  <c r="L367" i="161" s="1"/>
  <c r="I74" i="164"/>
  <c r="J367" i="167"/>
  <c r="I69" i="164"/>
  <c r="J77" i="157"/>
  <c r="K77" i="157" s="1"/>
  <c r="F122" i="160"/>
  <c r="J122" i="160" s="1"/>
  <c r="G122" i="167" s="1"/>
  <c r="J122" i="167" s="1"/>
  <c r="I122" i="165"/>
  <c r="G367" i="160"/>
  <c r="G367" i="164" s="1"/>
  <c r="J367" i="166"/>
  <c r="H74" i="155"/>
  <c r="H74" i="165" s="1"/>
  <c r="J74" i="165" s="1"/>
  <c r="J74" i="155"/>
  <c r="H74" i="167" s="1"/>
  <c r="J74" i="167" s="1"/>
  <c r="J74" i="157"/>
  <c r="K74" i="157" s="1"/>
  <c r="K373" i="160"/>
  <c r="L373" i="160" s="1"/>
  <c r="G373" i="162"/>
  <c r="F373" i="164" s="1"/>
  <c r="H126" i="162"/>
  <c r="F126" i="165" s="1"/>
  <c r="J126" i="162"/>
  <c r="F126" i="167" s="1"/>
  <c r="J377" i="159"/>
  <c r="K377" i="159" s="1"/>
  <c r="J775" i="9"/>
  <c r="K775" i="9" s="1"/>
  <c r="G129" i="158"/>
  <c r="I129" i="157"/>
  <c r="I777" i="157" s="1"/>
  <c r="H129" i="157"/>
  <c r="I75" i="157"/>
  <c r="I775" i="157" s="1"/>
  <c r="H75" i="157"/>
  <c r="G75" i="157"/>
  <c r="I777" i="159"/>
  <c r="F777" i="161"/>
  <c r="F129" i="161"/>
  <c r="G775" i="159"/>
  <c r="J75" i="159"/>
  <c r="K75" i="159" s="1"/>
  <c r="F75" i="160"/>
  <c r="F775" i="160"/>
  <c r="F775" i="161"/>
  <c r="I775" i="159"/>
  <c r="F75" i="161"/>
  <c r="J75" i="158"/>
  <c r="K75" i="158" s="1"/>
  <c r="G775" i="158"/>
  <c r="G129" i="159"/>
  <c r="K373" i="165"/>
  <c r="K373" i="166"/>
  <c r="J114" i="162"/>
  <c r="F114" i="167" s="1"/>
  <c r="K68" i="160"/>
  <c r="L68" i="160" s="1"/>
  <c r="H268" i="158"/>
  <c r="H68" i="162"/>
  <c r="F68" i="165" s="1"/>
  <c r="K68" i="165" s="1"/>
  <c r="K57" i="160"/>
  <c r="K59" i="160" s="1"/>
  <c r="G377" i="158"/>
  <c r="J377" i="158" s="1"/>
  <c r="K377" i="158" s="1"/>
  <c r="I126" i="162"/>
  <c r="F126" i="166" s="1"/>
  <c r="G372" i="158"/>
  <c r="J372" i="158" s="1"/>
  <c r="K372" i="158" s="1"/>
  <c r="G58" i="162"/>
  <c r="K58" i="162" s="1"/>
  <c r="L58" i="162" s="1"/>
  <c r="G74" i="164"/>
  <c r="I367" i="162"/>
  <c r="F367" i="166" s="1"/>
  <c r="K58" i="155"/>
  <c r="L58" i="155" s="1"/>
  <c r="F370" i="160"/>
  <c r="H370" i="160" s="1"/>
  <c r="I268" i="158"/>
  <c r="J58" i="164"/>
  <c r="K128" i="161"/>
  <c r="L128" i="161" s="1"/>
  <c r="G770" i="161"/>
  <c r="K126" i="161"/>
  <c r="I126" i="164"/>
  <c r="J768" i="155"/>
  <c r="H72" i="167"/>
  <c r="J72" i="167" s="1"/>
  <c r="K72" i="167" s="1"/>
  <c r="H770" i="160"/>
  <c r="G126" i="165"/>
  <c r="K373" i="167"/>
  <c r="I72" i="164"/>
  <c r="K72" i="161"/>
  <c r="G768" i="161"/>
  <c r="I72" i="162"/>
  <c r="F72" i="166" s="1"/>
  <c r="I768" i="155"/>
  <c r="H72" i="166"/>
  <c r="J72" i="166" s="1"/>
  <c r="H126" i="167"/>
  <c r="J770" i="155"/>
  <c r="I57" i="164"/>
  <c r="I59" i="164" s="1"/>
  <c r="I164" i="164" s="1"/>
  <c r="G126" i="160"/>
  <c r="H768" i="155"/>
  <c r="H72" i="165"/>
  <c r="J72" i="165" s="1"/>
  <c r="K72" i="165" s="1"/>
  <c r="I770" i="155"/>
  <c r="H126" i="166"/>
  <c r="J770" i="160"/>
  <c r="G126" i="167"/>
  <c r="G768" i="160"/>
  <c r="K72" i="160"/>
  <c r="G72" i="164"/>
  <c r="G126" i="155"/>
  <c r="H770" i="155"/>
  <c r="H126" i="165"/>
  <c r="K373" i="155"/>
  <c r="L373" i="155" s="1"/>
  <c r="H373" i="164"/>
  <c r="J373" i="164" s="1"/>
  <c r="I770" i="160"/>
  <c r="G126" i="166"/>
  <c r="G72" i="155"/>
  <c r="G72" i="162" s="1"/>
  <c r="G57" i="164"/>
  <c r="G59" i="164" s="1"/>
  <c r="G59" i="161"/>
  <c r="G65" i="161" s="1"/>
  <c r="J123" i="166"/>
  <c r="G57" i="155"/>
  <c r="G57" i="162" s="1"/>
  <c r="G370" i="158"/>
  <c r="J370" i="158" s="1"/>
  <c r="K370" i="158" s="1"/>
  <c r="G114" i="155"/>
  <c r="H114" i="164" s="1"/>
  <c r="H115" i="164" s="1"/>
  <c r="H165" i="164" s="1"/>
  <c r="G77" i="155"/>
  <c r="H77" i="164" s="1"/>
  <c r="G782" i="160"/>
  <c r="K782" i="160" s="1"/>
  <c r="P782" i="160" s="1"/>
  <c r="I68" i="162"/>
  <c r="F68" i="166" s="1"/>
  <c r="K68" i="166" s="1"/>
  <c r="G367" i="155"/>
  <c r="G369" i="155"/>
  <c r="K369" i="155" s="1"/>
  <c r="L369" i="155" s="1"/>
  <c r="G782" i="161"/>
  <c r="K782" i="161" s="1"/>
  <c r="P782" i="161" s="1"/>
  <c r="F57" i="165"/>
  <c r="H59" i="162"/>
  <c r="H376" i="167"/>
  <c r="J376" i="167" s="1"/>
  <c r="J376" i="162"/>
  <c r="F376" i="167" s="1"/>
  <c r="J767" i="9"/>
  <c r="K767" i="9" s="1"/>
  <c r="H57" i="167"/>
  <c r="H59" i="167" s="1"/>
  <c r="J59" i="155"/>
  <c r="I65" i="161"/>
  <c r="I164" i="161"/>
  <c r="I166" i="161" s="1"/>
  <c r="H77" i="167"/>
  <c r="J77" i="167" s="1"/>
  <c r="J77" i="162"/>
  <c r="F77" i="167" s="1"/>
  <c r="G114" i="160"/>
  <c r="I115" i="160"/>
  <c r="I165" i="160" s="1"/>
  <c r="G114" i="166"/>
  <c r="H69" i="166"/>
  <c r="J69" i="166" s="1"/>
  <c r="I69" i="162"/>
  <c r="F69" i="166" s="1"/>
  <c r="H114" i="166"/>
  <c r="H115" i="166" s="1"/>
  <c r="H165" i="166" s="1"/>
  <c r="I115" i="155"/>
  <c r="I165" i="155" s="1"/>
  <c r="H767" i="159"/>
  <c r="J792" i="158"/>
  <c r="K792" i="158" s="1"/>
  <c r="O792" i="158"/>
  <c r="J115" i="157"/>
  <c r="J165" i="157" s="1"/>
  <c r="K165" i="157" s="1"/>
  <c r="K114" i="157"/>
  <c r="K115" i="157" s="1"/>
  <c r="J65" i="161"/>
  <c r="J164" i="161"/>
  <c r="J166" i="161" s="1"/>
  <c r="H767" i="158"/>
  <c r="H65" i="160"/>
  <c r="H164" i="160"/>
  <c r="I831" i="158"/>
  <c r="H831" i="158"/>
  <c r="G831" i="158"/>
  <c r="F166" i="161"/>
  <c r="I268" i="159"/>
  <c r="F268" i="161" s="1"/>
  <c r="I267" i="159"/>
  <c r="F267" i="161" s="1"/>
  <c r="K59" i="161"/>
  <c r="L57" i="161"/>
  <c r="L59" i="161" s="1"/>
  <c r="L65" i="161" s="1"/>
  <c r="J377" i="160"/>
  <c r="H377" i="160"/>
  <c r="I377" i="160"/>
  <c r="G68" i="155"/>
  <c r="I376" i="162"/>
  <c r="F376" i="166" s="1"/>
  <c r="K376" i="166" s="1"/>
  <c r="I114" i="162"/>
  <c r="I267" i="158"/>
  <c r="G128" i="155"/>
  <c r="G372" i="161"/>
  <c r="H376" i="165"/>
  <c r="J376" i="165" s="1"/>
  <c r="H376" i="162"/>
  <c r="F376" i="165" s="1"/>
  <c r="H57" i="166"/>
  <c r="H59" i="166" s="1"/>
  <c r="I59" i="155"/>
  <c r="K77" i="160"/>
  <c r="L77" i="160" s="1"/>
  <c r="G77" i="164"/>
  <c r="H114" i="162"/>
  <c r="G114" i="165"/>
  <c r="H115" i="160"/>
  <c r="H165" i="160" s="1"/>
  <c r="H69" i="167"/>
  <c r="J69" i="167" s="1"/>
  <c r="J69" i="162"/>
  <c r="F69" i="167" s="1"/>
  <c r="H114" i="167"/>
  <c r="H115" i="167" s="1"/>
  <c r="H165" i="167" s="1"/>
  <c r="J115" i="155"/>
  <c r="J165" i="155" s="1"/>
  <c r="K446" i="9"/>
  <c r="K447" i="9" s="1"/>
  <c r="J447" i="9"/>
  <c r="H370" i="157"/>
  <c r="F370" i="155" s="1"/>
  <c r="I370" i="157"/>
  <c r="H369" i="167"/>
  <c r="J369" i="167" s="1"/>
  <c r="J369" i="162"/>
  <c r="F369" i="167" s="1"/>
  <c r="K69" i="160"/>
  <c r="L69" i="160" s="1"/>
  <c r="G69" i="164"/>
  <c r="G115" i="161"/>
  <c r="G165" i="161" s="1"/>
  <c r="K114" i="161"/>
  <c r="I114" i="164"/>
  <c r="I115" i="164" s="1"/>
  <c r="I165" i="164" s="1"/>
  <c r="G831" i="159"/>
  <c r="H831" i="159"/>
  <c r="I831" i="159"/>
  <c r="J782" i="157"/>
  <c r="K782" i="157" s="1"/>
  <c r="O782" i="157"/>
  <c r="H267" i="159"/>
  <c r="H268" i="159"/>
  <c r="G164" i="160"/>
  <c r="G65" i="160"/>
  <c r="I123" i="162"/>
  <c r="F123" i="166" s="1"/>
  <c r="K58" i="167"/>
  <c r="I57" i="162"/>
  <c r="G123" i="155"/>
  <c r="I74" i="162"/>
  <c r="F74" i="166" s="1"/>
  <c r="K74" i="166" s="1"/>
  <c r="G377" i="161"/>
  <c r="J57" i="162"/>
  <c r="H267" i="158"/>
  <c r="I369" i="162"/>
  <c r="F369" i="166" s="1"/>
  <c r="G166" i="157"/>
  <c r="G792" i="157" s="1"/>
  <c r="G446" i="158"/>
  <c r="H792" i="157"/>
  <c r="H267" i="157" s="1"/>
  <c r="J166" i="158"/>
  <c r="K164" i="158"/>
  <c r="K166" i="158" s="1"/>
  <c r="H71" i="157"/>
  <c r="I71" i="157"/>
  <c r="G71" i="157"/>
  <c r="G59" i="166"/>
  <c r="H128" i="160"/>
  <c r="I128" i="160"/>
  <c r="J128" i="160"/>
  <c r="I372" i="167"/>
  <c r="H77" i="166"/>
  <c r="J77" i="166" s="1"/>
  <c r="I77" i="162"/>
  <c r="F77" i="166" s="1"/>
  <c r="G114" i="167"/>
  <c r="J115" i="160"/>
  <c r="J165" i="160" s="1"/>
  <c r="H69" i="165"/>
  <c r="J69" i="165" s="1"/>
  <c r="H69" i="162"/>
  <c r="F69" i="165" s="1"/>
  <c r="I377" i="157"/>
  <c r="H377" i="157"/>
  <c r="F377" i="155" s="1"/>
  <c r="J65" i="160"/>
  <c r="J164" i="160"/>
  <c r="F447" i="157"/>
  <c r="I65" i="165"/>
  <c r="I164" i="165"/>
  <c r="I166" i="165" s="1"/>
  <c r="H369" i="165"/>
  <c r="J369" i="165" s="1"/>
  <c r="H369" i="162"/>
  <c r="F369" i="165" s="1"/>
  <c r="G376" i="164"/>
  <c r="K376" i="160"/>
  <c r="L376" i="160" s="1"/>
  <c r="F446" i="161"/>
  <c r="I447" i="159"/>
  <c r="G767" i="159"/>
  <c r="J71" i="159"/>
  <c r="F767" i="160"/>
  <c r="F71" i="160"/>
  <c r="G767" i="158"/>
  <c r="J71" i="158"/>
  <c r="H372" i="157"/>
  <c r="F372" i="155" s="1"/>
  <c r="I372" i="157"/>
  <c r="J68" i="162"/>
  <c r="F68" i="167" s="1"/>
  <c r="K68" i="167" s="1"/>
  <c r="G370" i="161"/>
  <c r="K71" i="9"/>
  <c r="J164" i="157"/>
  <c r="J65" i="157"/>
  <c r="F65" i="155"/>
  <c r="F164" i="155"/>
  <c r="F166" i="155" s="1"/>
  <c r="H57" i="165"/>
  <c r="H59" i="165" s="1"/>
  <c r="H59" i="155"/>
  <c r="I65" i="160"/>
  <c r="I164" i="160"/>
  <c r="I65" i="166"/>
  <c r="I164" i="166"/>
  <c r="I166" i="166" s="1"/>
  <c r="F372" i="160"/>
  <c r="J372" i="159"/>
  <c r="K372" i="159" s="1"/>
  <c r="H77" i="165"/>
  <c r="J77" i="165" s="1"/>
  <c r="H77" i="162"/>
  <c r="F77" i="165" s="1"/>
  <c r="F166" i="160"/>
  <c r="H367" i="162"/>
  <c r="F367" i="165" s="1"/>
  <c r="H367" i="165"/>
  <c r="J367" i="165" s="1"/>
  <c r="J166" i="159"/>
  <c r="K164" i="159"/>
  <c r="K166" i="159" s="1"/>
  <c r="H114" i="165"/>
  <c r="H115" i="165" s="1"/>
  <c r="H165" i="165" s="1"/>
  <c r="H115" i="155"/>
  <c r="H165" i="155" s="1"/>
  <c r="G59" i="167"/>
  <c r="H65" i="161"/>
  <c r="H164" i="161"/>
  <c r="H166" i="161" s="1"/>
  <c r="I767" i="159"/>
  <c r="F767" i="161"/>
  <c r="F71" i="161"/>
  <c r="I65" i="167"/>
  <c r="I164" i="167"/>
  <c r="I166" i="167" s="1"/>
  <c r="I767" i="158"/>
  <c r="G59" i="165"/>
  <c r="O792" i="159"/>
  <c r="J792" i="159"/>
  <c r="K792" i="159" s="1"/>
  <c r="G376" i="155"/>
  <c r="G122" i="155"/>
  <c r="G69" i="155"/>
  <c r="G446" i="159"/>
  <c r="J367" i="162"/>
  <c r="F367" i="167" s="1"/>
  <c r="K369" i="166" l="1"/>
  <c r="H123" i="162"/>
  <c r="F123" i="165" s="1"/>
  <c r="K123" i="165" s="1"/>
  <c r="G369" i="164"/>
  <c r="K123" i="161"/>
  <c r="L123" i="161" s="1"/>
  <c r="J123" i="162"/>
  <c r="F123" i="167" s="1"/>
  <c r="G123" i="160"/>
  <c r="K123" i="160" s="1"/>
  <c r="L123" i="160" s="1"/>
  <c r="J123" i="167"/>
  <c r="K122" i="161"/>
  <c r="L122" i="161" s="1"/>
  <c r="K367" i="167"/>
  <c r="J74" i="162"/>
  <c r="F74" i="167" s="1"/>
  <c r="K74" i="167" s="1"/>
  <c r="J122" i="162"/>
  <c r="F122" i="167" s="1"/>
  <c r="K122" i="167" s="1"/>
  <c r="I122" i="160"/>
  <c r="G122" i="166" s="1"/>
  <c r="J122" i="166" s="1"/>
  <c r="H122" i="160"/>
  <c r="G122" i="165" s="1"/>
  <c r="J122" i="165" s="1"/>
  <c r="K367" i="160"/>
  <c r="L367" i="160" s="1"/>
  <c r="G367" i="162"/>
  <c r="F367" i="164" s="1"/>
  <c r="G74" i="155"/>
  <c r="H74" i="164" s="1"/>
  <c r="J74" i="164" s="1"/>
  <c r="K367" i="166"/>
  <c r="H74" i="162"/>
  <c r="F74" i="165" s="1"/>
  <c r="K74" i="165" s="1"/>
  <c r="J126" i="166"/>
  <c r="K126" i="166" s="1"/>
  <c r="L57" i="160"/>
  <c r="L59" i="160" s="1"/>
  <c r="L65" i="160" s="1"/>
  <c r="K373" i="162"/>
  <c r="L373" i="162" s="1"/>
  <c r="G164" i="161"/>
  <c r="G166" i="161" s="1"/>
  <c r="J370" i="160"/>
  <c r="G370" i="167" s="1"/>
  <c r="G267" i="158"/>
  <c r="J267" i="158" s="1"/>
  <c r="K267" i="158" s="1"/>
  <c r="H166" i="160"/>
  <c r="G268" i="158"/>
  <c r="J268" i="158" s="1"/>
  <c r="K268" i="158" s="1"/>
  <c r="G129" i="157"/>
  <c r="G777" i="157" s="1"/>
  <c r="J775" i="158"/>
  <c r="K775" i="158" s="1"/>
  <c r="J775" i="159"/>
  <c r="K775" i="159" s="1"/>
  <c r="F777" i="160"/>
  <c r="F129" i="160"/>
  <c r="G777" i="159"/>
  <c r="J129" i="159"/>
  <c r="K129" i="159" s="1"/>
  <c r="H75" i="161"/>
  <c r="J75" i="161"/>
  <c r="I75" i="161"/>
  <c r="I75" i="160"/>
  <c r="J75" i="160"/>
  <c r="H75" i="160"/>
  <c r="I129" i="161"/>
  <c r="J129" i="161"/>
  <c r="H129" i="161"/>
  <c r="H775" i="157"/>
  <c r="F75" i="155"/>
  <c r="G775" i="157"/>
  <c r="J75" i="157"/>
  <c r="K75" i="157" s="1"/>
  <c r="F129" i="155"/>
  <c r="H777" i="157"/>
  <c r="J129" i="158"/>
  <c r="K129" i="158" s="1"/>
  <c r="G777" i="158"/>
  <c r="J777" i="158" s="1"/>
  <c r="K777" i="158" s="1"/>
  <c r="I65" i="164"/>
  <c r="I370" i="160"/>
  <c r="G370" i="166" s="1"/>
  <c r="G59" i="155"/>
  <c r="G65" i="155" s="1"/>
  <c r="F58" i="164"/>
  <c r="K58" i="164" s="1"/>
  <c r="G59" i="162"/>
  <c r="G65" i="162" s="1"/>
  <c r="G77" i="162"/>
  <c r="K77" i="162" s="1"/>
  <c r="L77" i="162" s="1"/>
  <c r="J115" i="162"/>
  <c r="J165" i="162" s="1"/>
  <c r="G268" i="159"/>
  <c r="F268" i="160" s="1"/>
  <c r="I268" i="157"/>
  <c r="J57" i="166"/>
  <c r="J59" i="166" s="1"/>
  <c r="J164" i="166" s="1"/>
  <c r="K376" i="165"/>
  <c r="H268" i="157"/>
  <c r="F268" i="155" s="1"/>
  <c r="H446" i="157"/>
  <c r="F446" i="155" s="1"/>
  <c r="G369" i="162"/>
  <c r="F369" i="164" s="1"/>
  <c r="K123" i="166"/>
  <c r="F72" i="164"/>
  <c r="K72" i="162"/>
  <c r="L72" i="162" s="1"/>
  <c r="G770" i="160"/>
  <c r="K126" i="160"/>
  <c r="G126" i="164"/>
  <c r="K77" i="155"/>
  <c r="L77" i="155" s="1"/>
  <c r="G115" i="155"/>
  <c r="G165" i="155" s="1"/>
  <c r="K72" i="166"/>
  <c r="G126" i="162"/>
  <c r="L72" i="160"/>
  <c r="K768" i="160"/>
  <c r="L768" i="160" s="1"/>
  <c r="J126" i="167"/>
  <c r="K126" i="167" s="1"/>
  <c r="G768" i="155"/>
  <c r="H72" i="164"/>
  <c r="J72" i="164" s="1"/>
  <c r="K72" i="155"/>
  <c r="L126" i="161"/>
  <c r="K770" i="161"/>
  <c r="L770" i="161" s="1"/>
  <c r="K373" i="164"/>
  <c r="H126" i="164"/>
  <c r="G770" i="155"/>
  <c r="K126" i="155"/>
  <c r="K768" i="161"/>
  <c r="L768" i="161" s="1"/>
  <c r="L72" i="161"/>
  <c r="J57" i="165"/>
  <c r="J59" i="165" s="1"/>
  <c r="J65" i="165" s="1"/>
  <c r="K77" i="166"/>
  <c r="K367" i="155"/>
  <c r="L367" i="155" s="1"/>
  <c r="J126" i="165"/>
  <c r="K126" i="165" s="1"/>
  <c r="L782" i="160"/>
  <c r="I446" i="157"/>
  <c r="I447" i="157" s="1"/>
  <c r="I831" i="157" s="1"/>
  <c r="G128" i="160"/>
  <c r="G128" i="162" s="1"/>
  <c r="L782" i="161"/>
  <c r="K369" i="167"/>
  <c r="K77" i="167"/>
  <c r="H369" i="164"/>
  <c r="K114" i="155"/>
  <c r="L114" i="155" s="1"/>
  <c r="L115" i="155" s="1"/>
  <c r="F57" i="164"/>
  <c r="K57" i="155"/>
  <c r="L57" i="155" s="1"/>
  <c r="L59" i="155" s="1"/>
  <c r="L65" i="155" s="1"/>
  <c r="G114" i="162"/>
  <c r="G115" i="162" s="1"/>
  <c r="G165" i="162" s="1"/>
  <c r="J57" i="167"/>
  <c r="J59" i="167" s="1"/>
  <c r="J65" i="167" s="1"/>
  <c r="H57" i="164"/>
  <c r="G267" i="159"/>
  <c r="J267" i="159" s="1"/>
  <c r="K267" i="159" s="1"/>
  <c r="H367" i="164"/>
  <c r="J367" i="164" s="1"/>
  <c r="K69" i="166"/>
  <c r="F267" i="155"/>
  <c r="G267" i="157"/>
  <c r="J267" i="157" s="1"/>
  <c r="K267" i="157" s="1"/>
  <c r="O792" i="157"/>
  <c r="J792" i="157"/>
  <c r="K792" i="157" s="1"/>
  <c r="K69" i="155"/>
  <c r="L69" i="155" s="1"/>
  <c r="H69" i="164"/>
  <c r="J69" i="164" s="1"/>
  <c r="K376" i="155"/>
  <c r="L376" i="155" s="1"/>
  <c r="H376" i="164"/>
  <c r="J376" i="164" s="1"/>
  <c r="G65" i="165"/>
  <c r="G164" i="165"/>
  <c r="I71" i="161"/>
  <c r="J71" i="161"/>
  <c r="H71" i="161"/>
  <c r="K164" i="160"/>
  <c r="K65" i="160"/>
  <c r="J767" i="158"/>
  <c r="K767" i="158" s="1"/>
  <c r="K71" i="159"/>
  <c r="G115" i="167"/>
  <c r="G165" i="167" s="1"/>
  <c r="J114" i="167"/>
  <c r="J115" i="167" s="1"/>
  <c r="J165" i="167" s="1"/>
  <c r="G128" i="167"/>
  <c r="J128" i="167" s="1"/>
  <c r="J128" i="162"/>
  <c r="F128" i="167" s="1"/>
  <c r="G447" i="158"/>
  <c r="J446" i="158"/>
  <c r="I377" i="164"/>
  <c r="K377" i="161"/>
  <c r="L377" i="161" s="1"/>
  <c r="F57" i="166"/>
  <c r="I59" i="162"/>
  <c r="O831" i="159"/>
  <c r="J831" i="159"/>
  <c r="K831" i="159" s="1"/>
  <c r="H128" i="164"/>
  <c r="K128" i="155"/>
  <c r="L128" i="155" s="1"/>
  <c r="K68" i="155"/>
  <c r="L68" i="155" s="1"/>
  <c r="H68" i="164"/>
  <c r="J68" i="164" s="1"/>
  <c r="G68" i="162"/>
  <c r="G377" i="167"/>
  <c r="G115" i="166"/>
  <c r="G165" i="166" s="1"/>
  <c r="J114" i="166"/>
  <c r="J115" i="166" s="1"/>
  <c r="J165" i="166" s="1"/>
  <c r="H164" i="167"/>
  <c r="H166" i="167" s="1"/>
  <c r="H65" i="167"/>
  <c r="G376" i="162"/>
  <c r="G377" i="157"/>
  <c r="J377" i="157" s="1"/>
  <c r="K377" i="157" s="1"/>
  <c r="G370" i="157"/>
  <c r="J370" i="157" s="1"/>
  <c r="K370" i="157" s="1"/>
  <c r="H122" i="164"/>
  <c r="K122" i="155"/>
  <c r="L122" i="155" s="1"/>
  <c r="G65" i="167"/>
  <c r="G164" i="167"/>
  <c r="K370" i="161"/>
  <c r="L370" i="161" s="1"/>
  <c r="I370" i="164"/>
  <c r="K71" i="158"/>
  <c r="F447" i="161"/>
  <c r="G65" i="166"/>
  <c r="G164" i="166"/>
  <c r="I767" i="157"/>
  <c r="K115" i="161"/>
  <c r="K165" i="161" s="1"/>
  <c r="L165" i="161" s="1"/>
  <c r="L114" i="161"/>
  <c r="L115" i="161" s="1"/>
  <c r="H115" i="162"/>
  <c r="H165" i="162" s="1"/>
  <c r="F114" i="165"/>
  <c r="I372" i="164"/>
  <c r="K372" i="161"/>
  <c r="L372" i="161" s="1"/>
  <c r="G377" i="165"/>
  <c r="J831" i="158"/>
  <c r="K831" i="158" s="1"/>
  <c r="O831" i="158"/>
  <c r="J782" i="155"/>
  <c r="J164" i="155"/>
  <c r="J166" i="155" s="1"/>
  <c r="J792" i="155" s="1"/>
  <c r="J65" i="155"/>
  <c r="K77" i="165"/>
  <c r="G372" i="157"/>
  <c r="J372" i="157" s="1"/>
  <c r="K372" i="157" s="1"/>
  <c r="K369" i="165"/>
  <c r="K69" i="165"/>
  <c r="J166" i="160"/>
  <c r="K69" i="167"/>
  <c r="J77" i="164"/>
  <c r="K57" i="162"/>
  <c r="J446" i="159"/>
  <c r="F446" i="160"/>
  <c r="G447" i="159"/>
  <c r="H792" i="160"/>
  <c r="I792" i="160"/>
  <c r="J792" i="160"/>
  <c r="J372" i="160"/>
  <c r="H372" i="160"/>
  <c r="I372" i="160"/>
  <c r="H164" i="165"/>
  <c r="H166" i="165" s="1"/>
  <c r="H65" i="165"/>
  <c r="J166" i="157"/>
  <c r="K164" i="157"/>
  <c r="K166" i="157" s="1"/>
  <c r="G128" i="165"/>
  <c r="J128" i="165" s="1"/>
  <c r="H128" i="162"/>
  <c r="F128" i="165" s="1"/>
  <c r="F115" i="167"/>
  <c r="F165" i="167" s="1"/>
  <c r="J71" i="157"/>
  <c r="G767" i="157"/>
  <c r="I370" i="155"/>
  <c r="H370" i="166" s="1"/>
  <c r="H370" i="155"/>
  <c r="H370" i="165" s="1"/>
  <c r="J370" i="155"/>
  <c r="H370" i="167" s="1"/>
  <c r="G115" i="165"/>
  <c r="G165" i="165" s="1"/>
  <c r="J114" i="165"/>
  <c r="J115" i="165" s="1"/>
  <c r="J165" i="165" s="1"/>
  <c r="H65" i="166"/>
  <c r="H164" i="166"/>
  <c r="H166" i="166" s="1"/>
  <c r="F114" i="166"/>
  <c r="I115" i="162"/>
  <c r="I165" i="162" s="1"/>
  <c r="G377" i="166"/>
  <c r="K164" i="161"/>
  <c r="K65" i="161"/>
  <c r="J792" i="161"/>
  <c r="J268" i="161" s="1"/>
  <c r="I792" i="161"/>
  <c r="I446" i="161" s="1"/>
  <c r="H792" i="161"/>
  <c r="G115" i="160"/>
  <c r="G165" i="160" s="1"/>
  <c r="G166" i="160" s="1"/>
  <c r="K114" i="160"/>
  <c r="G114" i="164"/>
  <c r="F59" i="165"/>
  <c r="K376" i="167"/>
  <c r="G69" i="162"/>
  <c r="G65" i="164"/>
  <c r="G164" i="164"/>
  <c r="H782" i="155"/>
  <c r="H164" i="155"/>
  <c r="H166" i="155" s="1"/>
  <c r="H792" i="155" s="1"/>
  <c r="H65" i="155"/>
  <c r="H372" i="155"/>
  <c r="H372" i="165" s="1"/>
  <c r="J372" i="155"/>
  <c r="H372" i="167" s="1"/>
  <c r="I372" i="155"/>
  <c r="H372" i="166" s="1"/>
  <c r="I71" i="160"/>
  <c r="J71" i="160"/>
  <c r="H71" i="160"/>
  <c r="J767" i="159"/>
  <c r="K767" i="159" s="1"/>
  <c r="I377" i="155"/>
  <c r="H377" i="166" s="1"/>
  <c r="J377" i="155"/>
  <c r="H377" i="167" s="1"/>
  <c r="H377" i="155"/>
  <c r="H377" i="165" s="1"/>
  <c r="G128" i="166"/>
  <c r="J128" i="166" s="1"/>
  <c r="I128" i="162"/>
  <c r="F128" i="166" s="1"/>
  <c r="H767" i="157"/>
  <c r="F71" i="155"/>
  <c r="F57" i="167"/>
  <c r="J59" i="162"/>
  <c r="K123" i="155"/>
  <c r="L123" i="155" s="1"/>
  <c r="H123" i="164"/>
  <c r="I782" i="155"/>
  <c r="I65" i="155"/>
  <c r="I164" i="155"/>
  <c r="I166" i="155" s="1"/>
  <c r="I792" i="155" s="1"/>
  <c r="G370" i="165"/>
  <c r="H65" i="162"/>
  <c r="H164" i="162"/>
  <c r="K367" i="165"/>
  <c r="I166" i="164"/>
  <c r="G377" i="160"/>
  <c r="I166" i="160"/>
  <c r="J369" i="164" l="1"/>
  <c r="K369" i="164" s="1"/>
  <c r="K123" i="167"/>
  <c r="G123" i="164"/>
  <c r="J123" i="164" s="1"/>
  <c r="G123" i="162"/>
  <c r="K123" i="162" s="1"/>
  <c r="L123" i="162" s="1"/>
  <c r="I122" i="162"/>
  <c r="F122" i="166" s="1"/>
  <c r="K122" i="166" s="1"/>
  <c r="K367" i="162"/>
  <c r="L367" i="162" s="1"/>
  <c r="G122" i="160"/>
  <c r="K122" i="160" s="1"/>
  <c r="L122" i="160" s="1"/>
  <c r="H122" i="162"/>
  <c r="F122" i="165" s="1"/>
  <c r="K122" i="165" s="1"/>
  <c r="G74" i="162"/>
  <c r="F74" i="164" s="1"/>
  <c r="K74" i="164" s="1"/>
  <c r="K74" i="155"/>
  <c r="L74" i="155" s="1"/>
  <c r="J268" i="159"/>
  <c r="K268" i="159" s="1"/>
  <c r="F267" i="160"/>
  <c r="J267" i="160" s="1"/>
  <c r="G267" i="167" s="1"/>
  <c r="J129" i="157"/>
  <c r="K129" i="157" s="1"/>
  <c r="G75" i="160"/>
  <c r="G775" i="160" s="1"/>
  <c r="G75" i="161"/>
  <c r="K75" i="161" s="1"/>
  <c r="J775" i="157"/>
  <c r="K775" i="157" s="1"/>
  <c r="I129" i="166"/>
  <c r="I777" i="161"/>
  <c r="G75" i="167"/>
  <c r="J775" i="160"/>
  <c r="I75" i="166"/>
  <c r="I775" i="161"/>
  <c r="J777" i="159"/>
  <c r="K777" i="159" s="1"/>
  <c r="H75" i="155"/>
  <c r="I75" i="155"/>
  <c r="J75" i="155"/>
  <c r="J75" i="162" s="1"/>
  <c r="F75" i="167" s="1"/>
  <c r="J777" i="161"/>
  <c r="I129" i="167"/>
  <c r="G75" i="165"/>
  <c r="H775" i="160"/>
  <c r="J777" i="157"/>
  <c r="K777" i="157" s="1"/>
  <c r="H129" i="155"/>
  <c r="I129" i="155"/>
  <c r="J129" i="155"/>
  <c r="I129" i="165"/>
  <c r="H777" i="161"/>
  <c r="I75" i="165"/>
  <c r="H775" i="161"/>
  <c r="I775" i="160"/>
  <c r="G75" i="166"/>
  <c r="J775" i="161"/>
  <c r="I75" i="167"/>
  <c r="J129" i="160"/>
  <c r="I129" i="160"/>
  <c r="H129" i="160"/>
  <c r="G129" i="161"/>
  <c r="G370" i="160"/>
  <c r="K370" i="160" s="1"/>
  <c r="L370" i="160" s="1"/>
  <c r="K128" i="160"/>
  <c r="L128" i="160" s="1"/>
  <c r="G128" i="164"/>
  <c r="J128" i="164" s="1"/>
  <c r="F59" i="164"/>
  <c r="F164" i="164" s="1"/>
  <c r="G164" i="155"/>
  <c r="G166" i="155" s="1"/>
  <c r="F77" i="164"/>
  <c r="K77" i="164" s="1"/>
  <c r="F114" i="164"/>
  <c r="F115" i="164" s="1"/>
  <c r="F165" i="164" s="1"/>
  <c r="K114" i="167"/>
  <c r="K115" i="167" s="1"/>
  <c r="J65" i="166"/>
  <c r="I268" i="155"/>
  <c r="H268" i="166" s="1"/>
  <c r="J268" i="155"/>
  <c r="H268" i="167" s="1"/>
  <c r="K369" i="162"/>
  <c r="L369" i="162" s="1"/>
  <c r="K59" i="155"/>
  <c r="K65" i="155" s="1"/>
  <c r="G164" i="162"/>
  <c r="G166" i="162" s="1"/>
  <c r="J164" i="165"/>
  <c r="J166" i="165" s="1"/>
  <c r="K114" i="162"/>
  <c r="K115" i="162" s="1"/>
  <c r="K165" i="162" s="1"/>
  <c r="L165" i="162" s="1"/>
  <c r="I268" i="160"/>
  <c r="G268" i="166" s="1"/>
  <c r="K115" i="155"/>
  <c r="K165" i="155" s="1"/>
  <c r="L165" i="155" s="1"/>
  <c r="K165" i="167"/>
  <c r="J268" i="160"/>
  <c r="G268" i="167" s="1"/>
  <c r="H370" i="162"/>
  <c r="F370" i="165" s="1"/>
  <c r="H166" i="162"/>
  <c r="H447" i="157"/>
  <c r="H831" i="157" s="1"/>
  <c r="K57" i="165"/>
  <c r="K59" i="165" s="1"/>
  <c r="K65" i="165" s="1"/>
  <c r="G268" i="157"/>
  <c r="J268" i="157" s="1"/>
  <c r="K268" i="157" s="1"/>
  <c r="K126" i="162"/>
  <c r="L126" i="162" s="1"/>
  <c r="F126" i="164"/>
  <c r="J164" i="167"/>
  <c r="J166" i="167" s="1"/>
  <c r="J126" i="164"/>
  <c r="K72" i="164"/>
  <c r="L126" i="155"/>
  <c r="K770" i="155"/>
  <c r="L770" i="155" s="1"/>
  <c r="L72" i="155"/>
  <c r="K768" i="155"/>
  <c r="L768" i="155" s="1"/>
  <c r="L126" i="160"/>
  <c r="K770" i="160"/>
  <c r="L770" i="160" s="1"/>
  <c r="J370" i="166"/>
  <c r="J377" i="165"/>
  <c r="G446" i="157"/>
  <c r="G447" i="157" s="1"/>
  <c r="G831" i="157" s="1"/>
  <c r="H59" i="164"/>
  <c r="J57" i="164"/>
  <c r="J59" i="164" s="1"/>
  <c r="J370" i="165"/>
  <c r="J377" i="167"/>
  <c r="G166" i="165"/>
  <c r="G377" i="155"/>
  <c r="G377" i="162" s="1"/>
  <c r="G792" i="161"/>
  <c r="K792" i="161" s="1"/>
  <c r="L792" i="161" s="1"/>
  <c r="I370" i="162"/>
  <c r="F370" i="166" s="1"/>
  <c r="G71" i="161"/>
  <c r="K71" i="161" s="1"/>
  <c r="I268" i="167"/>
  <c r="G792" i="155"/>
  <c r="K792" i="155" s="1"/>
  <c r="H268" i="155"/>
  <c r="I447" i="161"/>
  <c r="I446" i="166"/>
  <c r="I447" i="166" s="1"/>
  <c r="G377" i="164"/>
  <c r="K377" i="160"/>
  <c r="L377" i="160" s="1"/>
  <c r="I767" i="160"/>
  <c r="G71" i="166"/>
  <c r="K115" i="160"/>
  <c r="K165" i="160" s="1"/>
  <c r="L165" i="160" s="1"/>
  <c r="L114" i="160"/>
  <c r="L115" i="160" s="1"/>
  <c r="K166" i="161"/>
  <c r="L164" i="161"/>
  <c r="L166" i="161" s="1"/>
  <c r="F115" i="166"/>
  <c r="F165" i="166" s="1"/>
  <c r="K165" i="166" s="1"/>
  <c r="K114" i="166"/>
  <c r="K115" i="166" s="1"/>
  <c r="G372" i="165"/>
  <c r="J372" i="165" s="1"/>
  <c r="H372" i="162"/>
  <c r="F372" i="165" s="1"/>
  <c r="L57" i="162"/>
  <c r="L59" i="162" s="1"/>
  <c r="L65" i="162" s="1"/>
  <c r="K59" i="162"/>
  <c r="K376" i="162"/>
  <c r="L376" i="162" s="1"/>
  <c r="F376" i="164"/>
  <c r="K376" i="164" s="1"/>
  <c r="K68" i="162"/>
  <c r="L68" i="162" s="1"/>
  <c r="F68" i="164"/>
  <c r="K68" i="164" s="1"/>
  <c r="L164" i="160"/>
  <c r="I767" i="161"/>
  <c r="I71" i="166"/>
  <c r="I267" i="155"/>
  <c r="H267" i="166" s="1"/>
  <c r="J267" i="155"/>
  <c r="H267" i="167" s="1"/>
  <c r="H267" i="155"/>
  <c r="H267" i="165" s="1"/>
  <c r="G792" i="160"/>
  <c r="K792" i="160" s="1"/>
  <c r="J267" i="161"/>
  <c r="H446" i="161"/>
  <c r="G166" i="166"/>
  <c r="I268" i="161"/>
  <c r="J166" i="166"/>
  <c r="G166" i="167"/>
  <c r="K57" i="167"/>
  <c r="K59" i="167" s="1"/>
  <c r="K65" i="167" s="1"/>
  <c r="F59" i="167"/>
  <c r="G71" i="167"/>
  <c r="J767" i="160"/>
  <c r="G115" i="164"/>
  <c r="G165" i="164" s="1"/>
  <c r="G166" i="164" s="1"/>
  <c r="J114" i="164"/>
  <c r="J115" i="164" s="1"/>
  <c r="J165" i="164" s="1"/>
  <c r="G372" i="166"/>
  <c r="J372" i="166" s="1"/>
  <c r="I372" i="162"/>
  <c r="F372" i="166" s="1"/>
  <c r="J447" i="159"/>
  <c r="K446" i="159"/>
  <c r="K447" i="159" s="1"/>
  <c r="K57" i="166"/>
  <c r="K59" i="166" s="1"/>
  <c r="K65" i="166" s="1"/>
  <c r="F59" i="166"/>
  <c r="I71" i="167"/>
  <c r="J767" i="161"/>
  <c r="I267" i="161"/>
  <c r="K367" i="164"/>
  <c r="H268" i="161"/>
  <c r="J65" i="162"/>
  <c r="J164" i="162"/>
  <c r="J166" i="162" s="1"/>
  <c r="H767" i="160"/>
  <c r="G71" i="165"/>
  <c r="K71" i="157"/>
  <c r="H446" i="160"/>
  <c r="J446" i="160"/>
  <c r="I446" i="160"/>
  <c r="F447" i="160"/>
  <c r="J831" i="161"/>
  <c r="H831" i="161"/>
  <c r="I831" i="161"/>
  <c r="I65" i="162"/>
  <c r="I164" i="162"/>
  <c r="I166" i="162" s="1"/>
  <c r="J447" i="158"/>
  <c r="K446" i="158"/>
  <c r="K447" i="158" s="1"/>
  <c r="H446" i="155"/>
  <c r="F447" i="155"/>
  <c r="I446" i="155"/>
  <c r="J446" i="155"/>
  <c r="I71" i="165"/>
  <c r="H767" i="161"/>
  <c r="G372" i="155"/>
  <c r="G782" i="155"/>
  <c r="K782" i="155" s="1"/>
  <c r="J377" i="166"/>
  <c r="K128" i="165"/>
  <c r="G372" i="160"/>
  <c r="H267" i="161"/>
  <c r="J370" i="167"/>
  <c r="J377" i="162"/>
  <c r="F377" i="167" s="1"/>
  <c r="H71" i="155"/>
  <c r="H71" i="162" s="1"/>
  <c r="I71" i="155"/>
  <c r="J71" i="155"/>
  <c r="J71" i="162" s="1"/>
  <c r="K69" i="162"/>
  <c r="L69" i="162" s="1"/>
  <c r="F69" i="164"/>
  <c r="K69" i="164" s="1"/>
  <c r="F65" i="165"/>
  <c r="F164" i="165"/>
  <c r="J767" i="157"/>
  <c r="K767" i="157" s="1"/>
  <c r="G372" i="167"/>
  <c r="J372" i="167" s="1"/>
  <c r="J372" i="162"/>
  <c r="F372" i="167" s="1"/>
  <c r="F115" i="165"/>
  <c r="F165" i="165" s="1"/>
  <c r="K165" i="165" s="1"/>
  <c r="K114" i="165"/>
  <c r="K115" i="165" s="1"/>
  <c r="H268" i="160"/>
  <c r="G268" i="165" s="1"/>
  <c r="K128" i="162"/>
  <c r="L128" i="162" s="1"/>
  <c r="F128" i="164"/>
  <c r="K128" i="166"/>
  <c r="G71" i="160"/>
  <c r="I377" i="162"/>
  <c r="F377" i="166" s="1"/>
  <c r="G370" i="155"/>
  <c r="H377" i="162"/>
  <c r="F377" i="165" s="1"/>
  <c r="J446" i="161"/>
  <c r="J370" i="162"/>
  <c r="F370" i="167" s="1"/>
  <c r="K128" i="167"/>
  <c r="F123" i="164" l="1"/>
  <c r="K123" i="164" s="1"/>
  <c r="G122" i="162"/>
  <c r="F122" i="164" s="1"/>
  <c r="G122" i="164"/>
  <c r="J122" i="164" s="1"/>
  <c r="K74" i="162"/>
  <c r="L74" i="162" s="1"/>
  <c r="K370" i="166"/>
  <c r="H267" i="160"/>
  <c r="G267" i="165" s="1"/>
  <c r="I267" i="160"/>
  <c r="G267" i="166" s="1"/>
  <c r="G767" i="161"/>
  <c r="G370" i="164"/>
  <c r="I75" i="164"/>
  <c r="G775" i="161"/>
  <c r="G75" i="155"/>
  <c r="K75" i="155" s="1"/>
  <c r="G75" i="164"/>
  <c r="K75" i="160"/>
  <c r="L75" i="160" s="1"/>
  <c r="H75" i="162"/>
  <c r="F75" i="165" s="1"/>
  <c r="G129" i="165"/>
  <c r="H777" i="160"/>
  <c r="H129" i="162"/>
  <c r="F129" i="165" s="1"/>
  <c r="H129" i="165"/>
  <c r="H777" i="155"/>
  <c r="H75" i="167"/>
  <c r="J75" i="167" s="1"/>
  <c r="K75" i="167" s="1"/>
  <c r="J775" i="155"/>
  <c r="K775" i="161"/>
  <c r="L75" i="161"/>
  <c r="I129" i="162"/>
  <c r="F129" i="166" s="1"/>
  <c r="I777" i="155"/>
  <c r="H129" i="166"/>
  <c r="G129" i="160"/>
  <c r="G129" i="167"/>
  <c r="J777" i="160"/>
  <c r="J129" i="162"/>
  <c r="F129" i="167" s="1"/>
  <c r="J777" i="155"/>
  <c r="H129" i="167"/>
  <c r="H75" i="165"/>
  <c r="J75" i="165" s="1"/>
  <c r="H775" i="155"/>
  <c r="I129" i="164"/>
  <c r="G777" i="161"/>
  <c r="K129" i="161"/>
  <c r="I777" i="160"/>
  <c r="G129" i="166"/>
  <c r="H75" i="166"/>
  <c r="J75" i="166" s="1"/>
  <c r="I775" i="155"/>
  <c r="G129" i="155"/>
  <c r="I75" i="162"/>
  <c r="F75" i="166" s="1"/>
  <c r="F65" i="164"/>
  <c r="K377" i="167"/>
  <c r="I71" i="164"/>
  <c r="K164" i="155"/>
  <c r="L164" i="155" s="1"/>
  <c r="L166" i="155" s="1"/>
  <c r="J268" i="162"/>
  <c r="F268" i="167" s="1"/>
  <c r="K377" i="165"/>
  <c r="K370" i="165"/>
  <c r="L114" i="162"/>
  <c r="L115" i="162" s="1"/>
  <c r="J446" i="157"/>
  <c r="K446" i="157" s="1"/>
  <c r="K447" i="157" s="1"/>
  <c r="K377" i="155"/>
  <c r="L377" i="155" s="1"/>
  <c r="H377" i="164"/>
  <c r="J377" i="164" s="1"/>
  <c r="J268" i="167"/>
  <c r="K128" i="164"/>
  <c r="K126" i="164"/>
  <c r="G446" i="160"/>
  <c r="K446" i="160" s="1"/>
  <c r="J164" i="164"/>
  <c r="J166" i="164" s="1"/>
  <c r="J65" i="164"/>
  <c r="K370" i="167"/>
  <c r="K377" i="166"/>
  <c r="G71" i="155"/>
  <c r="K71" i="155" s="1"/>
  <c r="P792" i="161"/>
  <c r="K57" i="164"/>
  <c r="K59" i="164" s="1"/>
  <c r="K65" i="164" s="1"/>
  <c r="G446" i="155"/>
  <c r="G447" i="155" s="1"/>
  <c r="H164" i="164"/>
  <c r="H166" i="164" s="1"/>
  <c r="H65" i="164"/>
  <c r="K372" i="167"/>
  <c r="K114" i="164"/>
  <c r="K115" i="164" s="1"/>
  <c r="K372" i="165"/>
  <c r="F71" i="165"/>
  <c r="F71" i="167"/>
  <c r="I446" i="167"/>
  <c r="I447" i="167" s="1"/>
  <c r="J447" i="161"/>
  <c r="J446" i="162"/>
  <c r="G767" i="160"/>
  <c r="G71" i="164"/>
  <c r="K71" i="160"/>
  <c r="F166" i="164"/>
  <c r="G372" i="164"/>
  <c r="K372" i="160"/>
  <c r="L372" i="160" s="1"/>
  <c r="G372" i="162"/>
  <c r="L782" i="155"/>
  <c r="P782" i="155"/>
  <c r="H446" i="167"/>
  <c r="H447" i="167" s="1"/>
  <c r="J447" i="155"/>
  <c r="J831" i="155" s="1"/>
  <c r="I831" i="160"/>
  <c r="J831" i="160"/>
  <c r="H831" i="160"/>
  <c r="I267" i="167"/>
  <c r="J267" i="167" s="1"/>
  <c r="J267" i="162"/>
  <c r="F267" i="167" s="1"/>
  <c r="P792" i="155"/>
  <c r="L792" i="155"/>
  <c r="G268" i="160"/>
  <c r="K165" i="164"/>
  <c r="G267" i="155"/>
  <c r="K166" i="160"/>
  <c r="F166" i="165"/>
  <c r="K164" i="165"/>
  <c r="K166" i="165" s="1"/>
  <c r="H71" i="165"/>
  <c r="H767" i="155"/>
  <c r="I267" i="165"/>
  <c r="G267" i="161"/>
  <c r="H446" i="165"/>
  <c r="H447" i="165" s="1"/>
  <c r="H447" i="155"/>
  <c r="H831" i="155" s="1"/>
  <c r="G446" i="165"/>
  <c r="H447" i="160"/>
  <c r="I267" i="166"/>
  <c r="I268" i="166"/>
  <c r="J268" i="166" s="1"/>
  <c r="I268" i="162"/>
  <c r="F268" i="166" s="1"/>
  <c r="H268" i="165"/>
  <c r="G268" i="155"/>
  <c r="L166" i="160"/>
  <c r="H370" i="164"/>
  <c r="K370" i="155"/>
  <c r="L370" i="155" s="1"/>
  <c r="I71" i="162"/>
  <c r="I767" i="155"/>
  <c r="H71" i="166"/>
  <c r="H372" i="164"/>
  <c r="K372" i="155"/>
  <c r="L372" i="155" s="1"/>
  <c r="J447" i="160"/>
  <c r="G446" i="167"/>
  <c r="F65" i="167"/>
  <c r="F164" i="167"/>
  <c r="I446" i="165"/>
  <c r="I447" i="165" s="1"/>
  <c r="H447" i="161"/>
  <c r="H446" i="162"/>
  <c r="G446" i="161"/>
  <c r="K377" i="162"/>
  <c r="L377" i="162" s="1"/>
  <c r="F377" i="164"/>
  <c r="G370" i="162"/>
  <c r="K372" i="166"/>
  <c r="O831" i="157"/>
  <c r="J831" i="157"/>
  <c r="K831" i="157" s="1"/>
  <c r="H71" i="167"/>
  <c r="J767" i="155"/>
  <c r="I447" i="155"/>
  <c r="I831" i="155" s="1"/>
  <c r="H446" i="166"/>
  <c r="H447" i="166" s="1"/>
  <c r="I447" i="160"/>
  <c r="G446" i="166"/>
  <c r="I268" i="165"/>
  <c r="H268" i="162"/>
  <c r="F268" i="165" s="1"/>
  <c r="G268" i="161"/>
  <c r="F65" i="166"/>
  <c r="F164" i="166"/>
  <c r="P792" i="160"/>
  <c r="L792" i="160"/>
  <c r="K164" i="162"/>
  <c r="K65" i="162"/>
  <c r="L71" i="161"/>
  <c r="K767" i="161"/>
  <c r="G831" i="161"/>
  <c r="K831" i="161" s="1"/>
  <c r="I446" i="162"/>
  <c r="K122" i="164" l="1"/>
  <c r="K122" i="162"/>
  <c r="L122" i="162" s="1"/>
  <c r="I267" i="162"/>
  <c r="F267" i="166" s="1"/>
  <c r="H267" i="162"/>
  <c r="F267" i="165" s="1"/>
  <c r="G267" i="160"/>
  <c r="G267" i="164" s="1"/>
  <c r="J267" i="165"/>
  <c r="J267" i="166"/>
  <c r="J129" i="167"/>
  <c r="K129" i="167" s="1"/>
  <c r="J447" i="157"/>
  <c r="G71" i="162"/>
  <c r="F71" i="164" s="1"/>
  <c r="J370" i="164"/>
  <c r="G75" i="162"/>
  <c r="K75" i="162" s="1"/>
  <c r="L75" i="162" s="1"/>
  <c r="G775" i="155"/>
  <c r="H75" i="164"/>
  <c r="J75" i="164" s="1"/>
  <c r="K775" i="160"/>
  <c r="L775" i="160" s="1"/>
  <c r="K75" i="165"/>
  <c r="J129" i="165"/>
  <c r="K129" i="165" s="1"/>
  <c r="K75" i="166"/>
  <c r="K775" i="155"/>
  <c r="L75" i="155"/>
  <c r="G777" i="160"/>
  <c r="K129" i="160"/>
  <c r="G129" i="164"/>
  <c r="L775" i="161"/>
  <c r="L129" i="161"/>
  <c r="K777" i="161"/>
  <c r="L777" i="161" s="1"/>
  <c r="J129" i="166"/>
  <c r="K129" i="166" s="1"/>
  <c r="H129" i="164"/>
  <c r="K129" i="155"/>
  <c r="G777" i="155"/>
  <c r="G129" i="162"/>
  <c r="G447" i="160"/>
  <c r="K166" i="155"/>
  <c r="K268" i="167"/>
  <c r="H446" i="164"/>
  <c r="H447" i="164" s="1"/>
  <c r="J268" i="165"/>
  <c r="K268" i="165" s="1"/>
  <c r="G446" i="164"/>
  <c r="K446" i="155"/>
  <c r="L446" i="155" s="1"/>
  <c r="L447" i="155" s="1"/>
  <c r="J71" i="165"/>
  <c r="K377" i="164"/>
  <c r="H71" i="164"/>
  <c r="G767" i="155"/>
  <c r="J71" i="166"/>
  <c r="K164" i="164"/>
  <c r="K166" i="164" s="1"/>
  <c r="I447" i="162"/>
  <c r="F446" i="166"/>
  <c r="K446" i="161"/>
  <c r="I446" i="164"/>
  <c r="I447" i="164" s="1"/>
  <c r="G447" i="161"/>
  <c r="G446" i="162"/>
  <c r="F166" i="167"/>
  <c r="K164" i="167"/>
  <c r="K166" i="167" s="1"/>
  <c r="K447" i="160"/>
  <c r="L446" i="160"/>
  <c r="L447" i="160" s="1"/>
  <c r="K767" i="160"/>
  <c r="L71" i="160"/>
  <c r="F446" i="167"/>
  <c r="J447" i="162"/>
  <c r="F370" i="164"/>
  <c r="K370" i="162"/>
  <c r="L370" i="162" s="1"/>
  <c r="G447" i="167"/>
  <c r="J446" i="167"/>
  <c r="J447" i="167" s="1"/>
  <c r="I267" i="164"/>
  <c r="K267" i="161"/>
  <c r="L267" i="161" s="1"/>
  <c r="H267" i="164"/>
  <c r="K267" i="155"/>
  <c r="L267" i="155" s="1"/>
  <c r="K268" i="160"/>
  <c r="L268" i="160" s="1"/>
  <c r="G268" i="164"/>
  <c r="J372" i="164"/>
  <c r="P831" i="161"/>
  <c r="L831" i="161"/>
  <c r="K268" i="161"/>
  <c r="L268" i="161" s="1"/>
  <c r="I268" i="164"/>
  <c r="G268" i="162"/>
  <c r="H268" i="164"/>
  <c r="K268" i="155"/>
  <c r="L268" i="155" s="1"/>
  <c r="G447" i="165"/>
  <c r="J446" i="165"/>
  <c r="J447" i="165" s="1"/>
  <c r="L71" i="155"/>
  <c r="K767" i="155"/>
  <c r="J71" i="167"/>
  <c r="G831" i="155"/>
  <c r="K831" i="155" s="1"/>
  <c r="K267" i="167"/>
  <c r="G831" i="160"/>
  <c r="K831" i="160" s="1"/>
  <c r="L767" i="161"/>
  <c r="K166" i="162"/>
  <c r="L164" i="162"/>
  <c r="L166" i="162" s="1"/>
  <c r="F166" i="166"/>
  <c r="K164" i="166"/>
  <c r="K166" i="166" s="1"/>
  <c r="G447" i="166"/>
  <c r="J446" i="166"/>
  <c r="J447" i="166" s="1"/>
  <c r="F446" i="165"/>
  <c r="H447" i="162"/>
  <c r="F71" i="166"/>
  <c r="F372" i="164"/>
  <c r="K372" i="162"/>
  <c r="L372" i="162" s="1"/>
  <c r="K268" i="166"/>
  <c r="G267" i="162" l="1"/>
  <c r="F267" i="164" s="1"/>
  <c r="K267" i="166"/>
  <c r="K267" i="160"/>
  <c r="L267" i="160" s="1"/>
  <c r="K267" i="165"/>
  <c r="K370" i="164"/>
  <c r="F75" i="164"/>
  <c r="K75" i="164" s="1"/>
  <c r="K71" i="162"/>
  <c r="L71" i="162" s="1"/>
  <c r="K777" i="160"/>
  <c r="L129" i="160"/>
  <c r="L775" i="155"/>
  <c r="F129" i="164"/>
  <c r="K129" i="162"/>
  <c r="L129" i="162" s="1"/>
  <c r="J129" i="164"/>
  <c r="L129" i="155"/>
  <c r="K777" i="155"/>
  <c r="L777" i="155" s="1"/>
  <c r="K447" i="155"/>
  <c r="J446" i="164"/>
  <c r="J447" i="164" s="1"/>
  <c r="G447" i="164"/>
  <c r="K71" i="165"/>
  <c r="K372" i="164"/>
  <c r="J71" i="164"/>
  <c r="J267" i="164"/>
  <c r="L831" i="160"/>
  <c r="P831" i="160"/>
  <c r="P831" i="155"/>
  <c r="L831" i="155"/>
  <c r="K446" i="166"/>
  <c r="K447" i="166" s="1"/>
  <c r="F447" i="166"/>
  <c r="K71" i="167"/>
  <c r="L767" i="155"/>
  <c r="F447" i="167"/>
  <c r="K446" i="167"/>
  <c r="K447" i="167" s="1"/>
  <c r="K71" i="166"/>
  <c r="F447" i="165"/>
  <c r="K446" i="165"/>
  <c r="K447" i="165" s="1"/>
  <c r="K268" i="162"/>
  <c r="L268" i="162" s="1"/>
  <c r="F268" i="164"/>
  <c r="L767" i="160"/>
  <c r="G447" i="162"/>
  <c r="F446" i="164"/>
  <c r="K446" i="162"/>
  <c r="K447" i="161"/>
  <c r="L446" i="161"/>
  <c r="L447" i="161" s="1"/>
  <c r="J268" i="164"/>
  <c r="K267" i="162" l="1"/>
  <c r="L267" i="162" s="1"/>
  <c r="L777" i="160"/>
  <c r="K129" i="164"/>
  <c r="K267" i="164"/>
  <c r="K71" i="164"/>
  <c r="K446" i="164"/>
  <c r="K447" i="164" s="1"/>
  <c r="F447" i="164"/>
  <c r="K268" i="164"/>
  <c r="K447" i="162"/>
  <c r="L446" i="162"/>
  <c r="L447" i="162" s="1"/>
  <c r="J729" i="160" l="1"/>
  <c r="K729" i="160"/>
  <c r="D141" i="25"/>
  <c r="J729" i="155" l="1"/>
  <c r="J729" i="161"/>
  <c r="K729" i="161" s="1"/>
  <c r="K729" i="155"/>
  <c r="F729" i="155"/>
  <c r="F729" i="158"/>
  <c r="E138" i="25"/>
  <c r="F729" i="160"/>
  <c r="F729" i="157"/>
  <c r="E140" i="25"/>
  <c r="F729" i="159"/>
  <c r="E139" i="25"/>
  <c r="F729" i="161"/>
  <c r="I729" i="159"/>
  <c r="H729" i="157"/>
  <c r="G729" i="158"/>
  <c r="I729" i="9"/>
  <c r="F729" i="9"/>
  <c r="H730" i="9" l="1"/>
  <c r="I730" i="9"/>
  <c r="G730" i="9"/>
  <c r="J729" i="9"/>
  <c r="K729" i="9" s="1"/>
  <c r="L729" i="160"/>
  <c r="F730" i="160"/>
  <c r="I730" i="160"/>
  <c r="H730" i="160"/>
  <c r="J730" i="160"/>
  <c r="I730" i="157"/>
  <c r="J729" i="157"/>
  <c r="K729" i="157" s="1"/>
  <c r="G730" i="157"/>
  <c r="H730" i="157"/>
  <c r="G730" i="159"/>
  <c r="I730" i="159"/>
  <c r="J729" i="159"/>
  <c r="K729" i="159" s="1"/>
  <c r="H730" i="159"/>
  <c r="I730" i="161"/>
  <c r="H730" i="161"/>
  <c r="L729" i="161"/>
  <c r="J730" i="161"/>
  <c r="L729" i="155"/>
  <c r="I730" i="155"/>
  <c r="F730" i="155"/>
  <c r="H730" i="155"/>
  <c r="E137" i="25"/>
  <c r="E141" i="25" s="1"/>
  <c r="J729" i="158"/>
  <c r="K729" i="158" s="1"/>
  <c r="H730" i="158"/>
  <c r="G730" i="158"/>
  <c r="I730" i="158"/>
  <c r="J730" i="155"/>
  <c r="J730" i="9" l="1"/>
  <c r="K730" i="9" s="1"/>
  <c r="G730" i="160"/>
  <c r="K730" i="160" s="1"/>
  <c r="P730" i="160" s="1"/>
  <c r="O730" i="158"/>
  <c r="J730" i="158"/>
  <c r="K730" i="158" s="1"/>
  <c r="G730" i="155"/>
  <c r="K730" i="155" s="1"/>
  <c r="P730" i="155" s="1"/>
  <c r="O730" i="159"/>
  <c r="J730" i="159"/>
  <c r="K730" i="159" s="1"/>
  <c r="L730" i="160"/>
  <c r="G730" i="161"/>
  <c r="K730" i="161" s="1"/>
  <c r="O730" i="157"/>
  <c r="J730" i="157"/>
  <c r="K730" i="157" s="1"/>
  <c r="I256" i="9"/>
  <c r="F256" i="159" s="1"/>
  <c r="I426" i="9"/>
  <c r="F426" i="159" s="1"/>
  <c r="I219" i="9"/>
  <c r="F219" i="159" s="1"/>
  <c r="I127" i="9"/>
  <c r="I218" i="9"/>
  <c r="F218" i="159" s="1"/>
  <c r="I272" i="9"/>
  <c r="F272" i="159" s="1"/>
  <c r="I427" i="9"/>
  <c r="F427" i="159" s="1"/>
  <c r="I73" i="9"/>
  <c r="I207" i="9"/>
  <c r="F207" i="159" s="1"/>
  <c r="H427" i="9"/>
  <c r="H73" i="9"/>
  <c r="H256" i="9"/>
  <c r="H272" i="9"/>
  <c r="H426" i="9"/>
  <c r="H127" i="9"/>
  <c r="H218" i="9"/>
  <c r="H219" i="9"/>
  <c r="H207" i="9"/>
  <c r="L730" i="155" l="1"/>
  <c r="F426" i="158"/>
  <c r="G426" i="9"/>
  <c r="H427" i="159"/>
  <c r="I427" i="159"/>
  <c r="F427" i="161" s="1"/>
  <c r="F272" i="158"/>
  <c r="G272" i="9"/>
  <c r="H272" i="159"/>
  <c r="I272" i="159"/>
  <c r="F272" i="161" s="1"/>
  <c r="P730" i="161"/>
  <c r="L730" i="161"/>
  <c r="G256" i="9"/>
  <c r="F256" i="158"/>
  <c r="H774" i="9"/>
  <c r="H78" i="9"/>
  <c r="G73" i="9"/>
  <c r="F73" i="158"/>
  <c r="F207" i="158"/>
  <c r="G207" i="9"/>
  <c r="F219" i="158"/>
  <c r="G219" i="9"/>
  <c r="H426" i="159"/>
  <c r="I426" i="159"/>
  <c r="F426" i="161" s="1"/>
  <c r="I218" i="159"/>
  <c r="F218" i="161" s="1"/>
  <c r="H218" i="159"/>
  <c r="I776" i="9"/>
  <c r="F127" i="159"/>
  <c r="G427" i="9"/>
  <c r="F427" i="158"/>
  <c r="F218" i="158"/>
  <c r="G218" i="9"/>
  <c r="I207" i="159"/>
  <c r="F207" i="161" s="1"/>
  <c r="H207" i="159"/>
  <c r="H256" i="159"/>
  <c r="I256" i="159"/>
  <c r="F256" i="161" s="1"/>
  <c r="H219" i="159"/>
  <c r="I219" i="159"/>
  <c r="F219" i="161" s="1"/>
  <c r="F127" i="158"/>
  <c r="G127" i="9"/>
  <c r="H776" i="9"/>
  <c r="I774" i="9"/>
  <c r="I78" i="9"/>
  <c r="F73" i="159"/>
  <c r="I778" i="9" l="1"/>
  <c r="I759" i="9" s="1"/>
  <c r="G272" i="159"/>
  <c r="J272" i="159" s="1"/>
  <c r="K272" i="159" s="1"/>
  <c r="G427" i="159"/>
  <c r="F427" i="160" s="1"/>
  <c r="G426" i="159"/>
  <c r="F426" i="160" s="1"/>
  <c r="G219" i="159"/>
  <c r="J219" i="159" s="1"/>
  <c r="K219" i="159" s="1"/>
  <c r="G256" i="159"/>
  <c r="J256" i="159" s="1"/>
  <c r="K256" i="159" s="1"/>
  <c r="G207" i="159"/>
  <c r="F207" i="160" s="1"/>
  <c r="H778" i="9"/>
  <c r="H759" i="9" s="1"/>
  <c r="G218" i="159"/>
  <c r="J218" i="159" s="1"/>
  <c r="K218" i="159" s="1"/>
  <c r="F272" i="160"/>
  <c r="H427" i="158"/>
  <c r="I427" i="158"/>
  <c r="I426" i="161"/>
  <c r="J426" i="161"/>
  <c r="H426" i="161"/>
  <c r="H81" i="9"/>
  <c r="H784" i="9" s="1"/>
  <c r="H80" i="9"/>
  <c r="H783" i="9"/>
  <c r="H174" i="9"/>
  <c r="I256" i="161"/>
  <c r="J256" i="161"/>
  <c r="H256" i="161"/>
  <c r="F427" i="157"/>
  <c r="J427" i="9"/>
  <c r="K427" i="9" s="1"/>
  <c r="F272" i="157"/>
  <c r="J272" i="9"/>
  <c r="K272" i="9" s="1"/>
  <c r="F219" i="157"/>
  <c r="J219" i="9"/>
  <c r="K219" i="9" s="1"/>
  <c r="I127" i="158"/>
  <c r="H127" i="158"/>
  <c r="J207" i="161"/>
  <c r="H207" i="161"/>
  <c r="I207" i="161"/>
  <c r="I207" i="158"/>
  <c r="H207" i="158"/>
  <c r="F776" i="155"/>
  <c r="F127" i="157"/>
  <c r="J127" i="9"/>
  <c r="G776" i="9"/>
  <c r="J776" i="9" s="1"/>
  <c r="K776" i="9" s="1"/>
  <c r="F776" i="157"/>
  <c r="I272" i="158"/>
  <c r="H272" i="158"/>
  <c r="H127" i="159"/>
  <c r="I127" i="159"/>
  <c r="F256" i="157"/>
  <c r="J256" i="9"/>
  <c r="K256" i="9" s="1"/>
  <c r="I427" i="161"/>
  <c r="H427" i="161"/>
  <c r="J427" i="161"/>
  <c r="G73" i="159"/>
  <c r="F78" i="159"/>
  <c r="H73" i="159"/>
  <c r="I73" i="159"/>
  <c r="I219" i="161"/>
  <c r="I219" i="166" s="1"/>
  <c r="J219" i="161"/>
  <c r="I219" i="167" s="1"/>
  <c r="H219" i="161"/>
  <c r="J218" i="9"/>
  <c r="K218" i="9" s="1"/>
  <c r="F218" i="157"/>
  <c r="I218" i="161"/>
  <c r="J218" i="161"/>
  <c r="H218" i="161"/>
  <c r="F78" i="158"/>
  <c r="I73" i="158"/>
  <c r="G73" i="158"/>
  <c r="H73" i="158"/>
  <c r="F426" i="157"/>
  <c r="J426" i="9"/>
  <c r="K426" i="9" s="1"/>
  <c r="H256" i="158"/>
  <c r="I256" i="158"/>
  <c r="I219" i="158"/>
  <c r="H219" i="158"/>
  <c r="J207" i="9"/>
  <c r="K207" i="9" s="1"/>
  <c r="F207" i="157"/>
  <c r="I80" i="9"/>
  <c r="I81" i="9"/>
  <c r="I174" i="9"/>
  <c r="H218" i="158"/>
  <c r="I218" i="158"/>
  <c r="J73" i="9"/>
  <c r="F73" i="157"/>
  <c r="G78" i="9"/>
  <c r="F774" i="155"/>
  <c r="F774" i="157"/>
  <c r="G774" i="9"/>
  <c r="H272" i="161"/>
  <c r="J272" i="161"/>
  <c r="I272" i="161"/>
  <c r="H426" i="158"/>
  <c r="I426" i="158"/>
  <c r="J427" i="159" l="1"/>
  <c r="K427" i="159" s="1"/>
  <c r="J426" i="159"/>
  <c r="K426" i="159" s="1"/>
  <c r="G127" i="158"/>
  <c r="G776" i="158" s="1"/>
  <c r="F219" i="160"/>
  <c r="I219" i="160" s="1"/>
  <c r="G219" i="166" s="1"/>
  <c r="F256" i="160"/>
  <c r="J256" i="160" s="1"/>
  <c r="G256" i="167" s="1"/>
  <c r="J207" i="159"/>
  <c r="K207" i="159" s="1"/>
  <c r="G426" i="161"/>
  <c r="K426" i="161" s="1"/>
  <c r="L426" i="161" s="1"/>
  <c r="G426" i="158"/>
  <c r="J426" i="158" s="1"/>
  <c r="K426" i="158" s="1"/>
  <c r="G272" i="161"/>
  <c r="I272" i="164" s="1"/>
  <c r="F218" i="160"/>
  <c r="I218" i="160" s="1"/>
  <c r="G218" i="166" s="1"/>
  <c r="G256" i="161"/>
  <c r="K256" i="161" s="1"/>
  <c r="L256" i="161" s="1"/>
  <c r="G218" i="158"/>
  <c r="J218" i="158" s="1"/>
  <c r="K218" i="158" s="1"/>
  <c r="G218" i="161"/>
  <c r="I218" i="164" s="1"/>
  <c r="G219" i="158"/>
  <c r="J219" i="158" s="1"/>
  <c r="K219" i="158" s="1"/>
  <c r="G427" i="158"/>
  <c r="J427" i="158" s="1"/>
  <c r="K427" i="158" s="1"/>
  <c r="G256" i="158"/>
  <c r="J256" i="158" s="1"/>
  <c r="K256" i="158" s="1"/>
  <c r="G73" i="157"/>
  <c r="F78" i="157"/>
  <c r="H73" i="157"/>
  <c r="I73" i="157"/>
  <c r="F81" i="158"/>
  <c r="F174" i="158"/>
  <c r="H783" i="158"/>
  <c r="F80" i="158"/>
  <c r="G783" i="158"/>
  <c r="I427" i="167"/>
  <c r="H776" i="159"/>
  <c r="I207" i="167"/>
  <c r="I272" i="166"/>
  <c r="J78" i="9"/>
  <c r="K73" i="9"/>
  <c r="K78" i="9" s="1"/>
  <c r="H207" i="157"/>
  <c r="F207" i="155" s="1"/>
  <c r="I207" i="157"/>
  <c r="I427" i="165"/>
  <c r="G272" i="158"/>
  <c r="J272" i="158" s="1"/>
  <c r="K272" i="158" s="1"/>
  <c r="G207" i="158"/>
  <c r="J207" i="158" s="1"/>
  <c r="K207" i="158" s="1"/>
  <c r="H427" i="160"/>
  <c r="G427" i="165" s="1"/>
  <c r="J427" i="160"/>
  <c r="G427" i="167" s="1"/>
  <c r="I427" i="160"/>
  <c r="G427" i="166" s="1"/>
  <c r="H427" i="157"/>
  <c r="F427" i="155" s="1"/>
  <c r="I427" i="157"/>
  <c r="I427" i="166"/>
  <c r="I272" i="165"/>
  <c r="I78" i="159"/>
  <c r="I774" i="159"/>
  <c r="F774" i="161"/>
  <c r="F73" i="161"/>
  <c r="I426" i="165"/>
  <c r="F778" i="157"/>
  <c r="F759" i="157" s="1"/>
  <c r="H774" i="158"/>
  <c r="H78" i="158"/>
  <c r="H218" i="157"/>
  <c r="F218" i="155" s="1"/>
  <c r="I218" i="157"/>
  <c r="F174" i="159"/>
  <c r="F80" i="159"/>
  <c r="F81" i="159"/>
  <c r="K127" i="9"/>
  <c r="G207" i="161"/>
  <c r="I219" i="157"/>
  <c r="H219" i="157"/>
  <c r="F219" i="155" s="1"/>
  <c r="I256" i="166"/>
  <c r="I426" i="166"/>
  <c r="J426" i="160"/>
  <c r="G426" i="167" s="1"/>
  <c r="I426" i="160"/>
  <c r="G426" i="166" s="1"/>
  <c r="H426" i="160"/>
  <c r="G426" i="165" s="1"/>
  <c r="I272" i="167"/>
  <c r="I218" i="167"/>
  <c r="I207" i="160"/>
  <c r="G207" i="166" s="1"/>
  <c r="J207" i="160"/>
  <c r="G207" i="167" s="1"/>
  <c r="H207" i="160"/>
  <c r="G207" i="165" s="1"/>
  <c r="H78" i="159"/>
  <c r="H774" i="159"/>
  <c r="I426" i="167"/>
  <c r="F778" i="155"/>
  <c r="F759" i="155" s="1"/>
  <c r="G774" i="158"/>
  <c r="J73" i="158"/>
  <c r="G78" i="158"/>
  <c r="F774" i="160"/>
  <c r="G774" i="159"/>
  <c r="G78" i="159"/>
  <c r="F73" i="160"/>
  <c r="J73" i="159"/>
  <c r="G127" i="159"/>
  <c r="F776" i="161"/>
  <c r="I776" i="159"/>
  <c r="F127" i="161"/>
  <c r="I207" i="166"/>
  <c r="H776" i="158"/>
  <c r="I218" i="165"/>
  <c r="H426" i="157"/>
  <c r="F426" i="155" s="1"/>
  <c r="I426" i="157"/>
  <c r="I256" i="165"/>
  <c r="G778" i="9"/>
  <c r="J774" i="9"/>
  <c r="K774" i="9" s="1"/>
  <c r="I218" i="166"/>
  <c r="H256" i="157"/>
  <c r="F256" i="155" s="1"/>
  <c r="I256" i="157"/>
  <c r="I256" i="167"/>
  <c r="G81" i="9"/>
  <c r="G784" i="9" s="1"/>
  <c r="I784" i="9" s="1"/>
  <c r="J784" i="9" s="1"/>
  <c r="K784" i="9" s="1"/>
  <c r="G783" i="9"/>
  <c r="I783" i="9" s="1"/>
  <c r="J783" i="9" s="1"/>
  <c r="K783" i="9" s="1"/>
  <c r="G80" i="9"/>
  <c r="G174" i="9"/>
  <c r="I78" i="158"/>
  <c r="I774" i="158"/>
  <c r="G219" i="161"/>
  <c r="I219" i="165"/>
  <c r="G427" i="161"/>
  <c r="H127" i="157"/>
  <c r="I127" i="157"/>
  <c r="I207" i="165"/>
  <c r="I776" i="158"/>
  <c r="H272" i="157"/>
  <c r="F272" i="155" s="1"/>
  <c r="I272" i="157"/>
  <c r="I272" i="160"/>
  <c r="G272" i="166" s="1"/>
  <c r="H272" i="160"/>
  <c r="G272" i="165" s="1"/>
  <c r="J272" i="160"/>
  <c r="G272" i="167" s="1"/>
  <c r="H219" i="160" l="1"/>
  <c r="G219" i="165" s="1"/>
  <c r="J219" i="160"/>
  <c r="G219" i="167" s="1"/>
  <c r="J127" i="158"/>
  <c r="K127" i="158" s="1"/>
  <c r="I256" i="160"/>
  <c r="G256" i="166" s="1"/>
  <c r="H256" i="160"/>
  <c r="G256" i="165" s="1"/>
  <c r="I426" i="164"/>
  <c r="G256" i="157"/>
  <c r="J256" i="157" s="1"/>
  <c r="K256" i="157" s="1"/>
  <c r="K272" i="161"/>
  <c r="L272" i="161" s="1"/>
  <c r="J218" i="160"/>
  <c r="G218" i="167" s="1"/>
  <c r="G219" i="157"/>
  <c r="J219" i="157" s="1"/>
  <c r="K219" i="157" s="1"/>
  <c r="H218" i="160"/>
  <c r="G218" i="165" s="1"/>
  <c r="G426" i="157"/>
  <c r="J426" i="157" s="1"/>
  <c r="K426" i="157" s="1"/>
  <c r="H778" i="159"/>
  <c r="H759" i="159" s="1"/>
  <c r="K218" i="161"/>
  <c r="L218" i="161" s="1"/>
  <c r="G426" i="160"/>
  <c r="G426" i="164" s="1"/>
  <c r="I256" i="164"/>
  <c r="G272" i="157"/>
  <c r="J272" i="157" s="1"/>
  <c r="K272" i="157" s="1"/>
  <c r="G778" i="158"/>
  <c r="G759" i="158" s="1"/>
  <c r="K427" i="161"/>
  <c r="L427" i="161" s="1"/>
  <c r="I427" i="164"/>
  <c r="G272" i="160"/>
  <c r="G207" i="160"/>
  <c r="I427" i="155"/>
  <c r="H427" i="166" s="1"/>
  <c r="J427" i="166" s="1"/>
  <c r="H427" i="155"/>
  <c r="H427" i="165" s="1"/>
  <c r="J427" i="165" s="1"/>
  <c r="J427" i="155"/>
  <c r="H427" i="167" s="1"/>
  <c r="J427" i="167" s="1"/>
  <c r="J73" i="157"/>
  <c r="G78" i="157"/>
  <c r="G774" i="157"/>
  <c r="G80" i="158"/>
  <c r="G81" i="158"/>
  <c r="G174" i="158"/>
  <c r="G218" i="157"/>
  <c r="J218" i="157" s="1"/>
  <c r="K218" i="157" s="1"/>
  <c r="G427" i="160"/>
  <c r="G207" i="157"/>
  <c r="J207" i="157" s="1"/>
  <c r="K207" i="157" s="1"/>
  <c r="F776" i="160"/>
  <c r="F778" i="160" s="1"/>
  <c r="F759" i="160" s="1"/>
  <c r="G776" i="159"/>
  <c r="J776" i="159" s="1"/>
  <c r="K776" i="159" s="1"/>
  <c r="F127" i="160"/>
  <c r="J127" i="159"/>
  <c r="H783" i="159"/>
  <c r="H81" i="159"/>
  <c r="H784" i="159" s="1"/>
  <c r="H80" i="159"/>
  <c r="H174" i="159"/>
  <c r="I207" i="164"/>
  <c r="K207" i="161"/>
  <c r="L207" i="161" s="1"/>
  <c r="G784" i="158"/>
  <c r="H784" i="158"/>
  <c r="J78" i="159"/>
  <c r="K73" i="159"/>
  <c r="K78" i="159" s="1"/>
  <c r="H174" i="158"/>
  <c r="H81" i="158"/>
  <c r="H80" i="158"/>
  <c r="G127" i="157"/>
  <c r="I776" i="157"/>
  <c r="J774" i="158"/>
  <c r="K774" i="158" s="1"/>
  <c r="I778" i="158"/>
  <c r="I759" i="158" s="1"/>
  <c r="I760" i="158" s="1"/>
  <c r="J73" i="160"/>
  <c r="H73" i="160"/>
  <c r="I73" i="160"/>
  <c r="F78" i="160"/>
  <c r="H778" i="158"/>
  <c r="H759" i="158" s="1"/>
  <c r="H760" i="158" s="1"/>
  <c r="F778" i="161"/>
  <c r="F759" i="161" s="1"/>
  <c r="J174" i="9"/>
  <c r="J80" i="9"/>
  <c r="J81" i="9"/>
  <c r="I78" i="157"/>
  <c r="I774" i="157"/>
  <c r="G759" i="9"/>
  <c r="J778" i="9"/>
  <c r="K778" i="9" s="1"/>
  <c r="J78" i="158"/>
  <c r="K73" i="158"/>
  <c r="K78" i="158" s="1"/>
  <c r="H218" i="155"/>
  <c r="I218" i="155"/>
  <c r="J218" i="155"/>
  <c r="I219" i="164"/>
  <c r="K219" i="161"/>
  <c r="L219" i="161" s="1"/>
  <c r="H73" i="161"/>
  <c r="J73" i="161"/>
  <c r="I73" i="161"/>
  <c r="F78" i="161"/>
  <c r="K81" i="9"/>
  <c r="K80" i="9"/>
  <c r="J272" i="155"/>
  <c r="H272" i="155"/>
  <c r="H272" i="165" s="1"/>
  <c r="J272" i="165" s="1"/>
  <c r="I272" i="155"/>
  <c r="H272" i="166" s="1"/>
  <c r="J272" i="166" s="1"/>
  <c r="F127" i="155"/>
  <c r="H776" i="157"/>
  <c r="I174" i="158"/>
  <c r="I81" i="158"/>
  <c r="I80" i="158"/>
  <c r="H256" i="155"/>
  <c r="J256" i="155"/>
  <c r="I256" i="155"/>
  <c r="G783" i="159"/>
  <c r="G81" i="159"/>
  <c r="G784" i="159" s="1"/>
  <c r="G80" i="159"/>
  <c r="G174" i="159"/>
  <c r="J760" i="155"/>
  <c r="F760" i="155"/>
  <c r="H760" i="155"/>
  <c r="I760" i="155"/>
  <c r="I219" i="155"/>
  <c r="H219" i="166" s="1"/>
  <c r="J219" i="166" s="1"/>
  <c r="H219" i="155"/>
  <c r="H219" i="165" s="1"/>
  <c r="J219" i="155"/>
  <c r="H219" i="167" s="1"/>
  <c r="I778" i="159"/>
  <c r="I759" i="159" s="1"/>
  <c r="G427" i="157"/>
  <c r="J427" i="157" s="1"/>
  <c r="K427" i="157" s="1"/>
  <c r="H774" i="157"/>
  <c r="H78" i="157"/>
  <c r="F73" i="155"/>
  <c r="J207" i="155"/>
  <c r="H207" i="167" s="1"/>
  <c r="J207" i="167" s="1"/>
  <c r="H207" i="155"/>
  <c r="I207" i="155"/>
  <c r="H207" i="166" s="1"/>
  <c r="J207" i="166" s="1"/>
  <c r="I426" i="155"/>
  <c r="J426" i="155"/>
  <c r="H426" i="155"/>
  <c r="H127" i="161"/>
  <c r="J127" i="161"/>
  <c r="I127" i="161"/>
  <c r="J774" i="159"/>
  <c r="K774" i="159" s="1"/>
  <c r="J776" i="158"/>
  <c r="K776" i="158" s="1"/>
  <c r="I80" i="159"/>
  <c r="I174" i="159"/>
  <c r="I81" i="159"/>
  <c r="I783" i="158"/>
  <c r="O783" i="158" s="1"/>
  <c r="F80" i="157"/>
  <c r="F174" i="157"/>
  <c r="H783" i="157"/>
  <c r="F81" i="157"/>
  <c r="G783" i="157"/>
  <c r="J219" i="167" l="1"/>
  <c r="G219" i="160"/>
  <c r="G219" i="164" s="1"/>
  <c r="G256" i="160"/>
  <c r="G256" i="164" s="1"/>
  <c r="H427" i="162"/>
  <c r="F427" i="165" s="1"/>
  <c r="K427" i="165" s="1"/>
  <c r="J427" i="162"/>
  <c r="F427" i="167" s="1"/>
  <c r="K427" i="167" s="1"/>
  <c r="K426" i="160"/>
  <c r="L426" i="160" s="1"/>
  <c r="G426" i="155"/>
  <c r="K426" i="155" s="1"/>
  <c r="L426" i="155" s="1"/>
  <c r="G218" i="155"/>
  <c r="H218" i="164" s="1"/>
  <c r="G218" i="160"/>
  <c r="I778" i="157"/>
  <c r="I759" i="157" s="1"/>
  <c r="I760" i="157" s="1"/>
  <c r="J207" i="162"/>
  <c r="F207" i="167" s="1"/>
  <c r="K207" i="167" s="1"/>
  <c r="G73" i="160"/>
  <c r="K73" i="160" s="1"/>
  <c r="I784" i="158"/>
  <c r="J784" i="158" s="1"/>
  <c r="K784" i="158" s="1"/>
  <c r="H778" i="157"/>
  <c r="H759" i="157" s="1"/>
  <c r="H760" i="157" s="1"/>
  <c r="G256" i="155"/>
  <c r="H256" i="164" s="1"/>
  <c r="J783" i="158"/>
  <c r="K783" i="158" s="1"/>
  <c r="H760" i="160"/>
  <c r="F760" i="160"/>
  <c r="J760" i="160"/>
  <c r="I760" i="160"/>
  <c r="I127" i="167"/>
  <c r="J776" i="161"/>
  <c r="I73" i="166"/>
  <c r="I78" i="166" s="1"/>
  <c r="I774" i="161"/>
  <c r="I78" i="161"/>
  <c r="J127" i="160"/>
  <c r="I127" i="160"/>
  <c r="H127" i="160"/>
  <c r="J774" i="157"/>
  <c r="K774" i="157" s="1"/>
  <c r="I73" i="165"/>
  <c r="I78" i="165" s="1"/>
  <c r="H774" i="161"/>
  <c r="H78" i="161"/>
  <c r="H218" i="165"/>
  <c r="J218" i="165" s="1"/>
  <c r="H218" i="162"/>
  <c r="F218" i="165" s="1"/>
  <c r="J78" i="157"/>
  <c r="K73" i="157"/>
  <c r="K78" i="157" s="1"/>
  <c r="I783" i="157"/>
  <c r="J783" i="157" s="1"/>
  <c r="K783" i="157" s="1"/>
  <c r="H426" i="165"/>
  <c r="J426" i="165" s="1"/>
  <c r="H426" i="162"/>
  <c r="F426" i="165" s="1"/>
  <c r="I783" i="159"/>
  <c r="J783" i="159" s="1"/>
  <c r="K783" i="159" s="1"/>
  <c r="J759" i="158"/>
  <c r="K759" i="158" s="1"/>
  <c r="G760" i="158"/>
  <c r="K80" i="158"/>
  <c r="K81" i="158"/>
  <c r="F174" i="160"/>
  <c r="F81" i="160"/>
  <c r="F80" i="160"/>
  <c r="J219" i="162"/>
  <c r="F219" i="167" s="1"/>
  <c r="G272" i="164"/>
  <c r="K272" i="160"/>
  <c r="L272" i="160" s="1"/>
  <c r="J78" i="161"/>
  <c r="J783" i="161" s="1"/>
  <c r="J774" i="161"/>
  <c r="I73" i="167"/>
  <c r="I78" i="167" s="1"/>
  <c r="I127" i="165"/>
  <c r="H776" i="161"/>
  <c r="G778" i="159"/>
  <c r="H426" i="167"/>
  <c r="J426" i="167" s="1"/>
  <c r="J426" i="162"/>
  <c r="F426" i="167" s="1"/>
  <c r="I784" i="159"/>
  <c r="J784" i="159" s="1"/>
  <c r="K784" i="159" s="1"/>
  <c r="J778" i="158"/>
  <c r="K778" i="158" s="1"/>
  <c r="J80" i="158"/>
  <c r="J174" i="158"/>
  <c r="J81" i="158"/>
  <c r="K174" i="9"/>
  <c r="G73" i="166"/>
  <c r="I774" i="160"/>
  <c r="I78" i="160"/>
  <c r="J127" i="157"/>
  <c r="G776" i="157"/>
  <c r="J776" i="157" s="1"/>
  <c r="K776" i="157" s="1"/>
  <c r="I207" i="162"/>
  <c r="F207" i="166" s="1"/>
  <c r="K207" i="166" s="1"/>
  <c r="G427" i="155"/>
  <c r="H207" i="165"/>
  <c r="J207" i="165" s="1"/>
  <c r="H207" i="162"/>
  <c r="F207" i="165" s="1"/>
  <c r="H256" i="165"/>
  <c r="J256" i="165" s="1"/>
  <c r="H256" i="162"/>
  <c r="F256" i="165" s="1"/>
  <c r="H218" i="167"/>
  <c r="J218" i="167" s="1"/>
  <c r="J218" i="162"/>
  <c r="F218" i="167" s="1"/>
  <c r="H272" i="167"/>
  <c r="J272" i="167" s="1"/>
  <c r="J272" i="162"/>
  <c r="F272" i="167" s="1"/>
  <c r="G81" i="157"/>
  <c r="G784" i="157" s="1"/>
  <c r="G174" i="157"/>
  <c r="G80" i="157"/>
  <c r="I219" i="162"/>
  <c r="F219" i="166" s="1"/>
  <c r="K219" i="166" s="1"/>
  <c r="G127" i="161"/>
  <c r="H426" i="166"/>
  <c r="J426" i="166" s="1"/>
  <c r="I426" i="162"/>
  <c r="F426" i="166" s="1"/>
  <c r="G207" i="155"/>
  <c r="G219" i="155"/>
  <c r="H256" i="166"/>
  <c r="J256" i="166" s="1"/>
  <c r="I256" i="162"/>
  <c r="F256" i="166" s="1"/>
  <c r="I127" i="155"/>
  <c r="J127" i="155"/>
  <c r="H127" i="155"/>
  <c r="G73" i="161"/>
  <c r="H219" i="162"/>
  <c r="F219" i="165" s="1"/>
  <c r="H78" i="160"/>
  <c r="H774" i="160"/>
  <c r="G73" i="165"/>
  <c r="I427" i="162"/>
  <c r="F427" i="166" s="1"/>
  <c r="K427" i="166" s="1"/>
  <c r="K81" i="159"/>
  <c r="K80" i="159"/>
  <c r="K207" i="160"/>
  <c r="L207" i="160" s="1"/>
  <c r="G207" i="164"/>
  <c r="H80" i="157"/>
  <c r="H174" i="157"/>
  <c r="H81" i="157"/>
  <c r="H784" i="157" s="1"/>
  <c r="K127" i="159"/>
  <c r="I80" i="157"/>
  <c r="I81" i="157"/>
  <c r="I174" i="157"/>
  <c r="H272" i="162"/>
  <c r="F272" i="165" s="1"/>
  <c r="K272" i="165" s="1"/>
  <c r="I272" i="162"/>
  <c r="F272" i="166" s="1"/>
  <c r="K272" i="166" s="1"/>
  <c r="H218" i="166"/>
  <c r="J218" i="166" s="1"/>
  <c r="I218" i="162"/>
  <c r="F218" i="166" s="1"/>
  <c r="G427" i="164"/>
  <c r="K427" i="160"/>
  <c r="L427" i="160" s="1"/>
  <c r="I127" i="166"/>
  <c r="I776" i="161"/>
  <c r="I73" i="155"/>
  <c r="I73" i="162" s="1"/>
  <c r="F78" i="155"/>
  <c r="H73" i="155"/>
  <c r="J73" i="155"/>
  <c r="J73" i="162" s="1"/>
  <c r="H256" i="167"/>
  <c r="J256" i="167" s="1"/>
  <c r="J256" i="162"/>
  <c r="F256" i="167" s="1"/>
  <c r="G272" i="155"/>
  <c r="F81" i="161"/>
  <c r="F80" i="161"/>
  <c r="F174" i="161"/>
  <c r="J219" i="165"/>
  <c r="J759" i="9"/>
  <c r="K759" i="9" s="1"/>
  <c r="G760" i="9"/>
  <c r="H760" i="9"/>
  <c r="H371" i="9" s="1"/>
  <c r="I760" i="9"/>
  <c r="I371" i="9" s="1"/>
  <c r="J774" i="160"/>
  <c r="G73" i="167"/>
  <c r="J78" i="160"/>
  <c r="J174" i="159"/>
  <c r="J81" i="159"/>
  <c r="J80" i="159"/>
  <c r="J256" i="164" l="1"/>
  <c r="K219" i="167"/>
  <c r="K219" i="160"/>
  <c r="L219" i="160" s="1"/>
  <c r="K256" i="160"/>
  <c r="L256" i="160" s="1"/>
  <c r="K426" i="165"/>
  <c r="G73" i="164"/>
  <c r="G78" i="164" s="1"/>
  <c r="H426" i="164"/>
  <c r="J426" i="164" s="1"/>
  <c r="G426" i="162"/>
  <c r="K426" i="162" s="1"/>
  <c r="L426" i="162" s="1"/>
  <c r="G774" i="160"/>
  <c r="G78" i="160"/>
  <c r="G174" i="160" s="1"/>
  <c r="O784" i="158"/>
  <c r="K218" i="155"/>
  <c r="L218" i="155" s="1"/>
  <c r="G218" i="164"/>
  <c r="J218" i="164" s="1"/>
  <c r="K218" i="160"/>
  <c r="L218" i="160" s="1"/>
  <c r="G218" i="162"/>
  <c r="K218" i="162" s="1"/>
  <c r="L218" i="162" s="1"/>
  <c r="K207" i="165"/>
  <c r="G127" i="160"/>
  <c r="G127" i="164" s="1"/>
  <c r="K256" i="166"/>
  <c r="O783" i="157"/>
  <c r="K218" i="166"/>
  <c r="K256" i="167"/>
  <c r="G127" i="155"/>
  <c r="I127" i="162"/>
  <c r="K219" i="165"/>
  <c r="K256" i="155"/>
  <c r="L256" i="155" s="1"/>
  <c r="J778" i="161"/>
  <c r="J759" i="161" s="1"/>
  <c r="J760" i="161" s="1"/>
  <c r="G256" i="162"/>
  <c r="K256" i="162" s="1"/>
  <c r="L256" i="162" s="1"/>
  <c r="K272" i="167"/>
  <c r="K256" i="165"/>
  <c r="G73" i="155"/>
  <c r="K73" i="155" s="1"/>
  <c r="I778" i="161"/>
  <c r="I759" i="161" s="1"/>
  <c r="I760" i="161" s="1"/>
  <c r="K426" i="166"/>
  <c r="K426" i="167"/>
  <c r="H73" i="162"/>
  <c r="H78" i="162" s="1"/>
  <c r="J127" i="162"/>
  <c r="F127" i="167" s="1"/>
  <c r="O783" i="159"/>
  <c r="K218" i="165"/>
  <c r="K127" i="157"/>
  <c r="J760" i="9"/>
  <c r="K760" i="9" s="1"/>
  <c r="I783" i="161"/>
  <c r="I174" i="161"/>
  <c r="I81" i="161"/>
  <c r="I784" i="161" s="1"/>
  <c r="I80" i="161"/>
  <c r="K219" i="155"/>
  <c r="L219" i="155" s="1"/>
  <c r="H219" i="164"/>
  <c r="J219" i="164" s="1"/>
  <c r="G219" i="162"/>
  <c r="G207" i="162"/>
  <c r="K207" i="155"/>
  <c r="L207" i="155" s="1"/>
  <c r="H207" i="164"/>
  <c r="J207" i="164" s="1"/>
  <c r="G127" i="165"/>
  <c r="H776" i="160"/>
  <c r="H778" i="160" s="1"/>
  <c r="H759" i="160" s="1"/>
  <c r="J783" i="160"/>
  <c r="J80" i="160"/>
  <c r="J81" i="160"/>
  <c r="J784" i="160" s="1"/>
  <c r="J174" i="160"/>
  <c r="J774" i="155"/>
  <c r="H73" i="167"/>
  <c r="H78" i="167" s="1"/>
  <c r="J78" i="155"/>
  <c r="H127" i="165"/>
  <c r="H776" i="155"/>
  <c r="O784" i="159"/>
  <c r="I174" i="167"/>
  <c r="I81" i="167"/>
  <c r="I80" i="167"/>
  <c r="K81" i="157"/>
  <c r="K80" i="157"/>
  <c r="H783" i="161"/>
  <c r="H81" i="161"/>
  <c r="H784" i="161" s="1"/>
  <c r="H174" i="161"/>
  <c r="H80" i="161"/>
  <c r="G127" i="166"/>
  <c r="I776" i="160"/>
  <c r="I778" i="160" s="1"/>
  <c r="I759" i="160" s="1"/>
  <c r="K272" i="155"/>
  <c r="L272" i="155" s="1"/>
  <c r="H272" i="164"/>
  <c r="J272" i="164" s="1"/>
  <c r="G78" i="167"/>
  <c r="H774" i="155"/>
  <c r="H73" i="165"/>
  <c r="H78" i="165" s="1"/>
  <c r="H78" i="155"/>
  <c r="G78" i="165"/>
  <c r="H127" i="167"/>
  <c r="J776" i="155"/>
  <c r="J174" i="157"/>
  <c r="J81" i="157"/>
  <c r="J80" i="157"/>
  <c r="H778" i="161"/>
  <c r="H759" i="161" s="1"/>
  <c r="H760" i="161" s="1"/>
  <c r="F371" i="158"/>
  <c r="G371" i="9"/>
  <c r="F73" i="166"/>
  <c r="I78" i="162"/>
  <c r="K774" i="160"/>
  <c r="K78" i="160"/>
  <c r="L73" i="160"/>
  <c r="L78" i="160" s="1"/>
  <c r="H427" i="164"/>
  <c r="J427" i="164" s="1"/>
  <c r="K427" i="155"/>
  <c r="L427" i="155" s="1"/>
  <c r="O760" i="158"/>
  <c r="J760" i="158"/>
  <c r="K760" i="158" s="1"/>
  <c r="I81" i="166"/>
  <c r="I174" i="166"/>
  <c r="I80" i="166"/>
  <c r="F174" i="155"/>
  <c r="F80" i="155"/>
  <c r="H783" i="155"/>
  <c r="F81" i="155"/>
  <c r="I783" i="155"/>
  <c r="J783" i="155"/>
  <c r="G776" i="161"/>
  <c r="I127" i="164"/>
  <c r="K127" i="161"/>
  <c r="J778" i="159"/>
  <c r="K778" i="159" s="1"/>
  <c r="G759" i="159"/>
  <c r="J174" i="161"/>
  <c r="J81" i="161"/>
  <c r="J784" i="161" s="1"/>
  <c r="J80" i="161"/>
  <c r="I81" i="165"/>
  <c r="I80" i="165"/>
  <c r="I174" i="165"/>
  <c r="G127" i="167"/>
  <c r="J776" i="160"/>
  <c r="J778" i="160" s="1"/>
  <c r="J759" i="160" s="1"/>
  <c r="G774" i="161"/>
  <c r="K73" i="161"/>
  <c r="G78" i="161"/>
  <c r="I73" i="164"/>
  <c r="I78" i="164" s="1"/>
  <c r="I783" i="160"/>
  <c r="I174" i="160"/>
  <c r="I81" i="160"/>
  <c r="I784" i="160" s="1"/>
  <c r="I80" i="160"/>
  <c r="I784" i="157"/>
  <c r="O784" i="157" s="1"/>
  <c r="K174" i="159"/>
  <c r="G78" i="166"/>
  <c r="F73" i="167"/>
  <c r="J78" i="162"/>
  <c r="F371" i="159"/>
  <c r="I78" i="155"/>
  <c r="H73" i="166"/>
  <c r="H78" i="166" s="1"/>
  <c r="I774" i="155"/>
  <c r="H783" i="160"/>
  <c r="H174" i="160"/>
  <c r="H81" i="160"/>
  <c r="H784" i="160" s="1"/>
  <c r="H80" i="160"/>
  <c r="H127" i="166"/>
  <c r="I776" i="155"/>
  <c r="K218" i="167"/>
  <c r="K174" i="158"/>
  <c r="H127" i="162"/>
  <c r="G272" i="162"/>
  <c r="G778" i="157"/>
  <c r="G427" i="162"/>
  <c r="F426" i="164" l="1"/>
  <c r="K426" i="164" s="1"/>
  <c r="F73" i="165"/>
  <c r="F78" i="165" s="1"/>
  <c r="F256" i="164"/>
  <c r="K256" i="164" s="1"/>
  <c r="G80" i="160"/>
  <c r="G81" i="160"/>
  <c r="K127" i="160"/>
  <c r="G776" i="160"/>
  <c r="G778" i="160" s="1"/>
  <c r="G759" i="160" s="1"/>
  <c r="F218" i="164"/>
  <c r="K218" i="164" s="1"/>
  <c r="K127" i="155"/>
  <c r="K776" i="155" s="1"/>
  <c r="L776" i="155" s="1"/>
  <c r="H127" i="164"/>
  <c r="H778" i="155"/>
  <c r="H759" i="155" s="1"/>
  <c r="F127" i="166"/>
  <c r="G776" i="155"/>
  <c r="H73" i="164"/>
  <c r="H78" i="164" s="1"/>
  <c r="H174" i="164" s="1"/>
  <c r="G127" i="162"/>
  <c r="K127" i="162" s="1"/>
  <c r="I778" i="155"/>
  <c r="I759" i="155" s="1"/>
  <c r="G784" i="161"/>
  <c r="K784" i="161" s="1"/>
  <c r="L784" i="161" s="1"/>
  <c r="G774" i="155"/>
  <c r="G78" i="155"/>
  <c r="G174" i="155" s="1"/>
  <c r="G73" i="162"/>
  <c r="F73" i="164" s="1"/>
  <c r="J73" i="166"/>
  <c r="J78" i="166" s="1"/>
  <c r="J80" i="166" s="1"/>
  <c r="G783" i="161"/>
  <c r="K783" i="161" s="1"/>
  <c r="L783" i="161" s="1"/>
  <c r="J73" i="167"/>
  <c r="J78" i="167" s="1"/>
  <c r="J80" i="167" s="1"/>
  <c r="G778" i="161"/>
  <c r="G759" i="161" s="1"/>
  <c r="I81" i="155"/>
  <c r="I784" i="155" s="1"/>
  <c r="I80" i="155"/>
  <c r="I174" i="155"/>
  <c r="G759" i="157"/>
  <c r="J778" i="157"/>
  <c r="K778" i="157" s="1"/>
  <c r="J80" i="162"/>
  <c r="J81" i="162"/>
  <c r="J174" i="162"/>
  <c r="H80" i="165"/>
  <c r="H81" i="165"/>
  <c r="H174" i="165"/>
  <c r="G174" i="167"/>
  <c r="G80" i="167"/>
  <c r="G81" i="167"/>
  <c r="J778" i="155"/>
  <c r="J759" i="155" s="1"/>
  <c r="J127" i="165"/>
  <c r="H174" i="166"/>
  <c r="H80" i="166"/>
  <c r="H81" i="166"/>
  <c r="F78" i="167"/>
  <c r="J784" i="157"/>
  <c r="K784" i="157" s="1"/>
  <c r="J759" i="159"/>
  <c r="K759" i="159" s="1"/>
  <c r="G760" i="159"/>
  <c r="H760" i="159"/>
  <c r="H371" i="159" s="1"/>
  <c r="I760" i="159"/>
  <c r="I371" i="159" s="1"/>
  <c r="L81" i="160"/>
  <c r="L80" i="160"/>
  <c r="J371" i="9"/>
  <c r="F371" i="157"/>
  <c r="K219" i="162"/>
  <c r="L219" i="162" s="1"/>
  <c r="F219" i="164"/>
  <c r="K219" i="164" s="1"/>
  <c r="G81" i="166"/>
  <c r="G174" i="166"/>
  <c r="G80" i="166"/>
  <c r="K272" i="162"/>
  <c r="L272" i="162" s="1"/>
  <c r="F272" i="164"/>
  <c r="K272" i="164" s="1"/>
  <c r="G81" i="164"/>
  <c r="G80" i="164"/>
  <c r="G174" i="164"/>
  <c r="I81" i="162"/>
  <c r="I174" i="162"/>
  <c r="I80" i="162"/>
  <c r="F127" i="165"/>
  <c r="G784" i="160"/>
  <c r="K784" i="160" s="1"/>
  <c r="K774" i="161"/>
  <c r="K78" i="161"/>
  <c r="L73" i="161"/>
  <c r="L78" i="161" s="1"/>
  <c r="G783" i="155"/>
  <c r="K783" i="155" s="1"/>
  <c r="K78" i="155"/>
  <c r="K774" i="155"/>
  <c r="L73" i="155"/>
  <c r="L78" i="155" s="1"/>
  <c r="F78" i="166"/>
  <c r="K174" i="157"/>
  <c r="J73" i="165"/>
  <c r="J78" i="165" s="1"/>
  <c r="I81" i="164"/>
  <c r="I80" i="164"/>
  <c r="I174" i="164"/>
  <c r="K776" i="161"/>
  <c r="L776" i="161" s="1"/>
  <c r="L127" i="161"/>
  <c r="L774" i="160"/>
  <c r="F207" i="164"/>
  <c r="K207" i="164" s="1"/>
  <c r="K207" i="162"/>
  <c r="L207" i="162" s="1"/>
  <c r="J127" i="167"/>
  <c r="G81" i="165"/>
  <c r="G174" i="165"/>
  <c r="G80" i="165"/>
  <c r="J127" i="166"/>
  <c r="J80" i="155"/>
  <c r="J174" i="155"/>
  <c r="J81" i="155"/>
  <c r="J784" i="155" s="1"/>
  <c r="K80" i="160"/>
  <c r="K174" i="160"/>
  <c r="K81" i="160"/>
  <c r="I371" i="158"/>
  <c r="H371" i="158"/>
  <c r="G81" i="161"/>
  <c r="G174" i="161"/>
  <c r="G80" i="161"/>
  <c r="K427" i="162"/>
  <c r="L427" i="162" s="1"/>
  <c r="F427" i="164"/>
  <c r="K427" i="164" s="1"/>
  <c r="G783" i="160"/>
  <c r="K783" i="160" s="1"/>
  <c r="H81" i="162"/>
  <c r="H80" i="162"/>
  <c r="H174" i="162"/>
  <c r="H81" i="155"/>
  <c r="H784" i="155" s="1"/>
  <c r="H174" i="155"/>
  <c r="H80" i="155"/>
  <c r="H80" i="167"/>
  <c r="H174" i="167"/>
  <c r="H81" i="167"/>
  <c r="K776" i="160" l="1"/>
  <c r="L776" i="160" s="1"/>
  <c r="L778" i="160" s="1"/>
  <c r="L127" i="160"/>
  <c r="H81" i="164"/>
  <c r="J127" i="164"/>
  <c r="L127" i="155"/>
  <c r="H80" i="164"/>
  <c r="F127" i="164"/>
  <c r="G81" i="155"/>
  <c r="G778" i="155"/>
  <c r="G759" i="155" s="1"/>
  <c r="P784" i="161"/>
  <c r="J73" i="164"/>
  <c r="J78" i="164" s="1"/>
  <c r="J174" i="164" s="1"/>
  <c r="J81" i="166"/>
  <c r="J174" i="166"/>
  <c r="K73" i="166"/>
  <c r="K78" i="166" s="1"/>
  <c r="K80" i="166" s="1"/>
  <c r="P783" i="161"/>
  <c r="G78" i="162"/>
  <c r="G81" i="162" s="1"/>
  <c r="G80" i="155"/>
  <c r="K73" i="162"/>
  <c r="L73" i="162" s="1"/>
  <c r="L78" i="162" s="1"/>
  <c r="J81" i="167"/>
  <c r="J174" i="167"/>
  <c r="K73" i="167"/>
  <c r="K78" i="167" s="1"/>
  <c r="K81" i="167" s="1"/>
  <c r="F371" i="161"/>
  <c r="G371" i="159"/>
  <c r="J81" i="165"/>
  <c r="J174" i="165"/>
  <c r="J80" i="165"/>
  <c r="G371" i="158"/>
  <c r="L81" i="155"/>
  <c r="L80" i="155"/>
  <c r="I371" i="157"/>
  <c r="H371" i="157"/>
  <c r="L783" i="160"/>
  <c r="P783" i="160"/>
  <c r="K127" i="166"/>
  <c r="G784" i="155"/>
  <c r="K784" i="155" s="1"/>
  <c r="L774" i="155"/>
  <c r="L778" i="155" s="1"/>
  <c r="K778" i="155"/>
  <c r="K759" i="155" s="1"/>
  <c r="L759" i="155" s="1"/>
  <c r="G760" i="155" s="1"/>
  <c r="K760" i="155" s="1"/>
  <c r="K371" i="9"/>
  <c r="L174" i="160"/>
  <c r="K778" i="161"/>
  <c r="K759" i="161" s="1"/>
  <c r="L759" i="161" s="1"/>
  <c r="G760" i="161" s="1"/>
  <c r="K760" i="161" s="1"/>
  <c r="L774" i="161"/>
  <c r="L778" i="161" s="1"/>
  <c r="K174" i="155"/>
  <c r="K81" i="155"/>
  <c r="K80" i="155"/>
  <c r="F174" i="167"/>
  <c r="F80" i="167"/>
  <c r="F81" i="167"/>
  <c r="L127" i="162"/>
  <c r="K81" i="161"/>
  <c r="K174" i="161"/>
  <c r="K80" i="161"/>
  <c r="K127" i="165"/>
  <c r="K127" i="167"/>
  <c r="F81" i="165"/>
  <c r="F174" i="165"/>
  <c r="F80" i="165"/>
  <c r="O760" i="159"/>
  <c r="J760" i="159"/>
  <c r="K760" i="159" s="1"/>
  <c r="L783" i="155"/>
  <c r="P783" i="155"/>
  <c r="L80" i="161"/>
  <c r="L81" i="161"/>
  <c r="L784" i="160"/>
  <c r="P784" i="160"/>
  <c r="K73" i="165"/>
  <c r="K78" i="165" s="1"/>
  <c r="F80" i="166"/>
  <c r="F81" i="166"/>
  <c r="F174" i="166"/>
  <c r="F78" i="164"/>
  <c r="J759" i="157"/>
  <c r="K759" i="157" s="1"/>
  <c r="G760" i="157"/>
  <c r="K778" i="160" l="1"/>
  <c r="K759" i="160" s="1"/>
  <c r="L759" i="160" s="1"/>
  <c r="G760" i="160" s="1"/>
  <c r="K760" i="160" s="1"/>
  <c r="L760" i="160" s="1"/>
  <c r="G174" i="162"/>
  <c r="K127" i="164"/>
  <c r="G80" i="162"/>
  <c r="K73" i="164"/>
  <c r="K78" i="164" s="1"/>
  <c r="K81" i="164" s="1"/>
  <c r="J81" i="164"/>
  <c r="J80" i="164"/>
  <c r="K81" i="166"/>
  <c r="K80" i="167"/>
  <c r="K78" i="162"/>
  <c r="K81" i="162" s="1"/>
  <c r="G371" i="157"/>
  <c r="J371" i="157" s="1"/>
  <c r="L784" i="155"/>
  <c r="P784" i="155"/>
  <c r="K80" i="165"/>
  <c r="K81" i="165"/>
  <c r="L174" i="155"/>
  <c r="P760" i="155"/>
  <c r="L760" i="155"/>
  <c r="F371" i="160"/>
  <c r="J371" i="159"/>
  <c r="K174" i="165"/>
  <c r="L80" i="162"/>
  <c r="L81" i="162"/>
  <c r="K174" i="167"/>
  <c r="L174" i="161"/>
  <c r="J371" i="158"/>
  <c r="F81" i="164"/>
  <c r="F80" i="164"/>
  <c r="F174" i="164"/>
  <c r="F371" i="155"/>
  <c r="J371" i="161"/>
  <c r="I371" i="161"/>
  <c r="H371" i="161"/>
  <c r="J760" i="157"/>
  <c r="K760" i="157" s="1"/>
  <c r="O760" i="157"/>
  <c r="K174" i="166"/>
  <c r="L760" i="161"/>
  <c r="P760" i="161"/>
  <c r="P760" i="160" l="1"/>
  <c r="K80" i="164"/>
  <c r="G371" i="161"/>
  <c r="K371" i="161" s="1"/>
  <c r="K174" i="162"/>
  <c r="L174" i="162" s="1"/>
  <c r="K80" i="162"/>
  <c r="J371" i="160"/>
  <c r="G371" i="167" s="1"/>
  <c r="H371" i="160"/>
  <c r="I371" i="160"/>
  <c r="I371" i="167"/>
  <c r="I371" i="166"/>
  <c r="K174" i="164"/>
  <c r="I371" i="165"/>
  <c r="J371" i="155"/>
  <c r="I371" i="155"/>
  <c r="H371" i="155"/>
  <c r="K371" i="158"/>
  <c r="K371" i="159"/>
  <c r="K371" i="157"/>
  <c r="I371" i="164" l="1"/>
  <c r="G371" i="160"/>
  <c r="G371" i="164" s="1"/>
  <c r="J371" i="162"/>
  <c r="F371" i="167" s="1"/>
  <c r="H371" i="165"/>
  <c r="H371" i="166"/>
  <c r="L371" i="161"/>
  <c r="G371" i="165"/>
  <c r="H371" i="167"/>
  <c r="G371" i="166"/>
  <c r="I371" i="162"/>
  <c r="H371" i="162"/>
  <c r="G371" i="155"/>
  <c r="K371" i="160" l="1"/>
  <c r="L371" i="160" s="1"/>
  <c r="G371" i="162"/>
  <c r="K371" i="162" s="1"/>
  <c r="F371" i="165"/>
  <c r="J371" i="165"/>
  <c r="J371" i="166"/>
  <c r="F371" i="166"/>
  <c r="J371" i="167"/>
  <c r="K371" i="155"/>
  <c r="H371" i="164"/>
  <c r="F371" i="164" l="1"/>
  <c r="J371" i="164"/>
  <c r="K371" i="167"/>
  <c r="L371" i="162"/>
  <c r="K371" i="165"/>
  <c r="L371" i="155"/>
  <c r="K371" i="166"/>
  <c r="K371" i="164" l="1"/>
  <c r="H280" i="9" l="1"/>
  <c r="I280" i="9"/>
  <c r="G280" i="159"/>
  <c r="H280" i="159"/>
  <c r="I280" i="159"/>
  <c r="H280" i="160"/>
  <c r="G280" i="165" s="1"/>
  <c r="I280" i="160"/>
  <c r="J280" i="160"/>
  <c r="G280" i="167" s="1"/>
  <c r="H280" i="161"/>
  <c r="I280" i="165" s="1"/>
  <c r="I280" i="161"/>
  <c r="I280" i="166" s="1"/>
  <c r="J280" i="161"/>
  <c r="I280" i="167" s="1"/>
  <c r="G280" i="158"/>
  <c r="H280" i="158"/>
  <c r="I280" i="158"/>
  <c r="J280" i="158" l="1"/>
  <c r="K280" i="158" s="1"/>
  <c r="G280" i="9"/>
  <c r="G280" i="166"/>
  <c r="G280" i="161"/>
  <c r="G280" i="160"/>
  <c r="J280" i="159"/>
  <c r="K280" i="159" s="1"/>
  <c r="J280" i="9" l="1"/>
  <c r="K280" i="9" s="1"/>
  <c r="F280" i="157"/>
  <c r="K280" i="161"/>
  <c r="L280" i="161" s="1"/>
  <c r="I280" i="164"/>
  <c r="K280" i="160"/>
  <c r="L280" i="160" s="1"/>
  <c r="G280" i="164"/>
  <c r="H280" i="157" l="1"/>
  <c r="F280" i="155" s="1"/>
  <c r="G280" i="157"/>
  <c r="I280" i="157"/>
  <c r="F422" i="162"/>
  <c r="H280" i="155" l="1"/>
  <c r="I280" i="155"/>
  <c r="J280" i="155"/>
  <c r="G280" i="155"/>
  <c r="J280" i="157"/>
  <c r="K280" i="157" s="1"/>
  <c r="H280" i="167" l="1"/>
  <c r="J280" i="167" s="1"/>
  <c r="J280" i="162"/>
  <c r="F280" i="167" s="1"/>
  <c r="H280" i="166"/>
  <c r="J280" i="166" s="1"/>
  <c r="I280" i="162"/>
  <c r="F280" i="166" s="1"/>
  <c r="H280" i="164"/>
  <c r="J280" i="164" s="1"/>
  <c r="K280" i="155"/>
  <c r="L280" i="155" s="1"/>
  <c r="G280" i="162"/>
  <c r="H280" i="165"/>
  <c r="J280" i="165" s="1"/>
  <c r="H280" i="162"/>
  <c r="F280" i="165" s="1"/>
  <c r="K280" i="166" l="1"/>
  <c r="K280" i="167"/>
  <c r="K280" i="162"/>
  <c r="L280" i="162" s="1"/>
  <c r="F280" i="164"/>
  <c r="K280" i="164" s="1"/>
  <c r="K280" i="165"/>
  <c r="F491" i="162" l="1"/>
  <c r="F493" i="162" s="1"/>
  <c r="F495" i="162" s="1"/>
  <c r="F20" i="162" s="1"/>
  <c r="F21" i="49" s="1"/>
  <c r="F500" i="162" l="1"/>
  <c r="F493" i="9"/>
  <c r="F495" i="9" l="1"/>
  <c r="C41" i="5"/>
  <c r="E41" i="5" s="1"/>
  <c r="F20" i="9" l="1"/>
  <c r="F500" i="9"/>
  <c r="F281" i="9" l="1"/>
  <c r="H348" i="9"/>
  <c r="F348" i="158" s="1"/>
  <c r="I348" i="158" s="1"/>
  <c r="H349" i="9"/>
  <c r="F349" i="158" s="1"/>
  <c r="I349" i="158" s="1"/>
  <c r="I349" i="9"/>
  <c r="F349" i="159" s="1"/>
  <c r="F383" i="162"/>
  <c r="H384" i="9"/>
  <c r="F384" i="158" s="1"/>
  <c r="H386" i="9"/>
  <c r="F386" i="158" s="1"/>
  <c r="I386" i="158" s="1"/>
  <c r="F402" i="162"/>
  <c r="F403" i="162" s="1"/>
  <c r="H406" i="9"/>
  <c r="F516" i="9"/>
  <c r="F875" i="9" s="1"/>
  <c r="F519" i="162"/>
  <c r="F522" i="162" s="1"/>
  <c r="F527" i="162"/>
  <c r="F532" i="162" s="1"/>
  <c r="F584" i="158"/>
  <c r="I584" i="158" s="1"/>
  <c r="I585" i="158" s="1"/>
  <c r="F769" i="9"/>
  <c r="F769" i="159"/>
  <c r="F771" i="159" s="1"/>
  <c r="F757" i="159" s="1"/>
  <c r="F769" i="158"/>
  <c r="F771" i="158" s="1"/>
  <c r="F757" i="158" s="1"/>
  <c r="F125" i="162"/>
  <c r="F279" i="162"/>
  <c r="F281" i="162" s="1"/>
  <c r="F283" i="162" s="1"/>
  <c r="F324" i="162" s="1"/>
  <c r="F348" i="162"/>
  <c r="F349" i="162"/>
  <c r="F386" i="162"/>
  <c r="D24" i="5"/>
  <c r="E37" i="5"/>
  <c r="C46" i="5"/>
  <c r="E46" i="5" s="1"/>
  <c r="E63" i="5"/>
  <c r="E71" i="5"/>
  <c r="H14" i="3"/>
  <c r="F532" i="9" l="1"/>
  <c r="F543" i="9" s="1"/>
  <c r="F545" i="9" s="1"/>
  <c r="F556" i="9" s="1"/>
  <c r="F584" i="162"/>
  <c r="F585" i="162" s="1"/>
  <c r="F591" i="162" s="1"/>
  <c r="F550" i="162" s="1"/>
  <c r="F384" i="162"/>
  <c r="F350" i="162"/>
  <c r="F360" i="162" s="1"/>
  <c r="F515" i="162"/>
  <c r="F516" i="162" s="1"/>
  <c r="F875" i="162" s="1"/>
  <c r="F406" i="162"/>
  <c r="F407" i="162" s="1"/>
  <c r="F585" i="9"/>
  <c r="I348" i="9"/>
  <c r="I350" i="9" s="1"/>
  <c r="H13" i="3"/>
  <c r="F411" i="9" s="1"/>
  <c r="H348" i="158"/>
  <c r="G348" i="158" s="1"/>
  <c r="J348" i="158" s="1"/>
  <c r="H407" i="9"/>
  <c r="F406" i="158"/>
  <c r="I406" i="158" s="1"/>
  <c r="I407" i="158" s="1"/>
  <c r="F551" i="9"/>
  <c r="H384" i="158"/>
  <c r="I384" i="158"/>
  <c r="F283" i="9"/>
  <c r="F324" i="9" s="1"/>
  <c r="F522" i="9"/>
  <c r="H350" i="9"/>
  <c r="H360" i="9" s="1"/>
  <c r="F885" i="9"/>
  <c r="H17" i="3"/>
  <c r="F414" i="9" s="1"/>
  <c r="F414" i="162" s="1"/>
  <c r="C56" i="5"/>
  <c r="E56" i="5" s="1"/>
  <c r="H16" i="3"/>
  <c r="F413" i="9" s="1"/>
  <c r="F413" i="162" s="1"/>
  <c r="F350" i="9"/>
  <c r="D58" i="5"/>
  <c r="D61" i="5" s="1"/>
  <c r="F543" i="162"/>
  <c r="F545" i="162" s="1"/>
  <c r="F885" i="162"/>
  <c r="D52" i="5"/>
  <c r="D5" i="5"/>
  <c r="D36" i="5"/>
  <c r="E10" i="5"/>
  <c r="D11" i="5"/>
  <c r="F599" i="162"/>
  <c r="F876" i="162"/>
  <c r="H584" i="158"/>
  <c r="H585" i="158" s="1"/>
  <c r="F585" i="158"/>
  <c r="F591" i="158" s="1"/>
  <c r="H349" i="158"/>
  <c r="F350" i="158"/>
  <c r="H349" i="159"/>
  <c r="I349" i="159"/>
  <c r="H15" i="3"/>
  <c r="F412" i="9" s="1"/>
  <c r="F389" i="162"/>
  <c r="F131" i="162"/>
  <c r="I350" i="158"/>
  <c r="I360" i="158" s="1"/>
  <c r="H18" i="3"/>
  <c r="F415" i="9" s="1"/>
  <c r="H386" i="158"/>
  <c r="G386" i="158" s="1"/>
  <c r="J386" i="158" s="1"/>
  <c r="K386" i="158" s="1"/>
  <c r="F771" i="9"/>
  <c r="G349" i="9"/>
  <c r="I402" i="9"/>
  <c r="H402" i="9"/>
  <c r="F403" i="9"/>
  <c r="I384" i="9"/>
  <c r="F384" i="159" s="1"/>
  <c r="I383" i="9"/>
  <c r="H383" i="9"/>
  <c r="F389" i="9"/>
  <c r="I406" i="9"/>
  <c r="G406" i="9" s="1"/>
  <c r="I386" i="9"/>
  <c r="F386" i="159" s="1"/>
  <c r="F407" i="9"/>
  <c r="H125" i="9"/>
  <c r="F131" i="9"/>
  <c r="I125" i="9"/>
  <c r="F604" i="162" l="1"/>
  <c r="D26" i="5"/>
  <c r="F407" i="158"/>
  <c r="H406" i="158"/>
  <c r="H407" i="158" s="1"/>
  <c r="G383" i="9"/>
  <c r="F383" i="157" s="1"/>
  <c r="H350" i="158"/>
  <c r="H360" i="158" s="1"/>
  <c r="G384" i="9"/>
  <c r="J384" i="9" s="1"/>
  <c r="K384" i="9" s="1"/>
  <c r="G384" i="158"/>
  <c r="J384" i="158" s="1"/>
  <c r="K384" i="158" s="1"/>
  <c r="G348" i="9"/>
  <c r="F348" i="159"/>
  <c r="C51" i="5"/>
  <c r="E51" i="5" s="1"/>
  <c r="F591" i="9"/>
  <c r="G402" i="9"/>
  <c r="G403" i="9" s="1"/>
  <c r="G825" i="9" s="1"/>
  <c r="F360" i="9"/>
  <c r="H821" i="9"/>
  <c r="C47" i="5"/>
  <c r="E47" i="5" s="1"/>
  <c r="F524" i="9"/>
  <c r="N524" i="9" s="1"/>
  <c r="N526" i="9" s="1"/>
  <c r="F876" i="9"/>
  <c r="F524" i="162"/>
  <c r="F549" i="162" s="1"/>
  <c r="E23" i="5"/>
  <c r="C24" i="5"/>
  <c r="E24" i="5" s="1"/>
  <c r="G386" i="9"/>
  <c r="J386" i="9" s="1"/>
  <c r="K386" i="9" s="1"/>
  <c r="C33" i="5"/>
  <c r="E33" i="5" s="1"/>
  <c r="F757" i="9"/>
  <c r="C32" i="5"/>
  <c r="H403" i="9"/>
  <c r="H825" i="9" s="1"/>
  <c r="F402" i="158"/>
  <c r="K348" i="158"/>
  <c r="I131" i="9"/>
  <c r="I175" i="9" s="1"/>
  <c r="I176" i="9" s="1"/>
  <c r="I769" i="9"/>
  <c r="I771" i="9" s="1"/>
  <c r="I757" i="9" s="1"/>
  <c r="F125" i="159"/>
  <c r="H826" i="9"/>
  <c r="H415" i="9" s="1"/>
  <c r="F415" i="158" s="1"/>
  <c r="C34" i="5"/>
  <c r="E34" i="5" s="1"/>
  <c r="F175" i="9"/>
  <c r="F151" i="9"/>
  <c r="H386" i="159"/>
  <c r="I386" i="159"/>
  <c r="F386" i="161" s="1"/>
  <c r="I389" i="9"/>
  <c r="F383" i="159"/>
  <c r="G821" i="158"/>
  <c r="F360" i="158"/>
  <c r="I821" i="158"/>
  <c r="H821" i="158"/>
  <c r="F599" i="158"/>
  <c r="F550" i="158"/>
  <c r="F604" i="158"/>
  <c r="D42" i="5"/>
  <c r="G125" i="9"/>
  <c r="H769" i="9"/>
  <c r="H771" i="9" s="1"/>
  <c r="H757" i="9" s="1"/>
  <c r="H131" i="9"/>
  <c r="H175" i="9" s="1"/>
  <c r="H176" i="9" s="1"/>
  <c r="F125" i="158"/>
  <c r="G407" i="9"/>
  <c r="G826" i="9" s="1"/>
  <c r="J406" i="9"/>
  <c r="F406" i="157"/>
  <c r="F175" i="162"/>
  <c r="F151" i="162"/>
  <c r="F13" i="162" s="1"/>
  <c r="I821" i="9"/>
  <c r="I360" i="9"/>
  <c r="F412" i="162"/>
  <c r="H12" i="3"/>
  <c r="I407" i="9"/>
  <c r="I826" i="9" s="1"/>
  <c r="I415" i="9" s="1"/>
  <c r="F415" i="159" s="1"/>
  <c r="F406" i="159"/>
  <c r="H389" i="9"/>
  <c r="H824" i="9" s="1"/>
  <c r="F383" i="158"/>
  <c r="I384" i="159"/>
  <c r="F384" i="161" s="1"/>
  <c r="H384" i="159"/>
  <c r="I403" i="9"/>
  <c r="F402" i="159"/>
  <c r="J349" i="9"/>
  <c r="K349" i="9" s="1"/>
  <c r="F349" i="157"/>
  <c r="I826" i="158"/>
  <c r="G826" i="158"/>
  <c r="H826" i="158"/>
  <c r="F415" i="162"/>
  <c r="F349" i="161"/>
  <c r="G349" i="159"/>
  <c r="G349" i="158"/>
  <c r="G584" i="158"/>
  <c r="F556" i="162"/>
  <c r="F551" i="162"/>
  <c r="I411" i="9"/>
  <c r="F411" i="159" s="1"/>
  <c r="H411" i="9"/>
  <c r="F411" i="158" s="1"/>
  <c r="F411" i="162"/>
  <c r="I822" i="9" l="1"/>
  <c r="J383" i="9"/>
  <c r="G406" i="158"/>
  <c r="J406" i="158" s="1"/>
  <c r="F597" i="162"/>
  <c r="F384" i="157"/>
  <c r="G407" i="158"/>
  <c r="F402" i="157"/>
  <c r="H402" i="157" s="1"/>
  <c r="J402" i="9"/>
  <c r="K402" i="9" s="1"/>
  <c r="K403" i="9" s="1"/>
  <c r="G386" i="159"/>
  <c r="F386" i="160" s="1"/>
  <c r="G384" i="159"/>
  <c r="J384" i="159" s="1"/>
  <c r="K384" i="159" s="1"/>
  <c r="F599" i="9"/>
  <c r="F550" i="9"/>
  <c r="F604" i="9"/>
  <c r="H348" i="159"/>
  <c r="F350" i="159"/>
  <c r="I348" i="159"/>
  <c r="F348" i="157"/>
  <c r="F350" i="157" s="1"/>
  <c r="G350" i="9"/>
  <c r="J348" i="9"/>
  <c r="K348" i="9" s="1"/>
  <c r="K350" i="9" s="1"/>
  <c r="K360" i="9" s="1"/>
  <c r="G389" i="9"/>
  <c r="G824" i="9" s="1"/>
  <c r="I824" i="9" s="1"/>
  <c r="J824" i="9" s="1"/>
  <c r="K824" i="9" s="1"/>
  <c r="J826" i="9"/>
  <c r="K826" i="9" s="1"/>
  <c r="F549" i="9"/>
  <c r="F597" i="9"/>
  <c r="F386" i="157"/>
  <c r="H386" i="157" s="1"/>
  <c r="F386" i="155" s="1"/>
  <c r="H94" i="9"/>
  <c r="F94" i="158" s="1"/>
  <c r="G94" i="158" s="1"/>
  <c r="H85" i="9"/>
  <c r="F85" i="158" s="1"/>
  <c r="I85" i="158" s="1"/>
  <c r="H135" i="9"/>
  <c r="F135" i="158" s="1"/>
  <c r="H135" i="158" s="1"/>
  <c r="H144" i="9"/>
  <c r="F144" i="158" s="1"/>
  <c r="H144" i="158" s="1"/>
  <c r="C29" i="5"/>
  <c r="E29" i="5" s="1"/>
  <c r="H822" i="9"/>
  <c r="I825" i="9"/>
  <c r="H97" i="9"/>
  <c r="H147" i="9"/>
  <c r="H88" i="9"/>
  <c r="H138" i="9"/>
  <c r="H414" i="9"/>
  <c r="J584" i="158"/>
  <c r="G585" i="158"/>
  <c r="H384" i="161"/>
  <c r="I384" i="161"/>
  <c r="J384" i="161"/>
  <c r="H383" i="158"/>
  <c r="H389" i="158" s="1"/>
  <c r="F389" i="158"/>
  <c r="I383" i="158"/>
  <c r="I389" i="158" s="1"/>
  <c r="F410" i="9"/>
  <c r="H20" i="3"/>
  <c r="H384" i="157"/>
  <c r="F384" i="155" s="1"/>
  <c r="I384" i="157"/>
  <c r="J407" i="9"/>
  <c r="K406" i="9"/>
  <c r="K407" i="9" s="1"/>
  <c r="I89" i="9"/>
  <c r="F89" i="159" s="1"/>
  <c r="I139" i="9"/>
  <c r="F139" i="159" s="1"/>
  <c r="I98" i="9"/>
  <c r="F98" i="159" s="1"/>
  <c r="I148" i="9"/>
  <c r="F148" i="159" s="1"/>
  <c r="J389" i="9"/>
  <c r="K383" i="9"/>
  <c r="K389" i="9" s="1"/>
  <c r="H87" i="9"/>
  <c r="H137" i="9"/>
  <c r="H96" i="9"/>
  <c r="H146" i="9"/>
  <c r="H413" i="9"/>
  <c r="G411" i="9"/>
  <c r="J349" i="158"/>
  <c r="G350" i="158"/>
  <c r="G360" i="158" s="1"/>
  <c r="I415" i="158"/>
  <c r="H415" i="158"/>
  <c r="H402" i="159"/>
  <c r="H403" i="159" s="1"/>
  <c r="F403" i="159"/>
  <c r="I402" i="159"/>
  <c r="G131" i="9"/>
  <c r="J125" i="9"/>
  <c r="G769" i="9"/>
  <c r="F125" i="157"/>
  <c r="F769" i="155"/>
  <c r="F769" i="157"/>
  <c r="H822" i="158"/>
  <c r="I822" i="158"/>
  <c r="G822" i="158"/>
  <c r="H383" i="159"/>
  <c r="H389" i="159" s="1"/>
  <c r="F389" i="159"/>
  <c r="I383" i="159"/>
  <c r="F13" i="9"/>
  <c r="C4" i="5"/>
  <c r="H98" i="9"/>
  <c r="H148" i="9"/>
  <c r="H139" i="9"/>
  <c r="H89" i="9"/>
  <c r="I178" i="9"/>
  <c r="I179" i="9"/>
  <c r="H402" i="158"/>
  <c r="H403" i="158" s="1"/>
  <c r="F403" i="158"/>
  <c r="I402" i="158"/>
  <c r="I403" i="158" s="1"/>
  <c r="I411" i="159"/>
  <c r="F411" i="161" s="1"/>
  <c r="H411" i="159"/>
  <c r="F349" i="160"/>
  <c r="J349" i="159"/>
  <c r="J826" i="158"/>
  <c r="K826" i="158" s="1"/>
  <c r="O826" i="158"/>
  <c r="H406" i="159"/>
  <c r="H407" i="159" s="1"/>
  <c r="F407" i="159"/>
  <c r="I406" i="159"/>
  <c r="J407" i="158"/>
  <c r="K406" i="158"/>
  <c r="K407" i="158" s="1"/>
  <c r="F14" i="49"/>
  <c r="H125" i="158"/>
  <c r="F131" i="158"/>
  <c r="I125" i="158"/>
  <c r="J821" i="158"/>
  <c r="K821" i="158" s="1"/>
  <c r="O821" i="158"/>
  <c r="F176" i="9"/>
  <c r="E32" i="5"/>
  <c r="I411" i="158"/>
  <c r="H411" i="158"/>
  <c r="H349" i="161"/>
  <c r="I349" i="161"/>
  <c r="J349" i="161"/>
  <c r="G415" i="9"/>
  <c r="H349" i="157"/>
  <c r="I349" i="157"/>
  <c r="I85" i="9"/>
  <c r="I135" i="9"/>
  <c r="I94" i="9"/>
  <c r="I144" i="9"/>
  <c r="F176" i="162"/>
  <c r="H406" i="157"/>
  <c r="F407" i="157"/>
  <c r="I406" i="157"/>
  <c r="I407" i="157" s="1"/>
  <c r="H179" i="9"/>
  <c r="H178" i="9"/>
  <c r="H386" i="161"/>
  <c r="I386" i="161"/>
  <c r="J386" i="161"/>
  <c r="H788" i="9"/>
  <c r="I125" i="159"/>
  <c r="H125" i="159"/>
  <c r="F131" i="159"/>
  <c r="H383" i="157"/>
  <c r="I383" i="157"/>
  <c r="I402" i="157" l="1"/>
  <c r="I403" i="157" s="1"/>
  <c r="J386" i="159"/>
  <c r="K386" i="159" s="1"/>
  <c r="J403" i="9"/>
  <c r="F403" i="157"/>
  <c r="J350" i="9"/>
  <c r="J360" i="9" s="1"/>
  <c r="I135" i="158"/>
  <c r="G135" i="158" s="1"/>
  <c r="J135" i="158" s="1"/>
  <c r="H85" i="158"/>
  <c r="G85" i="158"/>
  <c r="I144" i="158"/>
  <c r="G144" i="158" s="1"/>
  <c r="J144" i="158" s="1"/>
  <c r="F384" i="160"/>
  <c r="I384" i="160" s="1"/>
  <c r="G384" i="166" s="1"/>
  <c r="F389" i="157"/>
  <c r="H824" i="157" s="1"/>
  <c r="G411" i="158"/>
  <c r="J411" i="158" s="1"/>
  <c r="K411" i="158" s="1"/>
  <c r="G125" i="158"/>
  <c r="G131" i="158" s="1"/>
  <c r="G175" i="158" s="1"/>
  <c r="G176" i="158" s="1"/>
  <c r="G411" i="159"/>
  <c r="F411" i="160" s="1"/>
  <c r="I386" i="157"/>
  <c r="G386" i="157" s="1"/>
  <c r="J386" i="157" s="1"/>
  <c r="K386" i="157" s="1"/>
  <c r="G415" i="158"/>
  <c r="J415" i="158" s="1"/>
  <c r="K415" i="158" s="1"/>
  <c r="G349" i="157"/>
  <c r="J349" i="157" s="1"/>
  <c r="F348" i="161"/>
  <c r="I350" i="159"/>
  <c r="I360" i="159" s="1"/>
  <c r="I821" i="159"/>
  <c r="G821" i="159"/>
  <c r="F360" i="159"/>
  <c r="H821" i="159"/>
  <c r="G348" i="159"/>
  <c r="H350" i="159"/>
  <c r="H360" i="159" s="1"/>
  <c r="I348" i="157"/>
  <c r="I350" i="157" s="1"/>
  <c r="H348" i="157"/>
  <c r="F348" i="155" s="1"/>
  <c r="G360" i="9"/>
  <c r="G822" i="9" s="1"/>
  <c r="J822" i="9" s="1"/>
  <c r="K822" i="9" s="1"/>
  <c r="G821" i="9"/>
  <c r="J821" i="9" s="1"/>
  <c r="K821" i="9" s="1"/>
  <c r="G402" i="157"/>
  <c r="G403" i="157" s="1"/>
  <c r="I94" i="158"/>
  <c r="H94" i="158"/>
  <c r="G125" i="159"/>
  <c r="J125" i="159" s="1"/>
  <c r="G402" i="159"/>
  <c r="G403" i="159" s="1"/>
  <c r="G825" i="159" s="1"/>
  <c r="F383" i="155"/>
  <c r="H389" i="157"/>
  <c r="I386" i="165"/>
  <c r="F191" i="162"/>
  <c r="F179" i="162"/>
  <c r="F178" i="162"/>
  <c r="I349" i="166"/>
  <c r="K349" i="159"/>
  <c r="G139" i="9"/>
  <c r="F139" i="158"/>
  <c r="O822" i="158"/>
  <c r="J822" i="158"/>
  <c r="K822" i="158" s="1"/>
  <c r="F771" i="155"/>
  <c r="F757" i="155" s="1"/>
  <c r="G175" i="9"/>
  <c r="G176" i="9" s="1"/>
  <c r="G788" i="9"/>
  <c r="F146" i="158"/>
  <c r="F88" i="158"/>
  <c r="I97" i="9"/>
  <c r="F97" i="159" s="1"/>
  <c r="I147" i="9"/>
  <c r="F147" i="159" s="1"/>
  <c r="I88" i="9"/>
  <c r="F88" i="159" s="1"/>
  <c r="I138" i="9"/>
  <c r="F138" i="159" s="1"/>
  <c r="I414" i="9"/>
  <c r="F414" i="159" s="1"/>
  <c r="F144" i="159"/>
  <c r="G144" i="9"/>
  <c r="I769" i="158"/>
  <c r="I771" i="158" s="1"/>
  <c r="I757" i="158" s="1"/>
  <c r="I758" i="158" s="1"/>
  <c r="I131" i="158"/>
  <c r="I175" i="158" s="1"/>
  <c r="I176" i="158" s="1"/>
  <c r="J349" i="160"/>
  <c r="H349" i="160"/>
  <c r="I349" i="160"/>
  <c r="H411" i="161"/>
  <c r="I411" i="161"/>
  <c r="J411" i="161"/>
  <c r="G148" i="9"/>
  <c r="F148" i="158"/>
  <c r="I125" i="157"/>
  <c r="F131" i="157"/>
  <c r="H125" i="157"/>
  <c r="H825" i="159"/>
  <c r="J411" i="9"/>
  <c r="K411" i="9" s="1"/>
  <c r="F411" i="157"/>
  <c r="J384" i="155"/>
  <c r="H384" i="167" s="1"/>
  <c r="I384" i="155"/>
  <c r="H384" i="166" s="1"/>
  <c r="H384" i="155"/>
  <c r="H384" i="165" s="1"/>
  <c r="F147" i="158"/>
  <c r="F175" i="159"/>
  <c r="F135" i="159"/>
  <c r="G135" i="9"/>
  <c r="F349" i="155"/>
  <c r="I349" i="167"/>
  <c r="H769" i="158"/>
  <c r="H771" i="158" s="1"/>
  <c r="H757" i="158" s="1"/>
  <c r="H758" i="158" s="1"/>
  <c r="H131" i="158"/>
  <c r="H175" i="158" s="1"/>
  <c r="H176" i="158" s="1"/>
  <c r="H826" i="159"/>
  <c r="H415" i="159" s="1"/>
  <c r="H386" i="155"/>
  <c r="H386" i="165" s="1"/>
  <c r="J386" i="155"/>
  <c r="H386" i="167" s="1"/>
  <c r="I386" i="155"/>
  <c r="H386" i="166" s="1"/>
  <c r="G89" i="9"/>
  <c r="F89" i="158"/>
  <c r="C5" i="5"/>
  <c r="E4" i="5"/>
  <c r="E5" i="5" s="1"/>
  <c r="I389" i="159"/>
  <c r="F383" i="161"/>
  <c r="G383" i="159"/>
  <c r="F771" i="157"/>
  <c r="J131" i="9"/>
  <c r="J175" i="9" s="1"/>
  <c r="K125" i="9"/>
  <c r="K131" i="9" s="1"/>
  <c r="K349" i="158"/>
  <c r="K350" i="158" s="1"/>
  <c r="K360" i="158" s="1"/>
  <c r="J350" i="158"/>
  <c r="J360" i="158" s="1"/>
  <c r="F413" i="158"/>
  <c r="F87" i="158"/>
  <c r="F402" i="155"/>
  <c r="H403" i="157"/>
  <c r="G384" i="157"/>
  <c r="J384" i="157" s="1"/>
  <c r="K384" i="157" s="1"/>
  <c r="I384" i="166"/>
  <c r="F138" i="158"/>
  <c r="J825" i="9"/>
  <c r="K825" i="9" s="1"/>
  <c r="H769" i="159"/>
  <c r="H771" i="159" s="1"/>
  <c r="H757" i="159" s="1"/>
  <c r="H131" i="159"/>
  <c r="H175" i="159" s="1"/>
  <c r="H176" i="159" s="1"/>
  <c r="G386" i="161"/>
  <c r="F85" i="159"/>
  <c r="G85" i="9"/>
  <c r="J415" i="9"/>
  <c r="K415" i="9" s="1"/>
  <c r="F415" i="157"/>
  <c r="G402" i="158"/>
  <c r="H824" i="159"/>
  <c r="I403" i="159"/>
  <c r="F402" i="161"/>
  <c r="I410" i="9"/>
  <c r="H410" i="9"/>
  <c r="F416" i="9"/>
  <c r="F410" i="162"/>
  <c r="G383" i="157"/>
  <c r="I386" i="167"/>
  <c r="I826" i="157"/>
  <c r="H826" i="157"/>
  <c r="G826" i="157"/>
  <c r="J386" i="160"/>
  <c r="G386" i="167" s="1"/>
  <c r="H386" i="160"/>
  <c r="G386" i="165" s="1"/>
  <c r="I386" i="160"/>
  <c r="G386" i="166" s="1"/>
  <c r="G825" i="158"/>
  <c r="H825" i="158"/>
  <c r="F96" i="158"/>
  <c r="G383" i="158"/>
  <c r="I384" i="165"/>
  <c r="J585" i="158"/>
  <c r="K584" i="158"/>
  <c r="K585" i="158" s="1"/>
  <c r="I769" i="159"/>
  <c r="I771" i="159" s="1"/>
  <c r="I757" i="159" s="1"/>
  <c r="I131" i="159"/>
  <c r="I175" i="159" s="1"/>
  <c r="I176" i="159" s="1"/>
  <c r="F125" i="161"/>
  <c r="F769" i="161"/>
  <c r="I386" i="166"/>
  <c r="G406" i="157"/>
  <c r="H407" i="157"/>
  <c r="F406" i="155"/>
  <c r="F94" i="159"/>
  <c r="G94" i="9"/>
  <c r="F360" i="157"/>
  <c r="G349" i="161"/>
  <c r="I349" i="165"/>
  <c r="F178" i="9"/>
  <c r="F179" i="9"/>
  <c r="F191" i="9"/>
  <c r="H793" i="9"/>
  <c r="F175" i="158"/>
  <c r="G788" i="158"/>
  <c r="H788" i="158"/>
  <c r="I407" i="159"/>
  <c r="I826" i="159" s="1"/>
  <c r="F406" i="161"/>
  <c r="G406" i="159"/>
  <c r="G98" i="9"/>
  <c r="F98" i="158"/>
  <c r="J769" i="9"/>
  <c r="K769" i="9" s="1"/>
  <c r="G771" i="9"/>
  <c r="F137" i="158"/>
  <c r="G825" i="157"/>
  <c r="H825" i="157"/>
  <c r="H824" i="158"/>
  <c r="G824" i="158"/>
  <c r="I384" i="167"/>
  <c r="G384" i="161"/>
  <c r="F414" i="158"/>
  <c r="F97" i="158"/>
  <c r="I96" i="9"/>
  <c r="F96" i="159" s="1"/>
  <c r="I146" i="9"/>
  <c r="F146" i="159" s="1"/>
  <c r="I87" i="9"/>
  <c r="F87" i="159" s="1"/>
  <c r="I137" i="9"/>
  <c r="F137" i="159" s="1"/>
  <c r="I413" i="9"/>
  <c r="F413" i="159" s="1"/>
  <c r="J85" i="158" l="1"/>
  <c r="H350" i="157"/>
  <c r="H360" i="157" s="1"/>
  <c r="H384" i="160"/>
  <c r="G384" i="165" s="1"/>
  <c r="J384" i="165" s="1"/>
  <c r="J384" i="160"/>
  <c r="G384" i="167" s="1"/>
  <c r="J384" i="167" s="1"/>
  <c r="G824" i="157"/>
  <c r="I824" i="157" s="1"/>
  <c r="O824" i="157" s="1"/>
  <c r="J125" i="158"/>
  <c r="K125" i="158" s="1"/>
  <c r="K131" i="158" s="1"/>
  <c r="G769" i="158"/>
  <c r="G771" i="158" s="1"/>
  <c r="J411" i="159"/>
  <c r="K411" i="159" s="1"/>
  <c r="J402" i="157"/>
  <c r="J403" i="157" s="1"/>
  <c r="I389" i="157"/>
  <c r="H148" i="159"/>
  <c r="J94" i="158"/>
  <c r="K94" i="158" s="1"/>
  <c r="J402" i="159"/>
  <c r="J403" i="159" s="1"/>
  <c r="F769" i="160"/>
  <c r="F771" i="160" s="1"/>
  <c r="F757" i="160" s="1"/>
  <c r="F125" i="160"/>
  <c r="H125" i="160" s="1"/>
  <c r="G131" i="159"/>
  <c r="G348" i="157"/>
  <c r="I360" i="157"/>
  <c r="I822" i="157" s="1"/>
  <c r="I821" i="157"/>
  <c r="G350" i="159"/>
  <c r="G360" i="159" s="1"/>
  <c r="J348" i="159"/>
  <c r="F348" i="160"/>
  <c r="H822" i="159"/>
  <c r="I822" i="159"/>
  <c r="G822" i="159"/>
  <c r="J386" i="165"/>
  <c r="J821" i="159"/>
  <c r="K821" i="159" s="1"/>
  <c r="O821" i="159"/>
  <c r="H348" i="155"/>
  <c r="H348" i="165" s="1"/>
  <c r="I348" i="155"/>
  <c r="H348" i="166" s="1"/>
  <c r="J348" i="155"/>
  <c r="H348" i="167" s="1"/>
  <c r="H348" i="161"/>
  <c r="I348" i="161"/>
  <c r="J348" i="161"/>
  <c r="F350" i="161"/>
  <c r="G410" i="9"/>
  <c r="J410" i="9" s="1"/>
  <c r="F402" i="160"/>
  <c r="H402" i="160" s="1"/>
  <c r="G384" i="155"/>
  <c r="K384" i="155" s="1"/>
  <c r="L384" i="155" s="1"/>
  <c r="G138" i="9"/>
  <c r="J138" i="9" s="1"/>
  <c r="K138" i="9" s="1"/>
  <c r="G146" i="9"/>
  <c r="F146" i="157" s="1"/>
  <c r="G87" i="9"/>
  <c r="J87" i="9" s="1"/>
  <c r="K87" i="9" s="1"/>
  <c r="J384" i="166"/>
  <c r="G147" i="9"/>
  <c r="F147" i="157" s="1"/>
  <c r="G769" i="159"/>
  <c r="J769" i="159" s="1"/>
  <c r="K769" i="159" s="1"/>
  <c r="H788" i="159"/>
  <c r="I415" i="159"/>
  <c r="F415" i="161" s="1"/>
  <c r="I148" i="159"/>
  <c r="F148" i="161" s="1"/>
  <c r="I89" i="159"/>
  <c r="F89" i="161" s="1"/>
  <c r="I139" i="159"/>
  <c r="F139" i="161" s="1"/>
  <c r="I98" i="159"/>
  <c r="F98" i="161" s="1"/>
  <c r="H96" i="159"/>
  <c r="I824" i="158"/>
  <c r="I146" i="158" s="1"/>
  <c r="G757" i="9"/>
  <c r="J771" i="9"/>
  <c r="K771" i="9" s="1"/>
  <c r="H233" i="9"/>
  <c r="H208" i="9"/>
  <c r="H273" i="9"/>
  <c r="H232" i="9"/>
  <c r="H278" i="9"/>
  <c r="H318" i="9"/>
  <c r="H374" i="9"/>
  <c r="H453" i="9"/>
  <c r="H628" i="9"/>
  <c r="F628" i="158" s="1"/>
  <c r="K349" i="161"/>
  <c r="I349" i="164"/>
  <c r="G94" i="159"/>
  <c r="H94" i="159"/>
  <c r="I94" i="159"/>
  <c r="G96" i="158"/>
  <c r="H96" i="158"/>
  <c r="J386" i="166"/>
  <c r="J826" i="157"/>
  <c r="K826" i="157" s="1"/>
  <c r="O826" i="157"/>
  <c r="F416" i="162"/>
  <c r="F431" i="162" s="1"/>
  <c r="F433" i="162" s="1"/>
  <c r="J402" i="158"/>
  <c r="G403" i="158"/>
  <c r="J176" i="9"/>
  <c r="K175" i="9"/>
  <c r="K176" i="9" s="1"/>
  <c r="J383" i="161"/>
  <c r="F389" i="161"/>
  <c r="H383" i="161"/>
  <c r="I383" i="161"/>
  <c r="G89" i="158"/>
  <c r="H89" i="158"/>
  <c r="I89" i="158"/>
  <c r="H179" i="158"/>
  <c r="H178" i="158"/>
  <c r="J135" i="9"/>
  <c r="F135" i="157"/>
  <c r="G788" i="157"/>
  <c r="H788" i="157"/>
  <c r="F175" i="157"/>
  <c r="G349" i="165"/>
  <c r="H414" i="159"/>
  <c r="G179" i="9"/>
  <c r="G178" i="9"/>
  <c r="K135" i="158"/>
  <c r="H137" i="159"/>
  <c r="H97" i="158"/>
  <c r="G97" i="158"/>
  <c r="K384" i="161"/>
  <c r="L384" i="161" s="1"/>
  <c r="I384" i="164"/>
  <c r="I825" i="157"/>
  <c r="J825" i="157" s="1"/>
  <c r="K825" i="157" s="1"/>
  <c r="J98" i="9"/>
  <c r="K98" i="9" s="1"/>
  <c r="F98" i="157"/>
  <c r="G793" i="9"/>
  <c r="G96" i="9"/>
  <c r="H98" i="159"/>
  <c r="K386" i="161"/>
  <c r="L386" i="161" s="1"/>
  <c r="I386" i="164"/>
  <c r="G413" i="9"/>
  <c r="J89" i="9"/>
  <c r="K89" i="9" s="1"/>
  <c r="F89" i="157"/>
  <c r="I825" i="159"/>
  <c r="I414" i="159" s="1"/>
  <c r="F414" i="161" s="1"/>
  <c r="I131" i="157"/>
  <c r="I175" i="157" s="1"/>
  <c r="I176" i="157" s="1"/>
  <c r="I769" i="157"/>
  <c r="I771" i="157" s="1"/>
  <c r="I757" i="157" s="1"/>
  <c r="I758" i="157" s="1"/>
  <c r="I411" i="166"/>
  <c r="G349" i="160"/>
  <c r="J144" i="9"/>
  <c r="F144" i="157"/>
  <c r="H87" i="159"/>
  <c r="H146" i="159"/>
  <c r="G414" i="9"/>
  <c r="H89" i="159"/>
  <c r="G137" i="9"/>
  <c r="H406" i="161"/>
  <c r="I406" i="161"/>
  <c r="F407" i="161"/>
  <c r="J406" i="161"/>
  <c r="H822" i="157"/>
  <c r="J94" i="9"/>
  <c r="F94" i="157"/>
  <c r="I386" i="162"/>
  <c r="F386" i="166" s="1"/>
  <c r="I179" i="159"/>
  <c r="I178" i="159"/>
  <c r="J383" i="158"/>
  <c r="G389" i="158"/>
  <c r="I825" i="158"/>
  <c r="J825" i="158" s="1"/>
  <c r="K825" i="158" s="1"/>
  <c r="J386" i="167"/>
  <c r="J386" i="162"/>
  <c r="F386" i="167" s="1"/>
  <c r="F410" i="159"/>
  <c r="G85" i="159"/>
  <c r="H85" i="159"/>
  <c r="I85" i="159"/>
  <c r="G87" i="158"/>
  <c r="H87" i="158"/>
  <c r="F383" i="160"/>
  <c r="J383" i="159"/>
  <c r="G389" i="159"/>
  <c r="G824" i="159" s="1"/>
  <c r="G96" i="159" s="1"/>
  <c r="H349" i="155"/>
  <c r="H349" i="162" s="1"/>
  <c r="J349" i="155"/>
  <c r="F350" i="155"/>
  <c r="I349" i="155"/>
  <c r="F176" i="159"/>
  <c r="H147" i="158"/>
  <c r="H139" i="159"/>
  <c r="H131" i="157"/>
  <c r="H175" i="157" s="1"/>
  <c r="H176" i="157" s="1"/>
  <c r="H769" i="157"/>
  <c r="H771" i="157" s="1"/>
  <c r="H757" i="157" s="1"/>
  <c r="H758" i="157" s="1"/>
  <c r="F125" i="155"/>
  <c r="G125" i="157"/>
  <c r="J148" i="9"/>
  <c r="K148" i="9" s="1"/>
  <c r="F148" i="157"/>
  <c r="I411" i="165"/>
  <c r="G349" i="166"/>
  <c r="I179" i="158"/>
  <c r="I178" i="158"/>
  <c r="H147" i="159"/>
  <c r="H146" i="158"/>
  <c r="I788" i="9"/>
  <c r="J788" i="9" s="1"/>
  <c r="K788" i="9" s="1"/>
  <c r="I411" i="160"/>
  <c r="G411" i="166" s="1"/>
  <c r="J411" i="160"/>
  <c r="G411" i="167" s="1"/>
  <c r="H411" i="160"/>
  <c r="G411" i="165" s="1"/>
  <c r="H413" i="159"/>
  <c r="H414" i="158"/>
  <c r="G98" i="158"/>
  <c r="H98" i="158"/>
  <c r="I98" i="158"/>
  <c r="I788" i="158"/>
  <c r="J788" i="158" s="1"/>
  <c r="K788" i="158" s="1"/>
  <c r="G407" i="157"/>
  <c r="J406" i="157"/>
  <c r="J402" i="161"/>
  <c r="F403" i="161"/>
  <c r="H402" i="161"/>
  <c r="I402" i="161"/>
  <c r="H138" i="158"/>
  <c r="I411" i="167"/>
  <c r="G411" i="161"/>
  <c r="G97" i="159"/>
  <c r="H97" i="159"/>
  <c r="F329" i="162"/>
  <c r="F296" i="162"/>
  <c r="I383" i="155"/>
  <c r="J383" i="155"/>
  <c r="H383" i="155"/>
  <c r="F389" i="155"/>
  <c r="F176" i="158"/>
  <c r="F771" i="161"/>
  <c r="F757" i="161" s="1"/>
  <c r="G389" i="157"/>
  <c r="J383" i="157"/>
  <c r="F431" i="9"/>
  <c r="F410" i="157"/>
  <c r="K349" i="157"/>
  <c r="I135" i="159"/>
  <c r="H135" i="159"/>
  <c r="H138" i="159"/>
  <c r="H88" i="158"/>
  <c r="G88" i="158"/>
  <c r="K144" i="158"/>
  <c r="H758" i="155"/>
  <c r="I758" i="155"/>
  <c r="J758" i="155"/>
  <c r="F758" i="155"/>
  <c r="H139" i="158"/>
  <c r="I139" i="158"/>
  <c r="G178" i="158"/>
  <c r="G179" i="158"/>
  <c r="H386" i="162"/>
  <c r="F386" i="165" s="1"/>
  <c r="J131" i="159"/>
  <c r="J175" i="159" s="1"/>
  <c r="J176" i="159" s="1"/>
  <c r="K125" i="159"/>
  <c r="K131" i="159" s="1"/>
  <c r="G97" i="9"/>
  <c r="J384" i="162"/>
  <c r="F384" i="167" s="1"/>
  <c r="H137" i="158"/>
  <c r="F406" i="160"/>
  <c r="J406" i="159"/>
  <c r="G407" i="159"/>
  <c r="G826" i="159" s="1"/>
  <c r="F329" i="9"/>
  <c r="F296" i="9"/>
  <c r="H406" i="155"/>
  <c r="I406" i="155"/>
  <c r="J406" i="155"/>
  <c r="F407" i="155"/>
  <c r="I125" i="161"/>
  <c r="F131" i="161"/>
  <c r="J125" i="161"/>
  <c r="H125" i="161"/>
  <c r="G386" i="160"/>
  <c r="F410" i="158"/>
  <c r="H415" i="157"/>
  <c r="F415" i="155" s="1"/>
  <c r="I415" i="157"/>
  <c r="J85" i="9"/>
  <c r="F85" i="157"/>
  <c r="H178" i="159"/>
  <c r="H179" i="159"/>
  <c r="I384" i="162"/>
  <c r="F384" i="166" s="1"/>
  <c r="I402" i="155"/>
  <c r="F403" i="155"/>
  <c r="J402" i="155"/>
  <c r="H402" i="155"/>
  <c r="H413" i="158"/>
  <c r="F757" i="157"/>
  <c r="G386" i="155"/>
  <c r="K85" i="158"/>
  <c r="H411" i="157"/>
  <c r="F411" i="155" s="1"/>
  <c r="I411" i="157"/>
  <c r="H148" i="158"/>
  <c r="I148" i="158"/>
  <c r="G349" i="167"/>
  <c r="I144" i="159"/>
  <c r="H144" i="159"/>
  <c r="H88" i="159"/>
  <c r="G88" i="159"/>
  <c r="G88" i="9"/>
  <c r="J139" i="9"/>
  <c r="K139" i="9" s="1"/>
  <c r="F139" i="157"/>
  <c r="H821" i="157" l="1"/>
  <c r="J131" i="158"/>
  <c r="J175" i="158" s="1"/>
  <c r="J176" i="158" s="1"/>
  <c r="G384" i="160"/>
  <c r="K384" i="160" s="1"/>
  <c r="L384" i="160" s="1"/>
  <c r="H384" i="162"/>
  <c r="F384" i="165" s="1"/>
  <c r="K384" i="165" s="1"/>
  <c r="J769" i="158"/>
  <c r="K769" i="158" s="1"/>
  <c r="K402" i="157"/>
  <c r="K403" i="157" s="1"/>
  <c r="G771" i="159"/>
  <c r="G757" i="159" s="1"/>
  <c r="J125" i="160"/>
  <c r="J131" i="160" s="1"/>
  <c r="J175" i="160" s="1"/>
  <c r="J176" i="160" s="1"/>
  <c r="K402" i="159"/>
  <c r="K403" i="159" s="1"/>
  <c r="I88" i="158"/>
  <c r="J88" i="158" s="1"/>
  <c r="K88" i="158" s="1"/>
  <c r="K384" i="166"/>
  <c r="H384" i="164"/>
  <c r="J147" i="9"/>
  <c r="K147" i="9" s="1"/>
  <c r="I138" i="158"/>
  <c r="G138" i="158" s="1"/>
  <c r="J138" i="158" s="1"/>
  <c r="K138" i="158" s="1"/>
  <c r="I88" i="159"/>
  <c r="F88" i="161" s="1"/>
  <c r="I147" i="158"/>
  <c r="G147" i="158" s="1"/>
  <c r="J147" i="158" s="1"/>
  <c r="K147" i="158" s="1"/>
  <c r="I97" i="159"/>
  <c r="F97" i="161" s="1"/>
  <c r="I138" i="159"/>
  <c r="F138" i="161" s="1"/>
  <c r="I414" i="158"/>
  <c r="G414" i="158" s="1"/>
  <c r="J414" i="158" s="1"/>
  <c r="K414" i="158" s="1"/>
  <c r="J146" i="9"/>
  <c r="K146" i="9" s="1"/>
  <c r="I125" i="160"/>
  <c r="G125" i="166" s="1"/>
  <c r="F138" i="157"/>
  <c r="H138" i="157" s="1"/>
  <c r="F138" i="155" s="1"/>
  <c r="F131" i="160"/>
  <c r="F175" i="160" s="1"/>
  <c r="I87" i="158"/>
  <c r="J87" i="158" s="1"/>
  <c r="K87" i="158" s="1"/>
  <c r="I147" i="159"/>
  <c r="F147" i="161" s="1"/>
  <c r="J824" i="158"/>
  <c r="K824" i="158" s="1"/>
  <c r="K386" i="167"/>
  <c r="G415" i="159"/>
  <c r="J415" i="159" s="1"/>
  <c r="K415" i="159" s="1"/>
  <c r="G348" i="161"/>
  <c r="G350" i="161" s="1"/>
  <c r="G360" i="161" s="1"/>
  <c r="K386" i="165"/>
  <c r="J402" i="160"/>
  <c r="J402" i="162" s="1"/>
  <c r="F403" i="160"/>
  <c r="H825" i="160" s="1"/>
  <c r="I402" i="160"/>
  <c r="J348" i="157"/>
  <c r="G350" i="157"/>
  <c r="G175" i="159"/>
  <c r="G176" i="159" s="1"/>
  <c r="G793" i="159" s="1"/>
  <c r="G788" i="159"/>
  <c r="I788" i="159" s="1"/>
  <c r="O788" i="159" s="1"/>
  <c r="G139" i="159"/>
  <c r="F139" i="160" s="1"/>
  <c r="O788" i="158"/>
  <c r="I821" i="161"/>
  <c r="J821" i="161"/>
  <c r="H821" i="161"/>
  <c r="F360" i="161"/>
  <c r="I348" i="167"/>
  <c r="I350" i="167" s="1"/>
  <c r="I360" i="167" s="1"/>
  <c r="J350" i="161"/>
  <c r="J360" i="161" s="1"/>
  <c r="F87" i="157"/>
  <c r="H87" i="157" s="1"/>
  <c r="F87" i="155" s="1"/>
  <c r="I348" i="166"/>
  <c r="I350" i="166" s="1"/>
  <c r="I360" i="166" s="1"/>
  <c r="I350" i="161"/>
  <c r="I360" i="161" s="1"/>
  <c r="I348" i="160"/>
  <c r="H348" i="160"/>
  <c r="J348" i="160"/>
  <c r="J348" i="162" s="1"/>
  <c r="F348" i="167" s="1"/>
  <c r="F350" i="160"/>
  <c r="I348" i="165"/>
  <c r="I350" i="165" s="1"/>
  <c r="I360" i="165" s="1"/>
  <c r="H350" i="161"/>
  <c r="H360" i="161" s="1"/>
  <c r="K348" i="159"/>
  <c r="K350" i="159" s="1"/>
  <c r="K360" i="159" s="1"/>
  <c r="J350" i="159"/>
  <c r="J360" i="159" s="1"/>
  <c r="G402" i="155"/>
  <c r="H402" i="164" s="1"/>
  <c r="H403" i="164" s="1"/>
  <c r="G348" i="155"/>
  <c r="O822" i="159"/>
  <c r="J822" i="159"/>
  <c r="K822" i="159" s="1"/>
  <c r="J824" i="157"/>
  <c r="K824" i="157" s="1"/>
  <c r="G87" i="159"/>
  <c r="F87" i="160" s="1"/>
  <c r="G415" i="157"/>
  <c r="J415" i="157" s="1"/>
  <c r="K415" i="157" s="1"/>
  <c r="G349" i="155"/>
  <c r="G349" i="162" s="1"/>
  <c r="G146" i="158"/>
  <c r="J146" i="158" s="1"/>
  <c r="K146" i="158" s="1"/>
  <c r="G386" i="162"/>
  <c r="F386" i="164" s="1"/>
  <c r="G148" i="158"/>
  <c r="J148" i="158" s="1"/>
  <c r="K148" i="158" s="1"/>
  <c r="K384" i="167"/>
  <c r="I137" i="158"/>
  <c r="G137" i="158" s="1"/>
  <c r="J137" i="158" s="1"/>
  <c r="K137" i="158" s="1"/>
  <c r="G144" i="159"/>
  <c r="J144" i="159" s="1"/>
  <c r="I96" i="158"/>
  <c r="J96" i="158" s="1"/>
  <c r="K96" i="158" s="1"/>
  <c r="O824" i="158"/>
  <c r="J98" i="158"/>
  <c r="K98" i="158" s="1"/>
  <c r="I413" i="158"/>
  <c r="G413" i="158" s="1"/>
  <c r="J413" i="158" s="1"/>
  <c r="K413" i="158" s="1"/>
  <c r="K386" i="166"/>
  <c r="I97" i="158"/>
  <c r="J97" i="158" s="1"/>
  <c r="K97" i="158" s="1"/>
  <c r="G148" i="159"/>
  <c r="J148" i="159" s="1"/>
  <c r="K148" i="159" s="1"/>
  <c r="G411" i="157"/>
  <c r="J411" i="157" s="1"/>
  <c r="K411" i="157" s="1"/>
  <c r="G406" i="155"/>
  <c r="H406" i="164" s="1"/>
  <c r="H407" i="164" s="1"/>
  <c r="G139" i="158"/>
  <c r="J139" i="158" s="1"/>
  <c r="K139" i="158" s="1"/>
  <c r="G414" i="159"/>
  <c r="F758" i="160"/>
  <c r="I139" i="157"/>
  <c r="H139" i="157"/>
  <c r="F139" i="155" s="1"/>
  <c r="H410" i="158"/>
  <c r="I410" i="158"/>
  <c r="F175" i="161"/>
  <c r="I826" i="155"/>
  <c r="I415" i="155" s="1"/>
  <c r="H415" i="166" s="1"/>
  <c r="J826" i="155"/>
  <c r="J415" i="155" s="1"/>
  <c r="H415" i="167" s="1"/>
  <c r="H826" i="155"/>
  <c r="H415" i="155" s="1"/>
  <c r="H415" i="165" s="1"/>
  <c r="H383" i="167"/>
  <c r="H389" i="167" s="1"/>
  <c r="J389" i="155"/>
  <c r="I402" i="166"/>
  <c r="I403" i="166" s="1"/>
  <c r="I403" i="161"/>
  <c r="I825" i="161" s="1"/>
  <c r="G402" i="161"/>
  <c r="J178" i="158"/>
  <c r="J179" i="158"/>
  <c r="J125" i="157"/>
  <c r="G131" i="157"/>
  <c r="G175" i="157" s="1"/>
  <c r="G176" i="157" s="1"/>
  <c r="G769" i="157"/>
  <c r="F360" i="155"/>
  <c r="J389" i="159"/>
  <c r="K383" i="159"/>
  <c r="K389" i="159" s="1"/>
  <c r="H410" i="159"/>
  <c r="I410" i="159"/>
  <c r="I406" i="165"/>
  <c r="I407" i="165" s="1"/>
  <c r="H407" i="161"/>
  <c r="H826" i="161" s="1"/>
  <c r="F18" i="162"/>
  <c r="F498" i="162"/>
  <c r="F501" i="162" s="1"/>
  <c r="F312" i="162"/>
  <c r="F232" i="158"/>
  <c r="H402" i="167"/>
  <c r="H403" i="167" s="1"/>
  <c r="J403" i="155"/>
  <c r="K85" i="9"/>
  <c r="I125" i="166"/>
  <c r="I131" i="166" s="1"/>
  <c r="I175" i="166" s="1"/>
  <c r="I176" i="166" s="1"/>
  <c r="I769" i="161"/>
  <c r="I771" i="161" s="1"/>
  <c r="I757" i="161" s="1"/>
  <c r="I758" i="161" s="1"/>
  <c r="I131" i="161"/>
  <c r="I175" i="161" s="1"/>
  <c r="I176" i="161" s="1"/>
  <c r="J826" i="159"/>
  <c r="K826" i="159" s="1"/>
  <c r="O826" i="159"/>
  <c r="G89" i="159"/>
  <c r="G98" i="159"/>
  <c r="J97" i="9"/>
  <c r="K97" i="9" s="1"/>
  <c r="F97" i="157"/>
  <c r="G135" i="159"/>
  <c r="H410" i="157"/>
  <c r="I410" i="157"/>
  <c r="K175" i="158"/>
  <c r="K176" i="158" s="1"/>
  <c r="H383" i="166"/>
  <c r="H389" i="166" s="1"/>
  <c r="I389" i="155"/>
  <c r="G757" i="158"/>
  <c r="J771" i="158"/>
  <c r="K771" i="158" s="1"/>
  <c r="I402" i="165"/>
  <c r="I403" i="165" s="1"/>
  <c r="H403" i="161"/>
  <c r="H825" i="161" s="1"/>
  <c r="H402" i="162"/>
  <c r="G125" i="165"/>
  <c r="H131" i="160"/>
  <c r="H175" i="160" s="1"/>
  <c r="H176" i="160" s="1"/>
  <c r="H769" i="160"/>
  <c r="H771" i="160" s="1"/>
  <c r="H757" i="160" s="1"/>
  <c r="H758" i="160" s="1"/>
  <c r="H125" i="155"/>
  <c r="H125" i="162" s="1"/>
  <c r="I125" i="155"/>
  <c r="F131" i="155"/>
  <c r="J125" i="155"/>
  <c r="H349" i="167"/>
  <c r="H350" i="167" s="1"/>
  <c r="H360" i="167" s="1"/>
  <c r="J350" i="155"/>
  <c r="J360" i="155" s="1"/>
  <c r="J349" i="162"/>
  <c r="F176" i="157"/>
  <c r="K135" i="9"/>
  <c r="I383" i="167"/>
  <c r="I389" i="167" s="1"/>
  <c r="J389" i="161"/>
  <c r="J824" i="161" s="1"/>
  <c r="L349" i="161"/>
  <c r="F273" i="158"/>
  <c r="J757" i="9"/>
  <c r="K757" i="9" s="1"/>
  <c r="G758" i="9"/>
  <c r="I758" i="9"/>
  <c r="H758" i="9"/>
  <c r="F88" i="160"/>
  <c r="F144" i="161"/>
  <c r="J411" i="155"/>
  <c r="H411" i="167" s="1"/>
  <c r="J411" i="167" s="1"/>
  <c r="I411" i="155"/>
  <c r="H411" i="166" s="1"/>
  <c r="J411" i="166" s="1"/>
  <c r="H411" i="155"/>
  <c r="K386" i="155"/>
  <c r="L386" i="155" s="1"/>
  <c r="H386" i="164"/>
  <c r="H402" i="166"/>
  <c r="H403" i="166" s="1"/>
  <c r="I403" i="155"/>
  <c r="H85" i="157"/>
  <c r="I85" i="157"/>
  <c r="K386" i="160"/>
  <c r="L386" i="160" s="1"/>
  <c r="G386" i="164"/>
  <c r="I125" i="167"/>
  <c r="I131" i="167" s="1"/>
  <c r="I175" i="167" s="1"/>
  <c r="I176" i="167" s="1"/>
  <c r="J131" i="161"/>
  <c r="J175" i="161" s="1"/>
  <c r="J176" i="161" s="1"/>
  <c r="J769" i="161"/>
  <c r="J771" i="161" s="1"/>
  <c r="J757" i="161" s="1"/>
  <c r="J758" i="161" s="1"/>
  <c r="F349" i="165"/>
  <c r="J406" i="160"/>
  <c r="J406" i="162" s="1"/>
  <c r="F407" i="160"/>
  <c r="H406" i="160"/>
  <c r="H406" i="162" s="1"/>
  <c r="I406" i="160"/>
  <c r="I406" i="162" s="1"/>
  <c r="J179" i="159"/>
  <c r="J178" i="159"/>
  <c r="J389" i="157"/>
  <c r="K383" i="157"/>
  <c r="K389" i="157" s="1"/>
  <c r="H383" i="165"/>
  <c r="H389" i="165" s="1"/>
  <c r="H389" i="155"/>
  <c r="G411" i="160"/>
  <c r="H178" i="157"/>
  <c r="H179" i="157"/>
  <c r="H349" i="166"/>
  <c r="H350" i="166" s="1"/>
  <c r="H360" i="166" s="1"/>
  <c r="I350" i="155"/>
  <c r="I360" i="155" s="1"/>
  <c r="I349" i="162"/>
  <c r="H349" i="165"/>
  <c r="H350" i="165" s="1"/>
  <c r="H360" i="165" s="1"/>
  <c r="H350" i="155"/>
  <c r="H360" i="155" s="1"/>
  <c r="I824" i="159"/>
  <c r="J824" i="159" s="1"/>
  <c r="K824" i="159" s="1"/>
  <c r="F85" i="161"/>
  <c r="F85" i="160"/>
  <c r="J85" i="159"/>
  <c r="H94" i="157"/>
  <c r="I94" i="157"/>
  <c r="I406" i="167"/>
  <c r="I407" i="167" s="1"/>
  <c r="J407" i="161"/>
  <c r="J826" i="161" s="1"/>
  <c r="K144" i="9"/>
  <c r="J825" i="159"/>
  <c r="K825" i="159" s="1"/>
  <c r="H89" i="157"/>
  <c r="F89" i="155" s="1"/>
  <c r="I89" i="157"/>
  <c r="G89" i="157"/>
  <c r="I788" i="157"/>
  <c r="O788" i="157" s="1"/>
  <c r="I135" i="157"/>
  <c r="H135" i="157"/>
  <c r="J89" i="158"/>
  <c r="K89" i="158" s="1"/>
  <c r="J178" i="9"/>
  <c r="J179" i="9"/>
  <c r="J403" i="158"/>
  <c r="K402" i="158"/>
  <c r="K403" i="158" s="1"/>
  <c r="F278" i="158"/>
  <c r="F233" i="158"/>
  <c r="H406" i="165"/>
  <c r="H407" i="165" s="1"/>
  <c r="H407" i="155"/>
  <c r="F135" i="161"/>
  <c r="F178" i="158"/>
  <c r="G793" i="158"/>
  <c r="G628" i="158" s="1"/>
  <c r="H793" i="158"/>
  <c r="H628" i="158" s="1"/>
  <c r="F179" i="158"/>
  <c r="G383" i="155"/>
  <c r="K411" i="161"/>
  <c r="L411" i="161" s="1"/>
  <c r="I411" i="164"/>
  <c r="K94" i="9"/>
  <c r="G406" i="161"/>
  <c r="J96" i="9"/>
  <c r="K96" i="9" s="1"/>
  <c r="F96" i="157"/>
  <c r="H147" i="157"/>
  <c r="F147" i="155" s="1"/>
  <c r="I147" i="157"/>
  <c r="I383" i="166"/>
  <c r="I389" i="166" s="1"/>
  <c r="I389" i="161"/>
  <c r="I824" i="161" s="1"/>
  <c r="G383" i="161"/>
  <c r="H454" i="9"/>
  <c r="H832" i="9" s="1"/>
  <c r="F453" i="158"/>
  <c r="F96" i="160"/>
  <c r="I125" i="165"/>
  <c r="I131" i="165" s="1"/>
  <c r="I175" i="165" s="1"/>
  <c r="I176" i="165" s="1"/>
  <c r="H131" i="161"/>
  <c r="H175" i="161" s="1"/>
  <c r="H176" i="161" s="1"/>
  <c r="H769" i="161"/>
  <c r="H771" i="161" s="1"/>
  <c r="H757" i="161" s="1"/>
  <c r="H758" i="161" s="1"/>
  <c r="H406" i="167"/>
  <c r="H407" i="167" s="1"/>
  <c r="J407" i="155"/>
  <c r="G402" i="165"/>
  <c r="H403" i="160"/>
  <c r="I402" i="167"/>
  <c r="I403" i="167" s="1"/>
  <c r="J403" i="161"/>
  <c r="J825" i="161" s="1"/>
  <c r="J414" i="161" s="1"/>
  <c r="F179" i="159"/>
  <c r="H793" i="159"/>
  <c r="F178" i="159"/>
  <c r="H383" i="160"/>
  <c r="H383" i="162" s="1"/>
  <c r="I383" i="160"/>
  <c r="I383" i="162" s="1"/>
  <c r="J383" i="160"/>
  <c r="F389" i="160"/>
  <c r="J414" i="9"/>
  <c r="K414" i="9" s="1"/>
  <c r="F414" i="157"/>
  <c r="K349" i="160"/>
  <c r="G349" i="164"/>
  <c r="I178" i="157"/>
  <c r="I179" i="157"/>
  <c r="J413" i="9"/>
  <c r="K413" i="9" s="1"/>
  <c r="F413" i="157"/>
  <c r="G628" i="9"/>
  <c r="I793" i="9"/>
  <c r="J793" i="9" s="1"/>
  <c r="K793" i="9" s="1"/>
  <c r="F374" i="158"/>
  <c r="J88" i="9"/>
  <c r="K88" i="9" s="1"/>
  <c r="F88" i="157"/>
  <c r="H402" i="165"/>
  <c r="H403" i="165" s="1"/>
  <c r="H403" i="155"/>
  <c r="H825" i="155"/>
  <c r="I825" i="155"/>
  <c r="J825" i="155"/>
  <c r="G125" i="161"/>
  <c r="I407" i="155"/>
  <c r="H406" i="166"/>
  <c r="H407" i="166" s="1"/>
  <c r="J407" i="159"/>
  <c r="K406" i="159"/>
  <c r="K407" i="159" s="1"/>
  <c r="K410" i="9"/>
  <c r="F433" i="9"/>
  <c r="C35" i="5"/>
  <c r="J824" i="155"/>
  <c r="H824" i="155"/>
  <c r="I824" i="155"/>
  <c r="I146" i="157"/>
  <c r="H146" i="157"/>
  <c r="F146" i="155" s="1"/>
  <c r="F97" i="160"/>
  <c r="J407" i="157"/>
  <c r="K406" i="157"/>
  <c r="K407" i="157" s="1"/>
  <c r="I148" i="157"/>
  <c r="H148" i="157"/>
  <c r="F148" i="155" s="1"/>
  <c r="K175" i="159"/>
  <c r="K176" i="159" s="1"/>
  <c r="J389" i="158"/>
  <c r="K383" i="158"/>
  <c r="K389" i="158" s="1"/>
  <c r="I406" i="166"/>
  <c r="I407" i="166" s="1"/>
  <c r="I407" i="161"/>
  <c r="I826" i="161" s="1"/>
  <c r="I139" i="161" s="1"/>
  <c r="J137" i="9"/>
  <c r="K137" i="9" s="1"/>
  <c r="F137" i="157"/>
  <c r="I144" i="157"/>
  <c r="H144" i="157"/>
  <c r="H98" i="157"/>
  <c r="F98" i="155" s="1"/>
  <c r="I98" i="157"/>
  <c r="G98" i="157"/>
  <c r="I383" i="165"/>
  <c r="I389" i="165" s="1"/>
  <c r="H389" i="161"/>
  <c r="H824" i="161" s="1"/>
  <c r="K179" i="9"/>
  <c r="K178" i="9"/>
  <c r="F94" i="161"/>
  <c r="F94" i="160"/>
  <c r="J94" i="159"/>
  <c r="H319" i="9"/>
  <c r="H802" i="9" s="1"/>
  <c r="F318" i="158"/>
  <c r="F208" i="158"/>
  <c r="G384" i="164" l="1"/>
  <c r="G384" i="162"/>
  <c r="F384" i="164" s="1"/>
  <c r="J769" i="160"/>
  <c r="J771" i="160" s="1"/>
  <c r="J757" i="160" s="1"/>
  <c r="J758" i="160" s="1"/>
  <c r="G125" i="167"/>
  <c r="J771" i="159"/>
  <c r="K771" i="159" s="1"/>
  <c r="K384" i="162"/>
  <c r="L384" i="162" s="1"/>
  <c r="J384" i="164"/>
  <c r="K384" i="164" s="1"/>
  <c r="J788" i="159"/>
  <c r="K788" i="159" s="1"/>
  <c r="I138" i="157"/>
  <c r="G138" i="157" s="1"/>
  <c r="J138" i="157" s="1"/>
  <c r="K138" i="157" s="1"/>
  <c r="K402" i="155"/>
  <c r="K403" i="155" s="1"/>
  <c r="J97" i="159"/>
  <c r="K97" i="159" s="1"/>
  <c r="I88" i="161"/>
  <c r="I88" i="166" s="1"/>
  <c r="J88" i="159"/>
  <c r="K88" i="159" s="1"/>
  <c r="G403" i="155"/>
  <c r="G138" i="159"/>
  <c r="F138" i="160" s="1"/>
  <c r="H138" i="160" s="1"/>
  <c r="G138" i="165" s="1"/>
  <c r="I131" i="160"/>
  <c r="I175" i="160" s="1"/>
  <c r="I176" i="160" s="1"/>
  <c r="I179" i="160" s="1"/>
  <c r="G350" i="155"/>
  <c r="G360" i="155" s="1"/>
  <c r="F415" i="160"/>
  <c r="G125" i="160"/>
  <c r="K125" i="160" s="1"/>
  <c r="I769" i="160"/>
  <c r="I771" i="160" s="1"/>
  <c r="I757" i="160" s="1"/>
  <c r="I758" i="160" s="1"/>
  <c r="H349" i="164"/>
  <c r="J349" i="164" s="1"/>
  <c r="F144" i="160"/>
  <c r="K349" i="155"/>
  <c r="G147" i="159"/>
  <c r="F147" i="160" s="1"/>
  <c r="H147" i="160" s="1"/>
  <c r="G147" i="165" s="1"/>
  <c r="I348" i="164"/>
  <c r="I350" i="164" s="1"/>
  <c r="I360" i="164" s="1"/>
  <c r="J825" i="160"/>
  <c r="J88" i="160" s="1"/>
  <c r="G88" i="167" s="1"/>
  <c r="I825" i="160"/>
  <c r="K348" i="161"/>
  <c r="J403" i="160"/>
  <c r="J139" i="159"/>
  <c r="K139" i="159" s="1"/>
  <c r="G402" i="167"/>
  <c r="J402" i="167" s="1"/>
  <c r="J403" i="167" s="1"/>
  <c r="G402" i="160"/>
  <c r="G402" i="164" s="1"/>
  <c r="G403" i="164" s="1"/>
  <c r="I402" i="162"/>
  <c r="F402" i="166" s="1"/>
  <c r="G87" i="157"/>
  <c r="I87" i="157"/>
  <c r="I403" i="160"/>
  <c r="G402" i="166"/>
  <c r="J402" i="166" s="1"/>
  <c r="J403" i="166" s="1"/>
  <c r="K406" i="155"/>
  <c r="L406" i="155" s="1"/>
  <c r="L407" i="155" s="1"/>
  <c r="G407" i="155"/>
  <c r="K386" i="162"/>
  <c r="L386" i="162" s="1"/>
  <c r="G179" i="159"/>
  <c r="G178" i="159"/>
  <c r="G360" i="157"/>
  <c r="G822" i="157" s="1"/>
  <c r="G821" i="157"/>
  <c r="K348" i="157"/>
  <c r="K350" i="157" s="1"/>
  <c r="K360" i="157" s="1"/>
  <c r="J350" i="157"/>
  <c r="J360" i="157" s="1"/>
  <c r="G821" i="161"/>
  <c r="K821" i="161" s="1"/>
  <c r="P821" i="161" s="1"/>
  <c r="I821" i="160"/>
  <c r="I85" i="160" s="1"/>
  <c r="J821" i="160"/>
  <c r="F360" i="160"/>
  <c r="H821" i="160"/>
  <c r="H85" i="160" s="1"/>
  <c r="G348" i="167"/>
  <c r="J350" i="160"/>
  <c r="J360" i="160" s="1"/>
  <c r="J822" i="161"/>
  <c r="H822" i="161"/>
  <c r="I822" i="161"/>
  <c r="H350" i="160"/>
  <c r="H360" i="160" s="1"/>
  <c r="G348" i="165"/>
  <c r="H348" i="162"/>
  <c r="G348" i="160"/>
  <c r="G348" i="166"/>
  <c r="I350" i="160"/>
  <c r="I360" i="160" s="1"/>
  <c r="I348" i="162"/>
  <c r="F348" i="166" s="1"/>
  <c r="J89" i="157"/>
  <c r="K89" i="157" s="1"/>
  <c r="H348" i="164"/>
  <c r="K348" i="155"/>
  <c r="L348" i="155" s="1"/>
  <c r="H89" i="161"/>
  <c r="I89" i="165" s="1"/>
  <c r="H98" i="161"/>
  <c r="I98" i="165" s="1"/>
  <c r="H415" i="161"/>
  <c r="I415" i="165" s="1"/>
  <c r="H139" i="161"/>
  <c r="I139" i="165" s="1"/>
  <c r="J97" i="161"/>
  <c r="I97" i="167" s="1"/>
  <c r="J88" i="161"/>
  <c r="I88" i="167" s="1"/>
  <c r="I97" i="161"/>
  <c r="I97" i="166" s="1"/>
  <c r="F148" i="160"/>
  <c r="G139" i="157"/>
  <c r="J139" i="157" s="1"/>
  <c r="K139" i="157" s="1"/>
  <c r="G825" i="161"/>
  <c r="K825" i="161" s="1"/>
  <c r="L825" i="161" s="1"/>
  <c r="G146" i="157"/>
  <c r="J146" i="157" s="1"/>
  <c r="K146" i="157" s="1"/>
  <c r="I147" i="161"/>
  <c r="I147" i="166" s="1"/>
  <c r="H788" i="161"/>
  <c r="H821" i="155"/>
  <c r="G148" i="157"/>
  <c r="J148" i="157" s="1"/>
  <c r="K148" i="157" s="1"/>
  <c r="G147" i="157"/>
  <c r="J147" i="157" s="1"/>
  <c r="K147" i="157" s="1"/>
  <c r="I138" i="161"/>
  <c r="I138" i="166" s="1"/>
  <c r="J758" i="9"/>
  <c r="K758" i="9" s="1"/>
  <c r="J821" i="155"/>
  <c r="I414" i="161"/>
  <c r="I414" i="166" s="1"/>
  <c r="I414" i="167"/>
  <c r="F383" i="165"/>
  <c r="H389" i="162"/>
  <c r="J148" i="161"/>
  <c r="J89" i="161"/>
  <c r="J98" i="161"/>
  <c r="J415" i="161"/>
  <c r="J139" i="161"/>
  <c r="F406" i="167"/>
  <c r="J407" i="162"/>
  <c r="I139" i="166"/>
  <c r="I98" i="155"/>
  <c r="H98" i="166" s="1"/>
  <c r="J98" i="155"/>
  <c r="H98" i="167" s="1"/>
  <c r="H98" i="155"/>
  <c r="H98" i="165" s="1"/>
  <c r="K178" i="159"/>
  <c r="K179" i="159"/>
  <c r="F628" i="157"/>
  <c r="K383" i="161"/>
  <c r="G389" i="161"/>
  <c r="I383" i="164"/>
  <c r="I389" i="164" s="1"/>
  <c r="G407" i="161"/>
  <c r="I406" i="164"/>
  <c r="I407" i="164" s="1"/>
  <c r="K406" i="161"/>
  <c r="H278" i="158"/>
  <c r="F281" i="158"/>
  <c r="J178" i="161"/>
  <c r="J179" i="161"/>
  <c r="F179" i="157"/>
  <c r="G793" i="157"/>
  <c r="H793" i="157"/>
  <c r="F178" i="157"/>
  <c r="G97" i="157"/>
  <c r="I97" i="157"/>
  <c r="H97" i="157"/>
  <c r="F97" i="155" s="1"/>
  <c r="F313" i="162"/>
  <c r="F321" i="162" s="1"/>
  <c r="F325" i="162" s="1"/>
  <c r="F326" i="162" s="1"/>
  <c r="F410" i="161"/>
  <c r="G410" i="159"/>
  <c r="G179" i="157"/>
  <c r="G178" i="157"/>
  <c r="K144" i="159"/>
  <c r="J98" i="157"/>
  <c r="K98" i="157" s="1"/>
  <c r="I411" i="162"/>
  <c r="F411" i="166" s="1"/>
  <c r="K411" i="166" s="1"/>
  <c r="F406" i="166"/>
  <c r="I407" i="162"/>
  <c r="G131" i="166"/>
  <c r="G175" i="166" s="1"/>
  <c r="G176" i="166" s="1"/>
  <c r="E35" i="5"/>
  <c r="C36" i="5"/>
  <c r="L349" i="160"/>
  <c r="G383" i="167"/>
  <c r="J389" i="160"/>
  <c r="I793" i="159"/>
  <c r="O793" i="159" s="1"/>
  <c r="G131" i="167"/>
  <c r="G175" i="167" s="1"/>
  <c r="G176" i="167" s="1"/>
  <c r="J349" i="167"/>
  <c r="F383" i="166"/>
  <c r="I389" i="162"/>
  <c r="J349" i="165"/>
  <c r="G824" i="161"/>
  <c r="K824" i="161" s="1"/>
  <c r="F349" i="166"/>
  <c r="H788" i="160"/>
  <c r="G406" i="166"/>
  <c r="I407" i="160"/>
  <c r="G406" i="160"/>
  <c r="G406" i="162" s="1"/>
  <c r="I179" i="167"/>
  <c r="I178" i="167"/>
  <c r="H88" i="160"/>
  <c r="G88" i="165" s="1"/>
  <c r="F410" i="155"/>
  <c r="I89" i="161"/>
  <c r="F406" i="165"/>
  <c r="H407" i="162"/>
  <c r="J131" i="157"/>
  <c r="J175" i="157" s="1"/>
  <c r="K125" i="157"/>
  <c r="K131" i="157" s="1"/>
  <c r="G403" i="161"/>
  <c r="K402" i="161"/>
  <c r="I402" i="164"/>
  <c r="I403" i="164" s="1"/>
  <c r="G410" i="158"/>
  <c r="F144" i="155"/>
  <c r="G144" i="157"/>
  <c r="I415" i="161"/>
  <c r="I98" i="161"/>
  <c r="K94" i="159"/>
  <c r="I137" i="157"/>
  <c r="H137" i="157"/>
  <c r="F137" i="155" s="1"/>
  <c r="G824" i="155"/>
  <c r="K824" i="155" s="1"/>
  <c r="H148" i="161"/>
  <c r="I148" i="161"/>
  <c r="I232" i="9"/>
  <c r="I233" i="9"/>
  <c r="I278" i="9"/>
  <c r="I318" i="9"/>
  <c r="I208" i="9"/>
  <c r="I273" i="9"/>
  <c r="I628" i="9"/>
  <c r="F628" i="159" s="1"/>
  <c r="I453" i="9"/>
  <c r="I374" i="9"/>
  <c r="H413" i="157"/>
  <c r="F413" i="155" s="1"/>
  <c r="I413" i="157"/>
  <c r="G383" i="166"/>
  <c r="I389" i="160"/>
  <c r="F402" i="167"/>
  <c r="J403" i="162"/>
  <c r="G403" i="165"/>
  <c r="J402" i="165"/>
  <c r="J403" i="165" s="1"/>
  <c r="I178" i="165"/>
  <c r="I179" i="165"/>
  <c r="I87" i="155"/>
  <c r="H87" i="166" s="1"/>
  <c r="J87" i="155"/>
  <c r="H87" i="167" s="1"/>
  <c r="H87" i="155"/>
  <c r="H87" i="165" s="1"/>
  <c r="H147" i="155"/>
  <c r="H147" i="165" s="1"/>
  <c r="J147" i="155"/>
  <c r="H147" i="167" s="1"/>
  <c r="I147" i="155"/>
  <c r="H147" i="166" s="1"/>
  <c r="H135" i="161"/>
  <c r="I135" i="161"/>
  <c r="J135" i="161"/>
  <c r="F135" i="155"/>
  <c r="G135" i="157"/>
  <c r="H89" i="155"/>
  <c r="H89" i="165" s="1"/>
  <c r="I89" i="155"/>
  <c r="H89" i="166" s="1"/>
  <c r="J89" i="155"/>
  <c r="H89" i="167" s="1"/>
  <c r="K85" i="159"/>
  <c r="J349" i="166"/>
  <c r="I826" i="160"/>
  <c r="I139" i="160" s="1"/>
  <c r="J826" i="160"/>
  <c r="H826" i="160"/>
  <c r="G415" i="155"/>
  <c r="I144" i="161"/>
  <c r="J144" i="161"/>
  <c r="H144" i="161"/>
  <c r="I222" i="9"/>
  <c r="F222" i="159" s="1"/>
  <c r="I368" i="9"/>
  <c r="F175" i="155"/>
  <c r="I788" i="155"/>
  <c r="J788" i="155"/>
  <c r="H788" i="155"/>
  <c r="J411" i="162"/>
  <c r="F411" i="167" s="1"/>
  <c r="K411" i="167" s="1"/>
  <c r="J135" i="159"/>
  <c r="F135" i="160"/>
  <c r="F89" i="160"/>
  <c r="J89" i="159"/>
  <c r="K89" i="159" s="1"/>
  <c r="I179" i="161"/>
  <c r="I178" i="161"/>
  <c r="I821" i="155"/>
  <c r="G771" i="157"/>
  <c r="J769" i="157"/>
  <c r="K769" i="157" s="1"/>
  <c r="J147" i="161"/>
  <c r="F176" i="161"/>
  <c r="F414" i="160"/>
  <c r="J414" i="159"/>
  <c r="K414" i="159" s="1"/>
  <c r="H208" i="158"/>
  <c r="I138" i="155"/>
  <c r="H138" i="166" s="1"/>
  <c r="J138" i="155"/>
  <c r="H138" i="167" s="1"/>
  <c r="H138" i="155"/>
  <c r="H138" i="165" s="1"/>
  <c r="H97" i="160"/>
  <c r="G97" i="165" s="1"/>
  <c r="H374" i="158"/>
  <c r="H414" i="157"/>
  <c r="F414" i="155" s="1"/>
  <c r="I414" i="157"/>
  <c r="J824" i="160"/>
  <c r="J87" i="160" s="1"/>
  <c r="G87" i="167" s="1"/>
  <c r="I824" i="160"/>
  <c r="I96" i="160" s="1"/>
  <c r="G96" i="166" s="1"/>
  <c r="H824" i="160"/>
  <c r="H96" i="160" s="1"/>
  <c r="G96" i="165" s="1"/>
  <c r="J179" i="160"/>
  <c r="J178" i="160"/>
  <c r="K411" i="160"/>
  <c r="L411" i="160" s="1"/>
  <c r="G411" i="164"/>
  <c r="F176" i="160"/>
  <c r="H125" i="166"/>
  <c r="H131" i="166" s="1"/>
  <c r="H175" i="166" s="1"/>
  <c r="H176" i="166" s="1"/>
  <c r="I131" i="155"/>
  <c r="I175" i="155" s="1"/>
  <c r="I176" i="155" s="1"/>
  <c r="I769" i="155"/>
  <c r="I771" i="155" s="1"/>
  <c r="I757" i="155" s="1"/>
  <c r="H178" i="160"/>
  <c r="H179" i="160"/>
  <c r="K178" i="158"/>
  <c r="K179" i="158"/>
  <c r="H232" i="158"/>
  <c r="K349" i="162"/>
  <c r="F349" i="164"/>
  <c r="J94" i="161"/>
  <c r="H94" i="161"/>
  <c r="I94" i="161"/>
  <c r="H148" i="155"/>
  <c r="H148" i="165" s="1"/>
  <c r="I148" i="155"/>
  <c r="H148" i="166" s="1"/>
  <c r="J148" i="155"/>
  <c r="H148" i="167" s="1"/>
  <c r="G88" i="157"/>
  <c r="I88" i="157"/>
  <c r="H88" i="157"/>
  <c r="F88" i="155" s="1"/>
  <c r="G383" i="165"/>
  <c r="H389" i="160"/>
  <c r="H179" i="161"/>
  <c r="H178" i="161"/>
  <c r="F454" i="158"/>
  <c r="H453" i="158"/>
  <c r="H454" i="158" s="1"/>
  <c r="I793" i="158"/>
  <c r="I628" i="158" s="1"/>
  <c r="J628" i="158" s="1"/>
  <c r="K628" i="158" s="1"/>
  <c r="J138" i="161"/>
  <c r="J788" i="157"/>
  <c r="K788" i="157" s="1"/>
  <c r="I137" i="159"/>
  <c r="I87" i="159"/>
  <c r="I96" i="159"/>
  <c r="I146" i="159"/>
  <c r="I413" i="159"/>
  <c r="H97" i="161"/>
  <c r="F85" i="155"/>
  <c r="G411" i="155"/>
  <c r="G411" i="162" s="1"/>
  <c r="G826" i="161"/>
  <c r="K826" i="161" s="1"/>
  <c r="H125" i="167"/>
  <c r="H131" i="167" s="1"/>
  <c r="H175" i="167" s="1"/>
  <c r="H176" i="167" s="1"/>
  <c r="J131" i="155"/>
  <c r="J175" i="155" s="1"/>
  <c r="J176" i="155" s="1"/>
  <c r="J769" i="155"/>
  <c r="J771" i="155" s="1"/>
  <c r="J757" i="155" s="1"/>
  <c r="G131" i="165"/>
  <c r="G175" i="165" s="1"/>
  <c r="G176" i="165" s="1"/>
  <c r="G758" i="158"/>
  <c r="J757" i="158"/>
  <c r="K757" i="158" s="1"/>
  <c r="G410" i="157"/>
  <c r="I179" i="166"/>
  <c r="I178" i="166"/>
  <c r="F870" i="162"/>
  <c r="F633" i="162"/>
  <c r="J788" i="161"/>
  <c r="G318" i="158"/>
  <c r="H318" i="158"/>
  <c r="H319" i="158" s="1"/>
  <c r="F319" i="158"/>
  <c r="J146" i="155"/>
  <c r="H146" i="167" s="1"/>
  <c r="I146" i="155"/>
  <c r="H146" i="166" s="1"/>
  <c r="H146" i="155"/>
  <c r="H146" i="165" s="1"/>
  <c r="F18" i="9"/>
  <c r="F498" i="9"/>
  <c r="F501" i="9" s="1"/>
  <c r="I125" i="164"/>
  <c r="I131" i="164" s="1"/>
  <c r="I175" i="164" s="1"/>
  <c r="I176" i="164" s="1"/>
  <c r="G131" i="161"/>
  <c r="G175" i="161" s="1"/>
  <c r="G176" i="161" s="1"/>
  <c r="G769" i="161"/>
  <c r="G771" i="161" s="1"/>
  <c r="G757" i="161" s="1"/>
  <c r="K125" i="161"/>
  <c r="G825" i="155"/>
  <c r="K825" i="155" s="1"/>
  <c r="L825" i="155" s="1"/>
  <c r="G383" i="160"/>
  <c r="F125" i="165"/>
  <c r="H131" i="162"/>
  <c r="H175" i="162" s="1"/>
  <c r="H176" i="162" s="1"/>
  <c r="H96" i="157"/>
  <c r="F96" i="155" s="1"/>
  <c r="I96" i="157"/>
  <c r="G96" i="157"/>
  <c r="K383" i="155"/>
  <c r="G389" i="155"/>
  <c r="H383" i="164"/>
  <c r="H389" i="164" s="1"/>
  <c r="H138" i="161"/>
  <c r="H233" i="158"/>
  <c r="F94" i="155"/>
  <c r="H85" i="161"/>
  <c r="I85" i="161"/>
  <c r="J85" i="161"/>
  <c r="O824" i="159"/>
  <c r="J788" i="160"/>
  <c r="G758" i="159"/>
  <c r="J757" i="159"/>
  <c r="K757" i="159" s="1"/>
  <c r="H758" i="159"/>
  <c r="I758" i="159"/>
  <c r="G406" i="165"/>
  <c r="H407" i="160"/>
  <c r="G406" i="167"/>
  <c r="J407" i="160"/>
  <c r="J125" i="162"/>
  <c r="J386" i="164"/>
  <c r="K386" i="164" s="1"/>
  <c r="H411" i="165"/>
  <c r="J411" i="165" s="1"/>
  <c r="H411" i="162"/>
  <c r="F411" i="165" s="1"/>
  <c r="H88" i="161"/>
  <c r="H222" i="9"/>
  <c r="H368" i="9"/>
  <c r="H273" i="158"/>
  <c r="J383" i="162"/>
  <c r="F349" i="167"/>
  <c r="J350" i="162"/>
  <c r="J360" i="162" s="1"/>
  <c r="G125" i="155"/>
  <c r="H125" i="165"/>
  <c r="H131" i="165" s="1"/>
  <c r="H175" i="165" s="1"/>
  <c r="H176" i="165" s="1"/>
  <c r="H131" i="155"/>
  <c r="H175" i="155" s="1"/>
  <c r="H176" i="155" s="1"/>
  <c r="H769" i="155"/>
  <c r="H771" i="155" s="1"/>
  <c r="H757" i="155" s="1"/>
  <c r="F402" i="165"/>
  <c r="H403" i="162"/>
  <c r="J98" i="159"/>
  <c r="K98" i="159" s="1"/>
  <c r="F98" i="160"/>
  <c r="I125" i="162"/>
  <c r="F19" i="49"/>
  <c r="F21" i="162"/>
  <c r="H822" i="155"/>
  <c r="I822" i="155"/>
  <c r="J822" i="155"/>
  <c r="H147" i="161"/>
  <c r="G826" i="155"/>
  <c r="K826" i="155" s="1"/>
  <c r="I788" i="161"/>
  <c r="J139" i="155"/>
  <c r="H139" i="167" s="1"/>
  <c r="H139" i="155"/>
  <c r="H139" i="165" s="1"/>
  <c r="I139" i="155"/>
  <c r="H139" i="166" s="1"/>
  <c r="H414" i="161"/>
  <c r="L402" i="155" l="1"/>
  <c r="L403" i="155" s="1"/>
  <c r="J144" i="160"/>
  <c r="G144" i="167" s="1"/>
  <c r="J138" i="160"/>
  <c r="G138" i="167" s="1"/>
  <c r="I178" i="160"/>
  <c r="I788" i="160"/>
  <c r="G788" i="160" s="1"/>
  <c r="K788" i="160" s="1"/>
  <c r="I403" i="162"/>
  <c r="J138" i="159"/>
  <c r="K138" i="159" s="1"/>
  <c r="I94" i="160"/>
  <c r="G94" i="166" s="1"/>
  <c r="I144" i="160"/>
  <c r="G144" i="166" s="1"/>
  <c r="J97" i="160"/>
  <c r="G97" i="167" s="1"/>
  <c r="J147" i="160"/>
  <c r="G147" i="167" s="1"/>
  <c r="G825" i="160"/>
  <c r="K825" i="160" s="1"/>
  <c r="L825" i="160" s="1"/>
  <c r="G125" i="164"/>
  <c r="G131" i="164" s="1"/>
  <c r="G175" i="164" s="1"/>
  <c r="G176" i="164" s="1"/>
  <c r="H415" i="160"/>
  <c r="G415" i="165" s="1"/>
  <c r="J415" i="165" s="1"/>
  <c r="G131" i="160"/>
  <c r="G175" i="160" s="1"/>
  <c r="G176" i="160" s="1"/>
  <c r="G179" i="160" s="1"/>
  <c r="G769" i="160"/>
  <c r="G771" i="160" s="1"/>
  <c r="G757" i="160" s="1"/>
  <c r="G125" i="162"/>
  <c r="K125" i="162" s="1"/>
  <c r="J147" i="159"/>
  <c r="K147" i="159" s="1"/>
  <c r="H350" i="164"/>
  <c r="H360" i="164" s="1"/>
  <c r="J148" i="160"/>
  <c r="G148" i="167" s="1"/>
  <c r="K350" i="155"/>
  <c r="K360" i="155" s="1"/>
  <c r="L349" i="155"/>
  <c r="L350" i="155" s="1"/>
  <c r="L360" i="155" s="1"/>
  <c r="G403" i="166"/>
  <c r="I88" i="160"/>
  <c r="G88" i="166" s="1"/>
  <c r="I97" i="160"/>
  <c r="G97" i="166" s="1"/>
  <c r="I147" i="160"/>
  <c r="G147" i="166" s="1"/>
  <c r="J147" i="166" s="1"/>
  <c r="I138" i="160"/>
  <c r="G138" i="166" s="1"/>
  <c r="J138" i="166" s="1"/>
  <c r="G403" i="167"/>
  <c r="K407" i="155"/>
  <c r="G402" i="162"/>
  <c r="K402" i="162" s="1"/>
  <c r="G403" i="160"/>
  <c r="K402" i="160"/>
  <c r="K403" i="160" s="1"/>
  <c r="L348" i="161"/>
  <c r="L350" i="161" s="1"/>
  <c r="L360" i="161" s="1"/>
  <c r="K350" i="161"/>
  <c r="K360" i="161" s="1"/>
  <c r="J87" i="157"/>
  <c r="K87" i="157" s="1"/>
  <c r="I350" i="162"/>
  <c r="I360" i="162" s="1"/>
  <c r="G89" i="161"/>
  <c r="I89" i="164" s="1"/>
  <c r="H87" i="160"/>
  <c r="G87" i="165" s="1"/>
  <c r="H94" i="160"/>
  <c r="G94" i="165" s="1"/>
  <c r="H148" i="160"/>
  <c r="G148" i="165" s="1"/>
  <c r="H144" i="160"/>
  <c r="G144" i="165" s="1"/>
  <c r="I273" i="158"/>
  <c r="G273" i="158" s="1"/>
  <c r="J273" i="158" s="1"/>
  <c r="K273" i="158" s="1"/>
  <c r="I233" i="158"/>
  <c r="G233" i="158" s="1"/>
  <c r="J233" i="158" s="1"/>
  <c r="K233" i="158" s="1"/>
  <c r="I87" i="160"/>
  <c r="G87" i="166" s="1"/>
  <c r="J94" i="160"/>
  <c r="G94" i="167" s="1"/>
  <c r="J85" i="160"/>
  <c r="G85" i="167" s="1"/>
  <c r="G788" i="161"/>
  <c r="K788" i="161" s="1"/>
  <c r="L788" i="161" s="1"/>
  <c r="G822" i="155"/>
  <c r="K822" i="155" s="1"/>
  <c r="L822" i="155" s="1"/>
  <c r="G821" i="160"/>
  <c r="K821" i="160" s="1"/>
  <c r="L821" i="160" s="1"/>
  <c r="L821" i="161"/>
  <c r="J821" i="157"/>
  <c r="K821" i="157" s="1"/>
  <c r="O821" i="157"/>
  <c r="G94" i="157"/>
  <c r="J94" i="157" s="1"/>
  <c r="K94" i="157" s="1"/>
  <c r="G85" i="157"/>
  <c r="J85" i="157" s="1"/>
  <c r="K85" i="157" s="1"/>
  <c r="O822" i="157"/>
  <c r="J822" i="157"/>
  <c r="K822" i="157" s="1"/>
  <c r="G348" i="162"/>
  <c r="G348" i="164"/>
  <c r="G350" i="160"/>
  <c r="G360" i="160" s="1"/>
  <c r="K348" i="160"/>
  <c r="J348" i="167"/>
  <c r="K348" i="167" s="1"/>
  <c r="G350" i="167"/>
  <c r="G360" i="167" s="1"/>
  <c r="F348" i="165"/>
  <c r="H350" i="162"/>
  <c r="H360" i="162" s="1"/>
  <c r="J348" i="165"/>
  <c r="J350" i="165" s="1"/>
  <c r="J360" i="165" s="1"/>
  <c r="G350" i="165"/>
  <c r="G360" i="165" s="1"/>
  <c r="H822" i="160"/>
  <c r="I822" i="160"/>
  <c r="J822" i="160"/>
  <c r="J348" i="166"/>
  <c r="K348" i="166" s="1"/>
  <c r="G350" i="166"/>
  <c r="G360" i="166" s="1"/>
  <c r="G822" i="161"/>
  <c r="K822" i="161" s="1"/>
  <c r="G138" i="155"/>
  <c r="H138" i="164" s="1"/>
  <c r="G821" i="155"/>
  <c r="K821" i="155" s="1"/>
  <c r="L821" i="155" s="1"/>
  <c r="J96" i="157"/>
  <c r="K96" i="157" s="1"/>
  <c r="G94" i="161"/>
  <c r="K94" i="161" s="1"/>
  <c r="O793" i="158"/>
  <c r="I318" i="158"/>
  <c r="I319" i="158" s="1"/>
  <c r="I232" i="158"/>
  <c r="G232" i="158" s="1"/>
  <c r="J232" i="158" s="1"/>
  <c r="G788" i="155"/>
  <c r="K788" i="155" s="1"/>
  <c r="P788" i="155" s="1"/>
  <c r="I453" i="158"/>
  <c r="I454" i="158" s="1"/>
  <c r="K349" i="165"/>
  <c r="J402" i="164"/>
  <c r="J403" i="164" s="1"/>
  <c r="G87" i="155"/>
  <c r="H87" i="164" s="1"/>
  <c r="J88" i="157"/>
  <c r="K88" i="157" s="1"/>
  <c r="J96" i="160"/>
  <c r="G96" i="167" s="1"/>
  <c r="G135" i="161"/>
  <c r="K135" i="161" s="1"/>
  <c r="J125" i="166"/>
  <c r="J131" i="166" s="1"/>
  <c r="J175" i="166" s="1"/>
  <c r="J176" i="166" s="1"/>
  <c r="J178" i="166" s="1"/>
  <c r="G137" i="157"/>
  <c r="J137" i="157" s="1"/>
  <c r="K137" i="157" s="1"/>
  <c r="K411" i="165"/>
  <c r="I278" i="158"/>
  <c r="G278" i="158" s="1"/>
  <c r="F411" i="164"/>
  <c r="K411" i="162"/>
  <c r="L411" i="162" s="1"/>
  <c r="G139" i="166"/>
  <c r="J139" i="166" s="1"/>
  <c r="I139" i="162"/>
  <c r="F139" i="166" s="1"/>
  <c r="K402" i="166"/>
  <c r="K403" i="166" s="1"/>
  <c r="F403" i="166"/>
  <c r="F22" i="49"/>
  <c r="H178" i="165"/>
  <c r="H179" i="165"/>
  <c r="J758" i="159"/>
  <c r="K758" i="159" s="1"/>
  <c r="O758" i="159"/>
  <c r="I85" i="165"/>
  <c r="F633" i="9"/>
  <c r="F870" i="9"/>
  <c r="G319" i="158"/>
  <c r="J410" i="157"/>
  <c r="H179" i="167"/>
  <c r="H178" i="167"/>
  <c r="I94" i="167"/>
  <c r="I147" i="167"/>
  <c r="F176" i="155"/>
  <c r="I144" i="166"/>
  <c r="J135" i="155"/>
  <c r="I135" i="155"/>
  <c r="H135" i="155"/>
  <c r="F208" i="159"/>
  <c r="G208" i="9"/>
  <c r="I415" i="166"/>
  <c r="K769" i="160"/>
  <c r="K131" i="160"/>
  <c r="K175" i="160" s="1"/>
  <c r="L125" i="160"/>
  <c r="L131" i="160" s="1"/>
  <c r="J410" i="158"/>
  <c r="G85" i="166"/>
  <c r="I148" i="167"/>
  <c r="G139" i="155"/>
  <c r="F403" i="165"/>
  <c r="K402" i="165"/>
  <c r="K403" i="165" s="1"/>
  <c r="G389" i="160"/>
  <c r="G383" i="164"/>
  <c r="K383" i="160"/>
  <c r="K131" i="161"/>
  <c r="K175" i="161" s="1"/>
  <c r="K769" i="161"/>
  <c r="L125" i="161"/>
  <c r="L131" i="161" s="1"/>
  <c r="F313" i="9"/>
  <c r="I97" i="165"/>
  <c r="G97" i="161"/>
  <c r="I138" i="167"/>
  <c r="J138" i="162"/>
  <c r="F138" i="167" s="1"/>
  <c r="G389" i="165"/>
  <c r="J383" i="165"/>
  <c r="J389" i="165" s="1"/>
  <c r="F179" i="160"/>
  <c r="F178" i="160"/>
  <c r="H793" i="160"/>
  <c r="I793" i="160"/>
  <c r="J793" i="160"/>
  <c r="I414" i="155"/>
  <c r="H414" i="166" s="1"/>
  <c r="J414" i="155"/>
  <c r="H414" i="167" s="1"/>
  <c r="H414" i="155"/>
  <c r="H414" i="165" s="1"/>
  <c r="I135" i="160"/>
  <c r="J135" i="160"/>
  <c r="H135" i="160"/>
  <c r="H413" i="155"/>
  <c r="H413" i="165" s="1"/>
  <c r="I413" i="155"/>
  <c r="H413" i="166" s="1"/>
  <c r="J413" i="155"/>
  <c r="H413" i="167" s="1"/>
  <c r="I319" i="9"/>
  <c r="I802" i="9" s="1"/>
  <c r="F318" i="159"/>
  <c r="G318" i="9"/>
  <c r="I148" i="166"/>
  <c r="J144" i="157"/>
  <c r="F407" i="165"/>
  <c r="K349" i="166"/>
  <c r="F350" i="166"/>
  <c r="F360" i="166" s="1"/>
  <c r="J125" i="167"/>
  <c r="J131" i="167" s="1"/>
  <c r="J175" i="167" s="1"/>
  <c r="J176" i="167" s="1"/>
  <c r="G178" i="166"/>
  <c r="G179" i="166"/>
  <c r="J139" i="160"/>
  <c r="G139" i="167" s="1"/>
  <c r="K389" i="161"/>
  <c r="L383" i="161"/>
  <c r="L389" i="161" s="1"/>
  <c r="G98" i="155"/>
  <c r="I415" i="167"/>
  <c r="H98" i="160"/>
  <c r="I98" i="160"/>
  <c r="G98" i="166" s="1"/>
  <c r="J98" i="160"/>
  <c r="G98" i="167" s="1"/>
  <c r="I85" i="166"/>
  <c r="I94" i="155"/>
  <c r="J94" i="155"/>
  <c r="H94" i="155"/>
  <c r="H96" i="155"/>
  <c r="H96" i="165" s="1"/>
  <c r="J96" i="155"/>
  <c r="H96" i="167" s="1"/>
  <c r="I96" i="155"/>
  <c r="H96" i="166" s="1"/>
  <c r="J758" i="158"/>
  <c r="K758" i="158" s="1"/>
  <c r="O758" i="158"/>
  <c r="H178" i="155"/>
  <c r="H179" i="155"/>
  <c r="K349" i="167"/>
  <c r="F350" i="167"/>
  <c r="F360" i="167" s="1"/>
  <c r="G222" i="9"/>
  <c r="F222" i="158"/>
  <c r="G85" i="161"/>
  <c r="H178" i="162"/>
  <c r="H179" i="162"/>
  <c r="G179" i="161"/>
  <c r="G178" i="161"/>
  <c r="I415" i="160"/>
  <c r="J179" i="155"/>
  <c r="J178" i="155"/>
  <c r="H85" i="155"/>
  <c r="J85" i="155"/>
  <c r="I85" i="155"/>
  <c r="F146" i="161"/>
  <c r="G146" i="159"/>
  <c r="J793" i="158"/>
  <c r="K793" i="158" s="1"/>
  <c r="G148" i="155"/>
  <c r="L349" i="162"/>
  <c r="I148" i="160"/>
  <c r="G148" i="166" s="1"/>
  <c r="G824" i="160"/>
  <c r="K824" i="160" s="1"/>
  <c r="G414" i="157"/>
  <c r="J414" i="157" s="1"/>
  <c r="K414" i="157" s="1"/>
  <c r="G826" i="160"/>
  <c r="K826" i="160" s="1"/>
  <c r="J135" i="157"/>
  <c r="J383" i="166"/>
  <c r="J389" i="166" s="1"/>
  <c r="G389" i="166"/>
  <c r="G413" i="157"/>
  <c r="J413" i="157" s="1"/>
  <c r="K413" i="157" s="1"/>
  <c r="F273" i="159"/>
  <c r="G273" i="9"/>
  <c r="F233" i="159"/>
  <c r="G233" i="9"/>
  <c r="I98" i="166"/>
  <c r="K403" i="161"/>
  <c r="L402" i="161"/>
  <c r="L403" i="161" s="1"/>
  <c r="J176" i="157"/>
  <c r="K175" i="157"/>
  <c r="K176" i="157" s="1"/>
  <c r="I410" i="155"/>
  <c r="J410" i="155"/>
  <c r="H410" i="155"/>
  <c r="J793" i="159"/>
  <c r="K793" i="159" s="1"/>
  <c r="J383" i="167"/>
  <c r="J389" i="167" s="1"/>
  <c r="G389" i="167"/>
  <c r="F407" i="166"/>
  <c r="J410" i="161"/>
  <c r="H410" i="161"/>
  <c r="I410" i="161"/>
  <c r="F14" i="162"/>
  <c r="F330" i="162"/>
  <c r="F331" i="162" s="1"/>
  <c r="J97" i="157"/>
  <c r="K97" i="157" s="1"/>
  <c r="I793" i="157"/>
  <c r="J793" i="157" s="1"/>
  <c r="K793" i="157" s="1"/>
  <c r="K407" i="161"/>
  <c r="L406" i="161"/>
  <c r="L407" i="161" s="1"/>
  <c r="F407" i="167"/>
  <c r="I89" i="167"/>
  <c r="F389" i="165"/>
  <c r="I414" i="165"/>
  <c r="G414" i="161"/>
  <c r="P826" i="155"/>
  <c r="L826" i="155"/>
  <c r="I88" i="165"/>
  <c r="G88" i="161"/>
  <c r="J406" i="167"/>
  <c r="J407" i="167" s="1"/>
  <c r="G407" i="167"/>
  <c r="I85" i="167"/>
  <c r="F131" i="165"/>
  <c r="F175" i="165" s="1"/>
  <c r="I179" i="164"/>
  <c r="I178" i="164"/>
  <c r="G179" i="165"/>
  <c r="G178" i="165"/>
  <c r="F96" i="161"/>
  <c r="J96" i="159"/>
  <c r="K96" i="159" s="1"/>
  <c r="G832" i="158"/>
  <c r="H832" i="158"/>
  <c r="I94" i="166"/>
  <c r="I178" i="155"/>
  <c r="I179" i="155"/>
  <c r="H414" i="160"/>
  <c r="G414" i="165" s="1"/>
  <c r="I414" i="160"/>
  <c r="J414" i="160"/>
  <c r="J89" i="160"/>
  <c r="G89" i="167" s="1"/>
  <c r="H89" i="160"/>
  <c r="I89" i="160"/>
  <c r="G89" i="166" s="1"/>
  <c r="I144" i="165"/>
  <c r="I135" i="166"/>
  <c r="F374" i="159"/>
  <c r="G374" i="9"/>
  <c r="F232" i="159"/>
  <c r="G232" i="9"/>
  <c r="P824" i="155"/>
  <c r="L824" i="155"/>
  <c r="J406" i="166"/>
  <c r="J407" i="166" s="1"/>
  <c r="G407" i="166"/>
  <c r="L824" i="161"/>
  <c r="P824" i="161"/>
  <c r="H97" i="155"/>
  <c r="H97" i="165" s="1"/>
  <c r="I97" i="155"/>
  <c r="J97" i="155"/>
  <c r="H97" i="167" s="1"/>
  <c r="I139" i="167"/>
  <c r="I147" i="165"/>
  <c r="J147" i="165" s="1"/>
  <c r="H147" i="162"/>
  <c r="F147" i="165" s="1"/>
  <c r="G147" i="161"/>
  <c r="F125" i="166"/>
  <c r="I131" i="162"/>
  <c r="I175" i="162" s="1"/>
  <c r="I176" i="162" s="1"/>
  <c r="G769" i="155"/>
  <c r="G771" i="155" s="1"/>
  <c r="G757" i="155" s="1"/>
  <c r="K125" i="155"/>
  <c r="H125" i="164"/>
  <c r="H131" i="164" s="1"/>
  <c r="H175" i="164" s="1"/>
  <c r="H176" i="164" s="1"/>
  <c r="G131" i="155"/>
  <c r="G175" i="155" s="1"/>
  <c r="G176" i="155" s="1"/>
  <c r="F383" i="167"/>
  <c r="J389" i="162"/>
  <c r="K389" i="155"/>
  <c r="L383" i="155"/>
  <c r="L389" i="155" s="1"/>
  <c r="G802" i="158"/>
  <c r="I802" i="158"/>
  <c r="H802" i="158"/>
  <c r="G415" i="161"/>
  <c r="J125" i="165"/>
  <c r="J131" i="165" s="1"/>
  <c r="J175" i="165" s="1"/>
  <c r="J176" i="165" s="1"/>
  <c r="L826" i="161"/>
  <c r="P826" i="161"/>
  <c r="F87" i="161"/>
  <c r="J87" i="159"/>
  <c r="K87" i="159" s="1"/>
  <c r="H179" i="166"/>
  <c r="H178" i="166"/>
  <c r="I378" i="9"/>
  <c r="F368" i="159"/>
  <c r="G144" i="161"/>
  <c r="K402" i="167"/>
  <c r="K403" i="167" s="1"/>
  <c r="F403" i="167"/>
  <c r="I454" i="9"/>
  <c r="I832" i="9" s="1"/>
  <c r="F453" i="159"/>
  <c r="G453" i="9"/>
  <c r="H137" i="155"/>
  <c r="H137" i="165" s="1"/>
  <c r="I137" i="155"/>
  <c r="H137" i="166" s="1"/>
  <c r="J137" i="155"/>
  <c r="H137" i="167" s="1"/>
  <c r="G85" i="165"/>
  <c r="F389" i="166"/>
  <c r="G407" i="162"/>
  <c r="F406" i="164"/>
  <c r="K406" i="162"/>
  <c r="G628" i="157"/>
  <c r="H628" i="157"/>
  <c r="F628" i="155" s="1"/>
  <c r="G139" i="161"/>
  <c r="G368" i="9"/>
  <c r="H378" i="9"/>
  <c r="H823" i="9" s="1"/>
  <c r="F368" i="158"/>
  <c r="F125" i="167"/>
  <c r="J131" i="162"/>
  <c r="J175" i="162" s="1"/>
  <c r="J176" i="162" s="1"/>
  <c r="G407" i="165"/>
  <c r="J406" i="165"/>
  <c r="J407" i="165" s="1"/>
  <c r="I138" i="165"/>
  <c r="J138" i="165" s="1"/>
  <c r="H138" i="162"/>
  <c r="F138" i="165" s="1"/>
  <c r="G138" i="161"/>
  <c r="F21" i="9"/>
  <c r="G146" i="155"/>
  <c r="J415" i="160"/>
  <c r="G415" i="167" s="1"/>
  <c r="K411" i="155"/>
  <c r="L411" i="155" s="1"/>
  <c r="H411" i="164"/>
  <c r="J411" i="164" s="1"/>
  <c r="F413" i="161"/>
  <c r="G413" i="159"/>
  <c r="F137" i="161"/>
  <c r="G137" i="159"/>
  <c r="J88" i="155"/>
  <c r="H88" i="167" s="1"/>
  <c r="J88" i="167" s="1"/>
  <c r="H88" i="155"/>
  <c r="H88" i="165" s="1"/>
  <c r="I88" i="155"/>
  <c r="I94" i="165"/>
  <c r="K349" i="164"/>
  <c r="I374" i="158"/>
  <c r="G374" i="158" s="1"/>
  <c r="J374" i="158" s="1"/>
  <c r="K374" i="158" s="1"/>
  <c r="I208" i="158"/>
  <c r="G208" i="158" s="1"/>
  <c r="J208" i="158" s="1"/>
  <c r="K208" i="158" s="1"/>
  <c r="F178" i="161"/>
  <c r="I793" i="161"/>
  <c r="J793" i="161"/>
  <c r="H793" i="161"/>
  <c r="F179" i="161"/>
  <c r="G757" i="157"/>
  <c r="J771" i="157"/>
  <c r="K771" i="157" s="1"/>
  <c r="K135" i="159"/>
  <c r="H222" i="159"/>
  <c r="I222" i="159"/>
  <c r="F222" i="161" s="1"/>
  <c r="I144" i="167"/>
  <c r="K415" i="155"/>
  <c r="L415" i="155" s="1"/>
  <c r="H415" i="164"/>
  <c r="G89" i="155"/>
  <c r="I135" i="167"/>
  <c r="I135" i="165"/>
  <c r="G147" i="155"/>
  <c r="I628" i="159"/>
  <c r="F628" i="161" s="1"/>
  <c r="H628" i="159"/>
  <c r="G628" i="159"/>
  <c r="F278" i="159"/>
  <c r="G278" i="9"/>
  <c r="I148" i="165"/>
  <c r="G148" i="161"/>
  <c r="H144" i="155"/>
  <c r="I144" i="155"/>
  <c r="J144" i="155"/>
  <c r="I89" i="166"/>
  <c r="G407" i="160"/>
  <c r="K406" i="160"/>
  <c r="G406" i="164"/>
  <c r="G178" i="167"/>
  <c r="G179" i="167"/>
  <c r="C42" i="5"/>
  <c r="E42" i="5" s="1"/>
  <c r="E36" i="5"/>
  <c r="F410" i="160"/>
  <c r="J410" i="159"/>
  <c r="H139" i="160"/>
  <c r="G383" i="162"/>
  <c r="J628" i="9"/>
  <c r="K628" i="9" s="1"/>
  <c r="I98" i="167"/>
  <c r="G98" i="161"/>
  <c r="J138" i="167" l="1"/>
  <c r="H148" i="162"/>
  <c r="F148" i="165" s="1"/>
  <c r="J148" i="165"/>
  <c r="G88" i="160"/>
  <c r="P822" i="155"/>
  <c r="F125" i="164"/>
  <c r="F131" i="164" s="1"/>
  <c r="F175" i="164" s="1"/>
  <c r="K138" i="155"/>
  <c r="L138" i="155" s="1"/>
  <c r="J97" i="167"/>
  <c r="I138" i="162"/>
  <c r="F138" i="166" s="1"/>
  <c r="K138" i="166" s="1"/>
  <c r="G138" i="160"/>
  <c r="G138" i="164" s="1"/>
  <c r="J147" i="162"/>
  <c r="F147" i="167" s="1"/>
  <c r="J147" i="167"/>
  <c r="G131" i="162"/>
  <c r="G175" i="162" s="1"/>
  <c r="G176" i="162" s="1"/>
  <c r="G97" i="160"/>
  <c r="K97" i="160" s="1"/>
  <c r="L97" i="160" s="1"/>
  <c r="F402" i="164"/>
  <c r="K402" i="164" s="1"/>
  <c r="K403" i="164" s="1"/>
  <c r="G403" i="162"/>
  <c r="G178" i="160"/>
  <c r="H415" i="162"/>
  <c r="F415" i="165" s="1"/>
  <c r="K415" i="165" s="1"/>
  <c r="J148" i="162"/>
  <c r="F148" i="167" s="1"/>
  <c r="J148" i="167"/>
  <c r="I147" i="162"/>
  <c r="F147" i="166" s="1"/>
  <c r="K147" i="166" s="1"/>
  <c r="G147" i="160"/>
  <c r="G147" i="162" s="1"/>
  <c r="J94" i="162"/>
  <c r="F94" i="167" s="1"/>
  <c r="G94" i="160"/>
  <c r="K94" i="160" s="1"/>
  <c r="K350" i="167"/>
  <c r="K360" i="167" s="1"/>
  <c r="P788" i="161"/>
  <c r="L402" i="160"/>
  <c r="L403" i="160" s="1"/>
  <c r="J148" i="166"/>
  <c r="I98" i="162"/>
  <c r="F98" i="166" s="1"/>
  <c r="P821" i="155"/>
  <c r="K89" i="161"/>
  <c r="L89" i="161" s="1"/>
  <c r="G85" i="160"/>
  <c r="K85" i="160" s="1"/>
  <c r="K383" i="165"/>
  <c r="K389" i="165" s="1"/>
  <c r="J85" i="162"/>
  <c r="F85" i="167" s="1"/>
  <c r="G144" i="160"/>
  <c r="G144" i="164" s="1"/>
  <c r="H135" i="162"/>
  <c r="F135" i="165" s="1"/>
  <c r="J415" i="167"/>
  <c r="G453" i="158"/>
  <c r="G454" i="158" s="1"/>
  <c r="G87" i="160"/>
  <c r="K87" i="160" s="1"/>
  <c r="L87" i="160" s="1"/>
  <c r="P821" i="160"/>
  <c r="I628" i="157"/>
  <c r="J628" i="157" s="1"/>
  <c r="K628" i="157" s="1"/>
  <c r="G96" i="160"/>
  <c r="K96" i="160" s="1"/>
  <c r="L96" i="160" s="1"/>
  <c r="J135" i="162"/>
  <c r="F135" i="167" s="1"/>
  <c r="G822" i="160"/>
  <c r="K822" i="160" s="1"/>
  <c r="L822" i="160" s="1"/>
  <c r="K87" i="155"/>
  <c r="L87" i="155" s="1"/>
  <c r="I94" i="164"/>
  <c r="G135" i="160"/>
  <c r="G135" i="164" s="1"/>
  <c r="I135" i="164"/>
  <c r="L822" i="161"/>
  <c r="P822" i="161"/>
  <c r="G148" i="160"/>
  <c r="K148" i="160" s="1"/>
  <c r="L148" i="160" s="1"/>
  <c r="L788" i="155"/>
  <c r="J350" i="166"/>
  <c r="J360" i="166" s="1"/>
  <c r="L348" i="160"/>
  <c r="L350" i="160" s="1"/>
  <c r="L360" i="160" s="1"/>
  <c r="K350" i="160"/>
  <c r="K360" i="160" s="1"/>
  <c r="J350" i="167"/>
  <c r="J360" i="167" s="1"/>
  <c r="J348" i="164"/>
  <c r="J350" i="164" s="1"/>
  <c r="J360" i="164" s="1"/>
  <c r="G350" i="164"/>
  <c r="G360" i="164" s="1"/>
  <c r="J88" i="165"/>
  <c r="O793" i="157"/>
  <c r="K139" i="166"/>
  <c r="K348" i="162"/>
  <c r="F348" i="164"/>
  <c r="G350" i="162"/>
  <c r="G360" i="162" s="1"/>
  <c r="K350" i="166"/>
  <c r="K360" i="166" s="1"/>
  <c r="K348" i="165"/>
  <c r="K350" i="165" s="1"/>
  <c r="K360" i="165" s="1"/>
  <c r="F350" i="165"/>
  <c r="F360" i="165" s="1"/>
  <c r="G793" i="161"/>
  <c r="K793" i="161" s="1"/>
  <c r="P793" i="161" s="1"/>
  <c r="G89" i="160"/>
  <c r="K89" i="160" s="1"/>
  <c r="L89" i="160" s="1"/>
  <c r="J318" i="158"/>
  <c r="K318" i="158" s="1"/>
  <c r="K319" i="158" s="1"/>
  <c r="G410" i="161"/>
  <c r="K410" i="161" s="1"/>
  <c r="G88" i="155"/>
  <c r="K88" i="155" s="1"/>
  <c r="L88" i="155" s="1"/>
  <c r="J88" i="162"/>
  <c r="F88" i="167" s="1"/>
  <c r="K88" i="167" s="1"/>
  <c r="J98" i="167"/>
  <c r="G410" i="155"/>
  <c r="K410" i="155" s="1"/>
  <c r="J139" i="167"/>
  <c r="G414" i="155"/>
  <c r="K414" i="155" s="1"/>
  <c r="L414" i="155" s="1"/>
  <c r="G98" i="160"/>
  <c r="G98" i="164" s="1"/>
  <c r="I148" i="162"/>
  <c r="F148" i="166" s="1"/>
  <c r="I135" i="162"/>
  <c r="F135" i="166" s="1"/>
  <c r="J97" i="165"/>
  <c r="J179" i="166"/>
  <c r="G222" i="159"/>
  <c r="J222" i="159" s="1"/>
  <c r="K222" i="159" s="1"/>
  <c r="H410" i="160"/>
  <c r="H410" i="162" s="1"/>
  <c r="I410" i="160"/>
  <c r="I410" i="162" s="1"/>
  <c r="J410" i="160"/>
  <c r="K407" i="160"/>
  <c r="L406" i="160"/>
  <c r="L407" i="160" s="1"/>
  <c r="I137" i="161"/>
  <c r="J137" i="161"/>
  <c r="H137" i="161"/>
  <c r="F131" i="167"/>
  <c r="F175" i="167" s="1"/>
  <c r="K125" i="167"/>
  <c r="K131" i="167" s="1"/>
  <c r="K407" i="162"/>
  <c r="L406" i="162"/>
  <c r="L407" i="162" s="1"/>
  <c r="J278" i="158"/>
  <c r="I453" i="159"/>
  <c r="H453" i="159"/>
  <c r="H454" i="159" s="1"/>
  <c r="F454" i="159"/>
  <c r="K415" i="161"/>
  <c r="L415" i="161" s="1"/>
  <c r="I415" i="164"/>
  <c r="G414" i="166"/>
  <c r="J414" i="166" s="1"/>
  <c r="I414" i="162"/>
  <c r="F414" i="166" s="1"/>
  <c r="K179" i="157"/>
  <c r="K178" i="157"/>
  <c r="J273" i="9"/>
  <c r="K273" i="9" s="1"/>
  <c r="F273" i="157"/>
  <c r="H85" i="165"/>
  <c r="J85" i="165" s="1"/>
  <c r="H94" i="166"/>
  <c r="J94" i="166" s="1"/>
  <c r="K144" i="157"/>
  <c r="K138" i="167"/>
  <c r="J383" i="164"/>
  <c r="J389" i="164" s="1"/>
  <c r="G389" i="164"/>
  <c r="K139" i="155"/>
  <c r="L139" i="155" s="1"/>
  <c r="H139" i="164"/>
  <c r="K410" i="158"/>
  <c r="K771" i="160"/>
  <c r="K757" i="160" s="1"/>
  <c r="L757" i="160" s="1"/>
  <c r="G758" i="160" s="1"/>
  <c r="K758" i="160" s="1"/>
  <c r="L769" i="160"/>
  <c r="L771" i="160" s="1"/>
  <c r="H208" i="159"/>
  <c r="I208" i="159"/>
  <c r="F208" i="161" s="1"/>
  <c r="H85" i="162"/>
  <c r="K232" i="158"/>
  <c r="L94" i="161"/>
  <c r="K98" i="161"/>
  <c r="L98" i="161" s="1"/>
  <c r="I98" i="164"/>
  <c r="K383" i="162"/>
  <c r="G389" i="162"/>
  <c r="F383" i="164"/>
  <c r="I148" i="164"/>
  <c r="K148" i="161"/>
  <c r="L148" i="161" s="1"/>
  <c r="H88" i="166"/>
  <c r="J88" i="166" s="1"/>
  <c r="I88" i="162"/>
  <c r="F88" i="166" s="1"/>
  <c r="I368" i="158"/>
  <c r="I378" i="158" s="1"/>
  <c r="F378" i="158"/>
  <c r="H368" i="158"/>
  <c r="H378" i="158" s="1"/>
  <c r="F407" i="164"/>
  <c r="K144" i="160"/>
  <c r="H178" i="164"/>
  <c r="H179" i="164"/>
  <c r="J89" i="167"/>
  <c r="K88" i="161"/>
  <c r="L88" i="161" s="1"/>
  <c r="I88" i="164"/>
  <c r="J97" i="162"/>
  <c r="F97" i="167" s="1"/>
  <c r="I410" i="167"/>
  <c r="P788" i="160"/>
  <c r="L788" i="160"/>
  <c r="J179" i="157"/>
  <c r="J178" i="157"/>
  <c r="H273" i="159"/>
  <c r="I273" i="159"/>
  <c r="F273" i="161" s="1"/>
  <c r="L824" i="160"/>
  <c r="P824" i="160"/>
  <c r="H85" i="166"/>
  <c r="I85" i="162"/>
  <c r="H135" i="165"/>
  <c r="L135" i="161"/>
  <c r="J98" i="162"/>
  <c r="F98" i="167" s="1"/>
  <c r="H144" i="165"/>
  <c r="J144" i="165" s="1"/>
  <c r="K89" i="155"/>
  <c r="L89" i="155" s="1"/>
  <c r="H89" i="164"/>
  <c r="K383" i="166"/>
  <c r="K389" i="166" s="1"/>
  <c r="G137" i="155"/>
  <c r="K410" i="159"/>
  <c r="J406" i="164"/>
  <c r="J407" i="164" s="1"/>
  <c r="G407" i="164"/>
  <c r="I89" i="162"/>
  <c r="F89" i="166" s="1"/>
  <c r="J628" i="159"/>
  <c r="K628" i="159" s="1"/>
  <c r="F628" i="160"/>
  <c r="K147" i="155"/>
  <c r="L147" i="155" s="1"/>
  <c r="H147" i="164"/>
  <c r="G758" i="157"/>
  <c r="J757" i="157"/>
  <c r="K757" i="157" s="1"/>
  <c r="J137" i="159"/>
  <c r="K137" i="159" s="1"/>
  <c r="F137" i="160"/>
  <c r="K138" i="165"/>
  <c r="J179" i="162"/>
  <c r="J178" i="162"/>
  <c r="G378" i="9"/>
  <c r="G823" i="9" s="1"/>
  <c r="J368" i="9"/>
  <c r="F368" i="157"/>
  <c r="K139" i="161"/>
  <c r="L139" i="161" s="1"/>
  <c r="I139" i="164"/>
  <c r="G454" i="9"/>
  <c r="G832" i="9" s="1"/>
  <c r="J832" i="9" s="1"/>
  <c r="K832" i="9" s="1"/>
  <c r="J453" i="9"/>
  <c r="F453" i="157"/>
  <c r="J179" i="165"/>
  <c r="J178" i="165"/>
  <c r="J802" i="158"/>
  <c r="K802" i="158" s="1"/>
  <c r="O802" i="158"/>
  <c r="K383" i="167"/>
  <c r="K389" i="167" s="1"/>
  <c r="F389" i="167"/>
  <c r="K147" i="165"/>
  <c r="J374" i="9"/>
  <c r="K374" i="9" s="1"/>
  <c r="F374" i="157"/>
  <c r="G414" i="167"/>
  <c r="J414" i="167" s="1"/>
  <c r="J414" i="162"/>
  <c r="F414" i="167" s="1"/>
  <c r="I94" i="162"/>
  <c r="I832" i="158"/>
  <c r="O832" i="158" s="1"/>
  <c r="K125" i="165"/>
  <c r="K131" i="165" s="1"/>
  <c r="H414" i="162"/>
  <c r="F414" i="165" s="1"/>
  <c r="J89" i="162"/>
  <c r="F89" i="167" s="1"/>
  <c r="F15" i="49"/>
  <c r="F15" i="162"/>
  <c r="I410" i="165"/>
  <c r="K406" i="166"/>
  <c r="K407" i="166" s="1"/>
  <c r="H410" i="166"/>
  <c r="H233" i="159"/>
  <c r="I233" i="159"/>
  <c r="F233" i="161" s="1"/>
  <c r="P826" i="160"/>
  <c r="L826" i="160"/>
  <c r="H146" i="161"/>
  <c r="I146" i="161"/>
  <c r="J146" i="161"/>
  <c r="G318" i="159"/>
  <c r="H318" i="159"/>
  <c r="H319" i="159" s="1"/>
  <c r="F319" i="159"/>
  <c r="I318" i="159"/>
  <c r="G135" i="165"/>
  <c r="G135" i="166"/>
  <c r="H97" i="162"/>
  <c r="F97" i="165" s="1"/>
  <c r="K389" i="160"/>
  <c r="L383" i="160"/>
  <c r="L389" i="160" s="1"/>
  <c r="K403" i="162"/>
  <c r="L402" i="162"/>
  <c r="L403" i="162" s="1"/>
  <c r="K176" i="160"/>
  <c r="L175" i="160"/>
  <c r="L176" i="160" s="1"/>
  <c r="J208" i="9"/>
  <c r="K208" i="9" s="1"/>
  <c r="F208" i="157"/>
  <c r="F179" i="155"/>
  <c r="F178" i="155"/>
  <c r="H793" i="155"/>
  <c r="I793" i="155"/>
  <c r="I628" i="155" s="1"/>
  <c r="H628" i="166" s="1"/>
  <c r="J793" i="155"/>
  <c r="J628" i="155" s="1"/>
  <c r="H628" i="167" s="1"/>
  <c r="H144" i="166"/>
  <c r="J278" i="9"/>
  <c r="F278" i="157"/>
  <c r="J222" i="161"/>
  <c r="H222" i="161"/>
  <c r="I222" i="161"/>
  <c r="I144" i="164"/>
  <c r="K144" i="161"/>
  <c r="J87" i="161"/>
  <c r="H87" i="161"/>
  <c r="I87" i="161"/>
  <c r="G179" i="155"/>
  <c r="G178" i="155"/>
  <c r="I179" i="162"/>
  <c r="I178" i="162"/>
  <c r="J232" i="9"/>
  <c r="F232" i="157"/>
  <c r="H374" i="159"/>
  <c r="I374" i="159"/>
  <c r="F374" i="161" s="1"/>
  <c r="K148" i="155"/>
  <c r="L148" i="155" s="1"/>
  <c r="H148" i="164"/>
  <c r="G415" i="166"/>
  <c r="J415" i="166" s="1"/>
  <c r="G415" i="160"/>
  <c r="G415" i="162" s="1"/>
  <c r="G94" i="155"/>
  <c r="G98" i="165"/>
  <c r="J98" i="165" s="1"/>
  <c r="H98" i="162"/>
  <c r="F98" i="165" s="1"/>
  <c r="H135" i="166"/>
  <c r="G178" i="162"/>
  <c r="G179" i="162"/>
  <c r="H144" i="167"/>
  <c r="J144" i="167" s="1"/>
  <c r="I278" i="159"/>
  <c r="H278" i="159"/>
  <c r="J144" i="162"/>
  <c r="J413" i="159"/>
  <c r="K413" i="159" s="1"/>
  <c r="F413" i="160"/>
  <c r="I368" i="159"/>
  <c r="F378" i="159"/>
  <c r="H368" i="159"/>
  <c r="F131" i="166"/>
  <c r="F175" i="166" s="1"/>
  <c r="K125" i="166"/>
  <c r="K131" i="166" s="1"/>
  <c r="G97" i="155"/>
  <c r="I232" i="159"/>
  <c r="H232" i="159"/>
  <c r="J89" i="166"/>
  <c r="H96" i="161"/>
  <c r="I96" i="161"/>
  <c r="J96" i="161"/>
  <c r="I410" i="166"/>
  <c r="H410" i="165"/>
  <c r="G85" i="155"/>
  <c r="H222" i="158"/>
  <c r="I222" i="158"/>
  <c r="H94" i="165"/>
  <c r="J94" i="165" s="1"/>
  <c r="J415" i="162"/>
  <c r="F415" i="167" s="1"/>
  <c r="J178" i="167"/>
  <c r="J179" i="167"/>
  <c r="K406" i="165"/>
  <c r="K407" i="165" s="1"/>
  <c r="J125" i="164"/>
  <c r="J131" i="164" s="1"/>
  <c r="J175" i="164" s="1"/>
  <c r="J176" i="164" s="1"/>
  <c r="G413" i="155"/>
  <c r="G135" i="167"/>
  <c r="K771" i="161"/>
  <c r="K757" i="161" s="1"/>
  <c r="L757" i="161" s="1"/>
  <c r="G758" i="161" s="1"/>
  <c r="K758" i="161" s="1"/>
  <c r="L769" i="161"/>
  <c r="L771" i="161" s="1"/>
  <c r="I415" i="162"/>
  <c r="F415" i="166" s="1"/>
  <c r="G135" i="155"/>
  <c r="I144" i="162"/>
  <c r="G139" i="165"/>
  <c r="J139" i="165" s="1"/>
  <c r="H139" i="162"/>
  <c r="F139" i="165" s="1"/>
  <c r="G139" i="160"/>
  <c r="G139" i="162" s="1"/>
  <c r="K88" i="160"/>
  <c r="L88" i="160" s="1"/>
  <c r="G88" i="164"/>
  <c r="G144" i="155"/>
  <c r="G144" i="162" s="1"/>
  <c r="H628" i="161"/>
  <c r="I628" i="161"/>
  <c r="J628" i="161"/>
  <c r="H94" i="162"/>
  <c r="I413" i="161"/>
  <c r="J413" i="161"/>
  <c r="H413" i="161"/>
  <c r="K146" i="155"/>
  <c r="L146" i="155" s="1"/>
  <c r="H146" i="164"/>
  <c r="K138" i="161"/>
  <c r="L138" i="161" s="1"/>
  <c r="I138" i="164"/>
  <c r="H86" i="9"/>
  <c r="H136" i="9"/>
  <c r="H95" i="9"/>
  <c r="H145" i="9"/>
  <c r="H412" i="9"/>
  <c r="K769" i="155"/>
  <c r="K131" i="155"/>
  <c r="K175" i="155" s="1"/>
  <c r="L125" i="155"/>
  <c r="L131" i="155" s="1"/>
  <c r="K147" i="161"/>
  <c r="L147" i="161" s="1"/>
  <c r="I147" i="164"/>
  <c r="J139" i="162"/>
  <c r="F139" i="167" s="1"/>
  <c r="H97" i="166"/>
  <c r="J97" i="166" s="1"/>
  <c r="I97" i="162"/>
  <c r="F97" i="166" s="1"/>
  <c r="H144" i="162"/>
  <c r="G89" i="165"/>
  <c r="J89" i="165" s="1"/>
  <c r="H89" i="162"/>
  <c r="F89" i="165" s="1"/>
  <c r="G414" i="160"/>
  <c r="J414" i="165"/>
  <c r="F176" i="165"/>
  <c r="K175" i="165"/>
  <c r="K176" i="165" s="1"/>
  <c r="H88" i="162"/>
  <c r="F88" i="165" s="1"/>
  <c r="K414" i="161"/>
  <c r="L414" i="161" s="1"/>
  <c r="I414" i="164"/>
  <c r="K406" i="167"/>
  <c r="K407" i="167" s="1"/>
  <c r="F334" i="162"/>
  <c r="H410" i="167"/>
  <c r="J233" i="9"/>
  <c r="K233" i="9" s="1"/>
  <c r="F233" i="157"/>
  <c r="K135" i="157"/>
  <c r="J146" i="159"/>
  <c r="K146" i="159" s="1"/>
  <c r="F146" i="160"/>
  <c r="H85" i="167"/>
  <c r="K85" i="161"/>
  <c r="I85" i="164"/>
  <c r="J222" i="9"/>
  <c r="K222" i="9" s="1"/>
  <c r="F222" i="157"/>
  <c r="G96" i="155"/>
  <c r="H94" i="167"/>
  <c r="J98" i="166"/>
  <c r="K98" i="166" s="1"/>
  <c r="K98" i="155"/>
  <c r="L98" i="155" s="1"/>
  <c r="H98" i="164"/>
  <c r="G178" i="164"/>
  <c r="G179" i="164"/>
  <c r="J318" i="9"/>
  <c r="G319" i="9"/>
  <c r="G802" i="9" s="1"/>
  <c r="J802" i="9" s="1"/>
  <c r="K802" i="9" s="1"/>
  <c r="F318" i="157"/>
  <c r="G793" i="160"/>
  <c r="K793" i="160" s="1"/>
  <c r="I97" i="164"/>
  <c r="K97" i="161"/>
  <c r="L97" i="161" s="1"/>
  <c r="F321" i="9"/>
  <c r="C8" i="5"/>
  <c r="K176" i="161"/>
  <c r="L175" i="161"/>
  <c r="L176" i="161" s="1"/>
  <c r="H135" i="167"/>
  <c r="K410" i="157"/>
  <c r="K131" i="162"/>
  <c r="K175" i="162" s="1"/>
  <c r="L125" i="162"/>
  <c r="L131" i="162" s="1"/>
  <c r="K411" i="164"/>
  <c r="K148" i="165" l="1"/>
  <c r="K138" i="160"/>
  <c r="L138" i="160" s="1"/>
  <c r="G138" i="162"/>
  <c r="K138" i="162" s="1"/>
  <c r="L138" i="162" s="1"/>
  <c r="G96" i="164"/>
  <c r="K97" i="167"/>
  <c r="K147" i="167"/>
  <c r="K135" i="160"/>
  <c r="G97" i="162"/>
  <c r="F97" i="164" s="1"/>
  <c r="G97" i="164"/>
  <c r="F403" i="164"/>
  <c r="K148" i="167"/>
  <c r="I410" i="164"/>
  <c r="G147" i="164"/>
  <c r="J147" i="164" s="1"/>
  <c r="K147" i="160"/>
  <c r="L147" i="160" s="1"/>
  <c r="G94" i="164"/>
  <c r="G87" i="164"/>
  <c r="K98" i="167"/>
  <c r="K148" i="166"/>
  <c r="K415" i="167"/>
  <c r="J319" i="158"/>
  <c r="G85" i="164"/>
  <c r="G85" i="162"/>
  <c r="K85" i="162" s="1"/>
  <c r="G232" i="159"/>
  <c r="J232" i="159" s="1"/>
  <c r="K88" i="165"/>
  <c r="G148" i="162"/>
  <c r="F148" i="164" s="1"/>
  <c r="G148" i="164"/>
  <c r="J148" i="164" s="1"/>
  <c r="J453" i="158"/>
  <c r="J454" i="158" s="1"/>
  <c r="H414" i="164"/>
  <c r="G88" i="162"/>
  <c r="F88" i="164" s="1"/>
  <c r="L793" i="161"/>
  <c r="K139" i="167"/>
  <c r="K139" i="165"/>
  <c r="G89" i="162"/>
  <c r="K89" i="162" s="1"/>
  <c r="L89" i="162" s="1"/>
  <c r="G414" i="162"/>
  <c r="K414" i="162" s="1"/>
  <c r="L414" i="162" s="1"/>
  <c r="G89" i="164"/>
  <c r="J89" i="164" s="1"/>
  <c r="P822" i="160"/>
  <c r="G98" i="162"/>
  <c r="F98" i="164" s="1"/>
  <c r="J832" i="158"/>
  <c r="K832" i="158" s="1"/>
  <c r="K125" i="164"/>
  <c r="K131" i="164" s="1"/>
  <c r="K97" i="165"/>
  <c r="G137" i="161"/>
  <c r="I137" i="164" s="1"/>
  <c r="K98" i="165"/>
  <c r="G413" i="161"/>
  <c r="I413" i="164" s="1"/>
  <c r="K348" i="164"/>
  <c r="K350" i="164" s="1"/>
  <c r="K360" i="164" s="1"/>
  <c r="F350" i="164"/>
  <c r="F360" i="164" s="1"/>
  <c r="L348" i="162"/>
  <c r="L350" i="162" s="1"/>
  <c r="L360" i="162" s="1"/>
  <c r="K350" i="162"/>
  <c r="K360" i="162" s="1"/>
  <c r="K97" i="166"/>
  <c r="G208" i="159"/>
  <c r="F208" i="160" s="1"/>
  <c r="G222" i="158"/>
  <c r="J222" i="158" s="1"/>
  <c r="K222" i="158" s="1"/>
  <c r="G374" i="159"/>
  <c r="F374" i="160" s="1"/>
  <c r="G273" i="159"/>
  <c r="F273" i="160" s="1"/>
  <c r="G233" i="159"/>
  <c r="J233" i="159" s="1"/>
  <c r="K233" i="159" s="1"/>
  <c r="K414" i="165"/>
  <c r="H88" i="164"/>
  <c r="J88" i="164" s="1"/>
  <c r="H410" i="164"/>
  <c r="G87" i="161"/>
  <c r="G87" i="162" s="1"/>
  <c r="K88" i="166"/>
  <c r="F222" i="160"/>
  <c r="I222" i="160" s="1"/>
  <c r="G222" i="166" s="1"/>
  <c r="K89" i="165"/>
  <c r="J138" i="164"/>
  <c r="K89" i="166"/>
  <c r="H378" i="159"/>
  <c r="H823" i="159" s="1"/>
  <c r="K98" i="160"/>
  <c r="L98" i="160" s="1"/>
  <c r="K415" i="166"/>
  <c r="K89" i="167"/>
  <c r="K144" i="162"/>
  <c r="F144" i="164"/>
  <c r="L179" i="161"/>
  <c r="L178" i="161"/>
  <c r="H222" i="157"/>
  <c r="F222" i="155" s="1"/>
  <c r="I222" i="157"/>
  <c r="H233" i="157"/>
  <c r="F233" i="155" s="1"/>
  <c r="I233" i="157"/>
  <c r="F412" i="158"/>
  <c r="H416" i="9"/>
  <c r="I628" i="165"/>
  <c r="F144" i="166"/>
  <c r="J135" i="167"/>
  <c r="K135" i="167" s="1"/>
  <c r="I96" i="166"/>
  <c r="J96" i="166" s="1"/>
  <c r="I96" i="162"/>
  <c r="F96" i="166" s="1"/>
  <c r="K175" i="166"/>
  <c r="K176" i="166" s="1"/>
  <c r="F176" i="166"/>
  <c r="K94" i="155"/>
  <c r="H94" i="164"/>
  <c r="I222" i="165"/>
  <c r="I146" i="167"/>
  <c r="G146" i="161"/>
  <c r="F378" i="157"/>
  <c r="H368" i="157"/>
  <c r="I368" i="157"/>
  <c r="J144" i="166"/>
  <c r="K389" i="162"/>
  <c r="L383" i="162"/>
  <c r="L389" i="162" s="1"/>
  <c r="L135" i="160"/>
  <c r="K175" i="167"/>
  <c r="K176" i="167" s="1"/>
  <c r="F176" i="167"/>
  <c r="H318" i="157"/>
  <c r="F319" i="157"/>
  <c r="I318" i="157"/>
  <c r="I319" i="157" s="1"/>
  <c r="G318" i="157"/>
  <c r="K179" i="165"/>
  <c r="K178" i="165"/>
  <c r="F147" i="164"/>
  <c r="K147" i="162"/>
  <c r="L147" i="162" s="1"/>
  <c r="L94" i="160"/>
  <c r="I413" i="167"/>
  <c r="L85" i="160"/>
  <c r="F232" i="161"/>
  <c r="I87" i="166"/>
  <c r="J87" i="166" s="1"/>
  <c r="I87" i="162"/>
  <c r="F87" i="166" s="1"/>
  <c r="I319" i="159"/>
  <c r="F318" i="161"/>
  <c r="F318" i="160"/>
  <c r="G319" i="159"/>
  <c r="J318" i="159"/>
  <c r="K139" i="162"/>
  <c r="L139" i="162" s="1"/>
  <c r="F139" i="164"/>
  <c r="F85" i="166"/>
  <c r="L144" i="160"/>
  <c r="F85" i="165"/>
  <c r="G410" i="167"/>
  <c r="C11" i="5"/>
  <c r="E8" i="5"/>
  <c r="F95" i="158"/>
  <c r="H99" i="9"/>
  <c r="F138" i="164"/>
  <c r="I413" i="166"/>
  <c r="K176" i="162"/>
  <c r="L175" i="162"/>
  <c r="L176" i="162" s="1"/>
  <c r="J94" i="167"/>
  <c r="K94" i="167" s="1"/>
  <c r="K318" i="9"/>
  <c r="K319" i="9" s="1"/>
  <c r="J319" i="9"/>
  <c r="K96" i="155"/>
  <c r="L96" i="155" s="1"/>
  <c r="H96" i="164"/>
  <c r="L85" i="161"/>
  <c r="F144" i="165"/>
  <c r="K176" i="155"/>
  <c r="L175" i="155"/>
  <c r="L176" i="155" s="1"/>
  <c r="F136" i="158"/>
  <c r="H140" i="9"/>
  <c r="H183" i="9" s="1"/>
  <c r="F94" i="165"/>
  <c r="K139" i="160"/>
  <c r="L139" i="160" s="1"/>
  <c r="G139" i="164"/>
  <c r="J139" i="164" s="1"/>
  <c r="K175" i="164"/>
  <c r="K176" i="164" s="1"/>
  <c r="F176" i="164"/>
  <c r="F410" i="166"/>
  <c r="I96" i="167"/>
  <c r="J96" i="167" s="1"/>
  <c r="J96" i="162"/>
  <c r="F96" i="167" s="1"/>
  <c r="G368" i="159"/>
  <c r="H413" i="160"/>
  <c r="G413" i="165" s="1"/>
  <c r="I413" i="160"/>
  <c r="G413" i="166" s="1"/>
  <c r="J413" i="160"/>
  <c r="G413" i="167" s="1"/>
  <c r="F144" i="167"/>
  <c r="I222" i="166"/>
  <c r="I222" i="167"/>
  <c r="K179" i="160"/>
  <c r="K178" i="160"/>
  <c r="I146" i="165"/>
  <c r="J233" i="161"/>
  <c r="H233" i="161"/>
  <c r="I233" i="161"/>
  <c r="F16" i="49"/>
  <c r="K414" i="167"/>
  <c r="K453" i="9"/>
  <c r="K454" i="9" s="1"/>
  <c r="J454" i="9"/>
  <c r="J758" i="157"/>
  <c r="K758" i="157" s="1"/>
  <c r="O758" i="157"/>
  <c r="H628" i="160"/>
  <c r="G628" i="165" s="1"/>
  <c r="I628" i="160"/>
  <c r="G628" i="166" s="1"/>
  <c r="J628" i="160"/>
  <c r="G628" i="167" s="1"/>
  <c r="K406" i="164"/>
  <c r="K407" i="164" s="1"/>
  <c r="G823" i="158"/>
  <c r="H823" i="158"/>
  <c r="P758" i="160"/>
  <c r="L758" i="160"/>
  <c r="J85" i="166"/>
  <c r="K414" i="166"/>
  <c r="G453" i="159"/>
  <c r="I137" i="165"/>
  <c r="I137" i="166"/>
  <c r="G410" i="166"/>
  <c r="G94" i="162"/>
  <c r="J98" i="164"/>
  <c r="L410" i="155"/>
  <c r="I146" i="160"/>
  <c r="G146" i="166" s="1"/>
  <c r="J146" i="160"/>
  <c r="G146" i="167" s="1"/>
  <c r="H146" i="160"/>
  <c r="G146" i="165" s="1"/>
  <c r="G414" i="164"/>
  <c r="K414" i="160"/>
  <c r="L414" i="160" s="1"/>
  <c r="K771" i="155"/>
  <c r="K757" i="155" s="1"/>
  <c r="L757" i="155" s="1"/>
  <c r="G758" i="155" s="1"/>
  <c r="K758" i="155" s="1"/>
  <c r="L769" i="155"/>
  <c r="L771" i="155" s="1"/>
  <c r="F86" i="158"/>
  <c r="H90" i="9"/>
  <c r="G628" i="161"/>
  <c r="K85" i="155"/>
  <c r="H85" i="164"/>
  <c r="K232" i="9"/>
  <c r="I278" i="157"/>
  <c r="H278" i="157"/>
  <c r="H208" i="157"/>
  <c r="F208" i="155" s="1"/>
  <c r="I208" i="157"/>
  <c r="J135" i="165"/>
  <c r="K135" i="165" s="1"/>
  <c r="G368" i="158"/>
  <c r="I454" i="159"/>
  <c r="F453" i="161"/>
  <c r="K278" i="158"/>
  <c r="K179" i="161"/>
  <c r="K178" i="161"/>
  <c r="F145" i="158"/>
  <c r="H149" i="9"/>
  <c r="I628" i="167"/>
  <c r="H144" i="164"/>
  <c r="K144" i="155"/>
  <c r="K135" i="155"/>
  <c r="H135" i="164"/>
  <c r="K413" i="155"/>
  <c r="L413" i="155" s="1"/>
  <c r="H413" i="164"/>
  <c r="I378" i="159"/>
  <c r="F368" i="161"/>
  <c r="F278" i="161"/>
  <c r="L410" i="161"/>
  <c r="I87" i="167"/>
  <c r="J87" i="167" s="1"/>
  <c r="J87" i="162"/>
  <c r="F87" i="167" s="1"/>
  <c r="G135" i="162"/>
  <c r="G793" i="155"/>
  <c r="K793" i="155" s="1"/>
  <c r="I146" i="166"/>
  <c r="H374" i="157"/>
  <c r="F374" i="155" s="1"/>
  <c r="I374" i="157"/>
  <c r="K368" i="9"/>
  <c r="K378" i="9" s="1"/>
  <c r="J378" i="9"/>
  <c r="H273" i="157"/>
  <c r="F273" i="155" s="1"/>
  <c r="I273" i="157"/>
  <c r="F415" i="164"/>
  <c r="K415" i="162"/>
  <c r="L415" i="162" s="1"/>
  <c r="H832" i="159"/>
  <c r="F325" i="9"/>
  <c r="F326" i="9" s="1"/>
  <c r="L793" i="160"/>
  <c r="P793" i="160"/>
  <c r="F548" i="162"/>
  <c r="F552" i="162" s="1"/>
  <c r="F555" i="162" s="1"/>
  <c r="F634" i="162"/>
  <c r="F595" i="162"/>
  <c r="F26" i="162"/>
  <c r="F179" i="165"/>
  <c r="F178" i="165"/>
  <c r="I413" i="165"/>
  <c r="I628" i="166"/>
  <c r="P758" i="161"/>
  <c r="L758" i="161"/>
  <c r="J179" i="164"/>
  <c r="J178" i="164"/>
  <c r="G96" i="161"/>
  <c r="I96" i="165"/>
  <c r="J96" i="165" s="1"/>
  <c r="H96" i="162"/>
  <c r="F96" i="165" s="1"/>
  <c r="K97" i="155"/>
  <c r="L97" i="155" s="1"/>
  <c r="H97" i="164"/>
  <c r="J97" i="164" s="1"/>
  <c r="H628" i="155"/>
  <c r="G278" i="159"/>
  <c r="K415" i="160"/>
  <c r="L415" i="160" s="1"/>
  <c r="G415" i="164"/>
  <c r="J415" i="164" s="1"/>
  <c r="H374" i="161"/>
  <c r="I374" i="161"/>
  <c r="J374" i="161"/>
  <c r="I232" i="157"/>
  <c r="H232" i="157"/>
  <c r="I87" i="165"/>
  <c r="J87" i="165" s="1"/>
  <c r="H87" i="162"/>
  <c r="F87" i="165" s="1"/>
  <c r="L144" i="161"/>
  <c r="G222" i="161"/>
  <c r="K278" i="9"/>
  <c r="L178" i="160"/>
  <c r="L179" i="160"/>
  <c r="J135" i="166"/>
  <c r="G802" i="159"/>
  <c r="I802" i="159"/>
  <c r="H802" i="159"/>
  <c r="F410" i="165"/>
  <c r="F94" i="166"/>
  <c r="F454" i="157"/>
  <c r="H453" i="157"/>
  <c r="I453" i="157"/>
  <c r="I454" i="157" s="1"/>
  <c r="I823" i="9"/>
  <c r="H137" i="160"/>
  <c r="G137" i="165" s="1"/>
  <c r="I137" i="160"/>
  <c r="G137" i="166" s="1"/>
  <c r="J137" i="160"/>
  <c r="G137" i="167" s="1"/>
  <c r="K137" i="155"/>
  <c r="L137" i="155" s="1"/>
  <c r="H137" i="164"/>
  <c r="H273" i="161"/>
  <c r="I273" i="161"/>
  <c r="J273" i="161"/>
  <c r="J410" i="162"/>
  <c r="K383" i="164"/>
  <c r="K389" i="164" s="1"/>
  <c r="F389" i="164"/>
  <c r="H208" i="161"/>
  <c r="I208" i="161"/>
  <c r="J208" i="161"/>
  <c r="J85" i="167"/>
  <c r="I137" i="167"/>
  <c r="G410" i="160"/>
  <c r="G410" i="165"/>
  <c r="K98" i="162" l="1"/>
  <c r="L98" i="162" s="1"/>
  <c r="K97" i="162"/>
  <c r="L97" i="162" s="1"/>
  <c r="K88" i="162"/>
  <c r="L88" i="162" s="1"/>
  <c r="J85" i="164"/>
  <c r="J94" i="164"/>
  <c r="F232" i="160"/>
  <c r="H232" i="160" s="1"/>
  <c r="K148" i="162"/>
  <c r="L148" i="162" s="1"/>
  <c r="K413" i="161"/>
  <c r="L413" i="161" s="1"/>
  <c r="J414" i="164"/>
  <c r="H222" i="160"/>
  <c r="G222" i="165" s="1"/>
  <c r="F85" i="164"/>
  <c r="F89" i="164"/>
  <c r="K89" i="164" s="1"/>
  <c r="J413" i="167"/>
  <c r="K137" i="161"/>
  <c r="L137" i="161" s="1"/>
  <c r="J374" i="159"/>
  <c r="K374" i="159" s="1"/>
  <c r="J146" i="167"/>
  <c r="K453" i="158"/>
  <c r="K454" i="158" s="1"/>
  <c r="J222" i="160"/>
  <c r="G222" i="167" s="1"/>
  <c r="K138" i="164"/>
  <c r="H413" i="162"/>
  <c r="F413" i="165" s="1"/>
  <c r="F414" i="164"/>
  <c r="J137" i="166"/>
  <c r="K88" i="164"/>
  <c r="G232" i="157"/>
  <c r="J232" i="157" s="1"/>
  <c r="J273" i="159"/>
  <c r="K273" i="159" s="1"/>
  <c r="G208" i="157"/>
  <c r="J208" i="157" s="1"/>
  <c r="K208" i="157" s="1"/>
  <c r="J628" i="162"/>
  <c r="F628" i="167" s="1"/>
  <c r="I628" i="162"/>
  <c r="F628" i="166" s="1"/>
  <c r="I87" i="164"/>
  <c r="J87" i="164" s="1"/>
  <c r="K87" i="161"/>
  <c r="L87" i="161" s="1"/>
  <c r="J137" i="165"/>
  <c r="F233" i="160"/>
  <c r="H233" i="160" s="1"/>
  <c r="G233" i="165" s="1"/>
  <c r="J208" i="159"/>
  <c r="K208" i="159" s="1"/>
  <c r="I146" i="162"/>
  <c r="F146" i="166" s="1"/>
  <c r="K96" i="167"/>
  <c r="G273" i="161"/>
  <c r="I273" i="164" s="1"/>
  <c r="K96" i="165"/>
  <c r="G368" i="157"/>
  <c r="J368" i="157" s="1"/>
  <c r="J146" i="165"/>
  <c r="K96" i="166"/>
  <c r="K415" i="164"/>
  <c r="H146" i="162"/>
  <c r="F146" i="165" s="1"/>
  <c r="G208" i="161"/>
  <c r="K208" i="161" s="1"/>
  <c r="L208" i="161" s="1"/>
  <c r="K98" i="164"/>
  <c r="G273" i="157"/>
  <c r="J273" i="157" s="1"/>
  <c r="K273" i="157" s="1"/>
  <c r="J413" i="166"/>
  <c r="H137" i="162"/>
  <c r="F137" i="165" s="1"/>
  <c r="K87" i="167"/>
  <c r="J146" i="166"/>
  <c r="J137" i="162"/>
  <c r="F137" i="167" s="1"/>
  <c r="J628" i="166"/>
  <c r="I413" i="162"/>
  <c r="F413" i="166" s="1"/>
  <c r="K87" i="166"/>
  <c r="I86" i="9"/>
  <c r="I136" i="9"/>
  <c r="I145" i="9"/>
  <c r="I95" i="9"/>
  <c r="I412" i="9"/>
  <c r="G832" i="157"/>
  <c r="H832" i="157"/>
  <c r="K94" i="166"/>
  <c r="K222" i="161"/>
  <c r="L222" i="161" s="1"/>
  <c r="I222" i="164"/>
  <c r="H278" i="161"/>
  <c r="I278" i="161"/>
  <c r="J278" i="161"/>
  <c r="F278" i="155"/>
  <c r="L85" i="155"/>
  <c r="K94" i="165"/>
  <c r="H187" i="9"/>
  <c r="H786" i="9"/>
  <c r="J319" i="159"/>
  <c r="K318" i="159"/>
  <c r="K319" i="159" s="1"/>
  <c r="K178" i="167"/>
  <c r="K179" i="167"/>
  <c r="H827" i="9"/>
  <c r="I273" i="166"/>
  <c r="J823" i="9"/>
  <c r="K823" i="9" s="1"/>
  <c r="J802" i="159"/>
  <c r="K802" i="159" s="1"/>
  <c r="O802" i="159"/>
  <c r="J374" i="160"/>
  <c r="G374" i="167" s="1"/>
  <c r="H374" i="160"/>
  <c r="G374" i="165" s="1"/>
  <c r="I374" i="160"/>
  <c r="G374" i="166" s="1"/>
  <c r="K628" i="161"/>
  <c r="L628" i="161" s="1"/>
  <c r="I628" i="164"/>
  <c r="H101" i="9"/>
  <c r="H182" i="9"/>
  <c r="H184" i="9" s="1"/>
  <c r="H794" i="9" s="1"/>
  <c r="H457" i="9" s="1"/>
  <c r="H785" i="9"/>
  <c r="H271" i="9" s="1"/>
  <c r="P758" i="155"/>
  <c r="L758" i="155"/>
  <c r="I823" i="158"/>
  <c r="J823" i="158" s="1"/>
  <c r="K823" i="158" s="1"/>
  <c r="I232" i="161"/>
  <c r="J232" i="161"/>
  <c r="H232" i="161"/>
  <c r="J413" i="162"/>
  <c r="F413" i="167" s="1"/>
  <c r="I802" i="157"/>
  <c r="K146" i="161"/>
  <c r="L146" i="161" s="1"/>
  <c r="I146" i="164"/>
  <c r="K85" i="164"/>
  <c r="F410" i="167"/>
  <c r="G453" i="157"/>
  <c r="J410" i="165"/>
  <c r="I208" i="166"/>
  <c r="K85" i="167"/>
  <c r="I273" i="167"/>
  <c r="I273" i="165"/>
  <c r="J137" i="167"/>
  <c r="G137" i="160"/>
  <c r="H454" i="157"/>
  <c r="F453" i="155"/>
  <c r="K87" i="165"/>
  <c r="I374" i="167"/>
  <c r="G374" i="157"/>
  <c r="J374" i="157" s="1"/>
  <c r="K374" i="157" s="1"/>
  <c r="K135" i="162"/>
  <c r="F135" i="164"/>
  <c r="H368" i="161"/>
  <c r="F378" i="161"/>
  <c r="I368" i="161"/>
  <c r="J368" i="161"/>
  <c r="H208" i="155"/>
  <c r="H208" i="165" s="1"/>
  <c r="J208" i="155"/>
  <c r="H208" i="167" s="1"/>
  <c r="I208" i="155"/>
  <c r="H208" i="166" s="1"/>
  <c r="G278" i="157"/>
  <c r="I137" i="162"/>
  <c r="F137" i="166" s="1"/>
  <c r="G454" i="159"/>
  <c r="G832" i="159" s="1"/>
  <c r="J453" i="159"/>
  <c r="F453" i="160"/>
  <c r="J144" i="164"/>
  <c r="J628" i="167"/>
  <c r="G628" i="160"/>
  <c r="I233" i="166"/>
  <c r="I233" i="167"/>
  <c r="J413" i="165"/>
  <c r="F179" i="164"/>
  <c r="F178" i="164"/>
  <c r="K179" i="155"/>
  <c r="K178" i="155"/>
  <c r="E11" i="5"/>
  <c r="C26" i="5"/>
  <c r="E26" i="5" s="1"/>
  <c r="K85" i="165"/>
  <c r="K85" i="166"/>
  <c r="H318" i="161"/>
  <c r="I318" i="161"/>
  <c r="F319" i="161"/>
  <c r="J318" i="161"/>
  <c r="G319" i="157"/>
  <c r="G802" i="157" s="1"/>
  <c r="J318" i="157"/>
  <c r="F178" i="167"/>
  <c r="F179" i="167"/>
  <c r="F368" i="155"/>
  <c r="H378" i="157"/>
  <c r="K144" i="166"/>
  <c r="G233" i="157"/>
  <c r="J233" i="157" s="1"/>
  <c r="K233" i="157" s="1"/>
  <c r="G222" i="157"/>
  <c r="J222" i="157" s="1"/>
  <c r="K222" i="157" s="1"/>
  <c r="K232" i="159"/>
  <c r="G410" i="164"/>
  <c r="K410" i="160"/>
  <c r="G410" i="162"/>
  <c r="I374" i="166"/>
  <c r="G96" i="162"/>
  <c r="K96" i="161"/>
  <c r="L96" i="161" s="1"/>
  <c r="I96" i="164"/>
  <c r="J96" i="164" s="1"/>
  <c r="L144" i="155"/>
  <c r="H453" i="161"/>
  <c r="F454" i="161"/>
  <c r="I453" i="161"/>
  <c r="J453" i="161"/>
  <c r="K94" i="162"/>
  <c r="F94" i="164"/>
  <c r="I233" i="165"/>
  <c r="G413" i="160"/>
  <c r="K178" i="164"/>
  <c r="K179" i="164"/>
  <c r="L94" i="155"/>
  <c r="F178" i="166"/>
  <c r="F179" i="166"/>
  <c r="I208" i="165"/>
  <c r="F232" i="155"/>
  <c r="J278" i="159"/>
  <c r="F278" i="160"/>
  <c r="H151" i="9"/>
  <c r="H188" i="9"/>
  <c r="J368" i="159"/>
  <c r="F368" i="160"/>
  <c r="G378" i="159"/>
  <c r="G823" i="159" s="1"/>
  <c r="K144" i="165"/>
  <c r="L178" i="162"/>
  <c r="L179" i="162"/>
  <c r="H95" i="158"/>
  <c r="H99" i="158" s="1"/>
  <c r="H187" i="158" s="1"/>
  <c r="G95" i="158"/>
  <c r="F99" i="158"/>
  <c r="J410" i="167"/>
  <c r="K178" i="166"/>
  <c r="K179" i="166"/>
  <c r="I208" i="167"/>
  <c r="G374" i="161"/>
  <c r="I374" i="165"/>
  <c r="H628" i="165"/>
  <c r="J628" i="165" s="1"/>
  <c r="G628" i="155"/>
  <c r="F27" i="49"/>
  <c r="F561" i="162"/>
  <c r="F563" i="162" s="1"/>
  <c r="F557" i="162"/>
  <c r="F14" i="9"/>
  <c r="F330" i="9"/>
  <c r="F331" i="9" s="1"/>
  <c r="F334" i="9" s="1"/>
  <c r="H273" i="155"/>
  <c r="H273" i="165" s="1"/>
  <c r="I273" i="155"/>
  <c r="H273" i="166" s="1"/>
  <c r="J273" i="155"/>
  <c r="H273" i="167" s="1"/>
  <c r="J208" i="160"/>
  <c r="G208" i="167" s="1"/>
  <c r="H208" i="160"/>
  <c r="G208" i="165" s="1"/>
  <c r="I208" i="160"/>
  <c r="G208" i="166" s="1"/>
  <c r="J273" i="160"/>
  <c r="G273" i="167" s="1"/>
  <c r="H273" i="160"/>
  <c r="G273" i="165" s="1"/>
  <c r="I273" i="160"/>
  <c r="G273" i="166" s="1"/>
  <c r="H374" i="155"/>
  <c r="H374" i="165" s="1"/>
  <c r="I374" i="155"/>
  <c r="H374" i="166" s="1"/>
  <c r="J374" i="155"/>
  <c r="H374" i="167" s="1"/>
  <c r="L793" i="155"/>
  <c r="P793" i="155"/>
  <c r="L135" i="155"/>
  <c r="H145" i="158"/>
  <c r="H149" i="158" s="1"/>
  <c r="F149" i="158"/>
  <c r="J368" i="158"/>
  <c r="G378" i="158"/>
  <c r="K87" i="162"/>
  <c r="L87" i="162" s="1"/>
  <c r="F87" i="164"/>
  <c r="H86" i="158"/>
  <c r="H90" i="158" s="1"/>
  <c r="G86" i="158"/>
  <c r="F90" i="158"/>
  <c r="G146" i="160"/>
  <c r="G146" i="162" s="1"/>
  <c r="J410" i="166"/>
  <c r="K410" i="166" s="1"/>
  <c r="J135" i="164"/>
  <c r="G233" i="161"/>
  <c r="K144" i="167"/>
  <c r="H136" i="158"/>
  <c r="H140" i="158" s="1"/>
  <c r="H183" i="158" s="1"/>
  <c r="F140" i="158"/>
  <c r="F183" i="158" s="1"/>
  <c r="L179" i="155"/>
  <c r="L178" i="155"/>
  <c r="K97" i="164"/>
  <c r="K178" i="162"/>
  <c r="K179" i="162"/>
  <c r="K135" i="166"/>
  <c r="K139" i="164"/>
  <c r="J318" i="160"/>
  <c r="F319" i="160"/>
  <c r="H318" i="160"/>
  <c r="I318" i="160"/>
  <c r="K147" i="164"/>
  <c r="F318" i="155"/>
  <c r="H319" i="157"/>
  <c r="H802" i="157" s="1"/>
  <c r="K148" i="164"/>
  <c r="I378" i="157"/>
  <c r="G823" i="157"/>
  <c r="H823" i="157"/>
  <c r="J146" i="162"/>
  <c r="F146" i="167" s="1"/>
  <c r="H628" i="162"/>
  <c r="F628" i="165" s="1"/>
  <c r="H412" i="158"/>
  <c r="H416" i="158" s="1"/>
  <c r="F416" i="158"/>
  <c r="I233" i="155"/>
  <c r="H233" i="166" s="1"/>
  <c r="J233" i="155"/>
  <c r="H233" i="167" s="1"/>
  <c r="H233" i="155"/>
  <c r="H233" i="165" s="1"/>
  <c r="I222" i="155"/>
  <c r="J222" i="155"/>
  <c r="H222" i="155"/>
  <c r="H222" i="165" s="1"/>
  <c r="L144" i="162"/>
  <c r="L85" i="162"/>
  <c r="J222" i="165" l="1"/>
  <c r="J232" i="160"/>
  <c r="I232" i="160"/>
  <c r="K413" i="167"/>
  <c r="G222" i="160"/>
  <c r="G222" i="164" s="1"/>
  <c r="K413" i="165"/>
  <c r="K414" i="164"/>
  <c r="K137" i="166"/>
  <c r="K137" i="165"/>
  <c r="K146" i="167"/>
  <c r="K137" i="167"/>
  <c r="K628" i="167"/>
  <c r="J208" i="165"/>
  <c r="K628" i="166"/>
  <c r="J208" i="167"/>
  <c r="I95" i="158"/>
  <c r="I99" i="158" s="1"/>
  <c r="I187" i="158" s="1"/>
  <c r="G378" i="157"/>
  <c r="K87" i="164"/>
  <c r="J233" i="160"/>
  <c r="G233" i="167" s="1"/>
  <c r="J233" i="167" s="1"/>
  <c r="I233" i="160"/>
  <c r="G233" i="166" s="1"/>
  <c r="J233" i="166" s="1"/>
  <c r="K146" i="166"/>
  <c r="K146" i="165"/>
  <c r="K273" i="161"/>
  <c r="L273" i="161" s="1"/>
  <c r="I208" i="164"/>
  <c r="J273" i="167"/>
  <c r="K413" i="166"/>
  <c r="I208" i="162"/>
  <c r="F208" i="166" s="1"/>
  <c r="J233" i="165"/>
  <c r="O823" i="158"/>
  <c r="G628" i="162"/>
  <c r="K628" i="162" s="1"/>
  <c r="L628" i="162" s="1"/>
  <c r="H374" i="162"/>
  <c r="F374" i="165" s="1"/>
  <c r="H273" i="162"/>
  <c r="F273" i="165" s="1"/>
  <c r="G273" i="160"/>
  <c r="G273" i="164" s="1"/>
  <c r="G374" i="160"/>
  <c r="K374" i="160" s="1"/>
  <c r="L374" i="160" s="1"/>
  <c r="J378" i="158"/>
  <c r="K368" i="158"/>
  <c r="K378" i="158" s="1"/>
  <c r="G374" i="155"/>
  <c r="K628" i="155"/>
  <c r="L628" i="155" s="1"/>
  <c r="H628" i="164"/>
  <c r="I453" i="167"/>
  <c r="I454" i="167" s="1"/>
  <c r="J454" i="161"/>
  <c r="J832" i="161" s="1"/>
  <c r="I802" i="161"/>
  <c r="J802" i="161"/>
  <c r="G802" i="161"/>
  <c r="H802" i="161"/>
  <c r="I232" i="167"/>
  <c r="F145" i="159"/>
  <c r="I149" i="9"/>
  <c r="G145" i="9"/>
  <c r="G318" i="165"/>
  <c r="H319" i="160"/>
  <c r="G90" i="158"/>
  <c r="J273" i="166"/>
  <c r="G208" i="160"/>
  <c r="I823" i="159"/>
  <c r="J823" i="159" s="1"/>
  <c r="K823" i="159" s="1"/>
  <c r="H13" i="9"/>
  <c r="N151" i="9"/>
  <c r="H789" i="9"/>
  <c r="I278" i="160"/>
  <c r="J278" i="160"/>
  <c r="H278" i="160"/>
  <c r="H208" i="162"/>
  <c r="F208" i="165" s="1"/>
  <c r="K413" i="160"/>
  <c r="L413" i="160" s="1"/>
  <c r="G413" i="164"/>
  <c r="J413" i="164" s="1"/>
  <c r="G413" i="162"/>
  <c r="K94" i="164"/>
  <c r="I318" i="166"/>
  <c r="I319" i="166" s="1"/>
  <c r="I319" i="161"/>
  <c r="J453" i="160"/>
  <c r="H453" i="160"/>
  <c r="I453" i="160"/>
  <c r="F454" i="160"/>
  <c r="J278" i="157"/>
  <c r="I368" i="167"/>
  <c r="I378" i="167" s="1"/>
  <c r="J378" i="161"/>
  <c r="J823" i="161" s="1"/>
  <c r="L135" i="162"/>
  <c r="J453" i="157"/>
  <c r="G454" i="157"/>
  <c r="I232" i="166"/>
  <c r="I832" i="157"/>
  <c r="O832" i="157" s="1"/>
  <c r="G233" i="155"/>
  <c r="G827" i="158"/>
  <c r="H827" i="158"/>
  <c r="I823" i="157"/>
  <c r="O823" i="157" s="1"/>
  <c r="H318" i="155"/>
  <c r="H318" i="162" s="1"/>
  <c r="I318" i="155"/>
  <c r="F319" i="155"/>
  <c r="J318" i="155"/>
  <c r="G802" i="160"/>
  <c r="H802" i="160"/>
  <c r="I802" i="160"/>
  <c r="J802" i="160"/>
  <c r="K146" i="160"/>
  <c r="L146" i="160" s="1"/>
  <c r="G146" i="164"/>
  <c r="J146" i="164" s="1"/>
  <c r="F188" i="158"/>
  <c r="F151" i="158"/>
  <c r="H222" i="167"/>
  <c r="J222" i="167" s="1"/>
  <c r="J222" i="162"/>
  <c r="F222" i="167" s="1"/>
  <c r="I412" i="158"/>
  <c r="I416" i="158" s="1"/>
  <c r="K628" i="165"/>
  <c r="I136" i="158"/>
  <c r="I140" i="158" s="1"/>
  <c r="I183" i="158" s="1"/>
  <c r="F101" i="158"/>
  <c r="F182" i="158"/>
  <c r="H785" i="158"/>
  <c r="G785" i="158"/>
  <c r="H101" i="158"/>
  <c r="H12" i="158" s="1"/>
  <c r="H182" i="158"/>
  <c r="H184" i="158" s="1"/>
  <c r="I145" i="158"/>
  <c r="I149" i="158" s="1"/>
  <c r="J208" i="166"/>
  <c r="G273" i="155"/>
  <c r="J378" i="157"/>
  <c r="K368" i="157"/>
  <c r="K378" i="157" s="1"/>
  <c r="J378" i="159"/>
  <c r="K368" i="159"/>
  <c r="K378" i="159" s="1"/>
  <c r="L94" i="162"/>
  <c r="L410" i="160"/>
  <c r="J368" i="155"/>
  <c r="H368" i="155"/>
  <c r="F378" i="155"/>
  <c r="I368" i="155"/>
  <c r="G318" i="161"/>
  <c r="I318" i="165"/>
  <c r="I319" i="165" s="1"/>
  <c r="H319" i="161"/>
  <c r="I832" i="159"/>
  <c r="J832" i="159" s="1"/>
  <c r="K832" i="159" s="1"/>
  <c r="K410" i="165"/>
  <c r="K410" i="167"/>
  <c r="H458" i="9"/>
  <c r="H833" i="9" s="1"/>
  <c r="F457" i="158"/>
  <c r="J374" i="165"/>
  <c r="I273" i="162"/>
  <c r="F273" i="166" s="1"/>
  <c r="H189" i="9"/>
  <c r="I278" i="167"/>
  <c r="I278" i="165"/>
  <c r="F95" i="159"/>
  <c r="I99" i="9"/>
  <c r="I187" i="9" s="1"/>
  <c r="G95" i="9"/>
  <c r="H222" i="166"/>
  <c r="J222" i="166" s="1"/>
  <c r="I222" i="162"/>
  <c r="F222" i="166" s="1"/>
  <c r="G318" i="166"/>
  <c r="I319" i="160"/>
  <c r="G318" i="160"/>
  <c r="H151" i="158"/>
  <c r="H13" i="158" s="1"/>
  <c r="H188" i="158"/>
  <c r="H189" i="158" s="1"/>
  <c r="I374" i="164"/>
  <c r="K374" i="161"/>
  <c r="L374" i="161" s="1"/>
  <c r="G232" i="165"/>
  <c r="K222" i="160"/>
  <c r="L222" i="160" s="1"/>
  <c r="H232" i="155"/>
  <c r="H232" i="162" s="1"/>
  <c r="I232" i="155"/>
  <c r="I232" i="162" s="1"/>
  <c r="J232" i="155"/>
  <c r="J232" i="162" s="1"/>
  <c r="I453" i="165"/>
  <c r="I454" i="165" s="1"/>
  <c r="H454" i="161"/>
  <c r="H832" i="161" s="1"/>
  <c r="K96" i="162"/>
  <c r="L96" i="162" s="1"/>
  <c r="F96" i="164"/>
  <c r="K96" i="164" s="1"/>
  <c r="J410" i="164"/>
  <c r="K135" i="164"/>
  <c r="J374" i="162"/>
  <c r="F374" i="167" s="1"/>
  <c r="J453" i="155"/>
  <c r="F454" i="155"/>
  <c r="H453" i="155"/>
  <c r="I453" i="155"/>
  <c r="I232" i="165"/>
  <c r="N101" i="9"/>
  <c r="H12" i="9"/>
  <c r="H787" i="9"/>
  <c r="I278" i="166"/>
  <c r="G278" i="161"/>
  <c r="G222" i="155"/>
  <c r="G318" i="167"/>
  <c r="J319" i="160"/>
  <c r="K233" i="161"/>
  <c r="L233" i="161" s="1"/>
  <c r="I233" i="164"/>
  <c r="F15" i="9"/>
  <c r="G232" i="167"/>
  <c r="G232" i="160"/>
  <c r="H222" i="162"/>
  <c r="F222" i="165" s="1"/>
  <c r="K222" i="165" s="1"/>
  <c r="G786" i="158"/>
  <c r="H786" i="158"/>
  <c r="F187" i="158"/>
  <c r="I453" i="166"/>
  <c r="I454" i="166" s="1"/>
  <c r="I454" i="161"/>
  <c r="I832" i="161" s="1"/>
  <c r="G453" i="161"/>
  <c r="I374" i="162"/>
  <c r="F374" i="166" s="1"/>
  <c r="I368" i="165"/>
  <c r="I378" i="165" s="1"/>
  <c r="H378" i="161"/>
  <c r="H823" i="161" s="1"/>
  <c r="K146" i="162"/>
  <c r="L146" i="162" s="1"/>
  <c r="F146" i="164"/>
  <c r="F136" i="159"/>
  <c r="I140" i="9"/>
  <c r="I183" i="9" s="1"/>
  <c r="G136" i="9"/>
  <c r="I86" i="158"/>
  <c r="I90" i="158" s="1"/>
  <c r="J273" i="165"/>
  <c r="F635" i="162"/>
  <c r="F637" i="162" s="1"/>
  <c r="F645" i="162" s="1"/>
  <c r="F596" i="162"/>
  <c r="F600" i="162" s="1"/>
  <c r="F603" i="162" s="1"/>
  <c r="F22" i="162"/>
  <c r="J208" i="162"/>
  <c r="F208" i="167" s="1"/>
  <c r="G232" i="166"/>
  <c r="G99" i="158"/>
  <c r="G187" i="158" s="1"/>
  <c r="I368" i="160"/>
  <c r="J368" i="160"/>
  <c r="F378" i="160"/>
  <c r="H368" i="160"/>
  <c r="K278" i="159"/>
  <c r="H233" i="162"/>
  <c r="F233" i="165" s="1"/>
  <c r="K410" i="162"/>
  <c r="F410" i="164"/>
  <c r="J319" i="157"/>
  <c r="K318" i="157"/>
  <c r="K319" i="157" s="1"/>
  <c r="I318" i="167"/>
  <c r="I319" i="167" s="1"/>
  <c r="J319" i="161"/>
  <c r="K628" i="160"/>
  <c r="L628" i="160" s="1"/>
  <c r="G628" i="164"/>
  <c r="J454" i="159"/>
  <c r="K453" i="159"/>
  <c r="K454" i="159" s="1"/>
  <c r="G208" i="155"/>
  <c r="I368" i="166"/>
  <c r="I378" i="166" s="1"/>
  <c r="I378" i="161"/>
  <c r="I823" i="161" s="1"/>
  <c r="G368" i="161"/>
  <c r="K137" i="160"/>
  <c r="L137" i="160" s="1"/>
  <c r="G137" i="164"/>
  <c r="J137" i="164" s="1"/>
  <c r="G137" i="162"/>
  <c r="J273" i="162"/>
  <c r="F273" i="167" s="1"/>
  <c r="K144" i="164"/>
  <c r="J802" i="157"/>
  <c r="K802" i="157" s="1"/>
  <c r="O802" i="157"/>
  <c r="G232" i="161"/>
  <c r="F271" i="158"/>
  <c r="J374" i="166"/>
  <c r="J374" i="167"/>
  <c r="H226" i="9"/>
  <c r="H227" i="9"/>
  <c r="H234" i="9"/>
  <c r="H220" i="9"/>
  <c r="H262" i="9"/>
  <c r="H266" i="9"/>
  <c r="H261" i="9"/>
  <c r="H265" i="9"/>
  <c r="H225" i="9"/>
  <c r="H269" i="9"/>
  <c r="H419" i="9"/>
  <c r="H263" i="9"/>
  <c r="H274" i="9"/>
  <c r="H417" i="9"/>
  <c r="H260" i="9"/>
  <c r="H421" i="9"/>
  <c r="H425" i="9"/>
  <c r="H492" i="9"/>
  <c r="H629" i="9"/>
  <c r="F629" i="158" s="1"/>
  <c r="H212" i="9"/>
  <c r="H264" i="9"/>
  <c r="H422" i="9"/>
  <c r="H428" i="9"/>
  <c r="H531" i="9"/>
  <c r="F531" i="158" s="1"/>
  <c r="H424" i="9"/>
  <c r="H491" i="9"/>
  <c r="H520" i="9"/>
  <c r="H528" i="9"/>
  <c r="F528" i="158" s="1"/>
  <c r="G850" i="9"/>
  <c r="H423" i="9"/>
  <c r="H850" i="9"/>
  <c r="G851" i="9"/>
  <c r="H418" i="9"/>
  <c r="H851" i="9"/>
  <c r="H484" i="9"/>
  <c r="H626" i="9"/>
  <c r="H259" i="9"/>
  <c r="H485" i="9"/>
  <c r="J278" i="155"/>
  <c r="G278" i="155"/>
  <c r="I278" i="155"/>
  <c r="H278" i="155"/>
  <c r="K232" i="157"/>
  <c r="F412" i="159"/>
  <c r="I416" i="9"/>
  <c r="G412" i="9"/>
  <c r="F86" i="159"/>
  <c r="I90" i="9"/>
  <c r="G86" i="9"/>
  <c r="G222" i="162" l="1"/>
  <c r="K233" i="165"/>
  <c r="K208" i="165"/>
  <c r="K208" i="167"/>
  <c r="O823" i="159"/>
  <c r="J95" i="158"/>
  <c r="J99" i="158" s="1"/>
  <c r="J187" i="158" s="1"/>
  <c r="I453" i="162"/>
  <c r="F453" i="166" s="1"/>
  <c r="J368" i="162"/>
  <c r="F368" i="167" s="1"/>
  <c r="J233" i="162"/>
  <c r="F233" i="167" s="1"/>
  <c r="K233" i="167" s="1"/>
  <c r="G233" i="160"/>
  <c r="G233" i="164" s="1"/>
  <c r="K273" i="167"/>
  <c r="G374" i="164"/>
  <c r="O832" i="159"/>
  <c r="G273" i="162"/>
  <c r="F273" i="164" s="1"/>
  <c r="I233" i="162"/>
  <c r="F233" i="166" s="1"/>
  <c r="K233" i="166" s="1"/>
  <c r="K208" i="166"/>
  <c r="K222" i="166"/>
  <c r="G453" i="160"/>
  <c r="G454" i="160" s="1"/>
  <c r="I278" i="162"/>
  <c r="F278" i="166" s="1"/>
  <c r="K273" i="160"/>
  <c r="L273" i="160" s="1"/>
  <c r="K374" i="167"/>
  <c r="G278" i="160"/>
  <c r="G278" i="164" s="1"/>
  <c r="I368" i="162"/>
  <c r="F368" i="166" s="1"/>
  <c r="J832" i="157"/>
  <c r="K832" i="157" s="1"/>
  <c r="K374" i="165"/>
  <c r="K273" i="165"/>
  <c r="F628" i="164"/>
  <c r="K374" i="166"/>
  <c r="K222" i="167"/>
  <c r="G368" i="160"/>
  <c r="G368" i="164" s="1"/>
  <c r="K802" i="160"/>
  <c r="L802" i="160" s="1"/>
  <c r="F232" i="165"/>
  <c r="J86" i="9"/>
  <c r="F86" i="157"/>
  <c r="G90" i="9"/>
  <c r="H278" i="165"/>
  <c r="F259" i="158"/>
  <c r="F264" i="158"/>
  <c r="F274" i="158"/>
  <c r="F262" i="158"/>
  <c r="H453" i="165"/>
  <c r="H454" i="165" s="1"/>
  <c r="H454" i="155"/>
  <c r="H453" i="162"/>
  <c r="G232" i="155"/>
  <c r="G232" i="162" s="1"/>
  <c r="F458" i="158"/>
  <c r="K413" i="162"/>
  <c r="L413" i="162" s="1"/>
  <c r="F413" i="164"/>
  <c r="K413" i="164" s="1"/>
  <c r="G319" i="165"/>
  <c r="F232" i="167"/>
  <c r="I101" i="9"/>
  <c r="I182" i="9"/>
  <c r="I184" i="9" s="1"/>
  <c r="H412" i="159"/>
  <c r="H416" i="159" s="1"/>
  <c r="I412" i="159"/>
  <c r="F416" i="159"/>
  <c r="H531" i="158"/>
  <c r="F421" i="158"/>
  <c r="F265" i="158"/>
  <c r="G832" i="161"/>
  <c r="K832" i="161" s="1"/>
  <c r="F318" i="165"/>
  <c r="H319" i="162"/>
  <c r="F12" i="158"/>
  <c r="G787" i="158"/>
  <c r="H787" i="158"/>
  <c r="H318" i="165"/>
  <c r="H319" i="165" s="1"/>
  <c r="H319" i="155"/>
  <c r="H802" i="155" s="1"/>
  <c r="J823" i="157"/>
  <c r="K823" i="157" s="1"/>
  <c r="F232" i="166"/>
  <c r="G278" i="167"/>
  <c r="G101" i="158"/>
  <c r="G12" i="158" s="1"/>
  <c r="G182" i="158"/>
  <c r="J412" i="9"/>
  <c r="F412" i="157"/>
  <c r="G416" i="9"/>
  <c r="H278" i="166"/>
  <c r="F485" i="158"/>
  <c r="F423" i="158"/>
  <c r="H493" i="9"/>
  <c r="F491" i="158"/>
  <c r="F422" i="158"/>
  <c r="F492" i="158"/>
  <c r="F417" i="158"/>
  <c r="F269" i="158"/>
  <c r="F266" i="158"/>
  <c r="F227" i="158"/>
  <c r="K368" i="161"/>
  <c r="I368" i="164"/>
  <c r="I378" i="164" s="1"/>
  <c r="G378" i="161"/>
  <c r="K208" i="155"/>
  <c r="L208" i="155" s="1"/>
  <c r="H208" i="164"/>
  <c r="G368" i="166"/>
  <c r="I378" i="160"/>
  <c r="I823" i="160" s="1"/>
  <c r="F608" i="162"/>
  <c r="F610" i="162" s="1"/>
  <c r="F605" i="162"/>
  <c r="F23" i="162" s="1"/>
  <c r="J136" i="9"/>
  <c r="F136" i="157"/>
  <c r="G140" i="9"/>
  <c r="G183" i="9" s="1"/>
  <c r="F189" i="158"/>
  <c r="K232" i="160"/>
  <c r="G232" i="164"/>
  <c r="K222" i="162"/>
  <c r="L222" i="162" s="1"/>
  <c r="F222" i="164"/>
  <c r="H453" i="166"/>
  <c r="H454" i="166" s="1"/>
  <c r="I454" i="155"/>
  <c r="H453" i="167"/>
  <c r="H454" i="167" s="1"/>
  <c r="J454" i="155"/>
  <c r="H232" i="167"/>
  <c r="G319" i="166"/>
  <c r="J95" i="9"/>
  <c r="F95" i="157"/>
  <c r="G99" i="9"/>
  <c r="G319" i="161"/>
  <c r="I318" i="164"/>
  <c r="I319" i="164" s="1"/>
  <c r="K318" i="161"/>
  <c r="H368" i="165"/>
  <c r="H378" i="165" s="1"/>
  <c r="H378" i="155"/>
  <c r="I151" i="158"/>
  <c r="I13" i="158" s="1"/>
  <c r="I188" i="158"/>
  <c r="I189" i="158" s="1"/>
  <c r="H789" i="158"/>
  <c r="F13" i="158"/>
  <c r="G789" i="158"/>
  <c r="G136" i="158"/>
  <c r="H318" i="166"/>
  <c r="H319" i="166" s="1"/>
  <c r="I319" i="155"/>
  <c r="K278" i="157"/>
  <c r="G453" i="165"/>
  <c r="H454" i="160"/>
  <c r="H832" i="160" s="1"/>
  <c r="I318" i="162"/>
  <c r="G278" i="165"/>
  <c r="K208" i="160"/>
  <c r="L208" i="160" s="1"/>
  <c r="G208" i="164"/>
  <c r="G208" i="162"/>
  <c r="H145" i="159"/>
  <c r="H149" i="159" s="1"/>
  <c r="I145" i="159"/>
  <c r="F149" i="159"/>
  <c r="K278" i="155"/>
  <c r="H278" i="164"/>
  <c r="F418" i="158"/>
  <c r="F424" i="158"/>
  <c r="F425" i="158"/>
  <c r="F225" i="158"/>
  <c r="F226" i="158"/>
  <c r="H271" i="158"/>
  <c r="K137" i="162"/>
  <c r="L137" i="162" s="1"/>
  <c r="F137" i="164"/>
  <c r="K137" i="164" s="1"/>
  <c r="K278" i="161"/>
  <c r="I278" i="164"/>
  <c r="H232" i="165"/>
  <c r="H278" i="162"/>
  <c r="G823" i="161"/>
  <c r="K823" i="161" s="1"/>
  <c r="H368" i="166"/>
  <c r="H378" i="166" s="1"/>
  <c r="I378" i="155"/>
  <c r="G368" i="155"/>
  <c r="K273" i="155"/>
  <c r="L273" i="155" s="1"/>
  <c r="H273" i="164"/>
  <c r="J273" i="164" s="1"/>
  <c r="F184" i="158"/>
  <c r="K374" i="155"/>
  <c r="L374" i="155" s="1"/>
  <c r="H374" i="164"/>
  <c r="H278" i="167"/>
  <c r="H630" i="9"/>
  <c r="F626" i="158"/>
  <c r="H528" i="158"/>
  <c r="F212" i="158"/>
  <c r="F263" i="158"/>
  <c r="F220" i="158"/>
  <c r="K410" i="164"/>
  <c r="H136" i="159"/>
  <c r="H140" i="159" s="1"/>
  <c r="H183" i="159" s="1"/>
  <c r="I136" i="159"/>
  <c r="F140" i="159"/>
  <c r="F183" i="159" s="1"/>
  <c r="I786" i="158"/>
  <c r="J786" i="158" s="1"/>
  <c r="K786" i="158" s="1"/>
  <c r="G319" i="167"/>
  <c r="H832" i="155"/>
  <c r="I832" i="155"/>
  <c r="J832" i="155"/>
  <c r="F26" i="9"/>
  <c r="F548" i="9"/>
  <c r="F552" i="9" s="1"/>
  <c r="F555" i="9" s="1"/>
  <c r="F595" i="9"/>
  <c r="F634" i="9"/>
  <c r="G319" i="160"/>
  <c r="K318" i="160"/>
  <c r="G318" i="164"/>
  <c r="I95" i="159"/>
  <c r="H95" i="159"/>
  <c r="H99" i="159" s="1"/>
  <c r="H187" i="159" s="1"/>
  <c r="G95" i="159"/>
  <c r="F99" i="159"/>
  <c r="H191" i="9"/>
  <c r="H795" i="9"/>
  <c r="H461" i="9" s="1"/>
  <c r="H368" i="167"/>
  <c r="H378" i="167" s="1"/>
  <c r="J378" i="155"/>
  <c r="J319" i="155"/>
  <c r="J802" i="155" s="1"/>
  <c r="H318" i="167"/>
  <c r="H319" i="167" s="1"/>
  <c r="I827" i="158"/>
  <c r="I528" i="158" s="1"/>
  <c r="G453" i="167"/>
  <c r="J454" i="160"/>
  <c r="J832" i="160" s="1"/>
  <c r="H191" i="158"/>
  <c r="J145" i="9"/>
  <c r="F145" i="157"/>
  <c r="G149" i="9"/>
  <c r="K802" i="161"/>
  <c r="J453" i="162"/>
  <c r="I86" i="159"/>
  <c r="G86" i="159"/>
  <c r="H86" i="159"/>
  <c r="H90" i="159" s="1"/>
  <c r="F90" i="159"/>
  <c r="F484" i="158"/>
  <c r="F520" i="158"/>
  <c r="F428" i="158"/>
  <c r="G629" i="158"/>
  <c r="H629" i="158"/>
  <c r="F260" i="158"/>
  <c r="F419" i="158"/>
  <c r="F261" i="158"/>
  <c r="F234" i="158"/>
  <c r="I232" i="164"/>
  <c r="K232" i="161"/>
  <c r="J628" i="164"/>
  <c r="J318" i="162"/>
  <c r="L410" i="162"/>
  <c r="G368" i="165"/>
  <c r="H378" i="160"/>
  <c r="H823" i="160" s="1"/>
  <c r="G368" i="167"/>
  <c r="J378" i="160"/>
  <c r="J823" i="160" s="1"/>
  <c r="F23" i="49"/>
  <c r="F24" i="162"/>
  <c r="I182" i="158"/>
  <c r="I184" i="158" s="1"/>
  <c r="I101" i="158"/>
  <c r="I12" i="158" s="1"/>
  <c r="K146" i="164"/>
  <c r="H368" i="162"/>
  <c r="K453" i="161"/>
  <c r="I453" i="164"/>
  <c r="I454" i="164" s="1"/>
  <c r="G454" i="161"/>
  <c r="H222" i="164"/>
  <c r="J222" i="164" s="1"/>
  <c r="K222" i="155"/>
  <c r="L222" i="155" s="1"/>
  <c r="G453" i="155"/>
  <c r="H232" i="166"/>
  <c r="J232" i="166" s="1"/>
  <c r="G374" i="162"/>
  <c r="J278" i="162"/>
  <c r="K273" i="166"/>
  <c r="I823" i="155"/>
  <c r="J823" i="155"/>
  <c r="H823" i="155"/>
  <c r="I785" i="158"/>
  <c r="I271" i="158" s="1"/>
  <c r="G145" i="158"/>
  <c r="I802" i="155"/>
  <c r="G318" i="155"/>
  <c r="G318" i="162" s="1"/>
  <c r="G412" i="158"/>
  <c r="K233" i="155"/>
  <c r="L233" i="155" s="1"/>
  <c r="H233" i="164"/>
  <c r="J454" i="157"/>
  <c r="K453" i="157"/>
  <c r="K454" i="157" s="1"/>
  <c r="G453" i="166"/>
  <c r="I454" i="160"/>
  <c r="I832" i="160" s="1"/>
  <c r="G278" i="166"/>
  <c r="J86" i="158"/>
  <c r="I151" i="9"/>
  <c r="I188" i="9"/>
  <c r="I189" i="9" s="1"/>
  <c r="K95" i="158" l="1"/>
  <c r="K99" i="158" s="1"/>
  <c r="J378" i="162"/>
  <c r="I454" i="162"/>
  <c r="K233" i="160"/>
  <c r="L233" i="160" s="1"/>
  <c r="G233" i="162"/>
  <c r="K233" i="162" s="1"/>
  <c r="L233" i="162" s="1"/>
  <c r="J374" i="164"/>
  <c r="G453" i="164"/>
  <c r="G454" i="164" s="1"/>
  <c r="K273" i="162"/>
  <c r="L273" i="162" s="1"/>
  <c r="K278" i="160"/>
  <c r="L278" i="160" s="1"/>
  <c r="O786" i="158"/>
  <c r="K453" i="160"/>
  <c r="K454" i="160" s="1"/>
  <c r="K628" i="164"/>
  <c r="G453" i="162"/>
  <c r="G454" i="162" s="1"/>
  <c r="G278" i="162"/>
  <c r="F278" i="164" s="1"/>
  <c r="G368" i="162"/>
  <c r="G378" i="162" s="1"/>
  <c r="G378" i="160"/>
  <c r="J785" i="158"/>
  <c r="K785" i="158" s="1"/>
  <c r="P802" i="160"/>
  <c r="I378" i="162"/>
  <c r="I191" i="9"/>
  <c r="I329" i="9" s="1"/>
  <c r="K368" i="160"/>
  <c r="K378" i="160" s="1"/>
  <c r="G136" i="159"/>
  <c r="F136" i="160" s="1"/>
  <c r="G145" i="159"/>
  <c r="F145" i="160" s="1"/>
  <c r="I531" i="158"/>
  <c r="G531" i="158" s="1"/>
  <c r="J531" i="158" s="1"/>
  <c r="K531" i="158" s="1"/>
  <c r="G271" i="158"/>
  <c r="J271" i="158" s="1"/>
  <c r="K271" i="158" s="1"/>
  <c r="G802" i="155"/>
  <c r="K802" i="155" s="1"/>
  <c r="L802" i="155" s="1"/>
  <c r="K273" i="164"/>
  <c r="G412" i="159"/>
  <c r="F412" i="160" s="1"/>
  <c r="O785" i="158"/>
  <c r="G319" i="162"/>
  <c r="F318" i="164"/>
  <c r="K318" i="162"/>
  <c r="G528" i="158"/>
  <c r="J528" i="158" s="1"/>
  <c r="K528" i="158" s="1"/>
  <c r="G832" i="160"/>
  <c r="K832" i="160" s="1"/>
  <c r="I13" i="9"/>
  <c r="O151" i="9"/>
  <c r="F374" i="164"/>
  <c r="K374" i="162"/>
  <c r="L374" i="162" s="1"/>
  <c r="L232" i="161"/>
  <c r="F86" i="161"/>
  <c r="I90" i="159"/>
  <c r="H145" i="157"/>
  <c r="I145" i="157"/>
  <c r="I149" i="157" s="1"/>
  <c r="F149" i="157"/>
  <c r="G454" i="167"/>
  <c r="J453" i="167"/>
  <c r="J454" i="167" s="1"/>
  <c r="F151" i="159"/>
  <c r="F188" i="159"/>
  <c r="H491" i="158"/>
  <c r="F493" i="158"/>
  <c r="I491" i="158"/>
  <c r="H265" i="158"/>
  <c r="I265" i="158"/>
  <c r="H833" i="158"/>
  <c r="G833" i="158"/>
  <c r="F453" i="165"/>
  <c r="H454" i="162"/>
  <c r="H264" i="158"/>
  <c r="I264" i="158"/>
  <c r="G182" i="9"/>
  <c r="G184" i="9" s="1"/>
  <c r="G794" i="9" s="1"/>
  <c r="G101" i="9"/>
  <c r="G785" i="9"/>
  <c r="G454" i="166"/>
  <c r="J453" i="166"/>
  <c r="J454" i="166" s="1"/>
  <c r="H261" i="158"/>
  <c r="I261" i="158"/>
  <c r="J318" i="167"/>
  <c r="J319" i="167" s="1"/>
  <c r="H794" i="158"/>
  <c r="H457" i="158" s="1"/>
  <c r="G794" i="158"/>
  <c r="G823" i="160"/>
  <c r="K823" i="160" s="1"/>
  <c r="F145" i="161"/>
  <c r="I149" i="159"/>
  <c r="J278" i="165"/>
  <c r="I789" i="158"/>
  <c r="O789" i="158" s="1"/>
  <c r="K222" i="164"/>
  <c r="H136" i="157"/>
  <c r="I136" i="157"/>
  <c r="I140" i="157" s="1"/>
  <c r="I183" i="157" s="1"/>
  <c r="F140" i="157"/>
  <c r="F183" i="157" s="1"/>
  <c r="H266" i="158"/>
  <c r="I266" i="158"/>
  <c r="H485" i="158"/>
  <c r="I485" i="158"/>
  <c r="G827" i="9"/>
  <c r="J232" i="167"/>
  <c r="K232" i="167" s="1"/>
  <c r="L832" i="161"/>
  <c r="P832" i="161"/>
  <c r="H827" i="159"/>
  <c r="G378" i="164"/>
  <c r="J412" i="158"/>
  <c r="G416" i="158"/>
  <c r="F368" i="165"/>
  <c r="H378" i="162"/>
  <c r="F28" i="162"/>
  <c r="J368" i="167"/>
  <c r="J378" i="167" s="1"/>
  <c r="G378" i="167"/>
  <c r="F232" i="164"/>
  <c r="K232" i="162"/>
  <c r="H101" i="159"/>
  <c r="H12" i="159" s="1"/>
  <c r="H182" i="159"/>
  <c r="H184" i="159" s="1"/>
  <c r="P802" i="161"/>
  <c r="L802" i="161"/>
  <c r="H329" i="158"/>
  <c r="J827" i="158"/>
  <c r="K827" i="158" s="1"/>
  <c r="N191" i="9"/>
  <c r="H329" i="9"/>
  <c r="H796" i="9"/>
  <c r="H214" i="9" s="1"/>
  <c r="F214" i="158" s="1"/>
  <c r="F136" i="161"/>
  <c r="I140" i="159"/>
  <c r="I183" i="159" s="1"/>
  <c r="L278" i="161"/>
  <c r="H226" i="158"/>
  <c r="I226" i="158"/>
  <c r="I425" i="158"/>
  <c r="H425" i="158"/>
  <c r="H418" i="158"/>
  <c r="I418" i="158"/>
  <c r="L278" i="155"/>
  <c r="H188" i="159"/>
  <c r="H189" i="159" s="1"/>
  <c r="H151" i="159"/>
  <c r="H13" i="159" s="1"/>
  <c r="J208" i="164"/>
  <c r="K187" i="158"/>
  <c r="K136" i="9"/>
  <c r="K140" i="9" s="1"/>
  <c r="J140" i="9"/>
  <c r="J183" i="9" s="1"/>
  <c r="K183" i="9" s="1"/>
  <c r="K378" i="161"/>
  <c r="L368" i="161"/>
  <c r="L378" i="161" s="1"/>
  <c r="I417" i="158"/>
  <c r="H417" i="158"/>
  <c r="H422" i="158"/>
  <c r="I422" i="158"/>
  <c r="H412" i="157"/>
  <c r="I412" i="157"/>
  <c r="I416" i="157" s="1"/>
  <c r="F416" i="157"/>
  <c r="K232" i="166"/>
  <c r="I421" i="158"/>
  <c r="H421" i="158"/>
  <c r="F412" i="161"/>
  <c r="I416" i="159"/>
  <c r="J278" i="164"/>
  <c r="J232" i="165"/>
  <c r="K232" i="165" s="1"/>
  <c r="H274" i="158"/>
  <c r="I274" i="158"/>
  <c r="K86" i="9"/>
  <c r="K90" i="9" s="1"/>
  <c r="J90" i="9"/>
  <c r="G454" i="155"/>
  <c r="K453" i="155"/>
  <c r="H453" i="164"/>
  <c r="H454" i="164" s="1"/>
  <c r="J368" i="165"/>
  <c r="J378" i="165" s="1"/>
  <c r="G378" i="165"/>
  <c r="I484" i="158"/>
  <c r="H484" i="158"/>
  <c r="F101" i="159"/>
  <c r="F182" i="159"/>
  <c r="H785" i="159"/>
  <c r="J95" i="159"/>
  <c r="F95" i="160"/>
  <c r="G99" i="159"/>
  <c r="G187" i="159" s="1"/>
  <c r="G319" i="164"/>
  <c r="H220" i="158"/>
  <c r="I220" i="158"/>
  <c r="H27" i="9"/>
  <c r="H636" i="9"/>
  <c r="H639" i="9" s="1"/>
  <c r="H868" i="9"/>
  <c r="K368" i="155"/>
  <c r="G378" i="155"/>
  <c r="H368" i="164"/>
  <c r="H378" i="164" s="1"/>
  <c r="F278" i="165"/>
  <c r="F454" i="166"/>
  <c r="H225" i="158"/>
  <c r="I225" i="158"/>
  <c r="J136" i="158"/>
  <c r="G140" i="158"/>
  <c r="G183" i="158" s="1"/>
  <c r="G184" i="158" s="1"/>
  <c r="G95" i="157"/>
  <c r="I95" i="157"/>
  <c r="I99" i="157" s="1"/>
  <c r="I187" i="157" s="1"/>
  <c r="H95" i="157"/>
  <c r="F99" i="157"/>
  <c r="J368" i="166"/>
  <c r="J378" i="166" s="1"/>
  <c r="G378" i="166"/>
  <c r="I492" i="158"/>
  <c r="H492" i="158"/>
  <c r="H262" i="158"/>
  <c r="I262" i="158"/>
  <c r="H259" i="158"/>
  <c r="I259" i="158"/>
  <c r="J90" i="158"/>
  <c r="K86" i="158"/>
  <c r="K90" i="158" s="1"/>
  <c r="K454" i="161"/>
  <c r="L453" i="161"/>
  <c r="L454" i="161" s="1"/>
  <c r="H260" i="158"/>
  <c r="I260" i="158"/>
  <c r="I520" i="158"/>
  <c r="H520" i="158"/>
  <c r="F453" i="167"/>
  <c r="J454" i="162"/>
  <c r="K145" i="9"/>
  <c r="K149" i="9" s="1"/>
  <c r="J149" i="9"/>
  <c r="H462" i="9"/>
  <c r="F461" i="158"/>
  <c r="K319" i="160"/>
  <c r="L318" i="160"/>
  <c r="L319" i="160" s="1"/>
  <c r="H212" i="158"/>
  <c r="I212" i="158"/>
  <c r="F378" i="167"/>
  <c r="H424" i="158"/>
  <c r="I424" i="158"/>
  <c r="K208" i="162"/>
  <c r="L208" i="162" s="1"/>
  <c r="F208" i="164"/>
  <c r="G454" i="165"/>
  <c r="J453" i="165"/>
  <c r="J454" i="165" s="1"/>
  <c r="I191" i="158"/>
  <c r="K95" i="9"/>
  <c r="K99" i="9" s="1"/>
  <c r="J99" i="9"/>
  <c r="J187" i="9" s="1"/>
  <c r="L232" i="160"/>
  <c r="G86" i="157"/>
  <c r="I86" i="157"/>
  <c r="I90" i="157" s="1"/>
  <c r="H86" i="157"/>
  <c r="F90" i="157"/>
  <c r="J278" i="166"/>
  <c r="K278" i="166" s="1"/>
  <c r="K318" i="155"/>
  <c r="G319" i="155"/>
  <c r="H318" i="164"/>
  <c r="H319" i="164" s="1"/>
  <c r="J145" i="158"/>
  <c r="G149" i="158"/>
  <c r="G823" i="155"/>
  <c r="K823" i="155" s="1"/>
  <c r="F278" i="167"/>
  <c r="F318" i="167"/>
  <c r="J319" i="162"/>
  <c r="H234" i="158"/>
  <c r="I234" i="158"/>
  <c r="I419" i="158"/>
  <c r="H419" i="158"/>
  <c r="I629" i="158"/>
  <c r="J629" i="158" s="1"/>
  <c r="K629" i="158" s="1"/>
  <c r="H428" i="158"/>
  <c r="I428" i="158"/>
  <c r="J86" i="159"/>
  <c r="F86" i="160"/>
  <c r="G90" i="159"/>
  <c r="G785" i="159" s="1"/>
  <c r="G188" i="9"/>
  <c r="G151" i="9"/>
  <c r="O827" i="158"/>
  <c r="F187" i="159"/>
  <c r="H786" i="159"/>
  <c r="F95" i="161"/>
  <c r="I99" i="159"/>
  <c r="I187" i="159" s="1"/>
  <c r="F561" i="9"/>
  <c r="F563" i="9" s="1"/>
  <c r="F557" i="9"/>
  <c r="C55" i="5"/>
  <c r="G832" i="155"/>
  <c r="K832" i="155" s="1"/>
  <c r="H263" i="158"/>
  <c r="I263" i="158"/>
  <c r="G626" i="158"/>
  <c r="H626" i="158"/>
  <c r="H630" i="158" s="1"/>
  <c r="F630" i="158"/>
  <c r="I626" i="158"/>
  <c r="L823" i="161"/>
  <c r="P823" i="161"/>
  <c r="F318" i="166"/>
  <c r="I319" i="162"/>
  <c r="K319" i="161"/>
  <c r="L318" i="161"/>
  <c r="L319" i="161" s="1"/>
  <c r="G187" i="9"/>
  <c r="G786" i="9"/>
  <c r="J318" i="166"/>
  <c r="J319" i="166" s="1"/>
  <c r="J233" i="164"/>
  <c r="F191" i="158"/>
  <c r="G795" i="158"/>
  <c r="H795" i="158"/>
  <c r="F24" i="49"/>
  <c r="H227" i="158"/>
  <c r="I227" i="158"/>
  <c r="H269" i="158"/>
  <c r="I269" i="158"/>
  <c r="I423" i="158"/>
  <c r="H423" i="158"/>
  <c r="K412" i="9"/>
  <c r="K416" i="9" s="1"/>
  <c r="J416" i="9"/>
  <c r="J278" i="167"/>
  <c r="I787" i="158"/>
  <c r="O787" i="158" s="1"/>
  <c r="F319" i="165"/>
  <c r="I12" i="9"/>
  <c r="O101" i="9"/>
  <c r="J318" i="165"/>
  <c r="J319" i="165" s="1"/>
  <c r="K232" i="155"/>
  <c r="H232" i="164"/>
  <c r="F378" i="166"/>
  <c r="K101" i="158" l="1"/>
  <c r="K12" i="158" s="1"/>
  <c r="F233" i="164"/>
  <c r="K233" i="164" s="1"/>
  <c r="K374" i="164"/>
  <c r="K151" i="9"/>
  <c r="K368" i="166"/>
  <c r="K378" i="166" s="1"/>
  <c r="J412" i="159"/>
  <c r="J416" i="159" s="1"/>
  <c r="O191" i="9"/>
  <c r="L453" i="160"/>
  <c r="L454" i="160" s="1"/>
  <c r="G416" i="159"/>
  <c r="G827" i="159" s="1"/>
  <c r="I827" i="159" s="1"/>
  <c r="G140" i="159"/>
  <c r="G183" i="159" s="1"/>
  <c r="K278" i="162"/>
  <c r="L278" i="162" s="1"/>
  <c r="J136" i="159"/>
  <c r="J140" i="159" s="1"/>
  <c r="J183" i="159" s="1"/>
  <c r="K183" i="159" s="1"/>
  <c r="G149" i="159"/>
  <c r="G188" i="159" s="1"/>
  <c r="G189" i="159" s="1"/>
  <c r="J145" i="159"/>
  <c r="J149" i="159" s="1"/>
  <c r="G136" i="157"/>
  <c r="J136" i="157" s="1"/>
  <c r="G234" i="158"/>
  <c r="J234" i="158" s="1"/>
  <c r="K368" i="167"/>
  <c r="K378" i="167" s="1"/>
  <c r="K453" i="162"/>
  <c r="L453" i="162" s="1"/>
  <c r="L454" i="162" s="1"/>
  <c r="F453" i="164"/>
  <c r="G423" i="158"/>
  <c r="J423" i="158" s="1"/>
  <c r="K423" i="158" s="1"/>
  <c r="K368" i="162"/>
  <c r="K378" i="162" s="1"/>
  <c r="G260" i="158"/>
  <c r="J260" i="158" s="1"/>
  <c r="K260" i="158" s="1"/>
  <c r="H191" i="159"/>
  <c r="H329" i="159" s="1"/>
  <c r="F368" i="164"/>
  <c r="F378" i="164" s="1"/>
  <c r="G189" i="9"/>
  <c r="G191" i="9" s="1"/>
  <c r="J787" i="158"/>
  <c r="K787" i="158" s="1"/>
  <c r="L368" i="160"/>
  <c r="L378" i="160" s="1"/>
  <c r="P802" i="155"/>
  <c r="G225" i="158"/>
  <c r="J225" i="158" s="1"/>
  <c r="K225" i="158" s="1"/>
  <c r="G274" i="158"/>
  <c r="J274" i="158" s="1"/>
  <c r="K274" i="158" s="1"/>
  <c r="G422" i="158"/>
  <c r="J422" i="158" s="1"/>
  <c r="K422" i="158" s="1"/>
  <c r="G227" i="158"/>
  <c r="J227" i="158" s="1"/>
  <c r="K227" i="158" s="1"/>
  <c r="G428" i="158"/>
  <c r="J428" i="158" s="1"/>
  <c r="K428" i="158" s="1"/>
  <c r="G266" i="158"/>
  <c r="J266" i="158" s="1"/>
  <c r="K266" i="158" s="1"/>
  <c r="G485" i="158"/>
  <c r="J485" i="158" s="1"/>
  <c r="K485" i="158" s="1"/>
  <c r="G264" i="158"/>
  <c r="J264" i="158" s="1"/>
  <c r="K264" i="158" s="1"/>
  <c r="G269" i="158"/>
  <c r="J269" i="158" s="1"/>
  <c r="K269" i="158" s="1"/>
  <c r="G424" i="158"/>
  <c r="J424" i="158" s="1"/>
  <c r="K424" i="158" s="1"/>
  <c r="G417" i="158"/>
  <c r="J417" i="158" s="1"/>
  <c r="K417" i="158" s="1"/>
  <c r="G259" i="158"/>
  <c r="J259" i="158" s="1"/>
  <c r="K259" i="158" s="1"/>
  <c r="G261" i="158"/>
  <c r="J261" i="158" s="1"/>
  <c r="K261" i="158" s="1"/>
  <c r="G412" i="157"/>
  <c r="J412" i="157" s="1"/>
  <c r="G418" i="158"/>
  <c r="J418" i="158" s="1"/>
  <c r="K418" i="158" s="1"/>
  <c r="G421" i="158"/>
  <c r="J421" i="158" s="1"/>
  <c r="K421" i="158" s="1"/>
  <c r="G419" i="158"/>
  <c r="J419" i="158" s="1"/>
  <c r="K419" i="158" s="1"/>
  <c r="G492" i="158"/>
  <c r="J492" i="158" s="1"/>
  <c r="K492" i="158" s="1"/>
  <c r="I630" i="158"/>
  <c r="I636" i="158" s="1"/>
  <c r="I639" i="158" s="1"/>
  <c r="J789" i="158"/>
  <c r="K789" i="158" s="1"/>
  <c r="G263" i="158"/>
  <c r="J263" i="158" s="1"/>
  <c r="K263" i="158" s="1"/>
  <c r="G212" i="158"/>
  <c r="J212" i="158" s="1"/>
  <c r="K212" i="158" s="1"/>
  <c r="G220" i="158"/>
  <c r="J220" i="158" s="1"/>
  <c r="G425" i="158"/>
  <c r="J425" i="158" s="1"/>
  <c r="K425" i="158" s="1"/>
  <c r="G265" i="158"/>
  <c r="J265" i="158" s="1"/>
  <c r="K265" i="158" s="1"/>
  <c r="I493" i="158"/>
  <c r="G262" i="158"/>
  <c r="J262" i="158" s="1"/>
  <c r="K262" i="158" s="1"/>
  <c r="J318" i="164"/>
  <c r="J319" i="164" s="1"/>
  <c r="G520" i="158"/>
  <c r="J520" i="158" s="1"/>
  <c r="K520" i="158" s="1"/>
  <c r="G484" i="158"/>
  <c r="J484" i="158" s="1"/>
  <c r="G226" i="158"/>
  <c r="J226" i="158" s="1"/>
  <c r="K226" i="158" s="1"/>
  <c r="K101" i="9"/>
  <c r="F329" i="158"/>
  <c r="H796" i="158"/>
  <c r="H214" i="158" s="1"/>
  <c r="G796" i="158"/>
  <c r="C58" i="5"/>
  <c r="E55" i="5"/>
  <c r="H95" i="161"/>
  <c r="I95" i="161"/>
  <c r="J95" i="161"/>
  <c r="F99" i="161"/>
  <c r="H86" i="160"/>
  <c r="I86" i="160"/>
  <c r="J86" i="160"/>
  <c r="F90" i="160"/>
  <c r="G188" i="158"/>
  <c r="G189" i="158" s="1"/>
  <c r="G191" i="158" s="1"/>
  <c r="G151" i="158"/>
  <c r="G13" i="158" s="1"/>
  <c r="K319" i="155"/>
  <c r="L318" i="155"/>
  <c r="L319" i="155" s="1"/>
  <c r="H465" i="9"/>
  <c r="H834" i="9"/>
  <c r="F454" i="167"/>
  <c r="K453" i="167"/>
  <c r="K454" i="167" s="1"/>
  <c r="J95" i="157"/>
  <c r="G99" i="157"/>
  <c r="G187" i="157" s="1"/>
  <c r="J416" i="158"/>
  <c r="K412" i="158"/>
  <c r="K416" i="158" s="1"/>
  <c r="G531" i="9"/>
  <c r="G626" i="9"/>
  <c r="G629" i="9"/>
  <c r="G528" i="9"/>
  <c r="I827" i="9"/>
  <c r="J827" i="9" s="1"/>
  <c r="K827" i="9" s="1"/>
  <c r="M101" i="9"/>
  <c r="G12" i="9"/>
  <c r="G787" i="9"/>
  <c r="I833" i="158"/>
  <c r="J833" i="158" s="1"/>
  <c r="K833" i="158" s="1"/>
  <c r="G491" i="158"/>
  <c r="L832" i="160"/>
  <c r="P832" i="160"/>
  <c r="K318" i="167"/>
  <c r="K319" i="167" s="1"/>
  <c r="F319" i="167"/>
  <c r="J149" i="158"/>
  <c r="K145" i="158"/>
  <c r="K149" i="158" s="1"/>
  <c r="K278" i="165"/>
  <c r="I794" i="9"/>
  <c r="I457" i="9" s="1"/>
  <c r="F151" i="157"/>
  <c r="F188" i="157"/>
  <c r="F319" i="164"/>
  <c r="K318" i="166"/>
  <c r="K319" i="166" s="1"/>
  <c r="F319" i="166"/>
  <c r="F189" i="159"/>
  <c r="J140" i="158"/>
  <c r="J183" i="158" s="1"/>
  <c r="K183" i="158" s="1"/>
  <c r="K136" i="158"/>
  <c r="K140" i="158" s="1"/>
  <c r="K318" i="165"/>
  <c r="K319" i="165" s="1"/>
  <c r="I795" i="158"/>
  <c r="O795" i="158" s="1"/>
  <c r="H27" i="158"/>
  <c r="H636" i="158"/>
  <c r="H639" i="158" s="1"/>
  <c r="H868" i="158"/>
  <c r="L832" i="155"/>
  <c r="P832" i="155"/>
  <c r="G786" i="159"/>
  <c r="G101" i="159"/>
  <c r="G12" i="159" s="1"/>
  <c r="G182" i="159"/>
  <c r="P823" i="155"/>
  <c r="L823" i="155"/>
  <c r="F101" i="157"/>
  <c r="F182" i="157"/>
  <c r="J86" i="157"/>
  <c r="G90" i="157"/>
  <c r="K208" i="164"/>
  <c r="K453" i="166"/>
  <c r="K454" i="166" s="1"/>
  <c r="J99" i="159"/>
  <c r="J187" i="159" s="1"/>
  <c r="K187" i="159" s="1"/>
  <c r="K95" i="159"/>
  <c r="K99" i="159" s="1"/>
  <c r="F12" i="159"/>
  <c r="H787" i="159"/>
  <c r="H412" i="161"/>
  <c r="I412" i="161"/>
  <c r="J412" i="161"/>
  <c r="F416" i="161"/>
  <c r="L232" i="162"/>
  <c r="F48" i="49"/>
  <c r="F49" i="49" s="1"/>
  <c r="F51" i="49" s="1"/>
  <c r="F41" i="162"/>
  <c r="F42" i="162" s="1"/>
  <c r="J145" i="161"/>
  <c r="H145" i="161"/>
  <c r="I145" i="161"/>
  <c r="F149" i="161"/>
  <c r="I785" i="9"/>
  <c r="I271" i="9" s="1"/>
  <c r="F454" i="165"/>
  <c r="K453" i="165"/>
  <c r="K454" i="165" s="1"/>
  <c r="I86" i="161"/>
  <c r="J86" i="161"/>
  <c r="H86" i="161"/>
  <c r="F90" i="161"/>
  <c r="F454" i="164"/>
  <c r="L232" i="155"/>
  <c r="F86" i="155"/>
  <c r="H90" i="157"/>
  <c r="I329" i="158"/>
  <c r="J101" i="158"/>
  <c r="J12" i="158" s="1"/>
  <c r="J182" i="158"/>
  <c r="F187" i="157"/>
  <c r="K378" i="155"/>
  <c r="L368" i="155"/>
  <c r="L378" i="155" s="1"/>
  <c r="J453" i="164"/>
  <c r="J454" i="164" s="1"/>
  <c r="H136" i="161"/>
  <c r="I136" i="161"/>
  <c r="J136" i="161"/>
  <c r="F140" i="161"/>
  <c r="F183" i="161" s="1"/>
  <c r="P823" i="160"/>
  <c r="L823" i="160"/>
  <c r="I188" i="157"/>
  <c r="I189" i="157" s="1"/>
  <c r="I151" i="157"/>
  <c r="I13" i="157" s="1"/>
  <c r="L318" i="162"/>
  <c r="L319" i="162" s="1"/>
  <c r="K319" i="162"/>
  <c r="I786" i="9"/>
  <c r="J786" i="9" s="1"/>
  <c r="K786" i="9" s="1"/>
  <c r="G630" i="158"/>
  <c r="J626" i="158"/>
  <c r="F22" i="9"/>
  <c r="F596" i="9"/>
  <c r="F600" i="9" s="1"/>
  <c r="F603" i="9" s="1"/>
  <c r="F635" i="9"/>
  <c r="F637" i="9" s="1"/>
  <c r="F645" i="9" s="1"/>
  <c r="F646" i="9" s="1"/>
  <c r="G13" i="9"/>
  <c r="M151" i="9"/>
  <c r="G789" i="9"/>
  <c r="J90" i="159"/>
  <c r="K86" i="159"/>
  <c r="K90" i="159" s="1"/>
  <c r="I101" i="157"/>
  <c r="I12" i="157" s="1"/>
  <c r="I182" i="157"/>
  <c r="I184" i="157" s="1"/>
  <c r="J151" i="9"/>
  <c r="J13" i="9" s="1"/>
  <c r="K13" i="9" s="1"/>
  <c r="J188" i="9"/>
  <c r="K188" i="9" s="1"/>
  <c r="F95" i="155"/>
  <c r="H99" i="157"/>
  <c r="H187" i="157" s="1"/>
  <c r="H145" i="160"/>
  <c r="I145" i="160"/>
  <c r="J145" i="160"/>
  <c r="F149" i="160"/>
  <c r="I785" i="159"/>
  <c r="J785" i="159" s="1"/>
  <c r="K785" i="159" s="1"/>
  <c r="K454" i="155"/>
  <c r="L453" i="155"/>
  <c r="L454" i="155" s="1"/>
  <c r="J101" i="9"/>
  <c r="J12" i="9" s="1"/>
  <c r="J182" i="9"/>
  <c r="H851" i="159"/>
  <c r="G850" i="159"/>
  <c r="H850" i="159"/>
  <c r="G851" i="159"/>
  <c r="I794" i="158"/>
  <c r="I457" i="158" s="1"/>
  <c r="I458" i="158" s="1"/>
  <c r="F145" i="155"/>
  <c r="H149" i="157"/>
  <c r="J232" i="164"/>
  <c r="K232" i="164" s="1"/>
  <c r="F868" i="158"/>
  <c r="F27" i="158"/>
  <c r="F636" i="158"/>
  <c r="F639" i="158" s="1"/>
  <c r="F641" i="158" s="1"/>
  <c r="F644" i="158" s="1"/>
  <c r="F25" i="49"/>
  <c r="F29" i="49" s="1"/>
  <c r="F41" i="49" s="1"/>
  <c r="F42" i="49" s="1"/>
  <c r="K278" i="167"/>
  <c r="J412" i="160"/>
  <c r="H412" i="160"/>
  <c r="I412" i="160"/>
  <c r="F416" i="160"/>
  <c r="K187" i="9"/>
  <c r="J136" i="160"/>
  <c r="H136" i="160"/>
  <c r="I136" i="160"/>
  <c r="F140" i="160"/>
  <c r="F183" i="160" s="1"/>
  <c r="F462" i="158"/>
  <c r="H461" i="158"/>
  <c r="H462" i="158" s="1"/>
  <c r="K278" i="164"/>
  <c r="I95" i="160"/>
  <c r="J95" i="160"/>
  <c r="H95" i="160"/>
  <c r="F99" i="160"/>
  <c r="F184" i="159"/>
  <c r="F412" i="155"/>
  <c r="H416" i="157"/>
  <c r="H827" i="157" s="1"/>
  <c r="H210" i="9"/>
  <c r="H206" i="9"/>
  <c r="H211" i="9"/>
  <c r="H223" i="9"/>
  <c r="H302" i="9"/>
  <c r="H209" i="9"/>
  <c r="H221" i="9"/>
  <c r="H213" i="9"/>
  <c r="H480" i="9"/>
  <c r="H535" i="9"/>
  <c r="H257" i="9"/>
  <c r="H588" i="9"/>
  <c r="H589" i="9" s="1"/>
  <c r="H235" i="9"/>
  <c r="H279" i="9"/>
  <c r="H479" i="9"/>
  <c r="H539" i="9"/>
  <c r="H540" i="9" s="1"/>
  <c r="H224" i="9"/>
  <c r="H258" i="9"/>
  <c r="H579" i="9"/>
  <c r="H430" i="9"/>
  <c r="H270" i="9"/>
  <c r="H429" i="9"/>
  <c r="H584" i="9"/>
  <c r="H854" i="9"/>
  <c r="H855" i="9" s="1"/>
  <c r="H640" i="9" s="1"/>
  <c r="H641" i="9" s="1"/>
  <c r="H644" i="9" s="1"/>
  <c r="H578" i="9"/>
  <c r="H420" i="9"/>
  <c r="G854" i="9"/>
  <c r="H588" i="157"/>
  <c r="H579" i="157"/>
  <c r="H588" i="158"/>
  <c r="H589" i="158" s="1"/>
  <c r="H578" i="158"/>
  <c r="H579" i="158"/>
  <c r="F378" i="165"/>
  <c r="K368" i="165"/>
  <c r="K378" i="165" s="1"/>
  <c r="J368" i="164"/>
  <c r="J378" i="164" s="1"/>
  <c r="F136" i="155"/>
  <c r="H140" i="157"/>
  <c r="H183" i="157" s="1"/>
  <c r="I151" i="159"/>
  <c r="I13" i="159" s="1"/>
  <c r="I188" i="159"/>
  <c r="I189" i="159" s="1"/>
  <c r="H458" i="158"/>
  <c r="H493" i="158"/>
  <c r="F13" i="159"/>
  <c r="H789" i="159"/>
  <c r="G145" i="157"/>
  <c r="I182" i="159"/>
  <c r="I184" i="159" s="1"/>
  <c r="I101" i="159"/>
  <c r="I12" i="159" s="1"/>
  <c r="E58" i="5" l="1"/>
  <c r="C61" i="5"/>
  <c r="K412" i="159"/>
  <c r="K416" i="159" s="1"/>
  <c r="K454" i="162"/>
  <c r="G184" i="159"/>
  <c r="G794" i="159" s="1"/>
  <c r="K136" i="159"/>
  <c r="K140" i="159" s="1"/>
  <c r="G151" i="159"/>
  <c r="G13" i="159" s="1"/>
  <c r="L368" i="162"/>
  <c r="L378" i="162" s="1"/>
  <c r="I27" i="158"/>
  <c r="G140" i="157"/>
  <c r="G183" i="157" s="1"/>
  <c r="K145" i="159"/>
  <c r="K149" i="159" s="1"/>
  <c r="I461" i="158"/>
  <c r="I462" i="158" s="1"/>
  <c r="I465" i="158" s="1"/>
  <c r="I499" i="158" s="1"/>
  <c r="K189" i="9"/>
  <c r="G795" i="9"/>
  <c r="I795" i="9" s="1"/>
  <c r="I461" i="9" s="1"/>
  <c r="I868" i="158"/>
  <c r="G457" i="158"/>
  <c r="G458" i="158" s="1"/>
  <c r="G786" i="157"/>
  <c r="K101" i="159"/>
  <c r="K318" i="164"/>
  <c r="K319" i="164" s="1"/>
  <c r="G416" i="157"/>
  <c r="G827" i="157" s="1"/>
  <c r="I827" i="157" s="1"/>
  <c r="J827" i="157" s="1"/>
  <c r="K827" i="157" s="1"/>
  <c r="G412" i="161"/>
  <c r="G416" i="161" s="1"/>
  <c r="O833" i="158"/>
  <c r="G145" i="160"/>
  <c r="G145" i="164" s="1"/>
  <c r="O785" i="159"/>
  <c r="G95" i="161"/>
  <c r="K95" i="161" s="1"/>
  <c r="I191" i="157"/>
  <c r="I329" i="157" s="1"/>
  <c r="K368" i="164"/>
  <c r="K378" i="164" s="1"/>
  <c r="J785" i="9"/>
  <c r="K785" i="9" s="1"/>
  <c r="H580" i="9"/>
  <c r="H598" i="9" s="1"/>
  <c r="O794" i="158"/>
  <c r="G86" i="161"/>
  <c r="I86" i="164" s="1"/>
  <c r="I90" i="164" s="1"/>
  <c r="J795" i="158"/>
  <c r="K795" i="158" s="1"/>
  <c r="I191" i="159"/>
  <c r="I329" i="159" s="1"/>
  <c r="J794" i="158"/>
  <c r="K794" i="158" s="1"/>
  <c r="H465" i="158"/>
  <c r="H19" i="158" s="1"/>
  <c r="F224" i="158"/>
  <c r="F480" i="158"/>
  <c r="F210" i="158"/>
  <c r="H851" i="157"/>
  <c r="H850" i="157"/>
  <c r="G850" i="157"/>
  <c r="G851" i="157"/>
  <c r="G412" i="165"/>
  <c r="H416" i="160"/>
  <c r="G145" i="166"/>
  <c r="I149" i="160"/>
  <c r="I136" i="165"/>
  <c r="I140" i="165" s="1"/>
  <c r="I183" i="165" s="1"/>
  <c r="H140" i="161"/>
  <c r="H183" i="161" s="1"/>
  <c r="H101" i="157"/>
  <c r="H12" i="157" s="1"/>
  <c r="H182" i="157"/>
  <c r="H184" i="157" s="1"/>
  <c r="F101" i="161"/>
  <c r="F182" i="161"/>
  <c r="I145" i="166"/>
  <c r="I149" i="166" s="1"/>
  <c r="I149" i="161"/>
  <c r="F12" i="157"/>
  <c r="F13" i="157"/>
  <c r="J188" i="158"/>
  <c r="J151" i="158"/>
  <c r="J13" i="158" s="1"/>
  <c r="K234" i="158"/>
  <c r="I850" i="159"/>
  <c r="J850" i="159" s="1"/>
  <c r="I851" i="159"/>
  <c r="J851" i="159" s="1"/>
  <c r="K851" i="159" s="1"/>
  <c r="H562" i="9"/>
  <c r="H891" i="9"/>
  <c r="F213" i="158"/>
  <c r="G95" i="165"/>
  <c r="H99" i="160"/>
  <c r="H187" i="160" s="1"/>
  <c r="K12" i="9"/>
  <c r="F188" i="160"/>
  <c r="F151" i="160"/>
  <c r="J630" i="158"/>
  <c r="K626" i="158"/>
  <c r="K630" i="158" s="1"/>
  <c r="I86" i="166"/>
  <c r="I90" i="166" s="1"/>
  <c r="I90" i="161"/>
  <c r="I785" i="161" s="1"/>
  <c r="I145" i="165"/>
  <c r="I149" i="165" s="1"/>
  <c r="H149" i="161"/>
  <c r="F629" i="157"/>
  <c r="F101" i="160"/>
  <c r="F182" i="160"/>
  <c r="G86" i="165"/>
  <c r="H90" i="160"/>
  <c r="H785" i="160" s="1"/>
  <c r="H539" i="158"/>
  <c r="H540" i="158" s="1"/>
  <c r="G854" i="158"/>
  <c r="H279" i="158"/>
  <c r="H281" i="158" s="1"/>
  <c r="H854" i="158"/>
  <c r="K220" i="158"/>
  <c r="G855" i="9"/>
  <c r="G640" i="9" s="1"/>
  <c r="H275" i="9"/>
  <c r="F257" i="158"/>
  <c r="F221" i="158"/>
  <c r="H229" i="9"/>
  <c r="G95" i="160"/>
  <c r="G136" i="167"/>
  <c r="J140" i="160"/>
  <c r="J183" i="160" s="1"/>
  <c r="H188" i="157"/>
  <c r="H189" i="157" s="1"/>
  <c r="H151" i="157"/>
  <c r="H13" i="157" s="1"/>
  <c r="H136" i="155"/>
  <c r="H136" i="162" s="1"/>
  <c r="J136" i="155"/>
  <c r="J136" i="162" s="1"/>
  <c r="I136" i="155"/>
  <c r="I136" i="162" s="1"/>
  <c r="F140" i="155"/>
  <c r="F183" i="155" s="1"/>
  <c r="H609" i="158"/>
  <c r="H591" i="158"/>
  <c r="F420" i="158"/>
  <c r="H431" i="9"/>
  <c r="H433" i="9" s="1"/>
  <c r="F429" i="158"/>
  <c r="F258" i="158"/>
  <c r="H281" i="9"/>
  <c r="H536" i="9"/>
  <c r="F535" i="158"/>
  <c r="F209" i="158"/>
  <c r="H215" i="9"/>
  <c r="F206" i="158"/>
  <c r="H412" i="155"/>
  <c r="H412" i="162" s="1"/>
  <c r="J412" i="155"/>
  <c r="J412" i="162" s="1"/>
  <c r="I412" i="155"/>
  <c r="I412" i="162" s="1"/>
  <c r="F416" i="155"/>
  <c r="F187" i="160"/>
  <c r="G95" i="167"/>
  <c r="J99" i="160"/>
  <c r="J187" i="160" s="1"/>
  <c r="G834" i="158"/>
  <c r="F465" i="158"/>
  <c r="H834" i="158"/>
  <c r="G136" i="166"/>
  <c r="I140" i="160"/>
  <c r="I183" i="160" s="1"/>
  <c r="J189" i="9"/>
  <c r="G412" i="166"/>
  <c r="I416" i="160"/>
  <c r="I827" i="160" s="1"/>
  <c r="I145" i="155"/>
  <c r="J145" i="155"/>
  <c r="H145" i="155"/>
  <c r="H145" i="162" s="1"/>
  <c r="F149" i="155"/>
  <c r="I789" i="9"/>
  <c r="J789" i="9" s="1"/>
  <c r="K789" i="9" s="1"/>
  <c r="F608" i="9"/>
  <c r="F610" i="9" s="1"/>
  <c r="C50" i="5"/>
  <c r="F605" i="9"/>
  <c r="F23" i="9" s="1"/>
  <c r="J416" i="157"/>
  <c r="K412" i="157"/>
  <c r="K416" i="157" s="1"/>
  <c r="H786" i="157"/>
  <c r="I145" i="167"/>
  <c r="I149" i="167" s="1"/>
  <c r="J149" i="161"/>
  <c r="I412" i="166"/>
  <c r="I416" i="166" s="1"/>
  <c r="I416" i="161"/>
  <c r="I827" i="161" s="1"/>
  <c r="G101" i="157"/>
  <c r="G12" i="157" s="1"/>
  <c r="G182" i="157"/>
  <c r="G785" i="157"/>
  <c r="J794" i="9"/>
  <c r="K794" i="9" s="1"/>
  <c r="K151" i="158"/>
  <c r="K13" i="158" s="1"/>
  <c r="G493" i="158"/>
  <c r="J491" i="158"/>
  <c r="I787" i="9"/>
  <c r="J787" i="9" s="1"/>
  <c r="K787" i="9" s="1"/>
  <c r="F528" i="157"/>
  <c r="F531" i="157"/>
  <c r="G86" i="166"/>
  <c r="I90" i="160"/>
  <c r="I785" i="160" s="1"/>
  <c r="F187" i="161"/>
  <c r="I95" i="165"/>
  <c r="I99" i="165" s="1"/>
  <c r="I187" i="165" s="1"/>
  <c r="H99" i="161"/>
  <c r="H187" i="161" s="1"/>
  <c r="E61" i="5"/>
  <c r="J827" i="159"/>
  <c r="K827" i="159" s="1"/>
  <c r="F270" i="158"/>
  <c r="F235" i="158"/>
  <c r="H236" i="9"/>
  <c r="H303" i="9"/>
  <c r="H304" i="9" s="1"/>
  <c r="F302" i="158"/>
  <c r="G95" i="166"/>
  <c r="I99" i="160"/>
  <c r="I187" i="160" s="1"/>
  <c r="G136" i="165"/>
  <c r="H140" i="160"/>
  <c r="H183" i="160" s="1"/>
  <c r="K182" i="9"/>
  <c r="K184" i="9" s="1"/>
  <c r="J184" i="9"/>
  <c r="J95" i="155"/>
  <c r="J95" i="162" s="1"/>
  <c r="I95" i="155"/>
  <c r="I95" i="162" s="1"/>
  <c r="H95" i="155"/>
  <c r="H95" i="162" s="1"/>
  <c r="F99" i="155"/>
  <c r="J140" i="157"/>
  <c r="J183" i="157" s="1"/>
  <c r="K183" i="157" s="1"/>
  <c r="K136" i="157"/>
  <c r="K140" i="157" s="1"/>
  <c r="G136" i="161"/>
  <c r="I86" i="167"/>
  <c r="I90" i="167" s="1"/>
  <c r="J90" i="161"/>
  <c r="J785" i="161" s="1"/>
  <c r="J90" i="157"/>
  <c r="K86" i="157"/>
  <c r="K90" i="157" s="1"/>
  <c r="I95" i="167"/>
  <c r="I99" i="167" s="1"/>
  <c r="I187" i="167" s="1"/>
  <c r="J99" i="161"/>
  <c r="J187" i="161" s="1"/>
  <c r="G279" i="158"/>
  <c r="I796" i="158"/>
  <c r="G539" i="158"/>
  <c r="J145" i="157"/>
  <c r="G149" i="157"/>
  <c r="F588" i="155"/>
  <c r="H589" i="157"/>
  <c r="F430" i="158"/>
  <c r="H609" i="9"/>
  <c r="F223" i="158"/>
  <c r="H794" i="159"/>
  <c r="G136" i="160"/>
  <c r="G412" i="160"/>
  <c r="I136" i="167"/>
  <c r="I140" i="167" s="1"/>
  <c r="I183" i="167" s="1"/>
  <c r="J140" i="161"/>
  <c r="J183" i="161" s="1"/>
  <c r="F189" i="157"/>
  <c r="H86" i="155"/>
  <c r="H86" i="162" s="1"/>
  <c r="I86" i="155"/>
  <c r="J86" i="155"/>
  <c r="F90" i="155"/>
  <c r="F271" i="159"/>
  <c r="G271" i="9"/>
  <c r="I412" i="165"/>
  <c r="I416" i="165" s="1"/>
  <c r="H416" i="161"/>
  <c r="H827" i="161" s="1"/>
  <c r="H785" i="157"/>
  <c r="I95" i="166"/>
  <c r="I99" i="166" s="1"/>
  <c r="I187" i="166" s="1"/>
  <c r="I99" i="161"/>
  <c r="I187" i="161" s="1"/>
  <c r="O827" i="159"/>
  <c r="H580" i="158"/>
  <c r="H598" i="158" s="1"/>
  <c r="H585" i="9"/>
  <c r="H591" i="9" s="1"/>
  <c r="H481" i="9"/>
  <c r="H838" i="9" s="1"/>
  <c r="F479" i="158"/>
  <c r="F211" i="158"/>
  <c r="G412" i="167"/>
  <c r="J416" i="160"/>
  <c r="J827" i="160" s="1"/>
  <c r="G145" i="167"/>
  <c r="J149" i="160"/>
  <c r="G145" i="165"/>
  <c r="H149" i="160"/>
  <c r="J182" i="159"/>
  <c r="J101" i="159"/>
  <c r="J12" i="159" s="1"/>
  <c r="F647" i="9"/>
  <c r="C65" i="5"/>
  <c r="G868" i="158"/>
  <c r="G27" i="158"/>
  <c r="G636" i="158"/>
  <c r="G639" i="158" s="1"/>
  <c r="I136" i="166"/>
  <c r="I140" i="166" s="1"/>
  <c r="I183" i="166" s="1"/>
  <c r="I140" i="161"/>
  <c r="I183" i="161" s="1"/>
  <c r="J151" i="159"/>
  <c r="J13" i="159" s="1"/>
  <c r="K13" i="159" s="1"/>
  <c r="J188" i="159"/>
  <c r="K188" i="159" s="1"/>
  <c r="K189" i="159" s="1"/>
  <c r="J184" i="158"/>
  <c r="K182" i="158"/>
  <c r="K184" i="158" s="1"/>
  <c r="K453" i="164"/>
  <c r="K454" i="164" s="1"/>
  <c r="I86" i="165"/>
  <c r="I90" i="165" s="1"/>
  <c r="H90" i="161"/>
  <c r="F188" i="161"/>
  <c r="F151" i="161"/>
  <c r="G145" i="161"/>
  <c r="I412" i="167"/>
  <c r="I416" i="167" s="1"/>
  <c r="J416" i="161"/>
  <c r="J827" i="161" s="1"/>
  <c r="G787" i="159"/>
  <c r="F184" i="157"/>
  <c r="I786" i="159"/>
  <c r="O786" i="159" s="1"/>
  <c r="G795" i="159"/>
  <c r="H795" i="159"/>
  <c r="F191" i="159"/>
  <c r="M191" i="9"/>
  <c r="G329" i="9"/>
  <c r="G796" i="9"/>
  <c r="I458" i="9"/>
  <c r="I833" i="9" s="1"/>
  <c r="F457" i="159"/>
  <c r="G457" i="9"/>
  <c r="I225" i="9"/>
  <c r="I259" i="9"/>
  <c r="I226" i="9"/>
  <c r="I234" i="9"/>
  <c r="I261" i="9"/>
  <c r="I265" i="9"/>
  <c r="I212" i="9"/>
  <c r="I260" i="9"/>
  <c r="I264" i="9"/>
  <c r="I262" i="9"/>
  <c r="I418" i="9"/>
  <c r="I220" i="9"/>
  <c r="I266" i="9"/>
  <c r="I227" i="9"/>
  <c r="I263" i="9"/>
  <c r="I424" i="9"/>
  <c r="I485" i="9"/>
  <c r="I491" i="9"/>
  <c r="I520" i="9"/>
  <c r="I528" i="9"/>
  <c r="F528" i="159" s="1"/>
  <c r="I269" i="9"/>
  <c r="I417" i="9"/>
  <c r="I421" i="9"/>
  <c r="I425" i="9"/>
  <c r="I492" i="9"/>
  <c r="I629" i="9"/>
  <c r="F629" i="159" s="1"/>
  <c r="I419" i="9"/>
  <c r="I484" i="9"/>
  <c r="I626" i="9"/>
  <c r="J626" i="9" s="1"/>
  <c r="I274" i="9"/>
  <c r="I428" i="9"/>
  <c r="I531" i="9"/>
  <c r="F531" i="159" s="1"/>
  <c r="I422" i="9"/>
  <c r="I851" i="9"/>
  <c r="J851" i="9" s="1"/>
  <c r="K851" i="9" s="1"/>
  <c r="I423" i="9"/>
  <c r="I850" i="9"/>
  <c r="G630" i="9"/>
  <c r="F626" i="157"/>
  <c r="J99" i="157"/>
  <c r="J187" i="157" s="1"/>
  <c r="K95" i="157"/>
  <c r="K99" i="157" s="1"/>
  <c r="H19" i="9"/>
  <c r="H499" i="9"/>
  <c r="H835" i="9"/>
  <c r="G329" i="158"/>
  <c r="G86" i="167"/>
  <c r="J90" i="160"/>
  <c r="G86" i="160"/>
  <c r="K484" i="158"/>
  <c r="G191" i="159" l="1"/>
  <c r="J796" i="158"/>
  <c r="K796" i="158" s="1"/>
  <c r="I214" i="158"/>
  <c r="G214" i="158" s="1"/>
  <c r="J214" i="158" s="1"/>
  <c r="K214" i="158" s="1"/>
  <c r="K151" i="159"/>
  <c r="G184" i="157"/>
  <c r="G794" i="157" s="1"/>
  <c r="G789" i="159"/>
  <c r="I789" i="159" s="1"/>
  <c r="O789" i="159" s="1"/>
  <c r="J457" i="158"/>
  <c r="K457" i="158" s="1"/>
  <c r="K458" i="158" s="1"/>
  <c r="G461" i="158"/>
  <c r="G462" i="158" s="1"/>
  <c r="G465" i="158" s="1"/>
  <c r="K412" i="161"/>
  <c r="K416" i="161" s="1"/>
  <c r="K191" i="9"/>
  <c r="K329" i="9" s="1"/>
  <c r="I786" i="157"/>
  <c r="J786" i="157" s="1"/>
  <c r="K786" i="157" s="1"/>
  <c r="H499" i="158"/>
  <c r="I19" i="158"/>
  <c r="I412" i="164"/>
  <c r="I416" i="164" s="1"/>
  <c r="H191" i="157"/>
  <c r="H329" i="157" s="1"/>
  <c r="H786" i="160"/>
  <c r="G149" i="160"/>
  <c r="G188" i="160" s="1"/>
  <c r="K145" i="160"/>
  <c r="K149" i="160" s="1"/>
  <c r="G90" i="161"/>
  <c r="G182" i="161" s="1"/>
  <c r="K86" i="161"/>
  <c r="L86" i="161" s="1"/>
  <c r="L90" i="161" s="1"/>
  <c r="G99" i="161"/>
  <c r="G187" i="161" s="1"/>
  <c r="J786" i="159"/>
  <c r="K786" i="159" s="1"/>
  <c r="I95" i="164"/>
  <c r="I99" i="164" s="1"/>
  <c r="I187" i="164" s="1"/>
  <c r="O827" i="157"/>
  <c r="H786" i="161"/>
  <c r="J786" i="160"/>
  <c r="G787" i="157"/>
  <c r="J795" i="9"/>
  <c r="K795" i="9" s="1"/>
  <c r="J629" i="9"/>
  <c r="K629" i="9" s="1"/>
  <c r="H850" i="161"/>
  <c r="G827" i="161"/>
  <c r="H851" i="161"/>
  <c r="J850" i="160"/>
  <c r="J851" i="160"/>
  <c r="H599" i="9"/>
  <c r="H550" i="9"/>
  <c r="H604" i="9"/>
  <c r="F422" i="159"/>
  <c r="G422" i="9"/>
  <c r="F492" i="159"/>
  <c r="G492" i="9"/>
  <c r="F485" i="159"/>
  <c r="G485" i="9"/>
  <c r="F264" i="159"/>
  <c r="G264" i="9"/>
  <c r="F259" i="159"/>
  <c r="G259" i="9"/>
  <c r="F458" i="159"/>
  <c r="H457" i="159"/>
  <c r="H458" i="159" s="1"/>
  <c r="F412" i="167"/>
  <c r="J416" i="162"/>
  <c r="H86" i="166"/>
  <c r="H90" i="166" s="1"/>
  <c r="I90" i="155"/>
  <c r="I785" i="155" s="1"/>
  <c r="H795" i="157"/>
  <c r="F191" i="157"/>
  <c r="K412" i="160"/>
  <c r="G412" i="164"/>
  <c r="G416" i="160"/>
  <c r="H609" i="157"/>
  <c r="J182" i="157"/>
  <c r="J101" i="157"/>
  <c r="J12" i="157" s="1"/>
  <c r="K12" i="157" s="1"/>
  <c r="K136" i="161"/>
  <c r="I136" i="164"/>
  <c r="I140" i="164" s="1"/>
  <c r="I183" i="164" s="1"/>
  <c r="G140" i="161"/>
  <c r="G183" i="161" s="1"/>
  <c r="G302" i="158"/>
  <c r="H302" i="158"/>
  <c r="H303" i="158" s="1"/>
  <c r="H304" i="158" s="1"/>
  <c r="F303" i="158"/>
  <c r="F304" i="158" s="1"/>
  <c r="I302" i="158"/>
  <c r="I303" i="158" s="1"/>
  <c r="I304" i="158" s="1"/>
  <c r="H235" i="158"/>
  <c r="H236" i="158" s="1"/>
  <c r="I235" i="158"/>
  <c r="I236" i="158" s="1"/>
  <c r="F236" i="158"/>
  <c r="F95" i="165"/>
  <c r="H99" i="162"/>
  <c r="H187" i="162" s="1"/>
  <c r="H531" i="157"/>
  <c r="F531" i="155" s="1"/>
  <c r="I531" i="157"/>
  <c r="I785" i="157"/>
  <c r="O785" i="157" s="1"/>
  <c r="F412" i="166"/>
  <c r="I416" i="162"/>
  <c r="J188" i="161"/>
  <c r="J189" i="161" s="1"/>
  <c r="J151" i="161"/>
  <c r="J13" i="161" s="1"/>
  <c r="F151" i="155"/>
  <c r="F188" i="155"/>
  <c r="F189" i="160"/>
  <c r="H535" i="158"/>
  <c r="H536" i="158" s="1"/>
  <c r="F536" i="158"/>
  <c r="I535" i="158"/>
  <c r="I536" i="158" s="1"/>
  <c r="H312" i="9"/>
  <c r="H313" i="9" s="1"/>
  <c r="H801" i="9" s="1"/>
  <c r="H498" i="9"/>
  <c r="H18" i="9"/>
  <c r="H828" i="9"/>
  <c r="H221" i="158"/>
  <c r="I221" i="158"/>
  <c r="F229" i="158"/>
  <c r="I86" i="162"/>
  <c r="J868" i="158"/>
  <c r="J27" i="158"/>
  <c r="J636" i="158"/>
  <c r="J639" i="158" s="1"/>
  <c r="J851" i="161"/>
  <c r="J850" i="161"/>
  <c r="I188" i="161"/>
  <c r="I189" i="161" s="1"/>
  <c r="I151" i="161"/>
  <c r="I13" i="161" s="1"/>
  <c r="F184" i="161"/>
  <c r="F136" i="165"/>
  <c r="H140" i="162"/>
  <c r="H183" i="162" s="1"/>
  <c r="J101" i="160"/>
  <c r="J12" i="160" s="1"/>
  <c r="J182" i="160"/>
  <c r="J184" i="160" s="1"/>
  <c r="H531" i="159"/>
  <c r="I531" i="159"/>
  <c r="F531" i="161" s="1"/>
  <c r="F425" i="159"/>
  <c r="G425" i="9"/>
  <c r="F424" i="159"/>
  <c r="G424" i="9"/>
  <c r="F260" i="159"/>
  <c r="G260" i="9"/>
  <c r="F225" i="159"/>
  <c r="G225" i="9"/>
  <c r="H101" i="161"/>
  <c r="H12" i="161" s="1"/>
  <c r="H182" i="161"/>
  <c r="H184" i="161" s="1"/>
  <c r="G416" i="167"/>
  <c r="H479" i="158"/>
  <c r="F481" i="158"/>
  <c r="I479" i="158"/>
  <c r="F95" i="166"/>
  <c r="I99" i="162"/>
  <c r="I187" i="162" s="1"/>
  <c r="F412" i="165"/>
  <c r="H416" i="162"/>
  <c r="F101" i="155"/>
  <c r="F182" i="155"/>
  <c r="K136" i="160"/>
  <c r="G136" i="164"/>
  <c r="G140" i="160"/>
  <c r="G183" i="160" s="1"/>
  <c r="F589" i="155"/>
  <c r="F95" i="167"/>
  <c r="J99" i="162"/>
  <c r="J187" i="162" s="1"/>
  <c r="J189" i="159"/>
  <c r="H799" i="9"/>
  <c r="I786" i="161"/>
  <c r="H145" i="166"/>
  <c r="H149" i="166" s="1"/>
  <c r="I149" i="155"/>
  <c r="J191" i="9"/>
  <c r="F499" i="158"/>
  <c r="H835" i="158"/>
  <c r="G835" i="158"/>
  <c r="F19" i="158"/>
  <c r="H136" i="165"/>
  <c r="H140" i="165" s="1"/>
  <c r="H183" i="165" s="1"/>
  <c r="H140" i="155"/>
  <c r="H183" i="155" s="1"/>
  <c r="K95" i="160"/>
  <c r="G95" i="164"/>
  <c r="G99" i="160"/>
  <c r="G187" i="160" s="1"/>
  <c r="H210" i="158"/>
  <c r="I210" i="158"/>
  <c r="H224" i="158"/>
  <c r="I224" i="158"/>
  <c r="F423" i="159"/>
  <c r="G423" i="9"/>
  <c r="G27" i="9"/>
  <c r="G636" i="9"/>
  <c r="G639" i="9" s="1"/>
  <c r="G641" i="9" s="1"/>
  <c r="G644" i="9" s="1"/>
  <c r="G868" i="9"/>
  <c r="F274" i="159"/>
  <c r="G274" i="9"/>
  <c r="G629" i="159"/>
  <c r="H629" i="159"/>
  <c r="I629" i="159"/>
  <c r="F629" i="161" s="1"/>
  <c r="F417" i="159"/>
  <c r="G417" i="9"/>
  <c r="I493" i="9"/>
  <c r="F491" i="159"/>
  <c r="G491" i="9"/>
  <c r="F227" i="159"/>
  <c r="G227" i="9"/>
  <c r="F262" i="159"/>
  <c r="G262" i="9"/>
  <c r="F265" i="159"/>
  <c r="G265" i="9"/>
  <c r="J457" i="9"/>
  <c r="G458" i="9"/>
  <c r="G833" i="9" s="1"/>
  <c r="J833" i="9" s="1"/>
  <c r="K833" i="9" s="1"/>
  <c r="F457" i="157"/>
  <c r="F13" i="161"/>
  <c r="I101" i="165"/>
  <c r="I12" i="165" s="1"/>
  <c r="I182" i="165"/>
  <c r="I184" i="165" s="1"/>
  <c r="G149" i="165"/>
  <c r="K850" i="159"/>
  <c r="H211" i="158"/>
  <c r="I211" i="158"/>
  <c r="J271" i="9"/>
  <c r="K271" i="9" s="1"/>
  <c r="F271" i="157"/>
  <c r="H86" i="167"/>
  <c r="H90" i="167" s="1"/>
  <c r="J90" i="155"/>
  <c r="K187" i="157"/>
  <c r="I850" i="157"/>
  <c r="J850" i="157" s="1"/>
  <c r="I851" i="157"/>
  <c r="J851" i="157" s="1"/>
  <c r="K851" i="157" s="1"/>
  <c r="J149" i="157"/>
  <c r="K145" i="157"/>
  <c r="K149" i="157" s="1"/>
  <c r="K151" i="157" s="1"/>
  <c r="G281" i="158"/>
  <c r="K101" i="157"/>
  <c r="J86" i="162"/>
  <c r="F24" i="9"/>
  <c r="H95" i="165"/>
  <c r="H99" i="165" s="1"/>
  <c r="H187" i="165" s="1"/>
  <c r="H99" i="155"/>
  <c r="H187" i="155" s="1"/>
  <c r="H95" i="167"/>
  <c r="H99" i="167" s="1"/>
  <c r="H187" i="167" s="1"/>
  <c r="J99" i="155"/>
  <c r="J187" i="155" s="1"/>
  <c r="G99" i="166"/>
  <c r="G187" i="166" s="1"/>
  <c r="H238" i="9"/>
  <c r="F189" i="161"/>
  <c r="G90" i="166"/>
  <c r="J528" i="9"/>
  <c r="K528" i="9" s="1"/>
  <c r="G329" i="159"/>
  <c r="H145" i="165"/>
  <c r="H149" i="165" s="1"/>
  <c r="H149" i="155"/>
  <c r="G140" i="166"/>
  <c r="G183" i="166" s="1"/>
  <c r="H412" i="167"/>
  <c r="H416" i="167" s="1"/>
  <c r="J416" i="155"/>
  <c r="H206" i="158"/>
  <c r="I206" i="158"/>
  <c r="F215" i="158"/>
  <c r="H604" i="158"/>
  <c r="H550" i="158"/>
  <c r="H599" i="158"/>
  <c r="H136" i="167"/>
  <c r="H140" i="167" s="1"/>
  <c r="H183" i="167" s="1"/>
  <c r="J140" i="155"/>
  <c r="J183" i="155" s="1"/>
  <c r="G140" i="167"/>
  <c r="G183" i="167" s="1"/>
  <c r="H283" i="9"/>
  <c r="H324" i="9" s="1"/>
  <c r="J458" i="158"/>
  <c r="G90" i="165"/>
  <c r="F184" i="160"/>
  <c r="G629" i="157"/>
  <c r="H629" i="157"/>
  <c r="F629" i="155" s="1"/>
  <c r="I629" i="157"/>
  <c r="K12" i="159"/>
  <c r="I101" i="161"/>
  <c r="I12" i="161" s="1"/>
  <c r="I182" i="161"/>
  <c r="I184" i="161" s="1"/>
  <c r="K868" i="158"/>
  <c r="K27" i="158"/>
  <c r="K636" i="158"/>
  <c r="K639" i="158" s="1"/>
  <c r="H787" i="157"/>
  <c r="H785" i="161"/>
  <c r="G785" i="161" s="1"/>
  <c r="K785" i="161" s="1"/>
  <c r="G149" i="166"/>
  <c r="I480" i="158"/>
  <c r="H480" i="158"/>
  <c r="G149" i="164"/>
  <c r="K99" i="161"/>
  <c r="K187" i="161" s="1"/>
  <c r="L95" i="161"/>
  <c r="L99" i="161" s="1"/>
  <c r="K86" i="160"/>
  <c r="G86" i="164"/>
  <c r="G90" i="160"/>
  <c r="K626" i="9"/>
  <c r="I630" i="9"/>
  <c r="F626" i="159"/>
  <c r="F269" i="159"/>
  <c r="G269" i="9"/>
  <c r="F266" i="159"/>
  <c r="G266" i="9"/>
  <c r="F261" i="159"/>
  <c r="G261" i="9"/>
  <c r="I795" i="159"/>
  <c r="O795" i="159" s="1"/>
  <c r="H794" i="157"/>
  <c r="F136" i="166"/>
  <c r="I140" i="162"/>
  <c r="I183" i="162" s="1"/>
  <c r="J184" i="159"/>
  <c r="K182" i="159"/>
  <c r="K184" i="159" s="1"/>
  <c r="K191" i="159" s="1"/>
  <c r="J188" i="160"/>
  <c r="J189" i="160" s="1"/>
  <c r="J151" i="160"/>
  <c r="J13" i="160" s="1"/>
  <c r="I271" i="159"/>
  <c r="F271" i="161" s="1"/>
  <c r="H271" i="159"/>
  <c r="G540" i="158"/>
  <c r="I101" i="167"/>
  <c r="I12" i="167" s="1"/>
  <c r="I182" i="167"/>
  <c r="I184" i="167" s="1"/>
  <c r="J786" i="161"/>
  <c r="H145" i="167"/>
  <c r="H149" i="167" s="1"/>
  <c r="J149" i="155"/>
  <c r="G416" i="166"/>
  <c r="G99" i="167"/>
  <c r="G187" i="167" s="1"/>
  <c r="H258" i="158"/>
  <c r="I258" i="158"/>
  <c r="F12" i="160"/>
  <c r="H188" i="161"/>
  <c r="H189" i="161" s="1"/>
  <c r="H151" i="161"/>
  <c r="H13" i="161" s="1"/>
  <c r="G99" i="165"/>
  <c r="G187" i="165" s="1"/>
  <c r="H521" i="9"/>
  <c r="H529" i="9"/>
  <c r="F529" i="158" s="1"/>
  <c r="H519" i="9"/>
  <c r="J850" i="9"/>
  <c r="F484" i="159"/>
  <c r="G484" i="9"/>
  <c r="H528" i="159"/>
  <c r="I528" i="159"/>
  <c r="F528" i="161" s="1"/>
  <c r="F220" i="159"/>
  <c r="G220" i="9"/>
  <c r="F234" i="159"/>
  <c r="G234" i="9"/>
  <c r="G149" i="167"/>
  <c r="I850" i="160"/>
  <c r="I851" i="160"/>
  <c r="H95" i="166"/>
  <c r="H99" i="166" s="1"/>
  <c r="H187" i="166" s="1"/>
  <c r="I99" i="155"/>
  <c r="I187" i="155" s="1"/>
  <c r="G140" i="165"/>
  <c r="G183" i="165" s="1"/>
  <c r="J531" i="9"/>
  <c r="K531" i="9" s="1"/>
  <c r="J145" i="162"/>
  <c r="C52" i="5"/>
  <c r="E50" i="5"/>
  <c r="E52" i="5" s="1"/>
  <c r="H412" i="165"/>
  <c r="H416" i="165" s="1"/>
  <c r="H416" i="155"/>
  <c r="H827" i="155" s="1"/>
  <c r="H544" i="9"/>
  <c r="H886" i="9"/>
  <c r="H420" i="158"/>
  <c r="I420" i="158"/>
  <c r="F431" i="158"/>
  <c r="F433" i="158" s="1"/>
  <c r="H891" i="158"/>
  <c r="H562" i="158"/>
  <c r="F145" i="165"/>
  <c r="H149" i="162"/>
  <c r="I182" i="166"/>
  <c r="I184" i="166" s="1"/>
  <c r="I101" i="166"/>
  <c r="I12" i="166" s="1"/>
  <c r="H213" i="158"/>
  <c r="I213" i="158"/>
  <c r="K188" i="158"/>
  <c r="K189" i="158" s="1"/>
  <c r="K191" i="158" s="1"/>
  <c r="J189" i="158"/>
  <c r="J191" i="158" s="1"/>
  <c r="I851" i="161"/>
  <c r="I850" i="161"/>
  <c r="I145" i="162"/>
  <c r="F12" i="161"/>
  <c r="G90" i="167"/>
  <c r="G626" i="157"/>
  <c r="H626" i="157"/>
  <c r="F630" i="157"/>
  <c r="I626" i="157"/>
  <c r="F428" i="159"/>
  <c r="G428" i="9"/>
  <c r="F419" i="159"/>
  <c r="G419" i="9"/>
  <c r="F421" i="159"/>
  <c r="G421" i="9"/>
  <c r="F520" i="159"/>
  <c r="G520" i="9"/>
  <c r="F263" i="159"/>
  <c r="G263" i="9"/>
  <c r="F418" i="159"/>
  <c r="G418" i="9"/>
  <c r="F212" i="159"/>
  <c r="G212" i="9"/>
  <c r="F226" i="159"/>
  <c r="G226" i="9"/>
  <c r="G588" i="9"/>
  <c r="G539" i="9"/>
  <c r="G578" i="9"/>
  <c r="G579" i="9"/>
  <c r="I796" i="9"/>
  <c r="G535" i="9"/>
  <c r="G588" i="157"/>
  <c r="G579" i="157"/>
  <c r="G578" i="158"/>
  <c r="G579" i="158"/>
  <c r="G588" i="158"/>
  <c r="F329" i="159"/>
  <c r="G796" i="159"/>
  <c r="H796" i="159"/>
  <c r="I787" i="159"/>
  <c r="O787" i="159" s="1"/>
  <c r="K145" i="161"/>
  <c r="I145" i="164"/>
  <c r="I149" i="164" s="1"/>
  <c r="G149" i="161"/>
  <c r="F86" i="165"/>
  <c r="H90" i="162"/>
  <c r="F867" i="9"/>
  <c r="F650" i="9"/>
  <c r="H151" i="160"/>
  <c r="H13" i="160" s="1"/>
  <c r="H188" i="160"/>
  <c r="H189" i="160" s="1"/>
  <c r="I462" i="9"/>
  <c r="F461" i="159"/>
  <c r="G461" i="9"/>
  <c r="G86" i="155"/>
  <c r="H86" i="165"/>
  <c r="H90" i="165" s="1"/>
  <c r="H90" i="155"/>
  <c r="H785" i="155" s="1"/>
  <c r="F136" i="167"/>
  <c r="J140" i="162"/>
  <c r="J183" i="162" s="1"/>
  <c r="H827" i="160"/>
  <c r="I794" i="159"/>
  <c r="I457" i="159" s="1"/>
  <c r="H223" i="158"/>
  <c r="I223" i="158"/>
  <c r="H430" i="158"/>
  <c r="I430" i="158"/>
  <c r="G151" i="157"/>
  <c r="G188" i="157"/>
  <c r="G189" i="157" s="1"/>
  <c r="I539" i="158"/>
  <c r="I540" i="158" s="1"/>
  <c r="I279" i="158"/>
  <c r="I281" i="158" s="1"/>
  <c r="I854" i="158"/>
  <c r="J854" i="158" s="1"/>
  <c r="K854" i="158" s="1"/>
  <c r="J182" i="161"/>
  <c r="J184" i="161" s="1"/>
  <c r="J101" i="161"/>
  <c r="J12" i="161" s="1"/>
  <c r="F187" i="155"/>
  <c r="G95" i="155"/>
  <c r="H270" i="158"/>
  <c r="I270" i="158"/>
  <c r="I182" i="160"/>
  <c r="I184" i="160" s="1"/>
  <c r="I101" i="160"/>
  <c r="I12" i="160" s="1"/>
  <c r="H528" i="157"/>
  <c r="F528" i="155" s="1"/>
  <c r="I528" i="157"/>
  <c r="J493" i="158"/>
  <c r="K491" i="158"/>
  <c r="K493" i="158" s="1"/>
  <c r="I151" i="167"/>
  <c r="I13" i="167" s="1"/>
  <c r="I188" i="167"/>
  <c r="I189" i="167" s="1"/>
  <c r="G145" i="155"/>
  <c r="G145" i="162" s="1"/>
  <c r="I834" i="158"/>
  <c r="J834" i="158" s="1"/>
  <c r="K834" i="158" s="1"/>
  <c r="I786" i="160"/>
  <c r="H412" i="166"/>
  <c r="H416" i="166" s="1"/>
  <c r="I416" i="155"/>
  <c r="G412" i="155"/>
  <c r="G412" i="162" s="1"/>
  <c r="H209" i="158"/>
  <c r="I209" i="158"/>
  <c r="I429" i="158"/>
  <c r="H429" i="158"/>
  <c r="H136" i="166"/>
  <c r="H140" i="166" s="1"/>
  <c r="H183" i="166" s="1"/>
  <c r="I140" i="155"/>
  <c r="I183" i="155" s="1"/>
  <c r="G136" i="155"/>
  <c r="H257" i="158"/>
  <c r="F275" i="158"/>
  <c r="F283" i="158" s="1"/>
  <c r="F324" i="158" s="1"/>
  <c r="I257" i="158"/>
  <c r="H182" i="160"/>
  <c r="H184" i="160" s="1"/>
  <c r="H101" i="160"/>
  <c r="H12" i="160" s="1"/>
  <c r="J785" i="160"/>
  <c r="G785" i="160" s="1"/>
  <c r="K785" i="160" s="1"/>
  <c r="I188" i="165"/>
  <c r="I189" i="165" s="1"/>
  <c r="I151" i="165"/>
  <c r="I13" i="165" s="1"/>
  <c r="F13" i="160"/>
  <c r="H789" i="157"/>
  <c r="I151" i="166"/>
  <c r="I13" i="166" s="1"/>
  <c r="I188" i="166"/>
  <c r="I189" i="166" s="1"/>
  <c r="I151" i="160"/>
  <c r="I13" i="160" s="1"/>
  <c r="I188" i="160"/>
  <c r="I189" i="160" s="1"/>
  <c r="G416" i="165"/>
  <c r="I182" i="164"/>
  <c r="G191" i="157" l="1"/>
  <c r="I101" i="164"/>
  <c r="I12" i="164" s="1"/>
  <c r="J796" i="9"/>
  <c r="K796" i="9" s="1"/>
  <c r="I214" i="9"/>
  <c r="J789" i="159"/>
  <c r="K789" i="159" s="1"/>
  <c r="J461" i="158"/>
  <c r="J462" i="158" s="1"/>
  <c r="J465" i="158" s="1"/>
  <c r="L412" i="161"/>
  <c r="L416" i="161" s="1"/>
  <c r="O786" i="157"/>
  <c r="J191" i="160"/>
  <c r="J329" i="160" s="1"/>
  <c r="J86" i="166"/>
  <c r="J90" i="166" s="1"/>
  <c r="J182" i="166" s="1"/>
  <c r="I191" i="167"/>
  <c r="I329" i="167" s="1"/>
  <c r="J630" i="9"/>
  <c r="J868" i="9" s="1"/>
  <c r="J136" i="165"/>
  <c r="J140" i="165" s="1"/>
  <c r="J183" i="165" s="1"/>
  <c r="L145" i="160"/>
  <c r="L149" i="160" s="1"/>
  <c r="J86" i="167"/>
  <c r="J90" i="167" s="1"/>
  <c r="G101" i="161"/>
  <c r="G12" i="161" s="1"/>
  <c r="G184" i="161"/>
  <c r="J789" i="160"/>
  <c r="G786" i="160"/>
  <c r="K786" i="160" s="1"/>
  <c r="P786" i="160" s="1"/>
  <c r="J789" i="161"/>
  <c r="H789" i="160"/>
  <c r="J412" i="165"/>
  <c r="J416" i="165" s="1"/>
  <c r="I630" i="157"/>
  <c r="I636" i="157" s="1"/>
  <c r="I639" i="157" s="1"/>
  <c r="J95" i="165"/>
  <c r="J99" i="165" s="1"/>
  <c r="J187" i="165" s="1"/>
  <c r="J787" i="160"/>
  <c r="K90" i="161"/>
  <c r="K182" i="161" s="1"/>
  <c r="J786" i="155"/>
  <c r="I191" i="161"/>
  <c r="I329" i="161" s="1"/>
  <c r="I787" i="157"/>
  <c r="O787" i="157" s="1"/>
  <c r="K630" i="9"/>
  <c r="K636" i="9" s="1"/>
  <c r="K639" i="9" s="1"/>
  <c r="G430" i="158"/>
  <c r="J430" i="158" s="1"/>
  <c r="K430" i="158" s="1"/>
  <c r="I191" i="165"/>
  <c r="I329" i="165" s="1"/>
  <c r="G528" i="159"/>
  <c r="F528" i="160" s="1"/>
  <c r="J95" i="167"/>
  <c r="J99" i="167" s="1"/>
  <c r="J187" i="167" s="1"/>
  <c r="G271" i="159"/>
  <c r="F271" i="160" s="1"/>
  <c r="I789" i="161"/>
  <c r="G209" i="158"/>
  <c r="J209" i="158" s="1"/>
  <c r="K209" i="158" s="1"/>
  <c r="I191" i="160"/>
  <c r="I329" i="160" s="1"/>
  <c r="G786" i="161"/>
  <c r="K786" i="161" s="1"/>
  <c r="L786" i="161" s="1"/>
  <c r="O834" i="158"/>
  <c r="G531" i="159"/>
  <c r="J531" i="159" s="1"/>
  <c r="K531" i="159" s="1"/>
  <c r="G429" i="158"/>
  <c r="J429" i="158" s="1"/>
  <c r="K429" i="158" s="1"/>
  <c r="G528" i="157"/>
  <c r="J528" i="157" s="1"/>
  <c r="K528" i="157" s="1"/>
  <c r="J795" i="159"/>
  <c r="K795" i="159" s="1"/>
  <c r="H191" i="160"/>
  <c r="H329" i="160" s="1"/>
  <c r="J629" i="157"/>
  <c r="K629" i="157" s="1"/>
  <c r="G151" i="160"/>
  <c r="G13" i="160" s="1"/>
  <c r="G258" i="158"/>
  <c r="J258" i="158" s="1"/>
  <c r="K258" i="158" s="1"/>
  <c r="I191" i="166"/>
  <c r="I329" i="166" s="1"/>
  <c r="O794" i="159"/>
  <c r="J794" i="159"/>
  <c r="K794" i="159" s="1"/>
  <c r="G480" i="158"/>
  <c r="J480" i="158" s="1"/>
  <c r="K480" i="158" s="1"/>
  <c r="G235" i="158"/>
  <c r="J235" i="158" s="1"/>
  <c r="G224" i="158"/>
  <c r="J224" i="158" s="1"/>
  <c r="K224" i="158" s="1"/>
  <c r="G211" i="158"/>
  <c r="J211" i="158" s="1"/>
  <c r="K211" i="158" s="1"/>
  <c r="G795" i="157"/>
  <c r="I795" i="157" s="1"/>
  <c r="J795" i="157" s="1"/>
  <c r="K795" i="157" s="1"/>
  <c r="G223" i="158"/>
  <c r="J223" i="158" s="1"/>
  <c r="K223" i="158" s="1"/>
  <c r="G213" i="158"/>
  <c r="J213" i="158" s="1"/>
  <c r="K213" i="158" s="1"/>
  <c r="G270" i="158"/>
  <c r="J270" i="158" s="1"/>
  <c r="K270" i="158" s="1"/>
  <c r="J787" i="159"/>
  <c r="K787" i="159" s="1"/>
  <c r="J787" i="161"/>
  <c r="J191" i="161"/>
  <c r="J329" i="161" s="1"/>
  <c r="J145" i="167"/>
  <c r="J149" i="167" s="1"/>
  <c r="J188" i="167" s="1"/>
  <c r="G210" i="158"/>
  <c r="J210" i="158" s="1"/>
  <c r="K210" i="158" s="1"/>
  <c r="I275" i="158"/>
  <c r="I283" i="158" s="1"/>
  <c r="I324" i="158" s="1"/>
  <c r="J145" i="165"/>
  <c r="J149" i="165" s="1"/>
  <c r="I481" i="158"/>
  <c r="J785" i="157"/>
  <c r="K785" i="157" s="1"/>
  <c r="P785" i="160"/>
  <c r="L785" i="160"/>
  <c r="K145" i="162"/>
  <c r="F145" i="164"/>
  <c r="G149" i="162"/>
  <c r="K329" i="159"/>
  <c r="F457" i="161"/>
  <c r="I458" i="159"/>
  <c r="K95" i="155"/>
  <c r="H95" i="164"/>
  <c r="H99" i="164" s="1"/>
  <c r="H187" i="164" s="1"/>
  <c r="G99" i="155"/>
  <c r="G187" i="155" s="1"/>
  <c r="F189" i="155"/>
  <c r="H101" i="165"/>
  <c r="H12" i="165" s="1"/>
  <c r="H182" i="165"/>
  <c r="H184" i="165" s="1"/>
  <c r="G580" i="158"/>
  <c r="G598" i="158" s="1"/>
  <c r="G540" i="9"/>
  <c r="J212" i="9"/>
  <c r="K212" i="9" s="1"/>
  <c r="F212" i="157"/>
  <c r="J263" i="9"/>
  <c r="K263" i="9" s="1"/>
  <c r="F263" i="157"/>
  <c r="J421" i="9"/>
  <c r="K421" i="9" s="1"/>
  <c r="F421" i="157"/>
  <c r="J428" i="9"/>
  <c r="K428" i="9" s="1"/>
  <c r="F428" i="157"/>
  <c r="K329" i="158"/>
  <c r="H431" i="158"/>
  <c r="H433" i="158" s="1"/>
  <c r="G188" i="167"/>
  <c r="G189" i="167" s="1"/>
  <c r="G151" i="167"/>
  <c r="G13" i="167" s="1"/>
  <c r="K850" i="9"/>
  <c r="J412" i="166"/>
  <c r="J416" i="166" s="1"/>
  <c r="I269" i="159"/>
  <c r="F269" i="161" s="1"/>
  <c r="H269" i="159"/>
  <c r="H215" i="158"/>
  <c r="H188" i="155"/>
  <c r="H189" i="155" s="1"/>
  <c r="H151" i="155"/>
  <c r="H13" i="155" s="1"/>
  <c r="F191" i="161"/>
  <c r="H795" i="161"/>
  <c r="I795" i="161"/>
  <c r="J795" i="161"/>
  <c r="F86" i="167"/>
  <c r="J90" i="162"/>
  <c r="K457" i="9"/>
  <c r="K458" i="9" s="1"/>
  <c r="J458" i="9"/>
  <c r="I265" i="159"/>
  <c r="F265" i="161" s="1"/>
  <c r="H265" i="159"/>
  <c r="I227" i="159"/>
  <c r="F227" i="161" s="1"/>
  <c r="H227" i="159"/>
  <c r="H851" i="155"/>
  <c r="H850" i="155"/>
  <c r="I188" i="155"/>
  <c r="I189" i="155" s="1"/>
  <c r="I151" i="155"/>
  <c r="I13" i="155" s="1"/>
  <c r="F12" i="155"/>
  <c r="F99" i="165"/>
  <c r="F187" i="165" s="1"/>
  <c r="I259" i="159"/>
  <c r="F259" i="161" s="1"/>
  <c r="H259" i="159"/>
  <c r="H422" i="159"/>
  <c r="I422" i="159"/>
  <c r="F422" i="161" s="1"/>
  <c r="K86" i="155"/>
  <c r="H86" i="164"/>
  <c r="H90" i="164" s="1"/>
  <c r="G90" i="155"/>
  <c r="G589" i="9"/>
  <c r="I263" i="159"/>
  <c r="F263" i="161" s="1"/>
  <c r="H263" i="159"/>
  <c r="I421" i="159"/>
  <c r="F421" i="161" s="1"/>
  <c r="H421" i="159"/>
  <c r="I787" i="161"/>
  <c r="F149" i="165"/>
  <c r="I234" i="159"/>
  <c r="H234" i="159"/>
  <c r="J484" i="9"/>
  <c r="F484" i="157"/>
  <c r="I787" i="160"/>
  <c r="J266" i="9"/>
  <c r="K266" i="9" s="1"/>
  <c r="F266" i="157"/>
  <c r="G626" i="159"/>
  <c r="H626" i="159"/>
  <c r="H630" i="159" s="1"/>
  <c r="F630" i="159"/>
  <c r="I626" i="159"/>
  <c r="G101" i="160"/>
  <c r="G12" i="160" s="1"/>
  <c r="G182" i="160"/>
  <c r="G184" i="160" s="1"/>
  <c r="G188" i="166"/>
  <c r="G189" i="166" s="1"/>
  <c r="G151" i="166"/>
  <c r="G13" i="166" s="1"/>
  <c r="J86" i="165"/>
  <c r="J90" i="165" s="1"/>
  <c r="L187" i="161"/>
  <c r="J95" i="166"/>
  <c r="J99" i="166" s="1"/>
  <c r="J187" i="166" s="1"/>
  <c r="J182" i="155"/>
  <c r="J184" i="155" s="1"/>
  <c r="J101" i="155"/>
  <c r="J12" i="155" s="1"/>
  <c r="G493" i="9"/>
  <c r="J491" i="9"/>
  <c r="F491" i="157"/>
  <c r="H260" i="159"/>
  <c r="I260" i="159"/>
  <c r="F260" i="161" s="1"/>
  <c r="I425" i="159"/>
  <c r="F425" i="161" s="1"/>
  <c r="H425" i="159"/>
  <c r="F412" i="164"/>
  <c r="K412" i="162"/>
  <c r="G416" i="162"/>
  <c r="I886" i="158"/>
  <c r="I544" i="158"/>
  <c r="G535" i="158"/>
  <c r="F13" i="155"/>
  <c r="H275" i="158"/>
  <c r="H283" i="158" s="1"/>
  <c r="H324" i="158" s="1"/>
  <c r="K412" i="155"/>
  <c r="H412" i="164"/>
  <c r="H416" i="164" s="1"/>
  <c r="G416" i="155"/>
  <c r="I786" i="155"/>
  <c r="I891" i="158"/>
  <c r="I562" i="158"/>
  <c r="G589" i="158"/>
  <c r="I184" i="164"/>
  <c r="K136" i="155"/>
  <c r="H136" i="164"/>
  <c r="H140" i="164" s="1"/>
  <c r="H183" i="164" s="1"/>
  <c r="G140" i="155"/>
  <c r="G183" i="155" s="1"/>
  <c r="H528" i="155"/>
  <c r="H528" i="165" s="1"/>
  <c r="H786" i="155"/>
  <c r="G329" i="157"/>
  <c r="H101" i="155"/>
  <c r="H12" i="155" s="1"/>
  <c r="H182" i="155"/>
  <c r="H184" i="155" s="1"/>
  <c r="G462" i="9"/>
  <c r="J461" i="9"/>
  <c r="F461" i="157"/>
  <c r="F651" i="9"/>
  <c r="G151" i="161"/>
  <c r="G13" i="161" s="1"/>
  <c r="G188" i="161"/>
  <c r="G189" i="161" s="1"/>
  <c r="I796" i="159"/>
  <c r="G588" i="159"/>
  <c r="G579" i="159"/>
  <c r="G539" i="159"/>
  <c r="G536" i="9"/>
  <c r="F535" i="157"/>
  <c r="G580" i="9"/>
  <c r="G598" i="9" s="1"/>
  <c r="F578" i="157"/>
  <c r="H226" i="159"/>
  <c r="I226" i="159"/>
  <c r="F226" i="161" s="1"/>
  <c r="H418" i="159"/>
  <c r="I418" i="159"/>
  <c r="F418" i="161" s="1"/>
  <c r="I520" i="159"/>
  <c r="F520" i="161" s="1"/>
  <c r="H520" i="159"/>
  <c r="I419" i="159"/>
  <c r="F419" i="161" s="1"/>
  <c r="H419" i="159"/>
  <c r="F868" i="157"/>
  <c r="F636" i="157"/>
  <c r="F639" i="157" s="1"/>
  <c r="F641" i="157" s="1"/>
  <c r="F644" i="157" s="1"/>
  <c r="F27" i="157"/>
  <c r="G101" i="167"/>
  <c r="G12" i="167" s="1"/>
  <c r="G182" i="167"/>
  <c r="G184" i="167" s="1"/>
  <c r="H787" i="161"/>
  <c r="J329" i="158"/>
  <c r="I431" i="158"/>
  <c r="I433" i="158" s="1"/>
  <c r="J234" i="9"/>
  <c r="F234" i="157"/>
  <c r="H220" i="159"/>
  <c r="I220" i="159"/>
  <c r="H529" i="158"/>
  <c r="G86" i="162"/>
  <c r="G562" i="158"/>
  <c r="G891" i="158"/>
  <c r="H271" i="161"/>
  <c r="I271" i="161"/>
  <c r="J271" i="161"/>
  <c r="J261" i="9"/>
  <c r="K261" i="9" s="1"/>
  <c r="F261" i="157"/>
  <c r="J269" i="9"/>
  <c r="K269" i="9" s="1"/>
  <c r="F269" i="157"/>
  <c r="K90" i="160"/>
  <c r="L86" i="160"/>
  <c r="L90" i="160" s="1"/>
  <c r="L785" i="161"/>
  <c r="P785" i="161"/>
  <c r="H629" i="155"/>
  <c r="H629" i="165" s="1"/>
  <c r="I215" i="158"/>
  <c r="H323" i="9"/>
  <c r="H296" i="9"/>
  <c r="H816" i="9" s="1"/>
  <c r="J279" i="158"/>
  <c r="I271" i="157"/>
  <c r="H271" i="157"/>
  <c r="F271" i="155" s="1"/>
  <c r="G151" i="165"/>
  <c r="G13" i="165" s="1"/>
  <c r="G188" i="165"/>
  <c r="G189" i="165" s="1"/>
  <c r="H789" i="161"/>
  <c r="J265" i="9"/>
  <c r="K265" i="9" s="1"/>
  <c r="F265" i="157"/>
  <c r="J227" i="9"/>
  <c r="K227" i="9" s="1"/>
  <c r="F227" i="157"/>
  <c r="I629" i="161"/>
  <c r="J629" i="161"/>
  <c r="H629" i="161"/>
  <c r="J274" i="9"/>
  <c r="K274" i="9" s="1"/>
  <c r="F274" i="157"/>
  <c r="G95" i="162"/>
  <c r="G99" i="164"/>
  <c r="G187" i="164" s="1"/>
  <c r="I827" i="155"/>
  <c r="I528" i="155" s="1"/>
  <c r="H528" i="166" s="1"/>
  <c r="J329" i="9"/>
  <c r="K140" i="160"/>
  <c r="K183" i="160" s="1"/>
  <c r="L183" i="160" s="1"/>
  <c r="L136" i="160"/>
  <c r="L140" i="160" s="1"/>
  <c r="J785" i="155"/>
  <c r="G785" i="155" s="1"/>
  <c r="K785" i="155" s="1"/>
  <c r="H481" i="158"/>
  <c r="J412" i="167"/>
  <c r="J416" i="167" s="1"/>
  <c r="I225" i="159"/>
  <c r="F225" i="161" s="1"/>
  <c r="H225" i="159"/>
  <c r="H424" i="159"/>
  <c r="I424" i="159"/>
  <c r="F424" i="161" s="1"/>
  <c r="F140" i="165"/>
  <c r="F183" i="165" s="1"/>
  <c r="I229" i="158"/>
  <c r="H544" i="158"/>
  <c r="H886" i="158"/>
  <c r="G531" i="157"/>
  <c r="J531" i="157" s="1"/>
  <c r="K531" i="157" s="1"/>
  <c r="H799" i="158"/>
  <c r="I799" i="158"/>
  <c r="G799" i="158"/>
  <c r="F329" i="157"/>
  <c r="G796" i="157"/>
  <c r="H796" i="157"/>
  <c r="H182" i="166"/>
  <c r="H184" i="166" s="1"/>
  <c r="H101" i="166"/>
  <c r="H12" i="166" s="1"/>
  <c r="G457" i="159"/>
  <c r="J259" i="9"/>
  <c r="K259" i="9" s="1"/>
  <c r="F259" i="157"/>
  <c r="J485" i="9"/>
  <c r="K485" i="9" s="1"/>
  <c r="F485" i="157"/>
  <c r="J422" i="9"/>
  <c r="K422" i="9" s="1"/>
  <c r="F422" i="157"/>
  <c r="K188" i="160"/>
  <c r="L188" i="160" s="1"/>
  <c r="G13" i="157"/>
  <c r="G789" i="157"/>
  <c r="G827" i="160"/>
  <c r="K827" i="160" s="1"/>
  <c r="H851" i="160"/>
  <c r="G851" i="160" s="1"/>
  <c r="K851" i="160" s="1"/>
  <c r="L851" i="160" s="1"/>
  <c r="H850" i="160"/>
  <c r="I461" i="159"/>
  <c r="H461" i="159"/>
  <c r="H462" i="159" s="1"/>
  <c r="H465" i="159" s="1"/>
  <c r="F462" i="159"/>
  <c r="G19" i="158"/>
  <c r="G499" i="158"/>
  <c r="I151" i="164"/>
  <c r="I13" i="164" s="1"/>
  <c r="I188" i="164"/>
  <c r="I189" i="164" s="1"/>
  <c r="F626" i="155"/>
  <c r="H630" i="157"/>
  <c r="H188" i="162"/>
  <c r="H189" i="162" s="1"/>
  <c r="H151" i="162"/>
  <c r="H13" i="162" s="1"/>
  <c r="F521" i="158"/>
  <c r="F140" i="166"/>
  <c r="F183" i="166" s="1"/>
  <c r="I261" i="159"/>
  <c r="F261" i="161" s="1"/>
  <c r="H261" i="159"/>
  <c r="G101" i="165"/>
  <c r="G12" i="165" s="1"/>
  <c r="G182" i="165"/>
  <c r="G184" i="165" s="1"/>
  <c r="G206" i="158"/>
  <c r="I274" i="159"/>
  <c r="F274" i="161" s="1"/>
  <c r="H274" i="159"/>
  <c r="K99" i="160"/>
  <c r="K187" i="160" s="1"/>
  <c r="L95" i="160"/>
  <c r="L99" i="160" s="1"/>
  <c r="I835" i="158"/>
  <c r="I529" i="158" s="1"/>
  <c r="F99" i="167"/>
  <c r="F187" i="167" s="1"/>
  <c r="F99" i="166"/>
  <c r="F187" i="166" s="1"/>
  <c r="J260" i="9"/>
  <c r="K260" i="9" s="1"/>
  <c r="F260" i="157"/>
  <c r="J425" i="9"/>
  <c r="K425" i="9" s="1"/>
  <c r="F425" i="157"/>
  <c r="J794" i="161"/>
  <c r="H794" i="161"/>
  <c r="I794" i="161"/>
  <c r="H229" i="158"/>
  <c r="J184" i="157"/>
  <c r="K182" i="157"/>
  <c r="K184" i="157" s="1"/>
  <c r="H833" i="159"/>
  <c r="H485" i="159"/>
  <c r="I485" i="159"/>
  <c r="F485" i="161" s="1"/>
  <c r="K145" i="155"/>
  <c r="H145" i="164"/>
  <c r="G149" i="155"/>
  <c r="I465" i="9"/>
  <c r="I834" i="9"/>
  <c r="H182" i="162"/>
  <c r="H184" i="162" s="1"/>
  <c r="H101" i="162"/>
  <c r="H12" i="162" s="1"/>
  <c r="I209" i="9"/>
  <c r="I213" i="9"/>
  <c r="I221" i="9"/>
  <c r="I210" i="9"/>
  <c r="I211" i="9"/>
  <c r="I223" i="9"/>
  <c r="I224" i="9"/>
  <c r="I235" i="9"/>
  <c r="I257" i="9"/>
  <c r="I258" i="9"/>
  <c r="I270" i="9"/>
  <c r="I279" i="9"/>
  <c r="I420" i="9"/>
  <c r="I430" i="9"/>
  <c r="I479" i="9"/>
  <c r="I579" i="9"/>
  <c r="J579" i="9" s="1"/>
  <c r="K579" i="9" s="1"/>
  <c r="I302" i="9"/>
  <c r="I480" i="9"/>
  <c r="I535" i="9"/>
  <c r="J535" i="9" s="1"/>
  <c r="I429" i="9"/>
  <c r="I584" i="9"/>
  <c r="I854" i="9"/>
  <c r="I206" i="9"/>
  <c r="I539" i="9"/>
  <c r="I540" i="9" s="1"/>
  <c r="I588" i="9"/>
  <c r="I589" i="9" s="1"/>
  <c r="I578" i="9"/>
  <c r="J578" i="9" s="1"/>
  <c r="I579" i="157"/>
  <c r="J579" i="157" s="1"/>
  <c r="K579" i="157" s="1"/>
  <c r="I588" i="157"/>
  <c r="I589" i="157" s="1"/>
  <c r="I588" i="158"/>
  <c r="I589" i="158" s="1"/>
  <c r="I579" i="158"/>
  <c r="J579" i="158" s="1"/>
  <c r="K579" i="158" s="1"/>
  <c r="I578" i="158"/>
  <c r="H212" i="159"/>
  <c r="I212" i="159"/>
  <c r="F212" i="161" s="1"/>
  <c r="H428" i="159"/>
  <c r="I428" i="159"/>
  <c r="F428" i="161" s="1"/>
  <c r="F145" i="166"/>
  <c r="I149" i="162"/>
  <c r="J528" i="161"/>
  <c r="H528" i="161"/>
  <c r="I528" i="161"/>
  <c r="J151" i="155"/>
  <c r="J13" i="155" s="1"/>
  <c r="J188" i="155"/>
  <c r="J189" i="155" s="1"/>
  <c r="H188" i="165"/>
  <c r="H189" i="165" s="1"/>
  <c r="H151" i="165"/>
  <c r="H13" i="165" s="1"/>
  <c r="J151" i="157"/>
  <c r="J13" i="157" s="1"/>
  <c r="K13" i="157" s="1"/>
  <c r="J188" i="157"/>
  <c r="J262" i="9"/>
  <c r="K262" i="9" s="1"/>
  <c r="F262" i="157"/>
  <c r="J417" i="9"/>
  <c r="F417" i="157"/>
  <c r="J423" i="9"/>
  <c r="K423" i="9" s="1"/>
  <c r="F423" i="157"/>
  <c r="H151" i="166"/>
  <c r="H13" i="166" s="1"/>
  <c r="H188" i="166"/>
  <c r="H189" i="166" s="1"/>
  <c r="F609" i="155"/>
  <c r="G479" i="158"/>
  <c r="H308" i="9"/>
  <c r="H307" i="9"/>
  <c r="H486" i="9"/>
  <c r="H487" i="9"/>
  <c r="H527" i="9"/>
  <c r="F238" i="158"/>
  <c r="K140" i="161"/>
  <c r="K183" i="161" s="1"/>
  <c r="L183" i="161" s="1"/>
  <c r="L136" i="161"/>
  <c r="L140" i="161" s="1"/>
  <c r="G416" i="164"/>
  <c r="F416" i="167"/>
  <c r="J264" i="9"/>
  <c r="K264" i="9" s="1"/>
  <c r="F264" i="157"/>
  <c r="J492" i="9"/>
  <c r="K492" i="9" s="1"/>
  <c r="F492" i="157"/>
  <c r="K850" i="157"/>
  <c r="I789" i="160"/>
  <c r="G257" i="158"/>
  <c r="F140" i="167"/>
  <c r="F183" i="167" s="1"/>
  <c r="F869" i="9"/>
  <c r="F871" i="9"/>
  <c r="F90" i="165"/>
  <c r="K149" i="161"/>
  <c r="L145" i="161"/>
  <c r="L149" i="161" s="1"/>
  <c r="H539" i="159"/>
  <c r="H540" i="159" s="1"/>
  <c r="G854" i="159"/>
  <c r="H854" i="159"/>
  <c r="H855" i="159" s="1"/>
  <c r="H640" i="159" s="1"/>
  <c r="H588" i="159"/>
  <c r="H589" i="159" s="1"/>
  <c r="H579" i="159"/>
  <c r="G589" i="157"/>
  <c r="J226" i="9"/>
  <c r="K226" i="9" s="1"/>
  <c r="F226" i="157"/>
  <c r="J418" i="9"/>
  <c r="K418" i="9" s="1"/>
  <c r="F418" i="157"/>
  <c r="J520" i="9"/>
  <c r="K520" i="9" s="1"/>
  <c r="F520" i="157"/>
  <c r="J419" i="9"/>
  <c r="K419" i="9" s="1"/>
  <c r="F419" i="157"/>
  <c r="J626" i="157"/>
  <c r="G630" i="157"/>
  <c r="F18" i="158"/>
  <c r="H828" i="158"/>
  <c r="F498" i="158"/>
  <c r="F312" i="158"/>
  <c r="G828" i="158"/>
  <c r="G420" i="158"/>
  <c r="F145" i="167"/>
  <c r="J149" i="162"/>
  <c r="J220" i="9"/>
  <c r="F220" i="157"/>
  <c r="I484" i="159"/>
  <c r="H484" i="159"/>
  <c r="H522" i="9"/>
  <c r="F519" i="158"/>
  <c r="H787" i="160"/>
  <c r="H151" i="167"/>
  <c r="H13" i="167" s="1"/>
  <c r="H188" i="167"/>
  <c r="H189" i="167" s="1"/>
  <c r="J539" i="158"/>
  <c r="I794" i="157"/>
  <c r="O794" i="157" s="1"/>
  <c r="H266" i="159"/>
  <c r="I266" i="159"/>
  <c r="F266" i="161" s="1"/>
  <c r="I27" i="9"/>
  <c r="I636" i="9"/>
  <c r="I639" i="9" s="1"/>
  <c r="I868" i="9"/>
  <c r="G90" i="164"/>
  <c r="G188" i="164"/>
  <c r="J145" i="166"/>
  <c r="J149" i="166" s="1"/>
  <c r="H794" i="160"/>
  <c r="I794" i="160"/>
  <c r="J794" i="160"/>
  <c r="J136" i="167"/>
  <c r="J140" i="167" s="1"/>
  <c r="J183" i="167" s="1"/>
  <c r="J136" i="166"/>
  <c r="J140" i="166" s="1"/>
  <c r="J183" i="166" s="1"/>
  <c r="G101" i="166"/>
  <c r="G12" i="166" s="1"/>
  <c r="G182" i="166"/>
  <c r="G184" i="166" s="1"/>
  <c r="H191" i="161"/>
  <c r="F28" i="9"/>
  <c r="H182" i="167"/>
  <c r="H184" i="167" s="1"/>
  <c r="H101" i="167"/>
  <c r="H12" i="167" s="1"/>
  <c r="H457" i="157"/>
  <c r="F458" i="157"/>
  <c r="H262" i="159"/>
  <c r="I262" i="159"/>
  <c r="F262" i="161" s="1"/>
  <c r="H491" i="159"/>
  <c r="F493" i="159"/>
  <c r="I491" i="159"/>
  <c r="I417" i="159"/>
  <c r="H417" i="159"/>
  <c r="F629" i="160"/>
  <c r="J629" i="159"/>
  <c r="K629" i="159" s="1"/>
  <c r="I423" i="159"/>
  <c r="F423" i="161" s="1"/>
  <c r="H423" i="159"/>
  <c r="L101" i="161"/>
  <c r="G189" i="160"/>
  <c r="J827" i="155"/>
  <c r="J629" i="155" s="1"/>
  <c r="H629" i="167" s="1"/>
  <c r="J191" i="159"/>
  <c r="G140" i="164"/>
  <c r="G183" i="164" s="1"/>
  <c r="F184" i="155"/>
  <c r="F416" i="165"/>
  <c r="G838" i="158"/>
  <c r="H838" i="158"/>
  <c r="J225" i="9"/>
  <c r="K225" i="9" s="1"/>
  <c r="F225" i="157"/>
  <c r="J424" i="9"/>
  <c r="K424" i="9" s="1"/>
  <c r="F424" i="157"/>
  <c r="H531" i="161"/>
  <c r="I531" i="161"/>
  <c r="J531" i="161"/>
  <c r="F86" i="166"/>
  <c r="I90" i="162"/>
  <c r="G221" i="158"/>
  <c r="F886" i="158"/>
  <c r="F544" i="158"/>
  <c r="F191" i="160"/>
  <c r="I795" i="160"/>
  <c r="J795" i="160"/>
  <c r="H795" i="160"/>
  <c r="F416" i="166"/>
  <c r="H531" i="155"/>
  <c r="H531" i="165" s="1"/>
  <c r="G303" i="158"/>
  <c r="G304" i="158" s="1"/>
  <c r="J302" i="158"/>
  <c r="G136" i="162"/>
  <c r="K416" i="160"/>
  <c r="L412" i="160"/>
  <c r="L416" i="160" s="1"/>
  <c r="I101" i="155"/>
  <c r="I12" i="155" s="1"/>
  <c r="I182" i="155"/>
  <c r="I184" i="155" s="1"/>
  <c r="H264" i="159"/>
  <c r="I264" i="159"/>
  <c r="F264" i="161" s="1"/>
  <c r="I492" i="159"/>
  <c r="F492" i="161" s="1"/>
  <c r="H492" i="159"/>
  <c r="G850" i="161"/>
  <c r="G851" i="161"/>
  <c r="K851" i="161" s="1"/>
  <c r="L851" i="161" s="1"/>
  <c r="K827" i="161"/>
  <c r="K101" i="161" l="1"/>
  <c r="K12" i="161" s="1"/>
  <c r="L12" i="161" s="1"/>
  <c r="G214" i="9"/>
  <c r="F214" i="159"/>
  <c r="K95" i="167"/>
  <c r="K99" i="167" s="1"/>
  <c r="K461" i="158"/>
  <c r="K462" i="158" s="1"/>
  <c r="K465" i="158" s="1"/>
  <c r="K19" i="158" s="1"/>
  <c r="J27" i="9"/>
  <c r="K27" i="9" s="1"/>
  <c r="J101" i="167"/>
  <c r="J12" i="167" s="1"/>
  <c r="J636" i="9"/>
  <c r="J639" i="9" s="1"/>
  <c r="K145" i="165"/>
  <c r="K149" i="165" s="1"/>
  <c r="L786" i="160"/>
  <c r="K183" i="165"/>
  <c r="K136" i="165"/>
  <c r="K140" i="165" s="1"/>
  <c r="J151" i="165"/>
  <c r="J13" i="165" s="1"/>
  <c r="L151" i="160"/>
  <c r="J182" i="167"/>
  <c r="J184" i="167" s="1"/>
  <c r="J528" i="159"/>
  <c r="K528" i="159" s="1"/>
  <c r="G191" i="161"/>
  <c r="G329" i="161" s="1"/>
  <c r="F531" i="160"/>
  <c r="J531" i="160" s="1"/>
  <c r="G531" i="167" s="1"/>
  <c r="K412" i="166"/>
  <c r="K416" i="166" s="1"/>
  <c r="K95" i="165"/>
  <c r="K99" i="165" s="1"/>
  <c r="H191" i="166"/>
  <c r="H329" i="166" s="1"/>
  <c r="J188" i="165"/>
  <c r="J189" i="165" s="1"/>
  <c r="I531" i="155"/>
  <c r="H531" i="166" s="1"/>
  <c r="J787" i="157"/>
  <c r="K787" i="157" s="1"/>
  <c r="G789" i="160"/>
  <c r="K789" i="160" s="1"/>
  <c r="L789" i="160" s="1"/>
  <c r="L28" i="49"/>
  <c r="K868" i="9"/>
  <c r="I191" i="164"/>
  <c r="I329" i="164" s="1"/>
  <c r="K412" i="165"/>
  <c r="K416" i="165" s="1"/>
  <c r="I868" i="157"/>
  <c r="I27" i="157"/>
  <c r="K86" i="165"/>
  <c r="K90" i="165" s="1"/>
  <c r="J95" i="164"/>
  <c r="J99" i="164" s="1"/>
  <c r="J187" i="164" s="1"/>
  <c r="J271" i="159"/>
  <c r="K271" i="159" s="1"/>
  <c r="J531" i="155"/>
  <c r="H531" i="167" s="1"/>
  <c r="G789" i="161"/>
  <c r="K789" i="161" s="1"/>
  <c r="P789" i="161" s="1"/>
  <c r="I789" i="155"/>
  <c r="J588" i="157"/>
  <c r="K588" i="157" s="1"/>
  <c r="K589" i="157" s="1"/>
  <c r="I238" i="158"/>
  <c r="I296" i="158" s="1"/>
  <c r="J189" i="167"/>
  <c r="H238" i="158"/>
  <c r="H323" i="158" s="1"/>
  <c r="K412" i="167"/>
  <c r="K416" i="167" s="1"/>
  <c r="G259" i="159"/>
  <c r="J259" i="159" s="1"/>
  <c r="K259" i="159" s="1"/>
  <c r="G236" i="158"/>
  <c r="G787" i="161"/>
  <c r="K787" i="161" s="1"/>
  <c r="L787" i="161" s="1"/>
  <c r="G264" i="159"/>
  <c r="F264" i="160" s="1"/>
  <c r="J191" i="155"/>
  <c r="J329" i="155" s="1"/>
  <c r="G265" i="159"/>
  <c r="J265" i="159" s="1"/>
  <c r="K265" i="159" s="1"/>
  <c r="P786" i="161"/>
  <c r="G191" i="167"/>
  <c r="G329" i="167" s="1"/>
  <c r="H191" i="165"/>
  <c r="H329" i="165" s="1"/>
  <c r="G191" i="160"/>
  <c r="G329" i="160" s="1"/>
  <c r="G485" i="159"/>
  <c r="F485" i="160" s="1"/>
  <c r="G787" i="160"/>
  <c r="K787" i="160" s="1"/>
  <c r="L787" i="160" s="1"/>
  <c r="K151" i="160"/>
  <c r="K13" i="160" s="1"/>
  <c r="L13" i="160" s="1"/>
  <c r="G422" i="159"/>
  <c r="J422" i="159" s="1"/>
  <c r="K422" i="159" s="1"/>
  <c r="G274" i="159"/>
  <c r="J274" i="159" s="1"/>
  <c r="K274" i="159" s="1"/>
  <c r="G261" i="159"/>
  <c r="F261" i="160" s="1"/>
  <c r="G263" i="159"/>
  <c r="J263" i="159" s="1"/>
  <c r="K263" i="159" s="1"/>
  <c r="J136" i="164"/>
  <c r="J140" i="164" s="1"/>
  <c r="J183" i="164" s="1"/>
  <c r="H191" i="162"/>
  <c r="H329" i="162" s="1"/>
  <c r="G225" i="159"/>
  <c r="J225" i="159" s="1"/>
  <c r="K225" i="159" s="1"/>
  <c r="G419" i="159"/>
  <c r="J419" i="159" s="1"/>
  <c r="K419" i="159" s="1"/>
  <c r="G269" i="159"/>
  <c r="J269" i="159" s="1"/>
  <c r="K269" i="159" s="1"/>
  <c r="G234" i="159"/>
  <c r="J234" i="159" s="1"/>
  <c r="G423" i="159"/>
  <c r="J423" i="159" s="1"/>
  <c r="K423" i="159" s="1"/>
  <c r="G428" i="159"/>
  <c r="F428" i="160" s="1"/>
  <c r="G484" i="159"/>
  <c r="J484" i="159" s="1"/>
  <c r="O835" i="158"/>
  <c r="G424" i="159"/>
  <c r="F424" i="160" s="1"/>
  <c r="G260" i="159"/>
  <c r="F260" i="160" s="1"/>
  <c r="G492" i="159"/>
  <c r="F492" i="160" s="1"/>
  <c r="L151" i="161"/>
  <c r="G528" i="161"/>
  <c r="K528" i="161" s="1"/>
  <c r="L528" i="161" s="1"/>
  <c r="I580" i="158"/>
  <c r="I598" i="158" s="1"/>
  <c r="G531" i="161"/>
  <c r="K531" i="161" s="1"/>
  <c r="L531" i="161" s="1"/>
  <c r="K136" i="167"/>
  <c r="K140" i="167" s="1"/>
  <c r="G191" i="165"/>
  <c r="G329" i="165" s="1"/>
  <c r="J184" i="166"/>
  <c r="H493" i="159"/>
  <c r="I191" i="155"/>
  <c r="I329" i="155" s="1"/>
  <c r="G212" i="159"/>
  <c r="J212" i="159" s="1"/>
  <c r="K212" i="159" s="1"/>
  <c r="K183" i="166"/>
  <c r="I629" i="155"/>
  <c r="H629" i="166" s="1"/>
  <c r="G418" i="159"/>
  <c r="J418" i="159" s="1"/>
  <c r="K418" i="159" s="1"/>
  <c r="J588" i="158"/>
  <c r="J589" i="158" s="1"/>
  <c r="G262" i="159"/>
  <c r="F262" i="160" s="1"/>
  <c r="G266" i="159"/>
  <c r="J266" i="159" s="1"/>
  <c r="K266" i="159" s="1"/>
  <c r="O795" i="157"/>
  <c r="H191" i="155"/>
  <c r="H329" i="155" s="1"/>
  <c r="J794" i="157"/>
  <c r="K794" i="157" s="1"/>
  <c r="G227" i="159"/>
  <c r="F227" i="160" s="1"/>
  <c r="J539" i="9"/>
  <c r="K539" i="9" s="1"/>
  <c r="K540" i="9" s="1"/>
  <c r="G417" i="159"/>
  <c r="F417" i="160" s="1"/>
  <c r="G226" i="159"/>
  <c r="J226" i="159" s="1"/>
  <c r="K226" i="159" s="1"/>
  <c r="G461" i="159"/>
  <c r="G462" i="159" s="1"/>
  <c r="G834" i="159" s="1"/>
  <c r="G529" i="158"/>
  <c r="J529" i="158" s="1"/>
  <c r="K529" i="158" s="1"/>
  <c r="G191" i="166"/>
  <c r="G329" i="166" s="1"/>
  <c r="I787" i="155"/>
  <c r="K183" i="167"/>
  <c r="G425" i="159"/>
  <c r="J425" i="159" s="1"/>
  <c r="K425" i="159" s="1"/>
  <c r="J151" i="167"/>
  <c r="J13" i="167" s="1"/>
  <c r="L785" i="155"/>
  <c r="P785" i="155"/>
  <c r="K535" i="9"/>
  <c r="K536" i="9" s="1"/>
  <c r="J536" i="9"/>
  <c r="I531" i="167"/>
  <c r="G151" i="164"/>
  <c r="G13" i="164" s="1"/>
  <c r="H609" i="159"/>
  <c r="H532" i="9"/>
  <c r="F527" i="158"/>
  <c r="H262" i="157"/>
  <c r="F262" i="155" s="1"/>
  <c r="I262" i="157"/>
  <c r="J428" i="161"/>
  <c r="H428" i="161"/>
  <c r="I428" i="161"/>
  <c r="I215" i="9"/>
  <c r="F206" i="159"/>
  <c r="G206" i="9"/>
  <c r="I481" i="9"/>
  <c r="I838" i="9" s="1"/>
  <c r="F479" i="159"/>
  <c r="G479" i="9"/>
  <c r="F224" i="159"/>
  <c r="G224" i="9"/>
  <c r="H13" i="49"/>
  <c r="K187" i="166"/>
  <c r="J206" i="158"/>
  <c r="G215" i="158"/>
  <c r="O799" i="158"/>
  <c r="J799" i="158"/>
  <c r="K799" i="158" s="1"/>
  <c r="I274" i="157"/>
  <c r="H274" i="157"/>
  <c r="F274" i="155" s="1"/>
  <c r="K279" i="158"/>
  <c r="K281" i="158" s="1"/>
  <c r="J281" i="158"/>
  <c r="L101" i="160"/>
  <c r="I271" i="165"/>
  <c r="G589" i="159"/>
  <c r="F588" i="160"/>
  <c r="J535" i="158"/>
  <c r="G536" i="158"/>
  <c r="J260" i="161"/>
  <c r="H260" i="161"/>
  <c r="I260" i="161"/>
  <c r="H484" i="157"/>
  <c r="I484" i="157"/>
  <c r="G101" i="155"/>
  <c r="G12" i="155" s="1"/>
  <c r="G182" i="155"/>
  <c r="G184" i="155" s="1"/>
  <c r="H492" i="161"/>
  <c r="I492" i="161"/>
  <c r="J492" i="161"/>
  <c r="F329" i="160"/>
  <c r="J796" i="160"/>
  <c r="H796" i="160"/>
  <c r="I796" i="160"/>
  <c r="J221" i="158"/>
  <c r="G229" i="158"/>
  <c r="H424" i="157"/>
  <c r="F424" i="155" s="1"/>
  <c r="I424" i="157"/>
  <c r="F417" i="161"/>
  <c r="H329" i="161"/>
  <c r="H876" i="9"/>
  <c r="K220" i="9"/>
  <c r="J420" i="158"/>
  <c r="G431" i="158"/>
  <c r="G433" i="158" s="1"/>
  <c r="K151" i="161"/>
  <c r="K13" i="161" s="1"/>
  <c r="L13" i="161" s="1"/>
  <c r="K188" i="161"/>
  <c r="F872" i="9"/>
  <c r="G481" i="158"/>
  <c r="J479" i="158"/>
  <c r="I528" i="167"/>
  <c r="I580" i="9"/>
  <c r="I598" i="9" s="1"/>
  <c r="F578" i="159"/>
  <c r="F480" i="159"/>
  <c r="G480" i="9"/>
  <c r="F258" i="159"/>
  <c r="G258" i="9"/>
  <c r="F213" i="159"/>
  <c r="G213" i="9"/>
  <c r="G188" i="155"/>
  <c r="G189" i="155" s="1"/>
  <c r="G151" i="155"/>
  <c r="G13" i="155" s="1"/>
  <c r="G794" i="161"/>
  <c r="K794" i="161" s="1"/>
  <c r="K95" i="166"/>
  <c r="K99" i="166" s="1"/>
  <c r="K189" i="160"/>
  <c r="L187" i="160"/>
  <c r="L189" i="160" s="1"/>
  <c r="K136" i="166"/>
  <c r="K140" i="166" s="1"/>
  <c r="I789" i="157"/>
  <c r="J789" i="157" s="1"/>
  <c r="K789" i="157" s="1"/>
  <c r="H422" i="157"/>
  <c r="F422" i="155" s="1"/>
  <c r="I422" i="157"/>
  <c r="I259" i="157"/>
  <c r="H259" i="157"/>
  <c r="F259" i="155" s="1"/>
  <c r="I629" i="167"/>
  <c r="I265" i="157"/>
  <c r="H265" i="157"/>
  <c r="F265" i="155" s="1"/>
  <c r="H191" i="167"/>
  <c r="J101" i="166"/>
  <c r="J12" i="166" s="1"/>
  <c r="H419" i="161"/>
  <c r="I419" i="161"/>
  <c r="J419" i="161"/>
  <c r="G540" i="159"/>
  <c r="J462" i="9"/>
  <c r="J465" i="9" s="1"/>
  <c r="K461" i="9"/>
  <c r="K462" i="9" s="1"/>
  <c r="K465" i="9" s="1"/>
  <c r="K499" i="9" s="1"/>
  <c r="H491" i="157"/>
  <c r="I491" i="157"/>
  <c r="F493" i="157"/>
  <c r="G630" i="159"/>
  <c r="F626" i="160"/>
  <c r="J626" i="159"/>
  <c r="I421" i="161"/>
  <c r="J421" i="161"/>
  <c r="H421" i="161"/>
  <c r="J422" i="161"/>
  <c r="H422" i="161"/>
  <c r="I422" i="161"/>
  <c r="H787" i="155"/>
  <c r="J101" i="162"/>
  <c r="J12" i="162" s="1"/>
  <c r="J182" i="162"/>
  <c r="J184" i="162" s="1"/>
  <c r="H421" i="157"/>
  <c r="F421" i="155" s="1"/>
  <c r="I421" i="157"/>
  <c r="H212" i="157"/>
  <c r="F212" i="155" s="1"/>
  <c r="I212" i="157"/>
  <c r="F191" i="155"/>
  <c r="I795" i="155"/>
  <c r="J795" i="155"/>
  <c r="H795" i="155"/>
  <c r="K99" i="155"/>
  <c r="K187" i="155" s="1"/>
  <c r="L95" i="155"/>
  <c r="L99" i="155" s="1"/>
  <c r="G188" i="162"/>
  <c r="J264" i="161"/>
  <c r="H264" i="161"/>
  <c r="I264" i="161"/>
  <c r="F136" i="164"/>
  <c r="K136" i="162"/>
  <c r="G140" i="162"/>
  <c r="G183" i="162" s="1"/>
  <c r="G795" i="160"/>
  <c r="K795" i="160" s="1"/>
  <c r="I101" i="162"/>
  <c r="I12" i="162" s="1"/>
  <c r="P12" i="162" s="1"/>
  <c r="I182" i="162"/>
  <c r="I184" i="162" s="1"/>
  <c r="I531" i="166"/>
  <c r="H794" i="155"/>
  <c r="I794" i="155"/>
  <c r="J794" i="155"/>
  <c r="J329" i="159"/>
  <c r="I493" i="159"/>
  <c r="F491" i="161"/>
  <c r="G491" i="159"/>
  <c r="F41" i="9"/>
  <c r="G794" i="160"/>
  <c r="K794" i="160" s="1"/>
  <c r="G101" i="164"/>
  <c r="G12" i="164" s="1"/>
  <c r="G182" i="164"/>
  <c r="G184" i="164" s="1"/>
  <c r="J540" i="158"/>
  <c r="K539" i="158"/>
  <c r="K540" i="158" s="1"/>
  <c r="F484" i="161"/>
  <c r="J151" i="162"/>
  <c r="J13" i="162" s="1"/>
  <c r="J14" i="49" s="1"/>
  <c r="J188" i="162"/>
  <c r="J189" i="162" s="1"/>
  <c r="I828" i="158"/>
  <c r="O828" i="158" s="1"/>
  <c r="H520" i="157"/>
  <c r="F520" i="155" s="1"/>
  <c r="I520" i="157"/>
  <c r="H226" i="157"/>
  <c r="F226" i="155" s="1"/>
  <c r="I226" i="157"/>
  <c r="G609" i="157"/>
  <c r="G855" i="159"/>
  <c r="G640" i="159" s="1"/>
  <c r="F101" i="165"/>
  <c r="F12" i="165" s="1"/>
  <c r="F182" i="165"/>
  <c r="G275" i="158"/>
  <c r="G283" i="158" s="1"/>
  <c r="G324" i="158" s="1"/>
  <c r="J257" i="158"/>
  <c r="H264" i="157"/>
  <c r="F264" i="155" s="1"/>
  <c r="I264" i="157"/>
  <c r="J412" i="164"/>
  <c r="J416" i="164" s="1"/>
  <c r="J236" i="158"/>
  <c r="K235" i="158"/>
  <c r="K236" i="158" s="1"/>
  <c r="F486" i="158"/>
  <c r="H488" i="9"/>
  <c r="H417" i="157"/>
  <c r="I417" i="157"/>
  <c r="I528" i="165"/>
  <c r="I151" i="162"/>
  <c r="I13" i="162" s="1"/>
  <c r="I14" i="49" s="1"/>
  <c r="I188" i="162"/>
  <c r="I189" i="162" s="1"/>
  <c r="I591" i="158"/>
  <c r="I609" i="158"/>
  <c r="I609" i="9"/>
  <c r="I585" i="9"/>
  <c r="I591" i="9" s="1"/>
  <c r="F584" i="159"/>
  <c r="G584" i="9"/>
  <c r="I303" i="9"/>
  <c r="I304" i="9" s="1"/>
  <c r="F302" i="159"/>
  <c r="G302" i="9"/>
  <c r="F420" i="159"/>
  <c r="G420" i="9"/>
  <c r="I431" i="9"/>
  <c r="I433" i="9" s="1"/>
  <c r="I275" i="9"/>
  <c r="F257" i="159"/>
  <c r="G257" i="9"/>
  <c r="F211" i="159"/>
  <c r="G211" i="9"/>
  <c r="F209" i="159"/>
  <c r="G209" i="9"/>
  <c r="H149" i="164"/>
  <c r="J145" i="164"/>
  <c r="J149" i="164" s="1"/>
  <c r="J485" i="161"/>
  <c r="H485" i="161"/>
  <c r="I485" i="161"/>
  <c r="H260" i="157"/>
  <c r="F260" i="155" s="1"/>
  <c r="I260" i="157"/>
  <c r="J835" i="158"/>
  <c r="K835" i="158" s="1"/>
  <c r="H521" i="158"/>
  <c r="I521" i="158"/>
  <c r="H27" i="157"/>
  <c r="H868" i="157"/>
  <c r="H636" i="157"/>
  <c r="H639" i="157" s="1"/>
  <c r="F465" i="159"/>
  <c r="H834" i="159"/>
  <c r="G850" i="160"/>
  <c r="G854" i="157"/>
  <c r="H854" i="157"/>
  <c r="H855" i="157" s="1"/>
  <c r="H640" i="157" s="1"/>
  <c r="H539" i="157"/>
  <c r="H540" i="157" s="1"/>
  <c r="I850" i="155"/>
  <c r="I851" i="155"/>
  <c r="K184" i="161"/>
  <c r="L182" i="161"/>
  <c r="L184" i="161" s="1"/>
  <c r="I629" i="165"/>
  <c r="I629" i="166"/>
  <c r="G271" i="157"/>
  <c r="J271" i="157" s="1"/>
  <c r="K271" i="157" s="1"/>
  <c r="I271" i="166"/>
  <c r="I234" i="157"/>
  <c r="H234" i="157"/>
  <c r="J418" i="161"/>
  <c r="H418" i="161"/>
  <c r="I418" i="161"/>
  <c r="J226" i="161"/>
  <c r="H226" i="161"/>
  <c r="I226" i="161"/>
  <c r="H578" i="157"/>
  <c r="F580" i="157"/>
  <c r="F598" i="157" s="1"/>
  <c r="F579" i="161"/>
  <c r="F579" i="160"/>
  <c r="G465" i="9"/>
  <c r="G834" i="9"/>
  <c r="J834" i="9" s="1"/>
  <c r="K834" i="9" s="1"/>
  <c r="J789" i="155"/>
  <c r="H531" i="160"/>
  <c r="G531" i="165" s="1"/>
  <c r="K491" i="9"/>
  <c r="K493" i="9" s="1"/>
  <c r="J493" i="9"/>
  <c r="J101" i="165"/>
  <c r="J12" i="165" s="1"/>
  <c r="J182" i="165"/>
  <c r="J184" i="165" s="1"/>
  <c r="F868" i="159"/>
  <c r="F636" i="159"/>
  <c r="F639" i="159" s="1"/>
  <c r="F641" i="159" s="1"/>
  <c r="F644" i="159" s="1"/>
  <c r="F27" i="159"/>
  <c r="H266" i="157"/>
  <c r="F266" i="155" s="1"/>
  <c r="I266" i="157"/>
  <c r="K484" i="9"/>
  <c r="F151" i="165"/>
  <c r="F13" i="165" s="1"/>
  <c r="F188" i="165"/>
  <c r="G421" i="159"/>
  <c r="J588" i="9"/>
  <c r="K90" i="155"/>
  <c r="L86" i="155"/>
  <c r="L90" i="155" s="1"/>
  <c r="K86" i="167"/>
  <c r="K90" i="167" s="1"/>
  <c r="F90" i="167"/>
  <c r="G795" i="161"/>
  <c r="K795" i="161" s="1"/>
  <c r="I269" i="161"/>
  <c r="J269" i="161"/>
  <c r="H269" i="161"/>
  <c r="I528" i="160"/>
  <c r="G528" i="166" s="1"/>
  <c r="J528" i="160"/>
  <c r="G528" i="167" s="1"/>
  <c r="H528" i="160"/>
  <c r="G528" i="165" s="1"/>
  <c r="H312" i="158"/>
  <c r="H313" i="158" s="1"/>
  <c r="H498" i="158"/>
  <c r="H18" i="158"/>
  <c r="J578" i="158"/>
  <c r="I457" i="161"/>
  <c r="F458" i="161"/>
  <c r="J457" i="161"/>
  <c r="H457" i="161"/>
  <c r="F149" i="164"/>
  <c r="I531" i="165"/>
  <c r="H629" i="160"/>
  <c r="G629" i="165" s="1"/>
  <c r="I629" i="160"/>
  <c r="G629" i="166" s="1"/>
  <c r="J629" i="160"/>
  <c r="G629" i="167" s="1"/>
  <c r="H519" i="158"/>
  <c r="F522" i="158"/>
  <c r="I519" i="158"/>
  <c r="J630" i="157"/>
  <c r="K626" i="157"/>
  <c r="K630" i="157" s="1"/>
  <c r="H419" i="157"/>
  <c r="F419" i="155" s="1"/>
  <c r="I419" i="157"/>
  <c r="H418" i="157"/>
  <c r="F418" i="155" s="1"/>
  <c r="I418" i="157"/>
  <c r="H492" i="157"/>
  <c r="F492" i="155" s="1"/>
  <c r="I492" i="157"/>
  <c r="F308" i="158"/>
  <c r="H212" i="161"/>
  <c r="I212" i="161"/>
  <c r="J212" i="161"/>
  <c r="I536" i="9"/>
  <c r="F535" i="159"/>
  <c r="F270" i="159"/>
  <c r="G270" i="9"/>
  <c r="F221" i="159"/>
  <c r="G221" i="9"/>
  <c r="I229" i="9"/>
  <c r="H425" i="157"/>
  <c r="F425" i="155" s="1"/>
  <c r="I425" i="157"/>
  <c r="H14" i="49"/>
  <c r="L827" i="160"/>
  <c r="P827" i="160"/>
  <c r="I225" i="161"/>
  <c r="J225" i="161"/>
  <c r="H225" i="161"/>
  <c r="F220" i="161"/>
  <c r="G220" i="159"/>
  <c r="K578" i="9"/>
  <c r="K580" i="9" s="1"/>
  <c r="K598" i="9" s="1"/>
  <c r="J580" i="9"/>
  <c r="J598" i="9" s="1"/>
  <c r="F462" i="157"/>
  <c r="H461" i="157"/>
  <c r="I461" i="157"/>
  <c r="I462" i="157" s="1"/>
  <c r="K140" i="155"/>
  <c r="K183" i="155" s="1"/>
  <c r="L183" i="155" s="1"/>
  <c r="L136" i="155"/>
  <c r="L140" i="155" s="1"/>
  <c r="L412" i="162"/>
  <c r="L416" i="162" s="1"/>
  <c r="K416" i="162"/>
  <c r="I259" i="161"/>
  <c r="J259" i="161"/>
  <c r="H259" i="161"/>
  <c r="K850" i="161"/>
  <c r="H423" i="161"/>
  <c r="I423" i="161"/>
  <c r="J423" i="161"/>
  <c r="H458" i="157"/>
  <c r="H833" i="157" s="1"/>
  <c r="F457" i="155"/>
  <c r="F487" i="158"/>
  <c r="I528" i="166"/>
  <c r="J854" i="9"/>
  <c r="I855" i="9"/>
  <c r="I640" i="9" s="1"/>
  <c r="J640" i="9" s="1"/>
  <c r="K640" i="9" s="1"/>
  <c r="K641" i="9" s="1"/>
  <c r="K644" i="9" s="1"/>
  <c r="F430" i="159"/>
  <c r="G430" i="9"/>
  <c r="F223" i="159"/>
  <c r="G223" i="9"/>
  <c r="I274" i="161"/>
  <c r="J274" i="161"/>
  <c r="H274" i="161"/>
  <c r="I462" i="159"/>
  <c r="I465" i="159" s="1"/>
  <c r="F461" i="161"/>
  <c r="H424" i="161"/>
  <c r="I424" i="161"/>
  <c r="J424" i="161"/>
  <c r="K101" i="160"/>
  <c r="K12" i="160" s="1"/>
  <c r="K182" i="160"/>
  <c r="I269" i="157"/>
  <c r="H269" i="157"/>
  <c r="F269" i="155" s="1"/>
  <c r="I271" i="167"/>
  <c r="G271" i="161"/>
  <c r="I18" i="158"/>
  <c r="I312" i="158"/>
  <c r="I313" i="158" s="1"/>
  <c r="I498" i="158"/>
  <c r="I520" i="161"/>
  <c r="J520" i="161"/>
  <c r="H520" i="161"/>
  <c r="H535" i="157"/>
  <c r="F536" i="157"/>
  <c r="I579" i="159"/>
  <c r="J579" i="159" s="1"/>
  <c r="K579" i="159" s="1"/>
  <c r="I539" i="159"/>
  <c r="I540" i="159" s="1"/>
  <c r="I588" i="159"/>
  <c r="J588" i="159" s="1"/>
  <c r="I854" i="159"/>
  <c r="I855" i="159" s="1"/>
  <c r="I640" i="159" s="1"/>
  <c r="F653" i="9"/>
  <c r="G609" i="158"/>
  <c r="G591" i="158"/>
  <c r="K416" i="155"/>
  <c r="L412" i="155"/>
  <c r="L416" i="155" s="1"/>
  <c r="H789" i="155"/>
  <c r="F416" i="164"/>
  <c r="I630" i="159"/>
  <c r="F626" i="161"/>
  <c r="I263" i="161"/>
  <c r="J263" i="161"/>
  <c r="H263" i="161"/>
  <c r="H101" i="164"/>
  <c r="H12" i="164" s="1"/>
  <c r="H182" i="164"/>
  <c r="H184" i="164" s="1"/>
  <c r="L827" i="161"/>
  <c r="P827" i="161"/>
  <c r="J303" i="158"/>
  <c r="J304" i="158" s="1"/>
  <c r="K302" i="158"/>
  <c r="K303" i="158" s="1"/>
  <c r="K304" i="158" s="1"/>
  <c r="K86" i="166"/>
  <c r="K90" i="166" s="1"/>
  <c r="F90" i="166"/>
  <c r="I225" i="157"/>
  <c r="H225" i="157"/>
  <c r="F225" i="155" s="1"/>
  <c r="I838" i="158"/>
  <c r="J838" i="158" s="1"/>
  <c r="K838" i="158" s="1"/>
  <c r="J850" i="155"/>
  <c r="J851" i="155"/>
  <c r="H262" i="161"/>
  <c r="I262" i="161"/>
  <c r="J262" i="161"/>
  <c r="I457" i="157"/>
  <c r="I458" i="157" s="1"/>
  <c r="J188" i="166"/>
  <c r="J189" i="166" s="1"/>
  <c r="J151" i="166"/>
  <c r="J13" i="166" s="1"/>
  <c r="J86" i="164"/>
  <c r="J90" i="164" s="1"/>
  <c r="H266" i="161"/>
  <c r="I266" i="161"/>
  <c r="J266" i="161"/>
  <c r="H220" i="157"/>
  <c r="I220" i="157"/>
  <c r="K145" i="167"/>
  <c r="K149" i="167" s="1"/>
  <c r="F149" i="167"/>
  <c r="F313" i="158"/>
  <c r="G868" i="157"/>
  <c r="G27" i="157"/>
  <c r="G636" i="157"/>
  <c r="G639" i="157" s="1"/>
  <c r="H562" i="159"/>
  <c r="H891" i="159"/>
  <c r="F323" i="158"/>
  <c r="F296" i="158"/>
  <c r="H310" i="9"/>
  <c r="F307" i="158"/>
  <c r="H423" i="157"/>
  <c r="F423" i="155" s="1"/>
  <c r="I423" i="157"/>
  <c r="K417" i="9"/>
  <c r="K188" i="157"/>
  <c r="K189" i="157" s="1"/>
  <c r="K191" i="157" s="1"/>
  <c r="J189" i="157"/>
  <c r="J191" i="157" s="1"/>
  <c r="K145" i="166"/>
  <c r="K149" i="166" s="1"/>
  <c r="F149" i="166"/>
  <c r="I609" i="157"/>
  <c r="I562" i="9"/>
  <c r="I891" i="9"/>
  <c r="F429" i="159"/>
  <c r="G429" i="9"/>
  <c r="F279" i="159"/>
  <c r="I281" i="9"/>
  <c r="G279" i="9"/>
  <c r="F235" i="159"/>
  <c r="G235" i="9"/>
  <c r="I236" i="9"/>
  <c r="F210" i="159"/>
  <c r="G210" i="9"/>
  <c r="I19" i="9"/>
  <c r="I835" i="9"/>
  <c r="I499" i="9"/>
  <c r="K149" i="155"/>
  <c r="L145" i="155"/>
  <c r="L149" i="155" s="1"/>
  <c r="K187" i="167"/>
  <c r="H261" i="161"/>
  <c r="I261" i="161"/>
  <c r="J261" i="161"/>
  <c r="I626" i="155"/>
  <c r="J626" i="155"/>
  <c r="H626" i="155"/>
  <c r="F630" i="155"/>
  <c r="H19" i="159"/>
  <c r="H499" i="159"/>
  <c r="H485" i="157"/>
  <c r="F485" i="155" s="1"/>
  <c r="I485" i="157"/>
  <c r="G458" i="159"/>
  <c r="G833" i="159" s="1"/>
  <c r="J457" i="159"/>
  <c r="F457" i="160"/>
  <c r="I796" i="157"/>
  <c r="I535" i="157" s="1"/>
  <c r="G539" i="157"/>
  <c r="G189" i="164"/>
  <c r="F95" i="164"/>
  <c r="K95" i="162"/>
  <c r="G99" i="162"/>
  <c r="G187" i="162" s="1"/>
  <c r="G629" i="161"/>
  <c r="I227" i="157"/>
  <c r="H227" i="157"/>
  <c r="F227" i="155" s="1"/>
  <c r="J271" i="155"/>
  <c r="H271" i="167" s="1"/>
  <c r="H271" i="155"/>
  <c r="H271" i="165" s="1"/>
  <c r="I271" i="155"/>
  <c r="H271" i="166" s="1"/>
  <c r="I261" i="157"/>
  <c r="H261" i="157"/>
  <c r="F261" i="155" s="1"/>
  <c r="F86" i="164"/>
  <c r="K86" i="162"/>
  <c r="G90" i="162"/>
  <c r="K234" i="9"/>
  <c r="G520" i="159"/>
  <c r="G544" i="9"/>
  <c r="G886" i="9"/>
  <c r="J796" i="159"/>
  <c r="K796" i="159" s="1"/>
  <c r="J499" i="158"/>
  <c r="J19" i="158"/>
  <c r="G786" i="155"/>
  <c r="K786" i="155" s="1"/>
  <c r="J528" i="155"/>
  <c r="H528" i="167" s="1"/>
  <c r="I425" i="161"/>
  <c r="J425" i="161"/>
  <c r="H425" i="161"/>
  <c r="H27" i="159"/>
  <c r="H636" i="159"/>
  <c r="H639" i="159" s="1"/>
  <c r="H641" i="159" s="1"/>
  <c r="H644" i="159" s="1"/>
  <c r="H868" i="159"/>
  <c r="F234" i="161"/>
  <c r="G609" i="9"/>
  <c r="K187" i="165"/>
  <c r="J787" i="155"/>
  <c r="G827" i="155"/>
  <c r="K827" i="155" s="1"/>
  <c r="H227" i="161"/>
  <c r="I227" i="161"/>
  <c r="J227" i="161"/>
  <c r="H265" i="161"/>
  <c r="I265" i="161"/>
  <c r="J265" i="161"/>
  <c r="H796" i="161"/>
  <c r="I796" i="161"/>
  <c r="F329" i="161"/>
  <c r="J796" i="161"/>
  <c r="I271" i="160"/>
  <c r="G271" i="166" s="1"/>
  <c r="J271" i="160"/>
  <c r="G271" i="167" s="1"/>
  <c r="H271" i="160"/>
  <c r="G271" i="165" s="1"/>
  <c r="H428" i="157"/>
  <c r="F428" i="155" s="1"/>
  <c r="I428" i="157"/>
  <c r="I263" i="157"/>
  <c r="H263" i="157"/>
  <c r="F263" i="155" s="1"/>
  <c r="G562" i="9"/>
  <c r="G891" i="9"/>
  <c r="L145" i="162"/>
  <c r="L149" i="162" s="1"/>
  <c r="K149" i="162"/>
  <c r="K101" i="167" l="1"/>
  <c r="K499" i="158"/>
  <c r="H214" i="159"/>
  <c r="I214" i="159"/>
  <c r="F214" i="161" s="1"/>
  <c r="J214" i="9"/>
  <c r="K214" i="9" s="1"/>
  <c r="F214" i="157"/>
  <c r="K151" i="165"/>
  <c r="I531" i="160"/>
  <c r="G531" i="166" s="1"/>
  <c r="J531" i="166" s="1"/>
  <c r="K13" i="165"/>
  <c r="K101" i="165"/>
  <c r="P789" i="160"/>
  <c r="L789" i="161"/>
  <c r="F418" i="160"/>
  <c r="H418" i="160" s="1"/>
  <c r="G418" i="165" s="1"/>
  <c r="K188" i="165"/>
  <c r="K189" i="165" s="1"/>
  <c r="J191" i="165"/>
  <c r="J329" i="165" s="1"/>
  <c r="J540" i="9"/>
  <c r="J562" i="9" s="1"/>
  <c r="G531" i="155"/>
  <c r="K531" i="155" s="1"/>
  <c r="L531" i="155" s="1"/>
  <c r="I323" i="158"/>
  <c r="F212" i="160"/>
  <c r="H212" i="160" s="1"/>
  <c r="G212" i="165" s="1"/>
  <c r="J428" i="159"/>
  <c r="K428" i="159" s="1"/>
  <c r="G629" i="155"/>
  <c r="K629" i="155" s="1"/>
  <c r="L629" i="155" s="1"/>
  <c r="K151" i="167"/>
  <c r="P787" i="160"/>
  <c r="J589" i="157"/>
  <c r="J609" i="157" s="1"/>
  <c r="J264" i="159"/>
  <c r="K264" i="159" s="1"/>
  <c r="F226" i="160"/>
  <c r="H226" i="160" s="1"/>
  <c r="G226" i="165" s="1"/>
  <c r="J492" i="159"/>
  <c r="K492" i="159" s="1"/>
  <c r="F274" i="160"/>
  <c r="H274" i="160" s="1"/>
  <c r="G274" i="165" s="1"/>
  <c r="H296" i="158"/>
  <c r="J629" i="167"/>
  <c r="F263" i="160"/>
  <c r="I263" i="160" s="1"/>
  <c r="G263" i="166" s="1"/>
  <c r="L101" i="155"/>
  <c r="J485" i="159"/>
  <c r="K485" i="159" s="1"/>
  <c r="P787" i="161"/>
  <c r="F225" i="160"/>
  <c r="I225" i="160" s="1"/>
  <c r="G225" i="166" s="1"/>
  <c r="J191" i="167"/>
  <c r="J329" i="167" s="1"/>
  <c r="J424" i="159"/>
  <c r="K424" i="159" s="1"/>
  <c r="G789" i="155"/>
  <c r="K789" i="155" s="1"/>
  <c r="P789" i="155" s="1"/>
  <c r="J261" i="159"/>
  <c r="K261" i="159" s="1"/>
  <c r="F269" i="160"/>
  <c r="J269" i="160" s="1"/>
  <c r="G269" i="167" s="1"/>
  <c r="I238" i="9"/>
  <c r="I323" i="9" s="1"/>
  <c r="I528" i="164"/>
  <c r="F259" i="160"/>
  <c r="J259" i="160" s="1"/>
  <c r="G259" i="167" s="1"/>
  <c r="F423" i="160"/>
  <c r="I423" i="160" s="1"/>
  <c r="G423" i="166" s="1"/>
  <c r="K412" i="164"/>
  <c r="K416" i="164" s="1"/>
  <c r="P13" i="162"/>
  <c r="F265" i="160"/>
  <c r="I265" i="160" s="1"/>
  <c r="G265" i="166" s="1"/>
  <c r="G191" i="155"/>
  <c r="G329" i="155" s="1"/>
  <c r="F234" i="160"/>
  <c r="H234" i="160" s="1"/>
  <c r="F461" i="160"/>
  <c r="J461" i="160" s="1"/>
  <c r="J461" i="159"/>
  <c r="J462" i="159" s="1"/>
  <c r="J417" i="159"/>
  <c r="K417" i="159" s="1"/>
  <c r="K145" i="164"/>
  <c r="K149" i="164" s="1"/>
  <c r="G234" i="157"/>
  <c r="J234" i="157" s="1"/>
  <c r="K151" i="166"/>
  <c r="J260" i="159"/>
  <c r="K260" i="159" s="1"/>
  <c r="G485" i="157"/>
  <c r="J485" i="157" s="1"/>
  <c r="K485" i="157" s="1"/>
  <c r="F419" i="160"/>
  <c r="I419" i="160" s="1"/>
  <c r="G419" i="166" s="1"/>
  <c r="J191" i="166"/>
  <c r="J329" i="166" s="1"/>
  <c r="K588" i="158"/>
  <c r="K589" i="158" s="1"/>
  <c r="K609" i="158" s="1"/>
  <c r="F425" i="160"/>
  <c r="H425" i="160" s="1"/>
  <c r="G425" i="165" s="1"/>
  <c r="F422" i="160"/>
  <c r="H422" i="160" s="1"/>
  <c r="G422" i="165" s="1"/>
  <c r="J227" i="159"/>
  <c r="K227" i="159" s="1"/>
  <c r="G191" i="164"/>
  <c r="G329" i="164" s="1"/>
  <c r="J531" i="167"/>
  <c r="G521" i="158"/>
  <c r="J521" i="158" s="1"/>
  <c r="K521" i="158" s="1"/>
  <c r="G417" i="157"/>
  <c r="J417" i="157" s="1"/>
  <c r="G421" i="161"/>
  <c r="I421" i="164" s="1"/>
  <c r="G484" i="157"/>
  <c r="J484" i="157" s="1"/>
  <c r="G189" i="162"/>
  <c r="F484" i="160"/>
  <c r="H484" i="160" s="1"/>
  <c r="G422" i="161"/>
  <c r="K422" i="161" s="1"/>
  <c r="L422" i="161" s="1"/>
  <c r="G238" i="158"/>
  <c r="G323" i="158" s="1"/>
  <c r="G263" i="157"/>
  <c r="J263" i="157" s="1"/>
  <c r="K263" i="157" s="1"/>
  <c r="G425" i="161"/>
  <c r="I425" i="164" s="1"/>
  <c r="I531" i="164"/>
  <c r="F266" i="160"/>
  <c r="J266" i="160" s="1"/>
  <c r="G266" i="167" s="1"/>
  <c r="G269" i="157"/>
  <c r="J269" i="157" s="1"/>
  <c r="K269" i="157" s="1"/>
  <c r="J271" i="165"/>
  <c r="G269" i="161"/>
  <c r="I269" i="164" s="1"/>
  <c r="G259" i="157"/>
  <c r="J259" i="157" s="1"/>
  <c r="K259" i="157" s="1"/>
  <c r="I191" i="162"/>
  <c r="I329" i="162" s="1"/>
  <c r="O789" i="157"/>
  <c r="G261" i="161"/>
  <c r="K261" i="161" s="1"/>
  <c r="L261" i="161" s="1"/>
  <c r="G226" i="161"/>
  <c r="K226" i="161" s="1"/>
  <c r="L226" i="161" s="1"/>
  <c r="G457" i="161"/>
  <c r="I457" i="164" s="1"/>
  <c r="I458" i="164" s="1"/>
  <c r="G264" i="161"/>
  <c r="K264" i="161" s="1"/>
  <c r="L264" i="161" s="1"/>
  <c r="I536" i="157"/>
  <c r="I544" i="157" s="1"/>
  <c r="G535" i="157"/>
  <c r="G536" i="157" s="1"/>
  <c r="G271" i="155"/>
  <c r="K271" i="155" s="1"/>
  <c r="L271" i="155" s="1"/>
  <c r="O838" i="158"/>
  <c r="G225" i="157"/>
  <c r="J225" i="157" s="1"/>
  <c r="K225" i="157" s="1"/>
  <c r="H522" i="158"/>
  <c r="H876" i="158" s="1"/>
  <c r="J640" i="159"/>
  <c r="G212" i="157"/>
  <c r="J212" i="157" s="1"/>
  <c r="K212" i="157" s="1"/>
  <c r="J796" i="157"/>
  <c r="K796" i="157" s="1"/>
  <c r="I578" i="157"/>
  <c r="I580" i="157" s="1"/>
  <c r="I598" i="157" s="1"/>
  <c r="H629" i="162"/>
  <c r="F629" i="165" s="1"/>
  <c r="G264" i="157"/>
  <c r="J264" i="157" s="1"/>
  <c r="K264" i="157" s="1"/>
  <c r="G794" i="155"/>
  <c r="K794" i="155" s="1"/>
  <c r="L794" i="155" s="1"/>
  <c r="G795" i="155"/>
  <c r="K795" i="155" s="1"/>
  <c r="P795" i="155" s="1"/>
  <c r="G428" i="161"/>
  <c r="K428" i="161" s="1"/>
  <c r="L428" i="161" s="1"/>
  <c r="J528" i="167"/>
  <c r="G491" i="157"/>
  <c r="J491" i="157" s="1"/>
  <c r="J531" i="162"/>
  <c r="F531" i="167" s="1"/>
  <c r="J528" i="166"/>
  <c r="G851" i="155"/>
  <c r="K851" i="155" s="1"/>
  <c r="L851" i="155" s="1"/>
  <c r="G492" i="157"/>
  <c r="J492" i="157" s="1"/>
  <c r="K492" i="157" s="1"/>
  <c r="G520" i="157"/>
  <c r="J520" i="157" s="1"/>
  <c r="K520" i="157" s="1"/>
  <c r="G492" i="161"/>
  <c r="K492" i="161" s="1"/>
  <c r="L492" i="161" s="1"/>
  <c r="J262" i="159"/>
  <c r="K262" i="159" s="1"/>
  <c r="J271" i="166"/>
  <c r="G418" i="157"/>
  <c r="J418" i="157" s="1"/>
  <c r="K418" i="157" s="1"/>
  <c r="J531" i="165"/>
  <c r="G787" i="155"/>
  <c r="K787" i="155" s="1"/>
  <c r="L787" i="155" s="1"/>
  <c r="G265" i="157"/>
  <c r="J265" i="157" s="1"/>
  <c r="K265" i="157" s="1"/>
  <c r="K588" i="159"/>
  <c r="K589" i="159" s="1"/>
  <c r="J589" i="159"/>
  <c r="I599" i="9"/>
  <c r="I550" i="9"/>
  <c r="I604" i="9"/>
  <c r="I227" i="166"/>
  <c r="J261" i="155"/>
  <c r="H261" i="167" s="1"/>
  <c r="H261" i="155"/>
  <c r="H261" i="165" s="1"/>
  <c r="I261" i="155"/>
  <c r="H261" i="166" s="1"/>
  <c r="K629" i="161"/>
  <c r="L629" i="161" s="1"/>
  <c r="I629" i="164"/>
  <c r="H626" i="165"/>
  <c r="H630" i="165" s="1"/>
  <c r="H630" i="155"/>
  <c r="H801" i="158"/>
  <c r="I801" i="158"/>
  <c r="G801" i="158"/>
  <c r="I266" i="166"/>
  <c r="I262" i="166"/>
  <c r="I263" i="166"/>
  <c r="I520" i="166"/>
  <c r="K271" i="161"/>
  <c r="L271" i="161" s="1"/>
  <c r="I271" i="164"/>
  <c r="I424" i="167"/>
  <c r="I424" i="165"/>
  <c r="H487" i="158"/>
  <c r="I487" i="158"/>
  <c r="I259" i="165"/>
  <c r="I225" i="166"/>
  <c r="I212" i="166"/>
  <c r="G308" i="158"/>
  <c r="H308" i="158"/>
  <c r="I308" i="158"/>
  <c r="F101" i="167"/>
  <c r="F12" i="167" s="1"/>
  <c r="F182" i="167"/>
  <c r="J421" i="159"/>
  <c r="K421" i="159" s="1"/>
  <c r="F421" i="160"/>
  <c r="G19" i="9"/>
  <c r="G499" i="9"/>
  <c r="G835" i="9"/>
  <c r="H188" i="164"/>
  <c r="H189" i="164" s="1"/>
  <c r="H191" i="164" s="1"/>
  <c r="H151" i="164"/>
  <c r="H13" i="164" s="1"/>
  <c r="I211" i="159"/>
  <c r="F211" i="161" s="1"/>
  <c r="H211" i="159"/>
  <c r="I226" i="155"/>
  <c r="H226" i="166" s="1"/>
  <c r="J226" i="155"/>
  <c r="H226" i="167" s="1"/>
  <c r="H226" i="155"/>
  <c r="H226" i="165" s="1"/>
  <c r="I419" i="167"/>
  <c r="G419" i="161"/>
  <c r="I422" i="155"/>
  <c r="H422" i="166" s="1"/>
  <c r="J422" i="155"/>
  <c r="H422" i="167" s="1"/>
  <c r="H422" i="155"/>
  <c r="H422" i="165" s="1"/>
  <c r="I213" i="159"/>
  <c r="F213" i="161" s="1"/>
  <c r="H213" i="159"/>
  <c r="K609" i="157"/>
  <c r="I492" i="166"/>
  <c r="I260" i="165"/>
  <c r="G544" i="158"/>
  <c r="G886" i="158"/>
  <c r="J591" i="158"/>
  <c r="J609" i="158"/>
  <c r="J224" i="9"/>
  <c r="K224" i="9" s="1"/>
  <c r="F224" i="157"/>
  <c r="I428" i="167"/>
  <c r="H417" i="160"/>
  <c r="I417" i="160"/>
  <c r="J417" i="160"/>
  <c r="J544" i="9"/>
  <c r="J886" i="9"/>
  <c r="I265" i="165"/>
  <c r="H234" i="161"/>
  <c r="I234" i="161"/>
  <c r="J234" i="161"/>
  <c r="G626" i="155"/>
  <c r="J423" i="155"/>
  <c r="H423" i="167" s="1"/>
  <c r="H423" i="155"/>
  <c r="H423" i="165" s="1"/>
  <c r="I423" i="155"/>
  <c r="H423" i="166" s="1"/>
  <c r="I263" i="165"/>
  <c r="G550" i="158"/>
  <c r="G599" i="158"/>
  <c r="G604" i="158"/>
  <c r="I423" i="166"/>
  <c r="L850" i="161"/>
  <c r="I225" i="165"/>
  <c r="I221" i="159"/>
  <c r="H221" i="159"/>
  <c r="F229" i="159"/>
  <c r="J528" i="165"/>
  <c r="I269" i="167"/>
  <c r="I226" i="167"/>
  <c r="J641" i="9"/>
  <c r="H641" i="157"/>
  <c r="H644" i="157" s="1"/>
  <c r="I260" i="155"/>
  <c r="H260" i="166" s="1"/>
  <c r="J260" i="155"/>
  <c r="H260" i="167" s="1"/>
  <c r="H260" i="155"/>
  <c r="H260" i="165" s="1"/>
  <c r="J209" i="9"/>
  <c r="K209" i="9" s="1"/>
  <c r="F209" i="157"/>
  <c r="I799" i="9"/>
  <c r="G226" i="157"/>
  <c r="J226" i="157" s="1"/>
  <c r="K226" i="157" s="1"/>
  <c r="I264" i="166"/>
  <c r="I422" i="166"/>
  <c r="I421" i="167"/>
  <c r="I419" i="166"/>
  <c r="G578" i="159"/>
  <c r="F580" i="159"/>
  <c r="F598" i="159" s="1"/>
  <c r="I578" i="159"/>
  <c r="H578" i="159"/>
  <c r="H580" i="159" s="1"/>
  <c r="H598" i="159" s="1"/>
  <c r="I854" i="160"/>
  <c r="I855" i="160" s="1"/>
  <c r="I640" i="160" s="1"/>
  <c r="G640" i="166" s="1"/>
  <c r="I539" i="160"/>
  <c r="H224" i="159"/>
  <c r="I224" i="159"/>
  <c r="F224" i="161" s="1"/>
  <c r="G215" i="9"/>
  <c r="J206" i="9"/>
  <c r="F206" i="157"/>
  <c r="I428" i="155"/>
  <c r="H428" i="166" s="1"/>
  <c r="J428" i="155"/>
  <c r="H428" i="167" s="1"/>
  <c r="H428" i="155"/>
  <c r="H428" i="165" s="1"/>
  <c r="I227" i="165"/>
  <c r="L86" i="162"/>
  <c r="L90" i="162" s="1"/>
  <c r="K90" i="162"/>
  <c r="K188" i="162"/>
  <c r="L188" i="162" s="1"/>
  <c r="H263" i="155"/>
  <c r="H263" i="165" s="1"/>
  <c r="I263" i="155"/>
  <c r="H263" i="166" s="1"/>
  <c r="J263" i="155"/>
  <c r="H263" i="167" s="1"/>
  <c r="G428" i="157"/>
  <c r="J428" i="157" s="1"/>
  <c r="K428" i="157" s="1"/>
  <c r="J271" i="167"/>
  <c r="I265" i="166"/>
  <c r="I227" i="167"/>
  <c r="G227" i="161"/>
  <c r="F189" i="165"/>
  <c r="I425" i="165"/>
  <c r="L786" i="155"/>
  <c r="P786" i="155"/>
  <c r="K86" i="164"/>
  <c r="K90" i="164" s="1"/>
  <c r="F90" i="164"/>
  <c r="G261" i="157"/>
  <c r="J261" i="157" s="1"/>
  <c r="K261" i="157" s="1"/>
  <c r="G227" i="157"/>
  <c r="J227" i="157" s="1"/>
  <c r="K227" i="157" s="1"/>
  <c r="K95" i="164"/>
  <c r="K99" i="164" s="1"/>
  <c r="F99" i="164"/>
  <c r="F187" i="164" s="1"/>
  <c r="I539" i="157"/>
  <c r="I540" i="157" s="1"/>
  <c r="I854" i="157"/>
  <c r="I855" i="157" s="1"/>
  <c r="I640" i="157" s="1"/>
  <c r="I641" i="157" s="1"/>
  <c r="I644" i="157" s="1"/>
  <c r="F27" i="155"/>
  <c r="F868" i="155"/>
  <c r="F636" i="155"/>
  <c r="F639" i="155" s="1"/>
  <c r="F641" i="155" s="1"/>
  <c r="F644" i="155" s="1"/>
  <c r="I261" i="167"/>
  <c r="L151" i="155"/>
  <c r="J235" i="9"/>
  <c r="F235" i="157"/>
  <c r="G236" i="9"/>
  <c r="G279" i="159"/>
  <c r="H279" i="159"/>
  <c r="H281" i="159" s="1"/>
  <c r="I279" i="159"/>
  <c r="F281" i="159"/>
  <c r="G423" i="157"/>
  <c r="J423" i="157" s="1"/>
  <c r="K423" i="157" s="1"/>
  <c r="G816" i="158"/>
  <c r="I816" i="158"/>
  <c r="H816" i="158"/>
  <c r="I266" i="167"/>
  <c r="J101" i="164"/>
  <c r="J12" i="164" s="1"/>
  <c r="J182" i="164"/>
  <c r="J184" i="164" s="1"/>
  <c r="G457" i="157"/>
  <c r="I262" i="167"/>
  <c r="I263" i="167"/>
  <c r="I636" i="159"/>
  <c r="I639" i="159" s="1"/>
  <c r="I641" i="159" s="1"/>
  <c r="I644" i="159" s="1"/>
  <c r="I27" i="159"/>
  <c r="I868" i="159"/>
  <c r="G528" i="155"/>
  <c r="F535" i="155"/>
  <c r="H536" i="157"/>
  <c r="I520" i="167"/>
  <c r="H269" i="155"/>
  <c r="H269" i="165" s="1"/>
  <c r="I269" i="155"/>
  <c r="H269" i="166" s="1"/>
  <c r="J269" i="155"/>
  <c r="H269" i="167" s="1"/>
  <c r="K184" i="160"/>
  <c r="K191" i="160" s="1"/>
  <c r="L182" i="160"/>
  <c r="L184" i="160" s="1"/>
  <c r="L191" i="160" s="1"/>
  <c r="I274" i="166"/>
  <c r="H430" i="159"/>
  <c r="I430" i="159"/>
  <c r="F430" i="161" s="1"/>
  <c r="I423" i="165"/>
  <c r="H264" i="160"/>
  <c r="G264" i="165" s="1"/>
  <c r="I264" i="160"/>
  <c r="G264" i="166" s="1"/>
  <c r="J264" i="160"/>
  <c r="G264" i="167" s="1"/>
  <c r="I259" i="167"/>
  <c r="H462" i="157"/>
  <c r="H465" i="157" s="1"/>
  <c r="F461" i="155"/>
  <c r="F220" i="160"/>
  <c r="J220" i="159"/>
  <c r="I225" i="167"/>
  <c r="H270" i="159"/>
  <c r="I270" i="159"/>
  <c r="F270" i="161" s="1"/>
  <c r="I212" i="167"/>
  <c r="J492" i="155"/>
  <c r="H492" i="167" s="1"/>
  <c r="H492" i="155"/>
  <c r="H492" i="165" s="1"/>
  <c r="I492" i="155"/>
  <c r="H492" i="166" s="1"/>
  <c r="K868" i="157"/>
  <c r="K636" i="157"/>
  <c r="K639" i="157" s="1"/>
  <c r="F876" i="158"/>
  <c r="G629" i="160"/>
  <c r="J629" i="165"/>
  <c r="I457" i="165"/>
  <c r="I458" i="165" s="1"/>
  <c r="H458" i="161"/>
  <c r="H833" i="161" s="1"/>
  <c r="I457" i="166"/>
  <c r="I458" i="166" s="1"/>
  <c r="I458" i="161"/>
  <c r="I833" i="161" s="1"/>
  <c r="G528" i="160"/>
  <c r="L795" i="161"/>
  <c r="P795" i="161"/>
  <c r="K588" i="9"/>
  <c r="K589" i="9" s="1"/>
  <c r="J589" i="9"/>
  <c r="I226" i="165"/>
  <c r="I271" i="162"/>
  <c r="F271" i="166" s="1"/>
  <c r="I629" i="162"/>
  <c r="F629" i="166" s="1"/>
  <c r="F19" i="159"/>
  <c r="F499" i="159"/>
  <c r="H835" i="159"/>
  <c r="J151" i="164"/>
  <c r="J13" i="164" s="1"/>
  <c r="J188" i="164"/>
  <c r="J189" i="164" s="1"/>
  <c r="J211" i="9"/>
  <c r="K211" i="9" s="1"/>
  <c r="F211" i="157"/>
  <c r="I283" i="9"/>
  <c r="I324" i="9" s="1"/>
  <c r="G303" i="9"/>
  <c r="G304" i="9" s="1"/>
  <c r="J302" i="9"/>
  <c r="F302" i="157"/>
  <c r="I584" i="159"/>
  <c r="F585" i="159"/>
  <c r="F591" i="159" s="1"/>
  <c r="H584" i="159"/>
  <c r="H585" i="159" s="1"/>
  <c r="H591" i="159" s="1"/>
  <c r="H528" i="162"/>
  <c r="F528" i="165" s="1"/>
  <c r="F417" i="155"/>
  <c r="I486" i="158"/>
  <c r="H486" i="158"/>
  <c r="F488" i="158"/>
  <c r="I264" i="155"/>
  <c r="H264" i="166" s="1"/>
  <c r="J264" i="155"/>
  <c r="H264" i="167" s="1"/>
  <c r="H264" i="155"/>
  <c r="H264" i="165" s="1"/>
  <c r="F184" i="165"/>
  <c r="K182" i="165"/>
  <c r="K184" i="165" s="1"/>
  <c r="J828" i="158"/>
  <c r="K828" i="158" s="1"/>
  <c r="I484" i="161"/>
  <c r="J484" i="161"/>
  <c r="H484" i="161"/>
  <c r="K484" i="159"/>
  <c r="J562" i="158"/>
  <c r="J891" i="158"/>
  <c r="L136" i="162"/>
  <c r="L140" i="162" s="1"/>
  <c r="L151" i="162" s="1"/>
  <c r="K140" i="162"/>
  <c r="K183" i="162" s="1"/>
  <c r="L183" i="162" s="1"/>
  <c r="I264" i="165"/>
  <c r="L187" i="155"/>
  <c r="F329" i="155"/>
  <c r="J796" i="155"/>
  <c r="H796" i="155"/>
  <c r="I796" i="155"/>
  <c r="H212" i="155"/>
  <c r="H212" i="165" s="1"/>
  <c r="I212" i="155"/>
  <c r="H212" i="166" s="1"/>
  <c r="J212" i="155"/>
  <c r="H212" i="167" s="1"/>
  <c r="G421" i="157"/>
  <c r="J421" i="157" s="1"/>
  <c r="K421" i="157" s="1"/>
  <c r="J630" i="159"/>
  <c r="K626" i="159"/>
  <c r="K630" i="159" s="1"/>
  <c r="H493" i="157"/>
  <c r="F491" i="155"/>
  <c r="G562" i="159"/>
  <c r="G891" i="159"/>
  <c r="I419" i="165"/>
  <c r="J265" i="155"/>
  <c r="H265" i="167" s="1"/>
  <c r="I265" i="155"/>
  <c r="H265" i="166" s="1"/>
  <c r="H265" i="155"/>
  <c r="H265" i="165" s="1"/>
  <c r="J629" i="162"/>
  <c r="F629" i="167" s="1"/>
  <c r="J213" i="9"/>
  <c r="K213" i="9" s="1"/>
  <c r="F213" i="157"/>
  <c r="J480" i="9"/>
  <c r="K480" i="9" s="1"/>
  <c r="F480" i="157"/>
  <c r="J528" i="162"/>
  <c r="F528" i="167" s="1"/>
  <c r="J481" i="158"/>
  <c r="K479" i="158"/>
  <c r="K481" i="158" s="1"/>
  <c r="G424" i="157"/>
  <c r="J424" i="157" s="1"/>
  <c r="K424" i="157" s="1"/>
  <c r="J854" i="160"/>
  <c r="J855" i="160" s="1"/>
  <c r="J640" i="160" s="1"/>
  <c r="G640" i="167" s="1"/>
  <c r="J539" i="160"/>
  <c r="I492" i="167"/>
  <c r="K234" i="159"/>
  <c r="I260" i="166"/>
  <c r="I260" i="167"/>
  <c r="G609" i="159"/>
  <c r="H271" i="162"/>
  <c r="F271" i="165" s="1"/>
  <c r="G274" i="157"/>
  <c r="J274" i="157" s="1"/>
  <c r="K274" i="157" s="1"/>
  <c r="I261" i="160"/>
  <c r="G261" i="166" s="1"/>
  <c r="J261" i="160"/>
  <c r="G261" i="167" s="1"/>
  <c r="H261" i="160"/>
  <c r="G261" i="165" s="1"/>
  <c r="H479" i="159"/>
  <c r="F481" i="159"/>
  <c r="I479" i="159"/>
  <c r="I539" i="161"/>
  <c r="I854" i="161"/>
  <c r="I855" i="161" s="1"/>
  <c r="I640" i="161" s="1"/>
  <c r="L827" i="155"/>
  <c r="P827" i="155"/>
  <c r="J227" i="155"/>
  <c r="H227" i="167" s="1"/>
  <c r="I227" i="155"/>
  <c r="H227" i="166" s="1"/>
  <c r="H227" i="155"/>
  <c r="H227" i="165" s="1"/>
  <c r="H457" i="160"/>
  <c r="I457" i="160"/>
  <c r="F458" i="160"/>
  <c r="J457" i="160"/>
  <c r="I261" i="166"/>
  <c r="K188" i="155"/>
  <c r="L188" i="155" s="1"/>
  <c r="K151" i="155"/>
  <c r="K13" i="155" s="1"/>
  <c r="L13" i="155" s="1"/>
  <c r="J210" i="9"/>
  <c r="K210" i="9" s="1"/>
  <c r="F210" i="157"/>
  <c r="H235" i="159"/>
  <c r="H236" i="159" s="1"/>
  <c r="I235" i="159"/>
  <c r="F236" i="159"/>
  <c r="J429" i="9"/>
  <c r="K429" i="9" s="1"/>
  <c r="F429" i="157"/>
  <c r="J329" i="157"/>
  <c r="I307" i="158"/>
  <c r="F310" i="158"/>
  <c r="G307" i="158"/>
  <c r="H307" i="158"/>
  <c r="F220" i="155"/>
  <c r="I589" i="159"/>
  <c r="F588" i="161"/>
  <c r="L12" i="160"/>
  <c r="I274" i="165"/>
  <c r="J223" i="9"/>
  <c r="K223" i="9" s="1"/>
  <c r="F223" i="157"/>
  <c r="I423" i="167"/>
  <c r="G423" i="161"/>
  <c r="I259" i="166"/>
  <c r="F465" i="157"/>
  <c r="H425" i="155"/>
  <c r="H425" i="165" s="1"/>
  <c r="I425" i="155"/>
  <c r="H425" i="166" s="1"/>
  <c r="J425" i="155"/>
  <c r="H425" i="167" s="1"/>
  <c r="J221" i="9"/>
  <c r="F221" i="157"/>
  <c r="G229" i="9"/>
  <c r="H535" i="159"/>
  <c r="H536" i="159" s="1"/>
  <c r="F536" i="159"/>
  <c r="I535" i="159"/>
  <c r="J419" i="155"/>
  <c r="H419" i="167" s="1"/>
  <c r="I419" i="155"/>
  <c r="H419" i="166" s="1"/>
  <c r="H419" i="155"/>
  <c r="H419" i="165" s="1"/>
  <c r="J868" i="157"/>
  <c r="J636" i="157"/>
  <c r="J639" i="157" s="1"/>
  <c r="J27" i="157"/>
  <c r="K27" i="157" s="1"/>
  <c r="F188" i="164"/>
  <c r="K578" i="158"/>
  <c r="K580" i="158" s="1"/>
  <c r="K598" i="158" s="1"/>
  <c r="J580" i="158"/>
  <c r="J598" i="158" s="1"/>
  <c r="H266" i="155"/>
  <c r="H266" i="165" s="1"/>
  <c r="J266" i="155"/>
  <c r="H266" i="167" s="1"/>
  <c r="I266" i="155"/>
  <c r="H266" i="166" s="1"/>
  <c r="I418" i="165"/>
  <c r="H562" i="157"/>
  <c r="H891" i="157"/>
  <c r="K850" i="160"/>
  <c r="I834" i="159"/>
  <c r="J834" i="159" s="1"/>
  <c r="K834" i="159" s="1"/>
  <c r="I485" i="165"/>
  <c r="I18" i="9"/>
  <c r="I498" i="9"/>
  <c r="G302" i="159"/>
  <c r="H302" i="159"/>
  <c r="H303" i="159" s="1"/>
  <c r="H304" i="159" s="1"/>
  <c r="F303" i="159"/>
  <c r="F304" i="159" s="1"/>
  <c r="I302" i="159"/>
  <c r="I604" i="158"/>
  <c r="I550" i="158"/>
  <c r="I599" i="158"/>
  <c r="J275" i="158"/>
  <c r="J283" i="158" s="1"/>
  <c r="J324" i="158" s="1"/>
  <c r="K257" i="158"/>
  <c r="K275" i="158" s="1"/>
  <c r="K283" i="158" s="1"/>
  <c r="K324" i="158" s="1"/>
  <c r="K12" i="165"/>
  <c r="F42" i="9"/>
  <c r="C66" i="5"/>
  <c r="J20" i="6" s="1"/>
  <c r="I13" i="49"/>
  <c r="K136" i="164"/>
  <c r="K140" i="164" s="1"/>
  <c r="F140" i="164"/>
  <c r="F183" i="164" s="1"/>
  <c r="K183" i="164" s="1"/>
  <c r="J626" i="160"/>
  <c r="F630" i="160"/>
  <c r="H626" i="160"/>
  <c r="I626" i="160"/>
  <c r="I485" i="160"/>
  <c r="G485" i="166" s="1"/>
  <c r="J485" i="160"/>
  <c r="G485" i="167" s="1"/>
  <c r="H485" i="160"/>
  <c r="G485" i="165" s="1"/>
  <c r="I480" i="159"/>
  <c r="F480" i="161" s="1"/>
  <c r="H480" i="159"/>
  <c r="F895" i="9"/>
  <c r="F877" i="9"/>
  <c r="F881" i="9" s="1"/>
  <c r="F882" i="9" s="1"/>
  <c r="F884" i="9" s="1"/>
  <c r="J229" i="158"/>
  <c r="K221" i="158"/>
  <c r="K229" i="158" s="1"/>
  <c r="H274" i="155"/>
  <c r="H274" i="165" s="1"/>
  <c r="I274" i="155"/>
  <c r="H274" i="166" s="1"/>
  <c r="J274" i="155"/>
  <c r="H274" i="167" s="1"/>
  <c r="H424" i="160"/>
  <c r="G424" i="165" s="1"/>
  <c r="I424" i="160"/>
  <c r="G424" i="166" s="1"/>
  <c r="J424" i="160"/>
  <c r="G424" i="167" s="1"/>
  <c r="H262" i="155"/>
  <c r="H262" i="165" s="1"/>
  <c r="I262" i="155"/>
  <c r="H262" i="166" s="1"/>
  <c r="J262" i="155"/>
  <c r="H262" i="167" s="1"/>
  <c r="G271" i="160"/>
  <c r="J539" i="161"/>
  <c r="J854" i="161"/>
  <c r="J855" i="161" s="1"/>
  <c r="J640" i="161" s="1"/>
  <c r="H854" i="161"/>
  <c r="H855" i="161" s="1"/>
  <c r="H640" i="161" s="1"/>
  <c r="G796" i="161"/>
  <c r="H539" i="161"/>
  <c r="I425" i="167"/>
  <c r="J520" i="159"/>
  <c r="K520" i="159" s="1"/>
  <c r="F520" i="160"/>
  <c r="G182" i="162"/>
  <c r="G184" i="162" s="1"/>
  <c r="G101" i="162"/>
  <c r="G12" i="162" s="1"/>
  <c r="G540" i="157"/>
  <c r="J458" i="159"/>
  <c r="K457" i="159"/>
  <c r="K458" i="159" s="1"/>
  <c r="H626" i="167"/>
  <c r="H630" i="167" s="1"/>
  <c r="J630" i="155"/>
  <c r="H210" i="159"/>
  <c r="I210" i="159"/>
  <c r="F210" i="161" s="1"/>
  <c r="J279" i="9"/>
  <c r="F279" i="157"/>
  <c r="G281" i="9"/>
  <c r="I429" i="159"/>
  <c r="F429" i="161" s="1"/>
  <c r="H429" i="159"/>
  <c r="K329" i="157"/>
  <c r="H800" i="9"/>
  <c r="H321" i="9"/>
  <c r="H225" i="155"/>
  <c r="H225" i="165" s="1"/>
  <c r="I225" i="155"/>
  <c r="H225" i="166" s="1"/>
  <c r="J225" i="155"/>
  <c r="H225" i="167" s="1"/>
  <c r="F101" i="166"/>
  <c r="F12" i="166" s="1"/>
  <c r="F182" i="166"/>
  <c r="I891" i="159"/>
  <c r="I562" i="159"/>
  <c r="I520" i="165"/>
  <c r="J271" i="162"/>
  <c r="F271" i="167" s="1"/>
  <c r="G424" i="161"/>
  <c r="H461" i="161"/>
  <c r="I461" i="161"/>
  <c r="J461" i="161"/>
  <c r="F462" i="161"/>
  <c r="G274" i="161"/>
  <c r="I223" i="159"/>
  <c r="F223" i="161" s="1"/>
  <c r="H223" i="159"/>
  <c r="K854" i="9"/>
  <c r="K855" i="9" s="1"/>
  <c r="J855" i="9"/>
  <c r="H220" i="161"/>
  <c r="I220" i="161"/>
  <c r="J220" i="161"/>
  <c r="I544" i="9"/>
  <c r="I886" i="9"/>
  <c r="J629" i="166"/>
  <c r="H531" i="162"/>
  <c r="F531" i="165" s="1"/>
  <c r="I457" i="167"/>
  <c r="I458" i="167" s="1"/>
  <c r="J458" i="161"/>
  <c r="J833" i="161" s="1"/>
  <c r="H579" i="160"/>
  <c r="I579" i="160"/>
  <c r="J579" i="160"/>
  <c r="I226" i="166"/>
  <c r="G418" i="161"/>
  <c r="G485" i="161"/>
  <c r="J257" i="9"/>
  <c r="G275" i="9"/>
  <c r="F257" i="157"/>
  <c r="J420" i="9"/>
  <c r="F420" i="157"/>
  <c r="G431" i="9"/>
  <c r="G433" i="9" s="1"/>
  <c r="J191" i="162"/>
  <c r="G493" i="159"/>
  <c r="F491" i="160"/>
  <c r="J491" i="159"/>
  <c r="P795" i="160"/>
  <c r="L795" i="160"/>
  <c r="I264" i="167"/>
  <c r="H421" i="155"/>
  <c r="H421" i="165" s="1"/>
  <c r="I421" i="155"/>
  <c r="H421" i="166" s="1"/>
  <c r="J421" i="155"/>
  <c r="H421" i="167" s="1"/>
  <c r="J13" i="49"/>
  <c r="I422" i="167"/>
  <c r="G27" i="159"/>
  <c r="G868" i="159"/>
  <c r="G636" i="159"/>
  <c r="G639" i="159" s="1"/>
  <c r="G641" i="159" s="1"/>
  <c r="G644" i="159" s="1"/>
  <c r="J19" i="9"/>
  <c r="K19" i="9" s="1"/>
  <c r="J499" i="9"/>
  <c r="H259" i="155"/>
  <c r="H259" i="165" s="1"/>
  <c r="I259" i="155"/>
  <c r="H259" i="166" s="1"/>
  <c r="J259" i="155"/>
  <c r="H259" i="167" s="1"/>
  <c r="J258" i="9"/>
  <c r="K258" i="9" s="1"/>
  <c r="F258" i="157"/>
  <c r="L188" i="161"/>
  <c r="L189" i="161" s="1"/>
  <c r="L191" i="161" s="1"/>
  <c r="K189" i="161"/>
  <c r="K191" i="161" s="1"/>
  <c r="G312" i="158"/>
  <c r="G498" i="158"/>
  <c r="G18" i="158"/>
  <c r="I641" i="9"/>
  <c r="I644" i="9" s="1"/>
  <c r="J644" i="9" s="1"/>
  <c r="I417" i="161"/>
  <c r="J417" i="161"/>
  <c r="H417" i="161"/>
  <c r="F484" i="155"/>
  <c r="J536" i="158"/>
  <c r="K535" i="158"/>
  <c r="K536" i="158" s="1"/>
  <c r="I428" i="166"/>
  <c r="I527" i="158"/>
  <c r="I532" i="158" s="1"/>
  <c r="F532" i="158"/>
  <c r="H527" i="158"/>
  <c r="H532" i="158" s="1"/>
  <c r="J492" i="160"/>
  <c r="G492" i="167" s="1"/>
  <c r="H492" i="160"/>
  <c r="G492" i="165" s="1"/>
  <c r="I492" i="160"/>
  <c r="G492" i="166" s="1"/>
  <c r="I428" i="160"/>
  <c r="G428" i="166" s="1"/>
  <c r="J428" i="160"/>
  <c r="G428" i="167" s="1"/>
  <c r="H428" i="160"/>
  <c r="G428" i="165" s="1"/>
  <c r="K544" i="9"/>
  <c r="K886" i="9"/>
  <c r="J262" i="160"/>
  <c r="G262" i="167" s="1"/>
  <c r="I262" i="160"/>
  <c r="G262" i="166" s="1"/>
  <c r="H262" i="160"/>
  <c r="G262" i="165" s="1"/>
  <c r="I265" i="167"/>
  <c r="G265" i="161"/>
  <c r="I425" i="166"/>
  <c r="L95" i="162"/>
  <c r="L99" i="162" s="1"/>
  <c r="K99" i="162"/>
  <c r="K187" i="162" s="1"/>
  <c r="I833" i="159"/>
  <c r="O833" i="159" s="1"/>
  <c r="I485" i="155"/>
  <c r="H485" i="166" s="1"/>
  <c r="J485" i="155"/>
  <c r="H485" i="167" s="1"/>
  <c r="H485" i="155"/>
  <c r="H485" i="165" s="1"/>
  <c r="H626" i="166"/>
  <c r="H630" i="166" s="1"/>
  <c r="I630" i="155"/>
  <c r="I261" i="165"/>
  <c r="I521" i="9"/>
  <c r="I529" i="9"/>
  <c r="F529" i="159" s="1"/>
  <c r="I519" i="9"/>
  <c r="F188" i="166"/>
  <c r="F151" i="166"/>
  <c r="F13" i="166" s="1"/>
  <c r="K13" i="166" s="1"/>
  <c r="F188" i="167"/>
  <c r="F151" i="167"/>
  <c r="F13" i="167" s="1"/>
  <c r="K13" i="167" s="1"/>
  <c r="G220" i="157"/>
  <c r="G266" i="161"/>
  <c r="I266" i="165"/>
  <c r="G262" i="161"/>
  <c r="I262" i="165"/>
  <c r="K101" i="166"/>
  <c r="G263" i="161"/>
  <c r="F630" i="161"/>
  <c r="H626" i="161"/>
  <c r="I626" i="161"/>
  <c r="J626" i="161"/>
  <c r="F654" i="9"/>
  <c r="F886" i="157"/>
  <c r="F544" i="157"/>
  <c r="G520" i="161"/>
  <c r="I424" i="166"/>
  <c r="I19" i="159"/>
  <c r="I499" i="159"/>
  <c r="I274" i="167"/>
  <c r="J430" i="9"/>
  <c r="K430" i="9" s="1"/>
  <c r="F430" i="157"/>
  <c r="I528" i="162"/>
  <c r="F528" i="166" s="1"/>
  <c r="H457" i="155"/>
  <c r="I457" i="155"/>
  <c r="F458" i="155"/>
  <c r="J457" i="155"/>
  <c r="G259" i="161"/>
  <c r="I465" i="157"/>
  <c r="G461" i="157"/>
  <c r="G225" i="161"/>
  <c r="G425" i="157"/>
  <c r="J425" i="157" s="1"/>
  <c r="K425" i="157" s="1"/>
  <c r="J270" i="9"/>
  <c r="K270" i="9" s="1"/>
  <c r="F270" i="157"/>
  <c r="G212" i="161"/>
  <c r="I212" i="165"/>
  <c r="I418" i="155"/>
  <c r="H418" i="166" s="1"/>
  <c r="J418" i="155"/>
  <c r="H418" i="167" s="1"/>
  <c r="H418" i="155"/>
  <c r="H418" i="165" s="1"/>
  <c r="G419" i="157"/>
  <c r="J419" i="157" s="1"/>
  <c r="K419" i="157" s="1"/>
  <c r="I522" i="158"/>
  <c r="G519" i="158"/>
  <c r="I269" i="165"/>
  <c r="I269" i="166"/>
  <c r="K101" i="155"/>
  <c r="K12" i="155" s="1"/>
  <c r="K182" i="155"/>
  <c r="G266" i="157"/>
  <c r="J266" i="157" s="1"/>
  <c r="K266" i="157" s="1"/>
  <c r="H579" i="161"/>
  <c r="I579" i="161"/>
  <c r="J579" i="161"/>
  <c r="H580" i="157"/>
  <c r="H598" i="157" s="1"/>
  <c r="F578" i="155"/>
  <c r="I418" i="166"/>
  <c r="I418" i="167"/>
  <c r="F234" i="155"/>
  <c r="G855" i="157"/>
  <c r="G640" i="157" s="1"/>
  <c r="G260" i="157"/>
  <c r="J260" i="157" s="1"/>
  <c r="K260" i="157" s="1"/>
  <c r="I485" i="166"/>
  <c r="I485" i="167"/>
  <c r="I209" i="159"/>
  <c r="F209" i="161" s="1"/>
  <c r="H209" i="159"/>
  <c r="I257" i="159"/>
  <c r="F275" i="159"/>
  <c r="H257" i="159"/>
  <c r="H420" i="159"/>
  <c r="I420" i="159"/>
  <c r="F431" i="159"/>
  <c r="F433" i="159" s="1"/>
  <c r="J584" i="9"/>
  <c r="G585" i="9"/>
  <c r="G591" i="9" s="1"/>
  <c r="F584" i="157"/>
  <c r="H839" i="9"/>
  <c r="H495" i="9"/>
  <c r="J854" i="159"/>
  <c r="H520" i="155"/>
  <c r="H520" i="165" s="1"/>
  <c r="I520" i="155"/>
  <c r="H520" i="166" s="1"/>
  <c r="J520" i="155"/>
  <c r="H520" i="167" s="1"/>
  <c r="K562" i="158"/>
  <c r="K891" i="158"/>
  <c r="L794" i="160"/>
  <c r="P794" i="160"/>
  <c r="J491" i="161"/>
  <c r="F493" i="161"/>
  <c r="H491" i="161"/>
  <c r="I491" i="161"/>
  <c r="G151" i="162"/>
  <c r="G13" i="162" s="1"/>
  <c r="G14" i="49" s="1"/>
  <c r="K14" i="49" s="1"/>
  <c r="L14" i="49" s="1"/>
  <c r="G850" i="155"/>
  <c r="I422" i="165"/>
  <c r="I421" i="165"/>
  <c r="I421" i="166"/>
  <c r="I493" i="157"/>
  <c r="J539" i="159"/>
  <c r="H329" i="167"/>
  <c r="G422" i="157"/>
  <c r="J422" i="157" s="1"/>
  <c r="K422" i="157" s="1"/>
  <c r="L794" i="161"/>
  <c r="P794" i="161"/>
  <c r="H258" i="159"/>
  <c r="I258" i="159"/>
  <c r="F258" i="161" s="1"/>
  <c r="J431" i="158"/>
  <c r="J433" i="158" s="1"/>
  <c r="K420" i="158"/>
  <c r="K431" i="158" s="1"/>
  <c r="K433" i="158" s="1"/>
  <c r="H424" i="155"/>
  <c r="H424" i="165" s="1"/>
  <c r="I424" i="155"/>
  <c r="H424" i="166" s="1"/>
  <c r="J424" i="155"/>
  <c r="H424" i="167" s="1"/>
  <c r="H539" i="160"/>
  <c r="G796" i="160"/>
  <c r="H854" i="160"/>
  <c r="I492" i="165"/>
  <c r="K562" i="9"/>
  <c r="K891" i="9"/>
  <c r="G260" i="161"/>
  <c r="H588" i="160"/>
  <c r="H589" i="160" s="1"/>
  <c r="F589" i="160"/>
  <c r="I588" i="160"/>
  <c r="I589" i="160" s="1"/>
  <c r="J588" i="160"/>
  <c r="J589" i="160" s="1"/>
  <c r="G465" i="159"/>
  <c r="G835" i="159" s="1"/>
  <c r="J215" i="158"/>
  <c r="K206" i="158"/>
  <c r="K215" i="158" s="1"/>
  <c r="G481" i="9"/>
  <c r="G838" i="9" s="1"/>
  <c r="J838" i="9" s="1"/>
  <c r="K838" i="9" s="1"/>
  <c r="J479" i="9"/>
  <c r="F479" i="157"/>
  <c r="I206" i="159"/>
  <c r="F215" i="159"/>
  <c r="H206" i="159"/>
  <c r="I428" i="165"/>
  <c r="G262" i="157"/>
  <c r="J262" i="157" s="1"/>
  <c r="K262" i="157" s="1"/>
  <c r="H543" i="9"/>
  <c r="H545" i="9" s="1"/>
  <c r="H885" i="9"/>
  <c r="H260" i="160"/>
  <c r="G260" i="165" s="1"/>
  <c r="I260" i="160"/>
  <c r="G260" i="166" s="1"/>
  <c r="J260" i="160"/>
  <c r="G260" i="167" s="1"/>
  <c r="I227" i="160"/>
  <c r="G227" i="166" s="1"/>
  <c r="J227" i="160"/>
  <c r="G227" i="167" s="1"/>
  <c r="H227" i="160"/>
  <c r="G227" i="165" s="1"/>
  <c r="I531" i="162" l="1"/>
  <c r="F531" i="166" s="1"/>
  <c r="G531" i="160"/>
  <c r="H214" i="157"/>
  <c r="I214" i="157"/>
  <c r="I214" i="161"/>
  <c r="I214" i="166" s="1"/>
  <c r="J214" i="161"/>
  <c r="I214" i="167" s="1"/>
  <c r="H214" i="161"/>
  <c r="G214" i="159"/>
  <c r="H629" i="164"/>
  <c r="J418" i="160"/>
  <c r="G418" i="167" s="1"/>
  <c r="J418" i="167" s="1"/>
  <c r="I418" i="160"/>
  <c r="G418" i="166" s="1"/>
  <c r="J418" i="166" s="1"/>
  <c r="H263" i="160"/>
  <c r="G263" i="165" s="1"/>
  <c r="J263" i="165" s="1"/>
  <c r="J891" i="9"/>
  <c r="H531" i="164"/>
  <c r="H225" i="160"/>
  <c r="G225" i="165" s="1"/>
  <c r="J225" i="165" s="1"/>
  <c r="J212" i="160"/>
  <c r="G212" i="167" s="1"/>
  <c r="J212" i="167" s="1"/>
  <c r="I212" i="160"/>
  <c r="G212" i="166" s="1"/>
  <c r="J212" i="166" s="1"/>
  <c r="K629" i="167"/>
  <c r="I269" i="160"/>
  <c r="G269" i="166" s="1"/>
  <c r="J269" i="166" s="1"/>
  <c r="J263" i="160"/>
  <c r="G263" i="167" s="1"/>
  <c r="J263" i="167" s="1"/>
  <c r="J226" i="160"/>
  <c r="G226" i="167" s="1"/>
  <c r="J226" i="167" s="1"/>
  <c r="I226" i="160"/>
  <c r="G226" i="166" s="1"/>
  <c r="J226" i="166" s="1"/>
  <c r="H461" i="160"/>
  <c r="G461" i="165" s="1"/>
  <c r="K269" i="161"/>
  <c r="L269" i="161" s="1"/>
  <c r="I259" i="160"/>
  <c r="G259" i="166" s="1"/>
  <c r="J259" i="166" s="1"/>
  <c r="H419" i="160"/>
  <c r="G419" i="165" s="1"/>
  <c r="J419" i="165" s="1"/>
  <c r="I461" i="160"/>
  <c r="G461" i="166" s="1"/>
  <c r="H259" i="160"/>
  <c r="G259" i="165" s="1"/>
  <c r="J259" i="165" s="1"/>
  <c r="J419" i="160"/>
  <c r="G419" i="167" s="1"/>
  <c r="J419" i="167" s="1"/>
  <c r="F462" i="160"/>
  <c r="F465" i="160" s="1"/>
  <c r="G296" i="158"/>
  <c r="I886" i="157"/>
  <c r="J225" i="160"/>
  <c r="G225" i="167" s="1"/>
  <c r="J225" i="167" s="1"/>
  <c r="H423" i="160"/>
  <c r="G423" i="165" s="1"/>
  <c r="J423" i="165" s="1"/>
  <c r="J423" i="160"/>
  <c r="G423" i="167" s="1"/>
  <c r="J423" i="167" s="1"/>
  <c r="J274" i="160"/>
  <c r="G274" i="167" s="1"/>
  <c r="J274" i="167" s="1"/>
  <c r="I274" i="160"/>
  <c r="G274" i="166" s="1"/>
  <c r="J274" i="166" s="1"/>
  <c r="K629" i="165"/>
  <c r="J234" i="160"/>
  <c r="G234" i="167" s="1"/>
  <c r="L789" i="155"/>
  <c r="K528" i="166"/>
  <c r="K151" i="164"/>
  <c r="K531" i="166"/>
  <c r="H269" i="160"/>
  <c r="G269" i="165" s="1"/>
  <c r="J269" i="165" s="1"/>
  <c r="H310" i="158"/>
  <c r="H321" i="158" s="1"/>
  <c r="H325" i="158" s="1"/>
  <c r="H326" i="158" s="1"/>
  <c r="H14" i="158" s="1"/>
  <c r="H15" i="158" s="1"/>
  <c r="H265" i="160"/>
  <c r="G265" i="165" s="1"/>
  <c r="J265" i="165" s="1"/>
  <c r="J265" i="160"/>
  <c r="G265" i="167" s="1"/>
  <c r="J265" i="167" s="1"/>
  <c r="I422" i="164"/>
  <c r="I234" i="160"/>
  <c r="J484" i="160"/>
  <c r="H261" i="162"/>
  <c r="F261" i="165" s="1"/>
  <c r="K591" i="158"/>
  <c r="K550" i="158" s="1"/>
  <c r="H271" i="164"/>
  <c r="G271" i="162"/>
  <c r="F271" i="164" s="1"/>
  <c r="K421" i="161"/>
  <c r="L421" i="161" s="1"/>
  <c r="I484" i="160"/>
  <c r="G484" i="166" s="1"/>
  <c r="J419" i="166"/>
  <c r="K457" i="161"/>
  <c r="L457" i="161" s="1"/>
  <c r="L458" i="161" s="1"/>
  <c r="G458" i="161"/>
  <c r="I310" i="158"/>
  <c r="I321" i="158" s="1"/>
  <c r="I325" i="158" s="1"/>
  <c r="I326" i="158" s="1"/>
  <c r="I14" i="158" s="1"/>
  <c r="I15" i="158" s="1"/>
  <c r="K461" i="159"/>
  <c r="K462" i="159" s="1"/>
  <c r="K465" i="159" s="1"/>
  <c r="K499" i="159" s="1"/>
  <c r="I261" i="162"/>
  <c r="F261" i="166" s="1"/>
  <c r="K531" i="167"/>
  <c r="P787" i="155"/>
  <c r="G430" i="159"/>
  <c r="J430" i="159" s="1"/>
  <c r="K430" i="159" s="1"/>
  <c r="J422" i="160"/>
  <c r="G422" i="167" s="1"/>
  <c r="J422" i="167" s="1"/>
  <c r="J191" i="164"/>
  <c r="J329" i="164" s="1"/>
  <c r="I422" i="160"/>
  <c r="G422" i="166" s="1"/>
  <c r="J422" i="166" s="1"/>
  <c r="I261" i="164"/>
  <c r="P794" i="155"/>
  <c r="G191" i="162"/>
  <c r="G329" i="162" s="1"/>
  <c r="H834" i="157"/>
  <c r="I266" i="160"/>
  <c r="G266" i="166" s="1"/>
  <c r="J266" i="166" s="1"/>
  <c r="J260" i="166"/>
  <c r="H266" i="160"/>
  <c r="G266" i="165" s="1"/>
  <c r="J266" i="165" s="1"/>
  <c r="L795" i="155"/>
  <c r="J492" i="167"/>
  <c r="I226" i="164"/>
  <c r="K271" i="167"/>
  <c r="G221" i="159"/>
  <c r="F221" i="160" s="1"/>
  <c r="J425" i="160"/>
  <c r="I425" i="160"/>
  <c r="G425" i="166" s="1"/>
  <c r="J425" i="166" s="1"/>
  <c r="J644" i="159"/>
  <c r="K531" i="165"/>
  <c r="K425" i="161"/>
  <c r="L425" i="161" s="1"/>
  <c r="J640" i="157"/>
  <c r="J641" i="157" s="1"/>
  <c r="J833" i="159"/>
  <c r="K833" i="159" s="1"/>
  <c r="J227" i="165"/>
  <c r="G210" i="159"/>
  <c r="J210" i="159" s="1"/>
  <c r="K210" i="159" s="1"/>
  <c r="J423" i="166"/>
  <c r="J854" i="157"/>
  <c r="J855" i="157" s="1"/>
  <c r="J227" i="166"/>
  <c r="G579" i="161"/>
  <c r="K579" i="161" s="1"/>
  <c r="L579" i="161" s="1"/>
  <c r="J535" i="157"/>
  <c r="K535" i="157" s="1"/>
  <c r="K536" i="157" s="1"/>
  <c r="K271" i="166"/>
  <c r="I492" i="164"/>
  <c r="G480" i="159"/>
  <c r="J480" i="159" s="1"/>
  <c r="K480" i="159" s="1"/>
  <c r="K271" i="165"/>
  <c r="I264" i="164"/>
  <c r="K191" i="165"/>
  <c r="K329" i="165" s="1"/>
  <c r="H431" i="159"/>
  <c r="H433" i="159" s="1"/>
  <c r="H18" i="159" s="1"/>
  <c r="H262" i="162"/>
  <c r="F262" i="165" s="1"/>
  <c r="G206" i="159"/>
  <c r="J206" i="159" s="1"/>
  <c r="K528" i="167"/>
  <c r="F283" i="159"/>
  <c r="F324" i="159" s="1"/>
  <c r="I296" i="9"/>
  <c r="I816" i="9" s="1"/>
  <c r="G283" i="9"/>
  <c r="G324" i="9" s="1"/>
  <c r="J261" i="167"/>
  <c r="H488" i="158"/>
  <c r="H495" i="158" s="1"/>
  <c r="H500" i="158" s="1"/>
  <c r="H501" i="158" s="1"/>
  <c r="H212" i="162"/>
  <c r="F212" i="165" s="1"/>
  <c r="G213" i="159"/>
  <c r="F213" i="160" s="1"/>
  <c r="H428" i="162"/>
  <c r="F428" i="165" s="1"/>
  <c r="G258" i="159"/>
  <c r="F258" i="160" s="1"/>
  <c r="G417" i="161"/>
  <c r="I417" i="164" s="1"/>
  <c r="G421" i="155"/>
  <c r="K421" i="155" s="1"/>
  <c r="L421" i="155" s="1"/>
  <c r="G257" i="159"/>
  <c r="G220" i="161"/>
  <c r="K220" i="161" s="1"/>
  <c r="J262" i="167"/>
  <c r="G833" i="161"/>
  <c r="K833" i="161" s="1"/>
  <c r="L833" i="161" s="1"/>
  <c r="G211" i="159"/>
  <c r="J211" i="159" s="1"/>
  <c r="K211" i="159" s="1"/>
  <c r="J428" i="166"/>
  <c r="G579" i="160"/>
  <c r="K579" i="160" s="1"/>
  <c r="L579" i="160" s="1"/>
  <c r="K238" i="158"/>
  <c r="K323" i="158" s="1"/>
  <c r="J457" i="162"/>
  <c r="F457" i="167" s="1"/>
  <c r="J261" i="166"/>
  <c r="G492" i="155"/>
  <c r="K492" i="155" s="1"/>
  <c r="L492" i="155" s="1"/>
  <c r="G263" i="155"/>
  <c r="K263" i="155" s="1"/>
  <c r="L263" i="155" s="1"/>
  <c r="H227" i="162"/>
  <c r="F227" i="165" s="1"/>
  <c r="J308" i="158"/>
  <c r="K308" i="158" s="1"/>
  <c r="I428" i="164"/>
  <c r="J227" i="167"/>
  <c r="G209" i="159"/>
  <c r="J238" i="158"/>
  <c r="J323" i="158" s="1"/>
  <c r="G235" i="159"/>
  <c r="J235" i="159" s="1"/>
  <c r="H264" i="162"/>
  <c r="F264" i="165" s="1"/>
  <c r="G224" i="159"/>
  <c r="F224" i="160" s="1"/>
  <c r="G260" i="155"/>
  <c r="H260" i="164" s="1"/>
  <c r="H422" i="162"/>
  <c r="F422" i="165" s="1"/>
  <c r="I579" i="162"/>
  <c r="F579" i="166" s="1"/>
  <c r="H579" i="166" s="1"/>
  <c r="I424" i="162"/>
  <c r="F424" i="166" s="1"/>
  <c r="G262" i="160"/>
  <c r="G262" i="164" s="1"/>
  <c r="J264" i="162"/>
  <c r="F264" i="167" s="1"/>
  <c r="G429" i="159"/>
  <c r="J429" i="159" s="1"/>
  <c r="K429" i="159" s="1"/>
  <c r="J424" i="167"/>
  <c r="H485" i="162"/>
  <c r="F485" i="165" s="1"/>
  <c r="K188" i="164"/>
  <c r="J259" i="162"/>
  <c r="F259" i="167" s="1"/>
  <c r="K151" i="162"/>
  <c r="K13" i="162" s="1"/>
  <c r="L13" i="162" s="1"/>
  <c r="J425" i="165"/>
  <c r="J485" i="162"/>
  <c r="F485" i="167" s="1"/>
  <c r="G270" i="159"/>
  <c r="F270" i="160" s="1"/>
  <c r="I419" i="162"/>
  <c r="F419" i="166" s="1"/>
  <c r="I227" i="162"/>
  <c r="F227" i="166" s="1"/>
  <c r="G493" i="157"/>
  <c r="G578" i="157"/>
  <c r="H492" i="162"/>
  <c r="F492" i="165" s="1"/>
  <c r="G420" i="159"/>
  <c r="F420" i="160" s="1"/>
  <c r="J492" i="166"/>
  <c r="O834" i="159"/>
  <c r="H274" i="162"/>
  <c r="F274" i="165" s="1"/>
  <c r="J264" i="166"/>
  <c r="G487" i="158"/>
  <c r="J487" i="158" s="1"/>
  <c r="K487" i="158" s="1"/>
  <c r="I262" i="162"/>
  <c r="F262" i="166" s="1"/>
  <c r="J428" i="165"/>
  <c r="F238" i="159"/>
  <c r="F323" i="159" s="1"/>
  <c r="J269" i="167"/>
  <c r="J260" i="162"/>
  <c r="F260" i="167" s="1"/>
  <c r="K329" i="160"/>
  <c r="H479" i="157"/>
  <c r="I479" i="157"/>
  <c r="F481" i="157"/>
  <c r="J609" i="160"/>
  <c r="G234" i="165"/>
  <c r="G539" i="165"/>
  <c r="H540" i="160"/>
  <c r="J18" i="158"/>
  <c r="J498" i="158"/>
  <c r="J585" i="9"/>
  <c r="J591" i="9" s="1"/>
  <c r="K584" i="9"/>
  <c r="K585" i="9" s="1"/>
  <c r="K591" i="9" s="1"/>
  <c r="H457" i="165"/>
  <c r="H458" i="165" s="1"/>
  <c r="H458" i="155"/>
  <c r="H833" i="155" s="1"/>
  <c r="K265" i="161"/>
  <c r="L265" i="161" s="1"/>
  <c r="I265" i="164"/>
  <c r="F543" i="158"/>
  <c r="F545" i="158" s="1"/>
  <c r="F885" i="158"/>
  <c r="K544" i="158"/>
  <c r="K886" i="158"/>
  <c r="G18" i="9"/>
  <c r="G312" i="9"/>
  <c r="G498" i="9"/>
  <c r="G828" i="9"/>
  <c r="H223" i="161"/>
  <c r="I223" i="161"/>
  <c r="J223" i="161"/>
  <c r="I461" i="166"/>
  <c r="I462" i="166" s="1"/>
  <c r="I465" i="166" s="1"/>
  <c r="I462" i="161"/>
  <c r="I465" i="161" s="1"/>
  <c r="I424" i="164"/>
  <c r="K424" i="161"/>
  <c r="L424" i="161" s="1"/>
  <c r="F184" i="166"/>
  <c r="K182" i="166"/>
  <c r="K184" i="166" s="1"/>
  <c r="K279" i="9"/>
  <c r="K281" i="9" s="1"/>
  <c r="J281" i="9"/>
  <c r="G13" i="49"/>
  <c r="I640" i="165"/>
  <c r="G424" i="160"/>
  <c r="G485" i="160"/>
  <c r="E66" i="5"/>
  <c r="K221" i="9"/>
  <c r="K229" i="9" s="1"/>
  <c r="J229" i="9"/>
  <c r="F19" i="157"/>
  <c r="F499" i="157"/>
  <c r="H835" i="157"/>
  <c r="J307" i="158"/>
  <c r="G310" i="158"/>
  <c r="G457" i="165"/>
  <c r="H458" i="160"/>
  <c r="H833" i="160" s="1"/>
  <c r="I484" i="167"/>
  <c r="H604" i="159"/>
  <c r="H550" i="159"/>
  <c r="H599" i="159"/>
  <c r="K629" i="166"/>
  <c r="K609" i="9"/>
  <c r="H457" i="162"/>
  <c r="G629" i="164"/>
  <c r="K629" i="160"/>
  <c r="L629" i="160" s="1"/>
  <c r="K235" i="9"/>
  <c r="K236" i="9" s="1"/>
  <c r="J236" i="9"/>
  <c r="K227" i="161"/>
  <c r="L227" i="161" s="1"/>
  <c r="I227" i="164"/>
  <c r="H224" i="161"/>
  <c r="I224" i="161"/>
  <c r="J224" i="161"/>
  <c r="I213" i="161"/>
  <c r="J213" i="161"/>
  <c r="H213" i="161"/>
  <c r="H329" i="164"/>
  <c r="K12" i="167"/>
  <c r="I225" i="162"/>
  <c r="F225" i="166" s="1"/>
  <c r="H424" i="162"/>
  <c r="F424" i="165" s="1"/>
  <c r="H636" i="155"/>
  <c r="H639" i="155" s="1"/>
  <c r="H27" i="155"/>
  <c r="H868" i="155"/>
  <c r="J493" i="157"/>
  <c r="K491" i="157"/>
  <c r="K493" i="157" s="1"/>
  <c r="J225" i="166"/>
  <c r="K479" i="9"/>
  <c r="K481" i="9" s="1"/>
  <c r="J481" i="9"/>
  <c r="H258" i="161"/>
  <c r="I258" i="161"/>
  <c r="J258" i="161"/>
  <c r="I491" i="167"/>
  <c r="I493" i="167" s="1"/>
  <c r="J493" i="161"/>
  <c r="G520" i="155"/>
  <c r="K854" i="159"/>
  <c r="K855" i="159" s="1"/>
  <c r="J855" i="159"/>
  <c r="I485" i="162"/>
  <c r="F485" i="166" s="1"/>
  <c r="F580" i="155"/>
  <c r="F598" i="155" s="1"/>
  <c r="H578" i="155"/>
  <c r="I626" i="162"/>
  <c r="I626" i="166"/>
  <c r="I630" i="166" s="1"/>
  <c r="I630" i="161"/>
  <c r="G626" i="161"/>
  <c r="K266" i="161"/>
  <c r="L266" i="161" s="1"/>
  <c r="I266" i="164"/>
  <c r="J262" i="165"/>
  <c r="I543" i="158"/>
  <c r="I545" i="158" s="1"/>
  <c r="I885" i="158"/>
  <c r="J886" i="158"/>
  <c r="J544" i="158"/>
  <c r="G313" i="158"/>
  <c r="J312" i="158"/>
  <c r="I491" i="160"/>
  <c r="J491" i="160"/>
  <c r="H491" i="160"/>
  <c r="F493" i="160"/>
  <c r="K234" i="157"/>
  <c r="I220" i="167"/>
  <c r="G223" i="159"/>
  <c r="I274" i="164"/>
  <c r="K274" i="161"/>
  <c r="L274" i="161" s="1"/>
  <c r="K12" i="166"/>
  <c r="J210" i="161"/>
  <c r="H210" i="161"/>
  <c r="I210" i="161"/>
  <c r="G262" i="155"/>
  <c r="F27" i="160"/>
  <c r="F636" i="160"/>
  <c r="F639" i="160" s="1"/>
  <c r="F641" i="160" s="1"/>
  <c r="F644" i="160" s="1"/>
  <c r="F868" i="160"/>
  <c r="F302" i="160"/>
  <c r="G303" i="159"/>
  <c r="G304" i="159" s="1"/>
  <c r="J302" i="159"/>
  <c r="H418" i="162"/>
  <c r="F418" i="165" s="1"/>
  <c r="F235" i="161"/>
  <c r="I236" i="159"/>
  <c r="H481" i="159"/>
  <c r="H838" i="159" s="1"/>
  <c r="G265" i="155"/>
  <c r="K868" i="159"/>
  <c r="K636" i="159"/>
  <c r="K639" i="159" s="1"/>
  <c r="I539" i="155"/>
  <c r="I539" i="162" s="1"/>
  <c r="I854" i="155"/>
  <c r="I855" i="155" s="1"/>
  <c r="I640" i="155" s="1"/>
  <c r="H640" i="166" s="1"/>
  <c r="I484" i="166"/>
  <c r="F599" i="159"/>
  <c r="F604" i="159"/>
  <c r="F550" i="159"/>
  <c r="J461" i="155"/>
  <c r="I461" i="155"/>
  <c r="H461" i="155"/>
  <c r="F462" i="155"/>
  <c r="J418" i="165"/>
  <c r="I209" i="157"/>
  <c r="H209" i="157"/>
  <c r="F209" i="155" s="1"/>
  <c r="J274" i="165"/>
  <c r="J226" i="165"/>
  <c r="J604" i="158"/>
  <c r="G423" i="155"/>
  <c r="G227" i="160"/>
  <c r="J260" i="167"/>
  <c r="H551" i="9"/>
  <c r="H556" i="9"/>
  <c r="H215" i="159"/>
  <c r="I215" i="159"/>
  <c r="F206" i="161"/>
  <c r="K796" i="160"/>
  <c r="L796" i="160" s="1"/>
  <c r="G539" i="160"/>
  <c r="K498" i="158"/>
  <c r="K18" i="158"/>
  <c r="G484" i="165"/>
  <c r="H20" i="9"/>
  <c r="H21" i="9" s="1"/>
  <c r="H500" i="9"/>
  <c r="G550" i="9"/>
  <c r="G604" i="9"/>
  <c r="G599" i="9"/>
  <c r="J579" i="162"/>
  <c r="F579" i="167" s="1"/>
  <c r="H579" i="162"/>
  <c r="F579" i="165" s="1"/>
  <c r="G418" i="155"/>
  <c r="I212" i="164"/>
  <c r="K212" i="161"/>
  <c r="L212" i="161" s="1"/>
  <c r="I225" i="164"/>
  <c r="K225" i="161"/>
  <c r="L225" i="161" s="1"/>
  <c r="I19" i="157"/>
  <c r="I499" i="157"/>
  <c r="H457" i="167"/>
  <c r="H458" i="167" s="1"/>
  <c r="J458" i="155"/>
  <c r="J833" i="155" s="1"/>
  <c r="I626" i="165"/>
  <c r="I630" i="165" s="1"/>
  <c r="H626" i="162"/>
  <c r="H630" i="161"/>
  <c r="F521" i="159"/>
  <c r="G521" i="9"/>
  <c r="H868" i="166"/>
  <c r="H27" i="166"/>
  <c r="H636" i="166"/>
  <c r="H639" i="166" s="1"/>
  <c r="J428" i="167"/>
  <c r="J259" i="167"/>
  <c r="G492" i="160"/>
  <c r="H885" i="158"/>
  <c r="H543" i="158"/>
  <c r="H545" i="158" s="1"/>
  <c r="L329" i="161"/>
  <c r="H258" i="157"/>
  <c r="F258" i="155" s="1"/>
  <c r="I258" i="157"/>
  <c r="J329" i="162"/>
  <c r="I257" i="157"/>
  <c r="F275" i="157"/>
  <c r="H257" i="157"/>
  <c r="I461" i="167"/>
  <c r="I462" i="167" s="1"/>
  <c r="I465" i="167" s="1"/>
  <c r="J462" i="161"/>
  <c r="J465" i="161" s="1"/>
  <c r="G461" i="161"/>
  <c r="G225" i="155"/>
  <c r="H279" i="157"/>
  <c r="I279" i="157"/>
  <c r="I281" i="157" s="1"/>
  <c r="G279" i="157"/>
  <c r="F281" i="157"/>
  <c r="H636" i="167"/>
  <c r="H639" i="167" s="1"/>
  <c r="H27" i="167"/>
  <c r="H868" i="167"/>
  <c r="J539" i="157"/>
  <c r="G854" i="161"/>
  <c r="K796" i="161"/>
  <c r="L796" i="161" s="1"/>
  <c r="K271" i="160"/>
  <c r="L271" i="160" s="1"/>
  <c r="G271" i="164"/>
  <c r="G461" i="167"/>
  <c r="J462" i="160"/>
  <c r="J424" i="165"/>
  <c r="H480" i="161"/>
  <c r="I480" i="161"/>
  <c r="J480" i="161"/>
  <c r="J485" i="167"/>
  <c r="G626" i="165"/>
  <c r="H630" i="160"/>
  <c r="G626" i="167"/>
  <c r="J630" i="160"/>
  <c r="G266" i="155"/>
  <c r="F151" i="164"/>
  <c r="F13" i="164" s="1"/>
  <c r="K13" i="164" s="1"/>
  <c r="G419" i="155"/>
  <c r="H544" i="159"/>
  <c r="H886" i="159"/>
  <c r="I221" i="157"/>
  <c r="H221" i="157"/>
  <c r="F229" i="157"/>
  <c r="K423" i="161"/>
  <c r="L423" i="161" s="1"/>
  <c r="I423" i="164"/>
  <c r="I609" i="159"/>
  <c r="G457" i="160"/>
  <c r="I539" i="166"/>
  <c r="I540" i="166" s="1"/>
  <c r="I540" i="161"/>
  <c r="I481" i="159"/>
  <c r="F479" i="161"/>
  <c r="G479" i="159"/>
  <c r="J263" i="166"/>
  <c r="J422" i="165"/>
  <c r="I491" i="155"/>
  <c r="J491" i="155"/>
  <c r="F493" i="155"/>
  <c r="H491" i="155"/>
  <c r="J854" i="155"/>
  <c r="J855" i="155" s="1"/>
  <c r="J640" i="155" s="1"/>
  <c r="H640" i="167" s="1"/>
  <c r="J539" i="155"/>
  <c r="J539" i="162" s="1"/>
  <c r="K189" i="155"/>
  <c r="F495" i="158"/>
  <c r="H839" i="158"/>
  <c r="G839" i="158"/>
  <c r="I488" i="158"/>
  <c r="I495" i="158" s="1"/>
  <c r="G584" i="159"/>
  <c r="F584" i="161"/>
  <c r="I585" i="159"/>
  <c r="I591" i="159" s="1"/>
  <c r="H226" i="162"/>
  <c r="F226" i="165" s="1"/>
  <c r="J609" i="9"/>
  <c r="K528" i="160"/>
  <c r="L528" i="160" s="1"/>
  <c r="G528" i="164"/>
  <c r="G528" i="162"/>
  <c r="J220" i="160"/>
  <c r="H220" i="160"/>
  <c r="I220" i="160"/>
  <c r="G264" i="160"/>
  <c r="I535" i="155"/>
  <c r="F536" i="155"/>
  <c r="J535" i="155"/>
  <c r="H535" i="155"/>
  <c r="H235" i="157"/>
  <c r="I235" i="157"/>
  <c r="I236" i="157" s="1"/>
  <c r="F236" i="157"/>
  <c r="F191" i="165"/>
  <c r="I265" i="162"/>
  <c r="F265" i="166" s="1"/>
  <c r="L101" i="162"/>
  <c r="I580" i="159"/>
  <c r="I598" i="159" s="1"/>
  <c r="F578" i="161"/>
  <c r="H229" i="159"/>
  <c r="I423" i="162"/>
  <c r="F423" i="166" s="1"/>
  <c r="K626" i="155"/>
  <c r="G630" i="155"/>
  <c r="H626" i="164"/>
  <c r="I234" i="166"/>
  <c r="G417" i="166"/>
  <c r="J428" i="162"/>
  <c r="F428" i="167" s="1"/>
  <c r="H260" i="162"/>
  <c r="F260" i="165" s="1"/>
  <c r="G422" i="155"/>
  <c r="K419" i="161"/>
  <c r="L419" i="161" s="1"/>
  <c r="I419" i="164"/>
  <c r="G226" i="155"/>
  <c r="F184" i="167"/>
  <c r="K182" i="167"/>
  <c r="K184" i="167" s="1"/>
  <c r="G629" i="162"/>
  <c r="H609" i="160"/>
  <c r="I491" i="166"/>
  <c r="I493" i="166" s="1"/>
  <c r="I493" i="161"/>
  <c r="G491" i="161"/>
  <c r="J234" i="155"/>
  <c r="H234" i="155"/>
  <c r="I234" i="155"/>
  <c r="G522" i="158"/>
  <c r="J519" i="158"/>
  <c r="H270" i="157"/>
  <c r="F270" i="155" s="1"/>
  <c r="I270" i="157"/>
  <c r="G457" i="155"/>
  <c r="I626" i="167"/>
  <c r="I630" i="167" s="1"/>
  <c r="J630" i="161"/>
  <c r="J626" i="162"/>
  <c r="F636" i="161"/>
  <c r="F639" i="161" s="1"/>
  <c r="F641" i="161" s="1"/>
  <c r="F644" i="161" s="1"/>
  <c r="F27" i="161"/>
  <c r="F868" i="161"/>
  <c r="K188" i="167"/>
  <c r="K189" i="167" s="1"/>
  <c r="F189" i="167"/>
  <c r="L187" i="162"/>
  <c r="L189" i="162" s="1"/>
  <c r="K189" i="162"/>
  <c r="I417" i="167"/>
  <c r="J493" i="159"/>
  <c r="K491" i="159"/>
  <c r="K493" i="159" s="1"/>
  <c r="I220" i="165"/>
  <c r="J485" i="166"/>
  <c r="G457" i="167"/>
  <c r="J458" i="160"/>
  <c r="J833" i="160" s="1"/>
  <c r="J492" i="162"/>
  <c r="F492" i="167" s="1"/>
  <c r="I480" i="157"/>
  <c r="H480" i="157"/>
  <c r="F480" i="155" s="1"/>
  <c r="L329" i="160"/>
  <c r="G212" i="155"/>
  <c r="H302" i="157"/>
  <c r="F303" i="157"/>
  <c r="F304" i="157" s="1"/>
  <c r="I302" i="157"/>
  <c r="I303" i="157" s="1"/>
  <c r="I304" i="157" s="1"/>
  <c r="G302" i="157"/>
  <c r="I211" i="157"/>
  <c r="H211" i="157"/>
  <c r="F211" i="155" s="1"/>
  <c r="J270" i="161"/>
  <c r="H270" i="161"/>
  <c r="I270" i="161"/>
  <c r="K528" i="155"/>
  <c r="L528" i="155" s="1"/>
  <c r="H528" i="164"/>
  <c r="I891" i="157"/>
  <c r="I562" i="157"/>
  <c r="G539" i="166"/>
  <c r="I540" i="160"/>
  <c r="K417" i="157"/>
  <c r="J599" i="158"/>
  <c r="J550" i="158"/>
  <c r="O801" i="158"/>
  <c r="J801" i="158"/>
  <c r="K801" i="158" s="1"/>
  <c r="I609" i="160"/>
  <c r="G588" i="160"/>
  <c r="G424" i="155"/>
  <c r="I491" i="165"/>
  <c r="I493" i="165" s="1"/>
  <c r="H493" i="161"/>
  <c r="F18" i="159"/>
  <c r="F498" i="159"/>
  <c r="F312" i="159"/>
  <c r="K184" i="155"/>
  <c r="L182" i="155"/>
  <c r="L184" i="155" s="1"/>
  <c r="I876" i="158"/>
  <c r="F34" i="9"/>
  <c r="I522" i="9"/>
  <c r="F519" i="159"/>
  <c r="G519" i="9"/>
  <c r="G485" i="155"/>
  <c r="G527" i="158"/>
  <c r="I417" i="166"/>
  <c r="G259" i="155"/>
  <c r="H420" i="157"/>
  <c r="I420" i="157"/>
  <c r="F431" i="157"/>
  <c r="F433" i="157" s="1"/>
  <c r="K257" i="9"/>
  <c r="K275" i="9" s="1"/>
  <c r="J275" i="9"/>
  <c r="G641" i="157"/>
  <c r="G644" i="157" s="1"/>
  <c r="J644" i="157" s="1"/>
  <c r="H429" i="161"/>
  <c r="I429" i="161"/>
  <c r="J429" i="161"/>
  <c r="I640" i="167"/>
  <c r="J424" i="166"/>
  <c r="I303" i="159"/>
  <c r="I304" i="159" s="1"/>
  <c r="F302" i="161"/>
  <c r="L850" i="160"/>
  <c r="I536" i="159"/>
  <c r="F535" i="161"/>
  <c r="G535" i="159"/>
  <c r="G886" i="157"/>
  <c r="G544" i="157"/>
  <c r="H220" i="155"/>
  <c r="J220" i="155"/>
  <c r="I220" i="155"/>
  <c r="H210" i="157"/>
  <c r="F210" i="155" s="1"/>
  <c r="I210" i="157"/>
  <c r="J265" i="166"/>
  <c r="J261" i="165"/>
  <c r="I484" i="165"/>
  <c r="H417" i="155"/>
  <c r="H417" i="162" s="1"/>
  <c r="I417" i="155"/>
  <c r="J417" i="155"/>
  <c r="J417" i="162" s="1"/>
  <c r="K302" i="9"/>
  <c r="K303" i="9" s="1"/>
  <c r="K304" i="9" s="1"/>
  <c r="J303" i="9"/>
  <c r="J304" i="9" s="1"/>
  <c r="I835" i="159"/>
  <c r="J835" i="159" s="1"/>
  <c r="K835" i="159" s="1"/>
  <c r="H430" i="161"/>
  <c r="I430" i="161"/>
  <c r="J430" i="161"/>
  <c r="J266" i="162"/>
  <c r="F266" i="167" s="1"/>
  <c r="F279" i="160"/>
  <c r="J279" i="159"/>
  <c r="G281" i="159"/>
  <c r="F189" i="164"/>
  <c r="K187" i="164"/>
  <c r="F101" i="164"/>
  <c r="F12" i="164" s="1"/>
  <c r="F182" i="164"/>
  <c r="H425" i="162"/>
  <c r="F425" i="165" s="1"/>
  <c r="J227" i="162"/>
  <c r="F227" i="167" s="1"/>
  <c r="G428" i="155"/>
  <c r="F215" i="157"/>
  <c r="I206" i="157"/>
  <c r="H206" i="157"/>
  <c r="J465" i="159"/>
  <c r="F221" i="161"/>
  <c r="I229" i="159"/>
  <c r="I234" i="165"/>
  <c r="G417" i="165"/>
  <c r="H224" i="157"/>
  <c r="F224" i="155" s="1"/>
  <c r="I224" i="157"/>
  <c r="I492" i="162"/>
  <c r="F492" i="166" s="1"/>
  <c r="H421" i="160"/>
  <c r="I421" i="160"/>
  <c r="J421" i="160"/>
  <c r="H27" i="165"/>
  <c r="H868" i="165"/>
  <c r="H636" i="165"/>
  <c r="H639" i="165" s="1"/>
  <c r="K484" i="157"/>
  <c r="J609" i="159"/>
  <c r="G260" i="160"/>
  <c r="J260" i="165"/>
  <c r="G19" i="159"/>
  <c r="G499" i="159"/>
  <c r="F609" i="160"/>
  <c r="K260" i="161"/>
  <c r="L260" i="161" s="1"/>
  <c r="I260" i="164"/>
  <c r="G854" i="160"/>
  <c r="H855" i="160"/>
  <c r="H640" i="160" s="1"/>
  <c r="G640" i="165" s="1"/>
  <c r="K539" i="159"/>
  <c r="K540" i="159" s="1"/>
  <c r="J540" i="159"/>
  <c r="K850" i="155"/>
  <c r="H584" i="157"/>
  <c r="F585" i="157"/>
  <c r="F591" i="157" s="1"/>
  <c r="I584" i="157"/>
  <c r="I585" i="157" s="1"/>
  <c r="I591" i="157" s="1"/>
  <c r="F420" i="161"/>
  <c r="I431" i="159"/>
  <c r="I433" i="159" s="1"/>
  <c r="H275" i="159"/>
  <c r="H283" i="159" s="1"/>
  <c r="H324" i="159" s="1"/>
  <c r="I275" i="159"/>
  <c r="F257" i="161"/>
  <c r="I209" i="161"/>
  <c r="J209" i="161"/>
  <c r="H209" i="161"/>
  <c r="L12" i="155"/>
  <c r="J461" i="157"/>
  <c r="G462" i="157"/>
  <c r="I259" i="164"/>
  <c r="K259" i="161"/>
  <c r="L259" i="161" s="1"/>
  <c r="H457" i="166"/>
  <c r="H458" i="166" s="1"/>
  <c r="I458" i="155"/>
  <c r="I833" i="155" s="1"/>
  <c r="H430" i="157"/>
  <c r="F430" i="155" s="1"/>
  <c r="I430" i="157"/>
  <c r="I520" i="164"/>
  <c r="K520" i="161"/>
  <c r="L520" i="161" s="1"/>
  <c r="I263" i="164"/>
  <c r="K263" i="161"/>
  <c r="L263" i="161" s="1"/>
  <c r="I262" i="164"/>
  <c r="K262" i="161"/>
  <c r="L262" i="161" s="1"/>
  <c r="J220" i="157"/>
  <c r="K188" i="166"/>
  <c r="K189" i="166" s="1"/>
  <c r="F189" i="166"/>
  <c r="H529" i="159"/>
  <c r="I27" i="155"/>
  <c r="I636" i="155"/>
  <c r="I639" i="155" s="1"/>
  <c r="I868" i="155"/>
  <c r="J262" i="166"/>
  <c r="G428" i="160"/>
  <c r="J492" i="165"/>
  <c r="I428" i="162"/>
  <c r="F428" i="166" s="1"/>
  <c r="H484" i="155"/>
  <c r="I484" i="155"/>
  <c r="J484" i="155"/>
  <c r="I417" i="165"/>
  <c r="K329" i="161"/>
  <c r="K420" i="9"/>
  <c r="K431" i="9" s="1"/>
  <c r="K433" i="9" s="1"/>
  <c r="K498" i="9" s="1"/>
  <c r="J431" i="9"/>
  <c r="J433" i="9" s="1"/>
  <c r="K485" i="161"/>
  <c r="L485" i="161" s="1"/>
  <c r="I485" i="164"/>
  <c r="K418" i="161"/>
  <c r="L418" i="161" s="1"/>
  <c r="I418" i="164"/>
  <c r="K531" i="160"/>
  <c r="L531" i="160" s="1"/>
  <c r="G531" i="164"/>
  <c r="G531" i="162"/>
  <c r="I220" i="166"/>
  <c r="F465" i="161"/>
  <c r="I461" i="165"/>
  <c r="I462" i="165" s="1"/>
  <c r="I465" i="165" s="1"/>
  <c r="H462" i="161"/>
  <c r="H465" i="161" s="1"/>
  <c r="H325" i="9"/>
  <c r="H326" i="9" s="1"/>
  <c r="H803" i="9"/>
  <c r="J27" i="155"/>
  <c r="J636" i="155"/>
  <c r="J639" i="155" s="1"/>
  <c r="J868" i="155"/>
  <c r="G562" i="157"/>
  <c r="G891" i="157"/>
  <c r="H520" i="160"/>
  <c r="I520" i="160"/>
  <c r="J520" i="160"/>
  <c r="I539" i="165"/>
  <c r="I540" i="165" s="1"/>
  <c r="H540" i="161"/>
  <c r="G539" i="161"/>
  <c r="I539" i="167"/>
  <c r="I540" i="167" s="1"/>
  <c r="J540" i="161"/>
  <c r="G274" i="155"/>
  <c r="F887" i="9"/>
  <c r="F896" i="9" s="1"/>
  <c r="F897" i="9" s="1"/>
  <c r="F899" i="9" s="1"/>
  <c r="F890" i="9"/>
  <c r="F892" i="9" s="1"/>
  <c r="J485" i="165"/>
  <c r="G626" i="166"/>
  <c r="I630" i="160"/>
  <c r="G626" i="160"/>
  <c r="H799" i="159"/>
  <c r="F886" i="159"/>
  <c r="F544" i="159"/>
  <c r="G425" i="155"/>
  <c r="I223" i="157"/>
  <c r="H223" i="157"/>
  <c r="F223" i="155" s="1"/>
  <c r="H588" i="161"/>
  <c r="I588" i="161"/>
  <c r="F589" i="161"/>
  <c r="J588" i="161"/>
  <c r="G800" i="158"/>
  <c r="I800" i="158"/>
  <c r="H800" i="158"/>
  <c r="F321" i="158"/>
  <c r="H429" i="157"/>
  <c r="F429" i="155" s="1"/>
  <c r="I429" i="157"/>
  <c r="G457" i="166"/>
  <c r="I458" i="160"/>
  <c r="I833" i="160" s="1"/>
  <c r="G227" i="155"/>
  <c r="I640" i="166"/>
  <c r="J212" i="165"/>
  <c r="J266" i="167"/>
  <c r="G261" i="160"/>
  <c r="I260" i="162"/>
  <c r="F260" i="166" s="1"/>
  <c r="J540" i="160"/>
  <c r="G539" i="167"/>
  <c r="I213" i="157"/>
  <c r="H213" i="157"/>
  <c r="F213" i="155" s="1"/>
  <c r="J868" i="159"/>
  <c r="J636" i="159"/>
  <c r="J639" i="159" s="1"/>
  <c r="J641" i="159" s="1"/>
  <c r="J27" i="159"/>
  <c r="K27" i="159" s="1"/>
  <c r="H539" i="155"/>
  <c r="G796" i="155"/>
  <c r="K796" i="155" s="1"/>
  <c r="L796" i="155" s="1"/>
  <c r="H854" i="155"/>
  <c r="H588" i="155"/>
  <c r="L189" i="155"/>
  <c r="G484" i="161"/>
  <c r="G264" i="155"/>
  <c r="G486" i="158"/>
  <c r="K528" i="165"/>
  <c r="G799" i="9"/>
  <c r="J799" i="9" s="1"/>
  <c r="K799" i="9" s="1"/>
  <c r="I457" i="162"/>
  <c r="K220" i="159"/>
  <c r="H19" i="157"/>
  <c r="H499" i="157"/>
  <c r="J264" i="167"/>
  <c r="J264" i="165"/>
  <c r="G269" i="155"/>
  <c r="H544" i="157"/>
  <c r="H886" i="157"/>
  <c r="J262" i="162"/>
  <c r="F262" i="167" s="1"/>
  <c r="J457" i="157"/>
  <c r="G458" i="157"/>
  <c r="G833" i="157" s="1"/>
  <c r="J816" i="158"/>
  <c r="K816" i="158" s="1"/>
  <c r="O816" i="158"/>
  <c r="F279" i="161"/>
  <c r="I281" i="159"/>
  <c r="G238" i="9"/>
  <c r="J261" i="162"/>
  <c r="F261" i="167" s="1"/>
  <c r="K101" i="164"/>
  <c r="K182" i="162"/>
  <c r="K101" i="162"/>
  <c r="K12" i="162" s="1"/>
  <c r="K206" i="9"/>
  <c r="K215" i="9" s="1"/>
  <c r="J215" i="9"/>
  <c r="J578" i="159"/>
  <c r="G580" i="159"/>
  <c r="G598" i="159" s="1"/>
  <c r="F578" i="160"/>
  <c r="I264" i="162"/>
  <c r="F264" i="166" s="1"/>
  <c r="J269" i="162"/>
  <c r="F269" i="167" s="1"/>
  <c r="I234" i="167"/>
  <c r="G234" i="161"/>
  <c r="G417" i="167"/>
  <c r="G417" i="160"/>
  <c r="H211" i="161"/>
  <c r="I211" i="161"/>
  <c r="J211" i="161"/>
  <c r="J835" i="9"/>
  <c r="K835" i="9" s="1"/>
  <c r="G529" i="9"/>
  <c r="J424" i="162"/>
  <c r="F424" i="167" s="1"/>
  <c r="I263" i="162"/>
  <c r="F263" i="166" s="1"/>
  <c r="G261" i="155"/>
  <c r="K609" i="159"/>
  <c r="H630" i="164" l="1"/>
  <c r="F214" i="160"/>
  <c r="J214" i="159"/>
  <c r="K214" i="159" s="1"/>
  <c r="G214" i="161"/>
  <c r="I214" i="165"/>
  <c r="J418" i="162"/>
  <c r="F418" i="167" s="1"/>
  <c r="K418" i="167" s="1"/>
  <c r="G418" i="160"/>
  <c r="G418" i="162" s="1"/>
  <c r="F214" i="155"/>
  <c r="G214" i="157"/>
  <c r="J214" i="157" s="1"/>
  <c r="K214" i="157" s="1"/>
  <c r="I418" i="162"/>
  <c r="F418" i="166" s="1"/>
  <c r="I461" i="162"/>
  <c r="J629" i="164"/>
  <c r="H263" i="162"/>
  <c r="F263" i="165" s="1"/>
  <c r="K263" i="165" s="1"/>
  <c r="J531" i="164"/>
  <c r="I212" i="162"/>
  <c r="F212" i="166" s="1"/>
  <c r="K212" i="166" s="1"/>
  <c r="H462" i="160"/>
  <c r="H465" i="160" s="1"/>
  <c r="H835" i="160" s="1"/>
  <c r="H225" i="162"/>
  <c r="F225" i="165" s="1"/>
  <c r="K225" i="165" s="1"/>
  <c r="H423" i="162"/>
  <c r="F423" i="165" s="1"/>
  <c r="K423" i="165" s="1"/>
  <c r="H419" i="162"/>
  <c r="F419" i="165" s="1"/>
  <c r="K419" i="165" s="1"/>
  <c r="I269" i="162"/>
  <c r="F269" i="166" s="1"/>
  <c r="K269" i="166" s="1"/>
  <c r="H828" i="159"/>
  <c r="K425" i="165"/>
  <c r="G461" i="160"/>
  <c r="G462" i="160" s="1"/>
  <c r="I462" i="160"/>
  <c r="I465" i="160" s="1"/>
  <c r="I499" i="160" s="1"/>
  <c r="H259" i="162"/>
  <c r="F259" i="165" s="1"/>
  <c r="K259" i="165" s="1"/>
  <c r="G263" i="160"/>
  <c r="G263" i="162" s="1"/>
  <c r="F263" i="164" s="1"/>
  <c r="K599" i="158"/>
  <c r="J226" i="162"/>
  <c r="F226" i="167" s="1"/>
  <c r="K226" i="167" s="1"/>
  <c r="J212" i="162"/>
  <c r="F212" i="167" s="1"/>
  <c r="K212" i="167" s="1"/>
  <c r="G212" i="160"/>
  <c r="K212" i="160" s="1"/>
  <c r="L212" i="160" s="1"/>
  <c r="F210" i="160"/>
  <c r="H210" i="160" s="1"/>
  <c r="G210" i="165" s="1"/>
  <c r="J263" i="162"/>
  <c r="F263" i="167" s="1"/>
  <c r="K263" i="167" s="1"/>
  <c r="G226" i="160"/>
  <c r="G226" i="162" s="1"/>
  <c r="I274" i="162"/>
  <c r="F274" i="166" s="1"/>
  <c r="K274" i="166" s="1"/>
  <c r="G225" i="160"/>
  <c r="K225" i="160" s="1"/>
  <c r="L225" i="160" s="1"/>
  <c r="I259" i="162"/>
  <c r="F259" i="166" s="1"/>
  <c r="K259" i="166" s="1"/>
  <c r="I226" i="162"/>
  <c r="F226" i="166" s="1"/>
  <c r="K226" i="166" s="1"/>
  <c r="J225" i="162"/>
  <c r="F225" i="167" s="1"/>
  <c r="K225" i="167" s="1"/>
  <c r="K854" i="157"/>
  <c r="K855" i="157" s="1"/>
  <c r="J274" i="162"/>
  <c r="F274" i="167" s="1"/>
  <c r="K274" i="167" s="1"/>
  <c r="G579" i="166"/>
  <c r="H498" i="159"/>
  <c r="G259" i="160"/>
  <c r="G259" i="162" s="1"/>
  <c r="F259" i="164" s="1"/>
  <c r="H312" i="159"/>
  <c r="H313" i="159" s="1"/>
  <c r="G419" i="160"/>
  <c r="G419" i="164" s="1"/>
  <c r="H330" i="158"/>
  <c r="H331" i="158" s="1"/>
  <c r="H35" i="158" s="1"/>
  <c r="H37" i="158" s="1"/>
  <c r="K259" i="167"/>
  <c r="G274" i="160"/>
  <c r="K274" i="160" s="1"/>
  <c r="L274" i="160" s="1"/>
  <c r="J419" i="162"/>
  <c r="F419" i="167" s="1"/>
  <c r="K419" i="167" s="1"/>
  <c r="K271" i="162"/>
  <c r="L271" i="162" s="1"/>
  <c r="J265" i="162"/>
  <c r="F265" i="167" s="1"/>
  <c r="K265" i="167" s="1"/>
  <c r="G265" i="160"/>
  <c r="G265" i="162" s="1"/>
  <c r="F265" i="164" s="1"/>
  <c r="J213" i="159"/>
  <c r="K213" i="159" s="1"/>
  <c r="J234" i="162"/>
  <c r="F234" i="167" s="1"/>
  <c r="K264" i="165"/>
  <c r="K428" i="166"/>
  <c r="G423" i="160"/>
  <c r="G423" i="164" s="1"/>
  <c r="J423" i="162"/>
  <c r="F423" i="167" s="1"/>
  <c r="K423" i="167" s="1"/>
  <c r="G234" i="160"/>
  <c r="K234" i="160" s="1"/>
  <c r="K424" i="167"/>
  <c r="K274" i="165"/>
  <c r="K458" i="161"/>
  <c r="K261" i="165"/>
  <c r="G269" i="160"/>
  <c r="K269" i="160" s="1"/>
  <c r="L269" i="160" s="1"/>
  <c r="J221" i="159"/>
  <c r="K221" i="159" s="1"/>
  <c r="I330" i="158"/>
  <c r="I331" i="158" s="1"/>
  <c r="I899" i="158" s="1"/>
  <c r="K423" i="166"/>
  <c r="H266" i="162"/>
  <c r="F266" i="165" s="1"/>
  <c r="K266" i="165" s="1"/>
  <c r="G425" i="160"/>
  <c r="K425" i="160" s="1"/>
  <c r="L425" i="160" s="1"/>
  <c r="J271" i="164"/>
  <c r="K271" i="164" s="1"/>
  <c r="K262" i="165"/>
  <c r="K418" i="166"/>
  <c r="H265" i="162"/>
  <c r="F265" i="165" s="1"/>
  <c r="K265" i="165" s="1"/>
  <c r="H269" i="162"/>
  <c r="F269" i="165" s="1"/>
  <c r="K269" i="165" s="1"/>
  <c r="G234" i="166"/>
  <c r="I484" i="162"/>
  <c r="F484" i="166" s="1"/>
  <c r="G484" i="160"/>
  <c r="G484" i="164" s="1"/>
  <c r="G484" i="167"/>
  <c r="J484" i="162"/>
  <c r="F484" i="167" s="1"/>
  <c r="K262" i="166"/>
  <c r="I579" i="166"/>
  <c r="K492" i="167"/>
  <c r="J296" i="158"/>
  <c r="I220" i="162"/>
  <c r="F220" i="166" s="1"/>
  <c r="K492" i="165"/>
  <c r="K428" i="165"/>
  <c r="K419" i="166"/>
  <c r="I425" i="162"/>
  <c r="F425" i="166" s="1"/>
  <c r="K425" i="166" s="1"/>
  <c r="H263" i="164"/>
  <c r="G266" i="160"/>
  <c r="G266" i="162" s="1"/>
  <c r="K269" i="167"/>
  <c r="K264" i="167"/>
  <c r="F430" i="160"/>
  <c r="J536" i="157"/>
  <c r="J886" i="157" s="1"/>
  <c r="I266" i="162"/>
  <c r="F266" i="166" s="1"/>
  <c r="K266" i="166" s="1"/>
  <c r="H491" i="162"/>
  <c r="H493" i="162" s="1"/>
  <c r="K227" i="167"/>
  <c r="F206" i="160"/>
  <c r="I206" i="160" s="1"/>
  <c r="K264" i="166"/>
  <c r="I422" i="162"/>
  <c r="F422" i="166" s="1"/>
  <c r="K422" i="166" s="1"/>
  <c r="K261" i="166"/>
  <c r="K262" i="160"/>
  <c r="L262" i="160" s="1"/>
  <c r="K260" i="166"/>
  <c r="J258" i="159"/>
  <c r="K258" i="159" s="1"/>
  <c r="G236" i="159"/>
  <c r="K226" i="165"/>
  <c r="F235" i="160"/>
  <c r="H235" i="160" s="1"/>
  <c r="G479" i="157"/>
  <c r="J479" i="157" s="1"/>
  <c r="K492" i="166"/>
  <c r="G422" i="160"/>
  <c r="G422" i="164" s="1"/>
  <c r="J834" i="161"/>
  <c r="P833" i="161"/>
  <c r="J422" i="162"/>
  <c r="F422" i="167" s="1"/>
  <c r="K422" i="167" s="1"/>
  <c r="K227" i="165"/>
  <c r="H238" i="159"/>
  <c r="H323" i="159" s="1"/>
  <c r="I641" i="155"/>
  <c r="I644" i="155" s="1"/>
  <c r="J270" i="159"/>
  <c r="K270" i="159" s="1"/>
  <c r="K212" i="165"/>
  <c r="I640" i="162"/>
  <c r="F640" i="166" s="1"/>
  <c r="H641" i="166"/>
  <c r="H644" i="166" s="1"/>
  <c r="K191" i="166"/>
  <c r="K329" i="166" s="1"/>
  <c r="K485" i="167"/>
  <c r="G260" i="162"/>
  <c r="K260" i="162" s="1"/>
  <c r="L260" i="162" s="1"/>
  <c r="H20" i="158"/>
  <c r="H21" i="158" s="1"/>
  <c r="K227" i="166"/>
  <c r="K485" i="165"/>
  <c r="I220" i="164"/>
  <c r="K283" i="9"/>
  <c r="K324" i="9" s="1"/>
  <c r="K260" i="155"/>
  <c r="L260" i="155" s="1"/>
  <c r="H421" i="164"/>
  <c r="K296" i="158"/>
  <c r="G215" i="159"/>
  <c r="K424" i="166"/>
  <c r="H492" i="164"/>
  <c r="F296" i="159"/>
  <c r="G425" i="167"/>
  <c r="J425" i="167" s="1"/>
  <c r="J425" i="162"/>
  <c r="F425" i="167" s="1"/>
  <c r="K262" i="167"/>
  <c r="I529" i="159"/>
  <c r="F529" i="161" s="1"/>
  <c r="J458" i="162"/>
  <c r="F209" i="160"/>
  <c r="H209" i="160" s="1"/>
  <c r="G209" i="165" s="1"/>
  <c r="J209" i="159"/>
  <c r="K209" i="159" s="1"/>
  <c r="G275" i="159"/>
  <c r="G283" i="159" s="1"/>
  <c r="G324" i="159" s="1"/>
  <c r="F480" i="160"/>
  <c r="H480" i="160" s="1"/>
  <c r="G480" i="165" s="1"/>
  <c r="K422" i="165"/>
  <c r="K189" i="164"/>
  <c r="L191" i="155"/>
  <c r="L329" i="155" s="1"/>
  <c r="O835" i="159"/>
  <c r="G484" i="155"/>
  <c r="G209" i="161"/>
  <c r="K209" i="161" s="1"/>
  <c r="L209" i="161" s="1"/>
  <c r="G224" i="157"/>
  <c r="J224" i="157" s="1"/>
  <c r="K224" i="157" s="1"/>
  <c r="G211" i="157"/>
  <c r="J211" i="157" s="1"/>
  <c r="K211" i="157" s="1"/>
  <c r="J224" i="159"/>
  <c r="K224" i="159" s="1"/>
  <c r="F429" i="160"/>
  <c r="J429" i="160" s="1"/>
  <c r="G429" i="167" s="1"/>
  <c r="I491" i="162"/>
  <c r="F491" i="166" s="1"/>
  <c r="F257" i="160"/>
  <c r="H257" i="160" s="1"/>
  <c r="K261" i="167"/>
  <c r="J257" i="159"/>
  <c r="K263" i="166"/>
  <c r="K260" i="167"/>
  <c r="G491" i="160"/>
  <c r="G493" i="160" s="1"/>
  <c r="F211" i="160"/>
  <c r="K417" i="161"/>
  <c r="L417" i="161" s="1"/>
  <c r="J491" i="162"/>
  <c r="F491" i="167" s="1"/>
  <c r="G579" i="162"/>
  <c r="K579" i="162" s="1"/>
  <c r="L579" i="162" s="1"/>
  <c r="I215" i="157"/>
  <c r="J640" i="166"/>
  <c r="G213" i="161"/>
  <c r="I213" i="164" s="1"/>
  <c r="G429" i="157"/>
  <c r="J429" i="157" s="1"/>
  <c r="K429" i="157" s="1"/>
  <c r="H834" i="161"/>
  <c r="F238" i="157"/>
  <c r="F323" i="157" s="1"/>
  <c r="G210" i="161"/>
  <c r="K210" i="161" s="1"/>
  <c r="L210" i="161" s="1"/>
  <c r="G270" i="161"/>
  <c r="K270" i="161" s="1"/>
  <c r="L270" i="161" s="1"/>
  <c r="J640" i="167"/>
  <c r="G221" i="157"/>
  <c r="J221" i="157" s="1"/>
  <c r="K221" i="157" s="1"/>
  <c r="G220" i="155"/>
  <c r="K220" i="155" s="1"/>
  <c r="G491" i="155"/>
  <c r="H491" i="164" s="1"/>
  <c r="I275" i="157"/>
  <c r="I283" i="157" s="1"/>
  <c r="I324" i="157" s="1"/>
  <c r="G227" i="162"/>
  <c r="F227" i="164" s="1"/>
  <c r="G213" i="157"/>
  <c r="J213" i="157" s="1"/>
  <c r="K213" i="157" s="1"/>
  <c r="G431" i="159"/>
  <c r="G433" i="159" s="1"/>
  <c r="G828" i="159" s="1"/>
  <c r="G421" i="160"/>
  <c r="G421" i="162" s="1"/>
  <c r="K428" i="167"/>
  <c r="J420" i="159"/>
  <c r="J431" i="159" s="1"/>
  <c r="J433" i="159" s="1"/>
  <c r="H641" i="167"/>
  <c r="H644" i="167" s="1"/>
  <c r="G833" i="155"/>
  <c r="K833" i="155" s="1"/>
  <c r="P833" i="155" s="1"/>
  <c r="G461" i="155"/>
  <c r="G462" i="155" s="1"/>
  <c r="G258" i="161"/>
  <c r="I258" i="164" s="1"/>
  <c r="J578" i="157"/>
  <c r="G580" i="157"/>
  <c r="G598" i="157" s="1"/>
  <c r="I283" i="159"/>
  <c r="I324" i="159" s="1"/>
  <c r="G480" i="157"/>
  <c r="J480" i="157" s="1"/>
  <c r="K480" i="157" s="1"/>
  <c r="K191" i="167"/>
  <c r="K329" i="167" s="1"/>
  <c r="J238" i="9"/>
  <c r="J323" i="9" s="1"/>
  <c r="G417" i="155"/>
  <c r="H417" i="164" s="1"/>
  <c r="G270" i="157"/>
  <c r="J270" i="157" s="1"/>
  <c r="K270" i="157" s="1"/>
  <c r="H220" i="162"/>
  <c r="F220" i="165" s="1"/>
  <c r="K238" i="9"/>
  <c r="K323" i="9" s="1"/>
  <c r="G223" i="161"/>
  <c r="K223" i="161" s="1"/>
  <c r="L223" i="161" s="1"/>
  <c r="I604" i="159"/>
  <c r="I550" i="159"/>
  <c r="I599" i="159"/>
  <c r="K550" i="9"/>
  <c r="K599" i="9"/>
  <c r="L12" i="162"/>
  <c r="K269" i="155"/>
  <c r="L269" i="155" s="1"/>
  <c r="H269" i="164"/>
  <c r="F457" i="166"/>
  <c r="I458" i="162"/>
  <c r="K484" i="161"/>
  <c r="I484" i="164"/>
  <c r="K261" i="160"/>
  <c r="L261" i="160" s="1"/>
  <c r="G261" i="164"/>
  <c r="G261" i="162"/>
  <c r="G458" i="166"/>
  <c r="J457" i="166"/>
  <c r="J458" i="166" s="1"/>
  <c r="F609" i="161"/>
  <c r="G520" i="166"/>
  <c r="J520" i="166" s="1"/>
  <c r="I520" i="162"/>
  <c r="F520" i="166" s="1"/>
  <c r="F417" i="165"/>
  <c r="J462" i="157"/>
  <c r="K461" i="157"/>
  <c r="K462" i="157" s="1"/>
  <c r="F275" i="161"/>
  <c r="H257" i="161"/>
  <c r="I257" i="161"/>
  <c r="J257" i="161"/>
  <c r="H420" i="161"/>
  <c r="I420" i="161"/>
  <c r="J420" i="161"/>
  <c r="F431" i="161"/>
  <c r="F433" i="161" s="1"/>
  <c r="K854" i="160"/>
  <c r="G855" i="160"/>
  <c r="G640" i="160" s="1"/>
  <c r="G640" i="164" s="1"/>
  <c r="K428" i="155"/>
  <c r="L428" i="155" s="1"/>
  <c r="H428" i="164"/>
  <c r="K12" i="164"/>
  <c r="J281" i="159"/>
  <c r="K279" i="159"/>
  <c r="K281" i="159" s="1"/>
  <c r="H417" i="166"/>
  <c r="H633" i="158"/>
  <c r="H870" i="158"/>
  <c r="I429" i="165"/>
  <c r="K588" i="160"/>
  <c r="G589" i="160"/>
  <c r="G303" i="157"/>
  <c r="G304" i="157" s="1"/>
  <c r="G799" i="157" s="1"/>
  <c r="J302" i="157"/>
  <c r="H234" i="166"/>
  <c r="K491" i="161"/>
  <c r="I491" i="164"/>
  <c r="I493" i="164" s="1"/>
  <c r="G493" i="161"/>
  <c r="K206" i="159"/>
  <c r="I234" i="162"/>
  <c r="K630" i="155"/>
  <c r="L626" i="155"/>
  <c r="L630" i="155" s="1"/>
  <c r="J536" i="155"/>
  <c r="H535" i="167"/>
  <c r="H536" i="167" s="1"/>
  <c r="J540" i="155"/>
  <c r="H539" i="167"/>
  <c r="H540" i="167" s="1"/>
  <c r="F539" i="166"/>
  <c r="I540" i="162"/>
  <c r="J626" i="165"/>
  <c r="J630" i="165" s="1"/>
  <c r="G630" i="165"/>
  <c r="G462" i="165"/>
  <c r="K461" i="161"/>
  <c r="I461" i="164"/>
  <c r="I462" i="164" s="1"/>
  <c r="I465" i="164" s="1"/>
  <c r="G462" i="161"/>
  <c r="G465" i="161" s="1"/>
  <c r="G540" i="160"/>
  <c r="G539" i="164"/>
  <c r="K539" i="160"/>
  <c r="H209" i="155"/>
  <c r="H209" i="165" s="1"/>
  <c r="I209" i="155"/>
  <c r="H209" i="166" s="1"/>
  <c r="J209" i="155"/>
  <c r="H209" i="167" s="1"/>
  <c r="H461" i="167"/>
  <c r="H462" i="167" s="1"/>
  <c r="H465" i="167" s="1"/>
  <c r="J462" i="155"/>
  <c r="J465" i="155" s="1"/>
  <c r="K626" i="161"/>
  <c r="G630" i="161"/>
  <c r="I626" i="164"/>
  <c r="I630" i="164" s="1"/>
  <c r="G626" i="162"/>
  <c r="K520" i="155"/>
  <c r="L520" i="155" s="1"/>
  <c r="H520" i="164"/>
  <c r="K424" i="165"/>
  <c r="I224" i="165"/>
  <c r="I19" i="161"/>
  <c r="I499" i="161"/>
  <c r="I828" i="9"/>
  <c r="J828" i="9" s="1"/>
  <c r="K828" i="9" s="1"/>
  <c r="G527" i="9"/>
  <c r="I211" i="165"/>
  <c r="K184" i="162"/>
  <c r="K191" i="162" s="1"/>
  <c r="L182" i="162"/>
  <c r="L184" i="162" s="1"/>
  <c r="L191" i="162" s="1"/>
  <c r="G323" i="9"/>
  <c r="G296" i="9"/>
  <c r="G816" i="9" s="1"/>
  <c r="J816" i="9" s="1"/>
  <c r="K816" i="9" s="1"/>
  <c r="J800" i="158"/>
  <c r="K800" i="158" s="1"/>
  <c r="O800" i="158"/>
  <c r="K626" i="160"/>
  <c r="G630" i="160"/>
  <c r="G626" i="164"/>
  <c r="I891" i="165"/>
  <c r="I562" i="165"/>
  <c r="H14" i="9"/>
  <c r="H15" i="9" s="1"/>
  <c r="H330" i="9"/>
  <c r="H331" i="9" s="1"/>
  <c r="H484" i="166"/>
  <c r="F191" i="166"/>
  <c r="I550" i="157"/>
  <c r="I604" i="157"/>
  <c r="I599" i="157"/>
  <c r="G584" i="157"/>
  <c r="J562" i="159"/>
  <c r="J891" i="159"/>
  <c r="I430" i="166"/>
  <c r="I429" i="167"/>
  <c r="G429" i="161"/>
  <c r="F420" i="155"/>
  <c r="H431" i="157"/>
  <c r="H433" i="157" s="1"/>
  <c r="H828" i="157" s="1"/>
  <c r="I417" i="162"/>
  <c r="K485" i="155"/>
  <c r="L485" i="155" s="1"/>
  <c r="H485" i="164"/>
  <c r="G458" i="167"/>
  <c r="J457" i="167"/>
  <c r="J458" i="167" s="1"/>
  <c r="J636" i="161"/>
  <c r="J639" i="161" s="1"/>
  <c r="J641" i="161" s="1"/>
  <c r="J644" i="161" s="1"/>
  <c r="J868" i="161"/>
  <c r="J27" i="161"/>
  <c r="I25" i="168" s="1"/>
  <c r="G876" i="158"/>
  <c r="H422" i="164"/>
  <c r="K422" i="155"/>
  <c r="L422" i="155" s="1"/>
  <c r="G481" i="159"/>
  <c r="G838" i="159" s="1"/>
  <c r="F479" i="160"/>
  <c r="J479" i="159"/>
  <c r="I891" i="166"/>
  <c r="I562" i="166"/>
  <c r="I480" i="165"/>
  <c r="J465" i="160"/>
  <c r="J835" i="160" s="1"/>
  <c r="J540" i="157"/>
  <c r="K539" i="157"/>
  <c r="K540" i="157" s="1"/>
  <c r="H258" i="155"/>
  <c r="H258" i="165" s="1"/>
  <c r="J258" i="155"/>
  <c r="H258" i="167" s="1"/>
  <c r="I258" i="155"/>
  <c r="H258" i="166" s="1"/>
  <c r="G833" i="160"/>
  <c r="K833" i="160" s="1"/>
  <c r="J302" i="160"/>
  <c r="F303" i="160"/>
  <c r="F304" i="160" s="1"/>
  <c r="H302" i="160"/>
  <c r="I302" i="160"/>
  <c r="K262" i="155"/>
  <c r="L262" i="155" s="1"/>
  <c r="H262" i="164"/>
  <c r="J262" i="164" s="1"/>
  <c r="J313" i="158"/>
  <c r="K312" i="158"/>
  <c r="K313" i="158" s="1"/>
  <c r="I868" i="161"/>
  <c r="I27" i="161"/>
  <c r="G25" i="168" s="1"/>
  <c r="I636" i="161"/>
  <c r="I639" i="161" s="1"/>
  <c r="I641" i="161" s="1"/>
  <c r="I644" i="161" s="1"/>
  <c r="I258" i="167"/>
  <c r="K225" i="166"/>
  <c r="K235" i="159"/>
  <c r="K236" i="159" s="1"/>
  <c r="J236" i="159"/>
  <c r="I211" i="167"/>
  <c r="G211" i="161"/>
  <c r="H539" i="165"/>
  <c r="H540" i="165" s="1"/>
  <c r="H540" i="155"/>
  <c r="G539" i="155"/>
  <c r="G539" i="162" s="1"/>
  <c r="I211" i="166"/>
  <c r="K417" i="160"/>
  <c r="G417" i="164"/>
  <c r="K234" i="161"/>
  <c r="I234" i="164"/>
  <c r="J578" i="160"/>
  <c r="J580" i="160" s="1"/>
  <c r="J598" i="160" s="1"/>
  <c r="H578" i="160"/>
  <c r="H580" i="160" s="1"/>
  <c r="H598" i="160" s="1"/>
  <c r="F580" i="160"/>
  <c r="F598" i="160" s="1"/>
  <c r="I578" i="160"/>
  <c r="I580" i="160" s="1"/>
  <c r="I598" i="160" s="1"/>
  <c r="H279" i="161"/>
  <c r="I279" i="161"/>
  <c r="J279" i="161"/>
  <c r="F281" i="161"/>
  <c r="J458" i="157"/>
  <c r="K457" i="157"/>
  <c r="K458" i="157" s="1"/>
  <c r="K264" i="155"/>
  <c r="L264" i="155" s="1"/>
  <c r="H264" i="164"/>
  <c r="J588" i="155"/>
  <c r="J589" i="155" s="1"/>
  <c r="H589" i="155"/>
  <c r="J891" i="160"/>
  <c r="J562" i="160"/>
  <c r="J429" i="155"/>
  <c r="H429" i="167" s="1"/>
  <c r="I429" i="155"/>
  <c r="H429" i="166" s="1"/>
  <c r="H429" i="155"/>
  <c r="H429" i="165" s="1"/>
  <c r="J589" i="161"/>
  <c r="H589" i="161"/>
  <c r="H588" i="162"/>
  <c r="F588" i="165" s="1"/>
  <c r="G223" i="157"/>
  <c r="J626" i="166"/>
  <c r="J630" i="166" s="1"/>
  <c r="G630" i="166"/>
  <c r="K274" i="155"/>
  <c r="L274" i="155" s="1"/>
  <c r="H274" i="164"/>
  <c r="J562" i="161"/>
  <c r="J891" i="161"/>
  <c r="G540" i="161"/>
  <c r="K539" i="161"/>
  <c r="I539" i="164"/>
  <c r="I540" i="164" s="1"/>
  <c r="G520" i="167"/>
  <c r="J520" i="167" s="1"/>
  <c r="J520" i="162"/>
  <c r="F520" i="167" s="1"/>
  <c r="H19" i="161"/>
  <c r="H499" i="161"/>
  <c r="I835" i="161"/>
  <c r="J835" i="161"/>
  <c r="F19" i="161"/>
  <c r="H835" i="161"/>
  <c r="F499" i="161"/>
  <c r="J18" i="9"/>
  <c r="J498" i="9"/>
  <c r="H484" i="167"/>
  <c r="H484" i="165"/>
  <c r="G428" i="164"/>
  <c r="K428" i="160"/>
  <c r="L428" i="160" s="1"/>
  <c r="G428" i="162"/>
  <c r="K220" i="157"/>
  <c r="G262" i="162"/>
  <c r="G430" i="157"/>
  <c r="J430" i="157" s="1"/>
  <c r="K430" i="157" s="1"/>
  <c r="G465" i="157"/>
  <c r="G834" i="157"/>
  <c r="I209" i="165"/>
  <c r="I209" i="166"/>
  <c r="I312" i="159"/>
  <c r="I313" i="159" s="1"/>
  <c r="I18" i="159"/>
  <c r="I498" i="159"/>
  <c r="H585" i="157"/>
  <c r="H591" i="157" s="1"/>
  <c r="F584" i="155"/>
  <c r="L850" i="155"/>
  <c r="G421" i="167"/>
  <c r="J421" i="167" s="1"/>
  <c r="J421" i="162"/>
  <c r="F421" i="167" s="1"/>
  <c r="F206" i="155"/>
  <c r="H215" i="157"/>
  <c r="K182" i="164"/>
  <c r="K184" i="164" s="1"/>
  <c r="F184" i="164"/>
  <c r="F191" i="164" s="1"/>
  <c r="G430" i="161"/>
  <c r="I430" i="165"/>
  <c r="G536" i="159"/>
  <c r="F535" i="160"/>
  <c r="J535" i="159"/>
  <c r="J640" i="162"/>
  <c r="F640" i="167" s="1"/>
  <c r="J283" i="9"/>
  <c r="J324" i="9" s="1"/>
  <c r="G420" i="157"/>
  <c r="J527" i="158"/>
  <c r="G532" i="158"/>
  <c r="H519" i="159"/>
  <c r="F522" i="159"/>
  <c r="I519" i="159"/>
  <c r="I270" i="165"/>
  <c r="J211" i="155"/>
  <c r="H211" i="167" s="1"/>
  <c r="H211" i="155"/>
  <c r="H211" i="165" s="1"/>
  <c r="I211" i="155"/>
  <c r="H211" i="166" s="1"/>
  <c r="F302" i="155"/>
  <c r="H303" i="157"/>
  <c r="H304" i="157" s="1"/>
  <c r="H799" i="157" s="1"/>
  <c r="J834" i="160"/>
  <c r="G458" i="155"/>
  <c r="H457" i="164"/>
  <c r="H458" i="164" s="1"/>
  <c r="K457" i="155"/>
  <c r="I270" i="155"/>
  <c r="H270" i="166" s="1"/>
  <c r="J270" i="155"/>
  <c r="H270" i="167" s="1"/>
  <c r="H270" i="155"/>
  <c r="H270" i="165" s="1"/>
  <c r="H234" i="167"/>
  <c r="J234" i="167" s="1"/>
  <c r="G636" i="155"/>
  <c r="G639" i="155" s="1"/>
  <c r="G27" i="155"/>
  <c r="G868" i="155"/>
  <c r="H578" i="161"/>
  <c r="F580" i="161"/>
  <c r="F598" i="161" s="1"/>
  <c r="I578" i="161"/>
  <c r="J578" i="161"/>
  <c r="F329" i="165"/>
  <c r="H535" i="165"/>
  <c r="H536" i="165" s="1"/>
  <c r="H536" i="155"/>
  <c r="G220" i="166"/>
  <c r="G220" i="167"/>
  <c r="I20" i="158"/>
  <c r="I21" i="158" s="1"/>
  <c r="I500" i="158"/>
  <c r="I501" i="158" s="1"/>
  <c r="K191" i="155"/>
  <c r="H491" i="166"/>
  <c r="H493" i="166" s="1"/>
  <c r="I493" i="155"/>
  <c r="I562" i="161"/>
  <c r="I891" i="161"/>
  <c r="K419" i="155"/>
  <c r="L419" i="155" s="1"/>
  <c r="H419" i="164"/>
  <c r="H636" i="160"/>
  <c r="H639" i="160" s="1"/>
  <c r="H641" i="160" s="1"/>
  <c r="H644" i="160" s="1"/>
  <c r="H27" i="160"/>
  <c r="H868" i="160"/>
  <c r="I480" i="166"/>
  <c r="J279" i="157"/>
  <c r="G281" i="157"/>
  <c r="H225" i="164"/>
  <c r="K225" i="155"/>
  <c r="L225" i="155" s="1"/>
  <c r="I19" i="167"/>
  <c r="I499" i="167"/>
  <c r="F283" i="157"/>
  <c r="F324" i="157" s="1"/>
  <c r="G258" i="157"/>
  <c r="J258" i="157" s="1"/>
  <c r="K258" i="157" s="1"/>
  <c r="K492" i="160"/>
  <c r="L492" i="160" s="1"/>
  <c r="G492" i="164"/>
  <c r="G492" i="162"/>
  <c r="H521" i="159"/>
  <c r="I521" i="159"/>
  <c r="F521" i="161" s="1"/>
  <c r="I27" i="165"/>
  <c r="I636" i="165"/>
  <c r="I639" i="165" s="1"/>
  <c r="I641" i="165" s="1"/>
  <c r="I644" i="165" s="1"/>
  <c r="I868" i="165"/>
  <c r="G209" i="157"/>
  <c r="J209" i="157" s="1"/>
  <c r="K209" i="157" s="1"/>
  <c r="F465" i="155"/>
  <c r="K265" i="155"/>
  <c r="L265" i="155" s="1"/>
  <c r="H265" i="164"/>
  <c r="J303" i="159"/>
  <c r="J304" i="159" s="1"/>
  <c r="K302" i="159"/>
  <c r="K303" i="159" s="1"/>
  <c r="K304" i="159" s="1"/>
  <c r="I210" i="165"/>
  <c r="G491" i="165"/>
  <c r="H493" i="160"/>
  <c r="G491" i="166"/>
  <c r="I493" i="160"/>
  <c r="F626" i="166"/>
  <c r="I630" i="162"/>
  <c r="I213" i="166"/>
  <c r="H221" i="160"/>
  <c r="G221" i="165" s="1"/>
  <c r="I221" i="160"/>
  <c r="G221" i="166" s="1"/>
  <c r="J221" i="160"/>
  <c r="G221" i="167" s="1"/>
  <c r="G458" i="165"/>
  <c r="J457" i="165"/>
  <c r="J458" i="165" s="1"/>
  <c r="J310" i="158"/>
  <c r="K307" i="158"/>
  <c r="K310" i="158" s="1"/>
  <c r="K424" i="160"/>
  <c r="L424" i="160" s="1"/>
  <c r="G424" i="164"/>
  <c r="G424" i="162"/>
  <c r="I223" i="167"/>
  <c r="H481" i="157"/>
  <c r="H838" i="157" s="1"/>
  <c r="F479" i="155"/>
  <c r="H270" i="160"/>
  <c r="G270" i="165" s="1"/>
  <c r="I270" i="160"/>
  <c r="G270" i="166" s="1"/>
  <c r="J270" i="160"/>
  <c r="G270" i="167" s="1"/>
  <c r="L220" i="161"/>
  <c r="H213" i="160"/>
  <c r="G213" i="165" s="1"/>
  <c r="J213" i="160"/>
  <c r="G213" i="167" s="1"/>
  <c r="I213" i="160"/>
  <c r="G213" i="166" s="1"/>
  <c r="J529" i="9"/>
  <c r="K529" i="9" s="1"/>
  <c r="F529" i="157"/>
  <c r="G854" i="155"/>
  <c r="H855" i="155"/>
  <c r="H640" i="155" s="1"/>
  <c r="H641" i="155" s="1"/>
  <c r="H644" i="155" s="1"/>
  <c r="J223" i="155"/>
  <c r="H223" i="167" s="1"/>
  <c r="H223" i="155"/>
  <c r="H223" i="165" s="1"/>
  <c r="I223" i="155"/>
  <c r="H223" i="166" s="1"/>
  <c r="K425" i="155"/>
  <c r="L425" i="155" s="1"/>
  <c r="H425" i="164"/>
  <c r="F539" i="167"/>
  <c r="J540" i="162"/>
  <c r="H891" i="161"/>
  <c r="H562" i="161"/>
  <c r="I19" i="165"/>
  <c r="I499" i="165"/>
  <c r="G421" i="166"/>
  <c r="J421" i="166" s="1"/>
  <c r="I421" i="162"/>
  <c r="F421" i="166" s="1"/>
  <c r="I430" i="167"/>
  <c r="H220" i="167"/>
  <c r="J535" i="161"/>
  <c r="H535" i="161"/>
  <c r="I535" i="161"/>
  <c r="F536" i="161"/>
  <c r="H302" i="161"/>
  <c r="I302" i="161"/>
  <c r="F303" i="161"/>
  <c r="F304" i="161" s="1"/>
  <c r="J302" i="161"/>
  <c r="I431" i="157"/>
  <c r="I433" i="157" s="1"/>
  <c r="I876" i="9"/>
  <c r="F417" i="167"/>
  <c r="F626" i="167"/>
  <c r="J630" i="162"/>
  <c r="J522" i="158"/>
  <c r="K519" i="158"/>
  <c r="K522" i="158" s="1"/>
  <c r="F235" i="155"/>
  <c r="H236" i="157"/>
  <c r="G220" i="165"/>
  <c r="J550" i="9"/>
  <c r="J599" i="9"/>
  <c r="I839" i="158"/>
  <c r="O839" i="158" s="1"/>
  <c r="K854" i="161"/>
  <c r="G855" i="161"/>
  <c r="G640" i="161" s="1"/>
  <c r="H579" i="165"/>
  <c r="I579" i="165"/>
  <c r="G579" i="165"/>
  <c r="J604" i="9"/>
  <c r="H206" i="161"/>
  <c r="I206" i="161"/>
  <c r="J206" i="161"/>
  <c r="F215" i="161"/>
  <c r="K227" i="160"/>
  <c r="L227" i="160" s="1"/>
  <c r="G227" i="164"/>
  <c r="K604" i="158"/>
  <c r="H461" i="165"/>
  <c r="H462" i="165" s="1"/>
  <c r="H465" i="165" s="1"/>
  <c r="H462" i="155"/>
  <c r="H465" i="155" s="1"/>
  <c r="H539" i="166"/>
  <c r="H540" i="166" s="1"/>
  <c r="I540" i="155"/>
  <c r="I238" i="159"/>
  <c r="J223" i="159"/>
  <c r="K223" i="159" s="1"/>
  <c r="F223" i="160"/>
  <c r="G229" i="159"/>
  <c r="I258" i="165"/>
  <c r="I213" i="165"/>
  <c r="G224" i="161"/>
  <c r="I223" i="166"/>
  <c r="H562" i="160"/>
  <c r="H891" i="160"/>
  <c r="J580" i="159"/>
  <c r="J598" i="159" s="1"/>
  <c r="K578" i="159"/>
  <c r="K580" i="159" s="1"/>
  <c r="K598" i="159" s="1"/>
  <c r="I589" i="161"/>
  <c r="G799" i="159"/>
  <c r="I562" i="167"/>
  <c r="I891" i="167"/>
  <c r="H430" i="155"/>
  <c r="H430" i="165" s="1"/>
  <c r="J430" i="155"/>
  <c r="H430" i="167" s="1"/>
  <c r="I430" i="155"/>
  <c r="H430" i="166" s="1"/>
  <c r="I221" i="161"/>
  <c r="J221" i="161"/>
  <c r="H221" i="161"/>
  <c r="F229" i="161"/>
  <c r="J279" i="160"/>
  <c r="H279" i="160"/>
  <c r="I279" i="160"/>
  <c r="F281" i="160"/>
  <c r="I210" i="155"/>
  <c r="H210" i="166" s="1"/>
  <c r="J210" i="155"/>
  <c r="H210" i="167" s="1"/>
  <c r="H210" i="155"/>
  <c r="H210" i="165" s="1"/>
  <c r="I544" i="159"/>
  <c r="I886" i="159"/>
  <c r="F312" i="157"/>
  <c r="F18" i="157"/>
  <c r="F498" i="157"/>
  <c r="I891" i="160"/>
  <c r="I562" i="160"/>
  <c r="J480" i="155"/>
  <c r="H480" i="167" s="1"/>
  <c r="H480" i="155"/>
  <c r="H480" i="165" s="1"/>
  <c r="I480" i="155"/>
  <c r="H480" i="166" s="1"/>
  <c r="H234" i="165"/>
  <c r="J234" i="165" s="1"/>
  <c r="J258" i="160"/>
  <c r="G258" i="167" s="1"/>
  <c r="H258" i="160"/>
  <c r="G258" i="165" s="1"/>
  <c r="I258" i="160"/>
  <c r="G258" i="166" s="1"/>
  <c r="K226" i="155"/>
  <c r="L226" i="155" s="1"/>
  <c r="H226" i="164"/>
  <c r="G535" i="155"/>
  <c r="F886" i="155"/>
  <c r="F544" i="155"/>
  <c r="G264" i="164"/>
  <c r="K264" i="160"/>
  <c r="L264" i="160" s="1"/>
  <c r="G264" i="162"/>
  <c r="G220" i="160"/>
  <c r="K528" i="162"/>
  <c r="L528" i="162" s="1"/>
  <c r="F528" i="164"/>
  <c r="J584" i="161"/>
  <c r="H584" i="161"/>
  <c r="I584" i="161"/>
  <c r="F585" i="161"/>
  <c r="F591" i="161" s="1"/>
  <c r="F221" i="155"/>
  <c r="H229" i="157"/>
  <c r="J27" i="160"/>
  <c r="J636" i="160"/>
  <c r="J639" i="160" s="1"/>
  <c r="J641" i="160" s="1"/>
  <c r="J644" i="160" s="1"/>
  <c r="J868" i="160"/>
  <c r="F279" i="155"/>
  <c r="H281" i="157"/>
  <c r="J499" i="161"/>
  <c r="J19" i="161"/>
  <c r="H556" i="158"/>
  <c r="H551" i="158"/>
  <c r="H27" i="161"/>
  <c r="E25" i="168" s="1"/>
  <c r="H868" i="161"/>
  <c r="H636" i="161"/>
  <c r="H639" i="161" s="1"/>
  <c r="H641" i="161" s="1"/>
  <c r="H644" i="161" s="1"/>
  <c r="G579" i="167"/>
  <c r="H579" i="167"/>
  <c r="I579" i="167"/>
  <c r="H235" i="161"/>
  <c r="I235" i="161"/>
  <c r="J235" i="161"/>
  <c r="F236" i="161"/>
  <c r="J578" i="155"/>
  <c r="J580" i="155" s="1"/>
  <c r="J598" i="155" s="1"/>
  <c r="H580" i="155"/>
  <c r="H598" i="155" s="1"/>
  <c r="J420" i="160"/>
  <c r="H420" i="160"/>
  <c r="I420" i="160"/>
  <c r="I224" i="167"/>
  <c r="F457" i="165"/>
  <c r="H458" i="162"/>
  <c r="J20" i="8"/>
  <c r="J20" i="7"/>
  <c r="J20" i="24"/>
  <c r="F461" i="166"/>
  <c r="I462" i="162"/>
  <c r="G540" i="165"/>
  <c r="K261" i="155"/>
  <c r="L261" i="155" s="1"/>
  <c r="H261" i="164"/>
  <c r="I833" i="157"/>
  <c r="J833" i="157" s="1"/>
  <c r="K833" i="157" s="1"/>
  <c r="J486" i="158"/>
  <c r="G488" i="158"/>
  <c r="G495" i="158" s="1"/>
  <c r="H213" i="155"/>
  <c r="H213" i="165" s="1"/>
  <c r="I213" i="155"/>
  <c r="H213" i="166" s="1"/>
  <c r="J213" i="155"/>
  <c r="H213" i="167" s="1"/>
  <c r="G540" i="167"/>
  <c r="K227" i="155"/>
  <c r="L227" i="155" s="1"/>
  <c r="H227" i="164"/>
  <c r="H803" i="158"/>
  <c r="F325" i="158"/>
  <c r="F326" i="158" s="1"/>
  <c r="I803" i="158"/>
  <c r="G803" i="158"/>
  <c r="G588" i="161"/>
  <c r="I799" i="159"/>
  <c r="I27" i="160"/>
  <c r="I636" i="160"/>
  <c r="I639" i="160" s="1"/>
  <c r="I641" i="160" s="1"/>
  <c r="I644" i="160" s="1"/>
  <c r="I868" i="160"/>
  <c r="G462" i="166"/>
  <c r="H539" i="162"/>
  <c r="G520" i="160"/>
  <c r="G520" i="165"/>
  <c r="J520" i="165" s="1"/>
  <c r="H520" i="162"/>
  <c r="F520" i="165" s="1"/>
  <c r="J641" i="155"/>
  <c r="J644" i="155" s="1"/>
  <c r="H461" i="162"/>
  <c r="I834" i="161"/>
  <c r="K531" i="162"/>
  <c r="L531" i="162" s="1"/>
  <c r="F531" i="164"/>
  <c r="G485" i="162"/>
  <c r="I209" i="167"/>
  <c r="F599" i="157"/>
  <c r="F550" i="157"/>
  <c r="F604" i="157"/>
  <c r="K562" i="159"/>
  <c r="K891" i="159"/>
  <c r="G260" i="164"/>
  <c r="J260" i="164" s="1"/>
  <c r="K260" i="160"/>
  <c r="L260" i="160" s="1"/>
  <c r="G421" i="165"/>
  <c r="J421" i="165" s="1"/>
  <c r="H421" i="162"/>
  <c r="F421" i="165" s="1"/>
  <c r="H224" i="155"/>
  <c r="H224" i="165" s="1"/>
  <c r="I224" i="155"/>
  <c r="H224" i="166" s="1"/>
  <c r="J224" i="155"/>
  <c r="H224" i="167" s="1"/>
  <c r="H234" i="162"/>
  <c r="J19" i="159"/>
  <c r="K19" i="159" s="1"/>
  <c r="J499" i="159"/>
  <c r="G206" i="157"/>
  <c r="K266" i="167"/>
  <c r="H417" i="167"/>
  <c r="J417" i="167" s="1"/>
  <c r="H417" i="165"/>
  <c r="H484" i="162"/>
  <c r="G210" i="157"/>
  <c r="J210" i="157" s="1"/>
  <c r="K210" i="157" s="1"/>
  <c r="H220" i="166"/>
  <c r="H220" i="165"/>
  <c r="I429" i="166"/>
  <c r="K259" i="155"/>
  <c r="L259" i="155" s="1"/>
  <c r="H259" i="164"/>
  <c r="J519" i="9"/>
  <c r="G522" i="9"/>
  <c r="F519" i="157"/>
  <c r="F35" i="9"/>
  <c r="F37" i="9" s="1"/>
  <c r="F313" i="159"/>
  <c r="K424" i="155"/>
  <c r="L424" i="155" s="1"/>
  <c r="H424" i="164"/>
  <c r="G540" i="166"/>
  <c r="I270" i="166"/>
  <c r="I270" i="167"/>
  <c r="I799" i="157"/>
  <c r="K212" i="155"/>
  <c r="L212" i="155" s="1"/>
  <c r="H212" i="164"/>
  <c r="K886" i="157"/>
  <c r="K544" i="157"/>
  <c r="F19" i="160"/>
  <c r="F499" i="160"/>
  <c r="F191" i="167"/>
  <c r="I27" i="167"/>
  <c r="I636" i="167"/>
  <c r="I639" i="167" s="1"/>
  <c r="I641" i="167" s="1"/>
  <c r="I644" i="167" s="1"/>
  <c r="I868" i="167"/>
  <c r="G234" i="155"/>
  <c r="F629" i="164"/>
  <c r="K629" i="162"/>
  <c r="L629" i="162" s="1"/>
  <c r="K260" i="165"/>
  <c r="H27" i="164"/>
  <c r="H636" i="164"/>
  <c r="H639" i="164" s="1"/>
  <c r="H868" i="164"/>
  <c r="K265" i="166"/>
  <c r="G235" i="157"/>
  <c r="H535" i="166"/>
  <c r="H536" i="166" s="1"/>
  <c r="I536" i="155"/>
  <c r="J528" i="164"/>
  <c r="G585" i="159"/>
  <c r="G591" i="159" s="1"/>
  <c r="J584" i="159"/>
  <c r="F584" i="160"/>
  <c r="F20" i="158"/>
  <c r="F21" i="158" s="1"/>
  <c r="F500" i="158"/>
  <c r="H491" i="165"/>
  <c r="H493" i="165" s="1"/>
  <c r="H493" i="155"/>
  <c r="H491" i="167"/>
  <c r="H493" i="167" s="1"/>
  <c r="J493" i="155"/>
  <c r="J479" i="161"/>
  <c r="F481" i="161"/>
  <c r="H479" i="161"/>
  <c r="I479" i="161"/>
  <c r="K457" i="160"/>
  <c r="G458" i="160"/>
  <c r="G457" i="164"/>
  <c r="G457" i="162"/>
  <c r="I229" i="157"/>
  <c r="K266" i="155"/>
  <c r="L266" i="155" s="1"/>
  <c r="H266" i="164"/>
  <c r="J626" i="167"/>
  <c r="J630" i="167" s="1"/>
  <c r="G630" i="167"/>
  <c r="I480" i="167"/>
  <c r="G480" i="161"/>
  <c r="G462" i="167"/>
  <c r="J461" i="162"/>
  <c r="H275" i="157"/>
  <c r="F257" i="155"/>
  <c r="G257" i="157"/>
  <c r="J521" i="9"/>
  <c r="K521" i="9" s="1"/>
  <c r="F521" i="157"/>
  <c r="F626" i="165"/>
  <c r="H630" i="162"/>
  <c r="K418" i="155"/>
  <c r="L418" i="155" s="1"/>
  <c r="H418" i="164"/>
  <c r="H840" i="9"/>
  <c r="H501" i="9"/>
  <c r="K423" i="155"/>
  <c r="L423" i="155" s="1"/>
  <c r="H423" i="164"/>
  <c r="H461" i="166"/>
  <c r="H462" i="166" s="1"/>
  <c r="H465" i="166" s="1"/>
  <c r="I462" i="155"/>
  <c r="I465" i="155" s="1"/>
  <c r="K418" i="165"/>
  <c r="I210" i="166"/>
  <c r="I210" i="167"/>
  <c r="J220" i="162"/>
  <c r="G491" i="167"/>
  <c r="J493" i="160"/>
  <c r="I551" i="158"/>
  <c r="I556" i="158"/>
  <c r="I27" i="166"/>
  <c r="I636" i="166"/>
  <c r="I639" i="166" s="1"/>
  <c r="I641" i="166" s="1"/>
  <c r="I644" i="166" s="1"/>
  <c r="I868" i="166"/>
  <c r="K485" i="166"/>
  <c r="I258" i="166"/>
  <c r="I213" i="167"/>
  <c r="I224" i="166"/>
  <c r="G321" i="158"/>
  <c r="G325" i="158" s="1"/>
  <c r="G326" i="158" s="1"/>
  <c r="K485" i="160"/>
  <c r="L485" i="160" s="1"/>
  <c r="G485" i="164"/>
  <c r="K13" i="49"/>
  <c r="I499" i="166"/>
  <c r="I19" i="166"/>
  <c r="I223" i="165"/>
  <c r="G313" i="9"/>
  <c r="G801" i="9" s="1"/>
  <c r="I312" i="9"/>
  <c r="I313" i="9" s="1"/>
  <c r="I801" i="9" s="1"/>
  <c r="F551" i="158"/>
  <c r="F556" i="158"/>
  <c r="I481" i="157"/>
  <c r="F458" i="167"/>
  <c r="J224" i="160"/>
  <c r="G224" i="167" s="1"/>
  <c r="H224" i="160"/>
  <c r="G224" i="165" s="1"/>
  <c r="I224" i="160"/>
  <c r="G224" i="166" s="1"/>
  <c r="K418" i="160" l="1"/>
  <c r="L418" i="160" s="1"/>
  <c r="K531" i="164"/>
  <c r="G418" i="164"/>
  <c r="I214" i="155"/>
  <c r="H214" i="166" s="1"/>
  <c r="J214" i="155"/>
  <c r="H214" i="167" s="1"/>
  <c r="H214" i="155"/>
  <c r="H214" i="165" s="1"/>
  <c r="K214" i="161"/>
  <c r="L214" i="161" s="1"/>
  <c r="I214" i="164"/>
  <c r="I214" i="160"/>
  <c r="J214" i="160"/>
  <c r="H214" i="160"/>
  <c r="G212" i="162"/>
  <c r="F212" i="164" s="1"/>
  <c r="K629" i="164"/>
  <c r="I834" i="160"/>
  <c r="H834" i="160"/>
  <c r="G423" i="162"/>
  <c r="K423" i="162" s="1"/>
  <c r="L423" i="162" s="1"/>
  <c r="K263" i="160"/>
  <c r="L263" i="160" s="1"/>
  <c r="K259" i="160"/>
  <c r="L259" i="160" s="1"/>
  <c r="G263" i="164"/>
  <c r="J263" i="164" s="1"/>
  <c r="K263" i="164" s="1"/>
  <c r="I828" i="159"/>
  <c r="J828" i="159" s="1"/>
  <c r="K828" i="159" s="1"/>
  <c r="G461" i="164"/>
  <c r="G462" i="164" s="1"/>
  <c r="K461" i="160"/>
  <c r="K462" i="160" s="1"/>
  <c r="J210" i="160"/>
  <c r="G210" i="167" s="1"/>
  <c r="J210" i="167" s="1"/>
  <c r="I210" i="160"/>
  <c r="G210" i="166" s="1"/>
  <c r="J210" i="166" s="1"/>
  <c r="G225" i="164"/>
  <c r="J225" i="164" s="1"/>
  <c r="G225" i="162"/>
  <c r="K225" i="162" s="1"/>
  <c r="L225" i="162" s="1"/>
  <c r="G259" i="164"/>
  <c r="J259" i="164" s="1"/>
  <c r="K259" i="164" s="1"/>
  <c r="K226" i="160"/>
  <c r="L226" i="160" s="1"/>
  <c r="G212" i="164"/>
  <c r="J212" i="164" s="1"/>
  <c r="G226" i="164"/>
  <c r="J226" i="164" s="1"/>
  <c r="G425" i="162"/>
  <c r="K425" i="162" s="1"/>
  <c r="L425" i="162" s="1"/>
  <c r="G425" i="164"/>
  <c r="J425" i="164" s="1"/>
  <c r="K419" i="160"/>
  <c r="L419" i="160" s="1"/>
  <c r="G419" i="162"/>
  <c r="K419" i="162" s="1"/>
  <c r="L419" i="162" s="1"/>
  <c r="H334" i="158"/>
  <c r="H548" i="158" s="1"/>
  <c r="H899" i="158"/>
  <c r="G265" i="164"/>
  <c r="J265" i="164" s="1"/>
  <c r="K265" i="164" s="1"/>
  <c r="K265" i="160"/>
  <c r="L265" i="160" s="1"/>
  <c r="F491" i="165"/>
  <c r="F493" i="165" s="1"/>
  <c r="G274" i="162"/>
  <c r="K274" i="162" s="1"/>
  <c r="L274" i="162" s="1"/>
  <c r="G274" i="164"/>
  <c r="J274" i="164" s="1"/>
  <c r="J579" i="166"/>
  <c r="K579" i="166" s="1"/>
  <c r="K423" i="160"/>
  <c r="L423" i="160" s="1"/>
  <c r="G269" i="162"/>
  <c r="F269" i="164" s="1"/>
  <c r="I334" i="158"/>
  <c r="I634" i="158" s="1"/>
  <c r="G234" i="164"/>
  <c r="G269" i="164"/>
  <c r="J269" i="164" s="1"/>
  <c r="G484" i="162"/>
  <c r="F484" i="164" s="1"/>
  <c r="J485" i="164"/>
  <c r="K484" i="160"/>
  <c r="L484" i="160" s="1"/>
  <c r="I35" i="158"/>
  <c r="I37" i="158" s="1"/>
  <c r="H529" i="161"/>
  <c r="I529" i="165" s="1"/>
  <c r="K265" i="162"/>
  <c r="L265" i="162" s="1"/>
  <c r="I835" i="160"/>
  <c r="G835" i="160" s="1"/>
  <c r="K835" i="160" s="1"/>
  <c r="I270" i="164"/>
  <c r="J480" i="160"/>
  <c r="G480" i="167" s="1"/>
  <c r="J480" i="167" s="1"/>
  <c r="J544" i="157"/>
  <c r="J493" i="162"/>
  <c r="J235" i="160"/>
  <c r="J236" i="160" s="1"/>
  <c r="K229" i="159"/>
  <c r="K191" i="164"/>
  <c r="K329" i="164" s="1"/>
  <c r="H206" i="160"/>
  <c r="G206" i="165" s="1"/>
  <c r="G266" i="164"/>
  <c r="J266" i="164" s="1"/>
  <c r="J206" i="160"/>
  <c r="K266" i="160"/>
  <c r="L266" i="160" s="1"/>
  <c r="I429" i="160"/>
  <c r="G429" i="166" s="1"/>
  <c r="J429" i="166" s="1"/>
  <c r="J209" i="160"/>
  <c r="G209" i="167" s="1"/>
  <c r="J209" i="167" s="1"/>
  <c r="H429" i="160"/>
  <c r="G429" i="165" s="1"/>
  <c r="J429" i="165" s="1"/>
  <c r="J492" i="164"/>
  <c r="I209" i="160"/>
  <c r="G209" i="166" s="1"/>
  <c r="J209" i="166" s="1"/>
  <c r="H493" i="164"/>
  <c r="F215" i="160"/>
  <c r="F431" i="160"/>
  <c r="F433" i="160" s="1"/>
  <c r="F18" i="160" s="1"/>
  <c r="J430" i="160"/>
  <c r="G430" i="167" s="1"/>
  <c r="J430" i="167" s="1"/>
  <c r="F275" i="160"/>
  <c r="F283" i="160" s="1"/>
  <c r="F324" i="160" s="1"/>
  <c r="I430" i="160"/>
  <c r="G430" i="166" s="1"/>
  <c r="J430" i="166" s="1"/>
  <c r="H430" i="160"/>
  <c r="G430" i="165" s="1"/>
  <c r="J430" i="165" s="1"/>
  <c r="J834" i="155"/>
  <c r="J321" i="158"/>
  <c r="J325" i="158" s="1"/>
  <c r="J326" i="158" s="1"/>
  <c r="J14" i="158" s="1"/>
  <c r="J15" i="158" s="1"/>
  <c r="K266" i="162"/>
  <c r="L266" i="162" s="1"/>
  <c r="J264" i="164"/>
  <c r="J429" i="167"/>
  <c r="K259" i="162"/>
  <c r="L259" i="162" s="1"/>
  <c r="H296" i="159"/>
  <c r="H816" i="159" s="1"/>
  <c r="G481" i="157"/>
  <c r="G838" i="157" s="1"/>
  <c r="I838" i="157" s="1"/>
  <c r="O838" i="157" s="1"/>
  <c r="K227" i="162"/>
  <c r="L227" i="162" s="1"/>
  <c r="J428" i="164"/>
  <c r="J461" i="167"/>
  <c r="J462" i="167" s="1"/>
  <c r="J465" i="167" s="1"/>
  <c r="I480" i="160"/>
  <c r="G480" i="166" s="1"/>
  <c r="J480" i="166" s="1"/>
  <c r="I210" i="164"/>
  <c r="J422" i="164"/>
  <c r="J539" i="165"/>
  <c r="J540" i="165" s="1"/>
  <c r="J891" i="165" s="1"/>
  <c r="I465" i="162"/>
  <c r="I499" i="162" s="1"/>
  <c r="G491" i="164"/>
  <c r="J491" i="164" s="1"/>
  <c r="J296" i="9"/>
  <c r="G238" i="159"/>
  <c r="G323" i="159" s="1"/>
  <c r="K491" i="160"/>
  <c r="K493" i="160" s="1"/>
  <c r="K421" i="160"/>
  <c r="L421" i="160" s="1"/>
  <c r="K258" i="161"/>
  <c r="L258" i="161" s="1"/>
  <c r="J275" i="159"/>
  <c r="J283" i="159" s="1"/>
  <c r="J324" i="159" s="1"/>
  <c r="J529" i="161"/>
  <c r="I529" i="167" s="1"/>
  <c r="I529" i="161"/>
  <c r="G422" i="162"/>
  <c r="F422" i="164" s="1"/>
  <c r="K422" i="160"/>
  <c r="L422" i="160" s="1"/>
  <c r="I238" i="157"/>
  <c r="I323" i="157" s="1"/>
  <c r="F260" i="164"/>
  <c r="K260" i="164" s="1"/>
  <c r="K420" i="159"/>
  <c r="K431" i="159" s="1"/>
  <c r="K433" i="159" s="1"/>
  <c r="K498" i="159" s="1"/>
  <c r="F579" i="164"/>
  <c r="H579" i="164" s="1"/>
  <c r="I19" i="160"/>
  <c r="K263" i="162"/>
  <c r="L263" i="162" s="1"/>
  <c r="I223" i="164"/>
  <c r="K257" i="159"/>
  <c r="K275" i="159" s="1"/>
  <c r="K283" i="159" s="1"/>
  <c r="K324" i="159" s="1"/>
  <c r="F236" i="160"/>
  <c r="I235" i="160"/>
  <c r="G421" i="164"/>
  <c r="J421" i="164" s="1"/>
  <c r="J229" i="159"/>
  <c r="H499" i="160"/>
  <c r="K425" i="167"/>
  <c r="H19" i="160"/>
  <c r="G461" i="162"/>
  <c r="G462" i="162" s="1"/>
  <c r="I209" i="164"/>
  <c r="G493" i="155"/>
  <c r="J224" i="167"/>
  <c r="F238" i="161"/>
  <c r="F323" i="161" s="1"/>
  <c r="J257" i="160"/>
  <c r="G257" i="167" s="1"/>
  <c r="H484" i="164"/>
  <c r="J484" i="164" s="1"/>
  <c r="I257" i="160"/>
  <c r="G257" i="166" s="1"/>
  <c r="K484" i="155"/>
  <c r="L484" i="155" s="1"/>
  <c r="G465" i="166"/>
  <c r="G19" i="166" s="1"/>
  <c r="K215" i="159"/>
  <c r="I270" i="162"/>
  <c r="F270" i="166" s="1"/>
  <c r="J215" i="159"/>
  <c r="F266" i="164"/>
  <c r="J224" i="166"/>
  <c r="G834" i="161"/>
  <c r="K834" i="161" s="1"/>
  <c r="L834" i="161" s="1"/>
  <c r="J839" i="158"/>
  <c r="K839" i="158" s="1"/>
  <c r="H211" i="160"/>
  <c r="G211" i="165" s="1"/>
  <c r="J211" i="165" s="1"/>
  <c r="J211" i="160"/>
  <c r="G211" i="167" s="1"/>
  <c r="J211" i="167" s="1"/>
  <c r="K321" i="158"/>
  <c r="K325" i="158" s="1"/>
  <c r="K326" i="158" s="1"/>
  <c r="K330" i="158" s="1"/>
  <c r="K331" i="158" s="1"/>
  <c r="I258" i="162"/>
  <c r="F258" i="166" s="1"/>
  <c r="I211" i="160"/>
  <c r="G211" i="166" s="1"/>
  <c r="J211" i="166" s="1"/>
  <c r="G491" i="162"/>
  <c r="K491" i="162" s="1"/>
  <c r="G529" i="159"/>
  <c r="L833" i="155"/>
  <c r="K491" i="155"/>
  <c r="K493" i="155" s="1"/>
  <c r="O833" i="157"/>
  <c r="G584" i="161"/>
  <c r="G585" i="161" s="1"/>
  <c r="K520" i="166"/>
  <c r="G498" i="159"/>
  <c r="K213" i="161"/>
  <c r="L213" i="161" s="1"/>
  <c r="H283" i="157"/>
  <c r="H324" i="157" s="1"/>
  <c r="K296" i="9"/>
  <c r="G312" i="159"/>
  <c r="J312" i="159" s="1"/>
  <c r="K520" i="167"/>
  <c r="G18" i="159"/>
  <c r="K500" i="9"/>
  <c r="K501" i="9" s="1"/>
  <c r="K870" i="9" s="1"/>
  <c r="H220" i="164"/>
  <c r="I493" i="162"/>
  <c r="G465" i="167"/>
  <c r="G499" i="167" s="1"/>
  <c r="H210" i="162"/>
  <c r="F210" i="165" s="1"/>
  <c r="J579" i="167"/>
  <c r="K579" i="167" s="1"/>
  <c r="J588" i="162"/>
  <c r="F588" i="167" s="1"/>
  <c r="H588" i="167" s="1"/>
  <c r="H589" i="167" s="1"/>
  <c r="O828" i="159"/>
  <c r="G302" i="161"/>
  <c r="I302" i="164" s="1"/>
  <c r="I303" i="164" s="1"/>
  <c r="I304" i="164" s="1"/>
  <c r="G578" i="161"/>
  <c r="K578" i="161" s="1"/>
  <c r="G519" i="159"/>
  <c r="J519" i="159" s="1"/>
  <c r="H461" i="164"/>
  <c r="H462" i="164" s="1"/>
  <c r="H465" i="164" s="1"/>
  <c r="G480" i="155"/>
  <c r="G279" i="160"/>
  <c r="K279" i="160" s="1"/>
  <c r="G417" i="162"/>
  <c r="K417" i="162" s="1"/>
  <c r="G223" i="155"/>
  <c r="K223" i="155" s="1"/>
  <c r="L223" i="155" s="1"/>
  <c r="J213" i="162"/>
  <c r="F213" i="167" s="1"/>
  <c r="K421" i="165"/>
  <c r="G213" i="155"/>
  <c r="K213" i="155" s="1"/>
  <c r="L213" i="155" s="1"/>
  <c r="G258" i="160"/>
  <c r="K258" i="160" s="1"/>
  <c r="L258" i="160" s="1"/>
  <c r="K421" i="166"/>
  <c r="G644" i="160"/>
  <c r="K644" i="160" s="1"/>
  <c r="J270" i="166"/>
  <c r="J580" i="157"/>
  <c r="J598" i="157" s="1"/>
  <c r="K578" i="157"/>
  <c r="K580" i="157" s="1"/>
  <c r="K598" i="157" s="1"/>
  <c r="G210" i="155"/>
  <c r="H210" i="164" s="1"/>
  <c r="J227" i="164"/>
  <c r="K227" i="164" s="1"/>
  <c r="J579" i="165"/>
  <c r="K579" i="165" s="1"/>
  <c r="J270" i="165"/>
  <c r="J429" i="162"/>
  <c r="F429" i="167" s="1"/>
  <c r="F296" i="157"/>
  <c r="J419" i="164"/>
  <c r="F283" i="161"/>
  <c r="F324" i="161" s="1"/>
  <c r="K417" i="155"/>
  <c r="L417" i="155" s="1"/>
  <c r="K461" i="155"/>
  <c r="K462" i="155" s="1"/>
  <c r="G206" i="161"/>
  <c r="K206" i="161" s="1"/>
  <c r="J213" i="166"/>
  <c r="H834" i="155"/>
  <c r="H258" i="162"/>
  <c r="F258" i="165" s="1"/>
  <c r="K520" i="165"/>
  <c r="J213" i="167"/>
  <c r="G521" i="159"/>
  <c r="F521" i="160" s="1"/>
  <c r="H270" i="162"/>
  <c r="F270" i="165" s="1"/>
  <c r="K329" i="162"/>
  <c r="H870" i="9"/>
  <c r="H633" i="9"/>
  <c r="H841" i="9"/>
  <c r="G550" i="159"/>
  <c r="G599" i="159"/>
  <c r="G604" i="159"/>
  <c r="J235" i="157"/>
  <c r="G236" i="157"/>
  <c r="H801" i="159"/>
  <c r="I801" i="159"/>
  <c r="H519" i="157"/>
  <c r="F522" i="157"/>
  <c r="F329" i="164"/>
  <c r="F234" i="165"/>
  <c r="G420" i="165"/>
  <c r="I235" i="166"/>
  <c r="I236" i="166" s="1"/>
  <c r="I236" i="161"/>
  <c r="H221" i="155"/>
  <c r="H221" i="162" s="1"/>
  <c r="I221" i="155"/>
  <c r="I221" i="162" s="1"/>
  <c r="J221" i="155"/>
  <c r="J221" i="162" s="1"/>
  <c r="F221" i="167" s="1"/>
  <c r="F229" i="155"/>
  <c r="I221" i="165"/>
  <c r="I229" i="165" s="1"/>
  <c r="H229" i="161"/>
  <c r="I221" i="166"/>
  <c r="I229" i="166" s="1"/>
  <c r="I229" i="161"/>
  <c r="H562" i="166"/>
  <c r="H891" i="166"/>
  <c r="H235" i="155"/>
  <c r="I235" i="155"/>
  <c r="J235" i="155"/>
  <c r="F236" i="155"/>
  <c r="I302" i="167"/>
  <c r="I303" i="167" s="1"/>
  <c r="I304" i="167" s="1"/>
  <c r="J303" i="161"/>
  <c r="J304" i="161" s="1"/>
  <c r="J799" i="161" s="1"/>
  <c r="I535" i="165"/>
  <c r="I536" i="165" s="1"/>
  <c r="H536" i="161"/>
  <c r="G213" i="160"/>
  <c r="J491" i="166"/>
  <c r="J493" i="166" s="1"/>
  <c r="G493" i="166"/>
  <c r="J220" i="166"/>
  <c r="K220" i="166" s="1"/>
  <c r="G885" i="158"/>
  <c r="G543" i="158"/>
  <c r="G545" i="158" s="1"/>
  <c r="K540" i="161"/>
  <c r="L539" i="161"/>
  <c r="L540" i="161" s="1"/>
  <c r="J27" i="166"/>
  <c r="J636" i="166"/>
  <c r="J639" i="166" s="1"/>
  <c r="J641" i="166" s="1"/>
  <c r="J868" i="166"/>
  <c r="J609" i="161"/>
  <c r="I279" i="167"/>
  <c r="I281" i="167" s="1"/>
  <c r="J281" i="161"/>
  <c r="G578" i="160"/>
  <c r="G302" i="166"/>
  <c r="I303" i="160"/>
  <c r="I304" i="160" s="1"/>
  <c r="I799" i="160" s="1"/>
  <c r="G302" i="160"/>
  <c r="J626" i="164"/>
  <c r="J630" i="164" s="1"/>
  <c r="G630" i="164"/>
  <c r="J18" i="159"/>
  <c r="J498" i="159"/>
  <c r="I499" i="164"/>
  <c r="I19" i="164"/>
  <c r="H891" i="167"/>
  <c r="H562" i="167"/>
  <c r="F234" i="166"/>
  <c r="K589" i="160"/>
  <c r="L588" i="160"/>
  <c r="L589" i="160" s="1"/>
  <c r="I420" i="167"/>
  <c r="I431" i="167" s="1"/>
  <c r="I433" i="167" s="1"/>
  <c r="J431" i="161"/>
  <c r="J433" i="161" s="1"/>
  <c r="J828" i="161" s="1"/>
  <c r="F604" i="161"/>
  <c r="F550" i="161"/>
  <c r="F599" i="161"/>
  <c r="L484" i="161"/>
  <c r="J224" i="165"/>
  <c r="K457" i="167"/>
  <c r="K458" i="167" s="1"/>
  <c r="J27" i="167"/>
  <c r="J868" i="167"/>
  <c r="J636" i="167"/>
  <c r="J639" i="167" s="1"/>
  <c r="J641" i="167" s="1"/>
  <c r="K458" i="160"/>
  <c r="L457" i="160"/>
  <c r="L458" i="160" s="1"/>
  <c r="K485" i="162"/>
  <c r="L485" i="162" s="1"/>
  <c r="F485" i="164"/>
  <c r="J258" i="167"/>
  <c r="G279" i="167"/>
  <c r="J281" i="160"/>
  <c r="G221" i="161"/>
  <c r="G430" i="155"/>
  <c r="L854" i="161"/>
  <c r="L855" i="161" s="1"/>
  <c r="L640" i="161" s="1"/>
  <c r="K855" i="161"/>
  <c r="K640" i="161" s="1"/>
  <c r="G535" i="161"/>
  <c r="J417" i="165"/>
  <c r="J423" i="164"/>
  <c r="K854" i="155"/>
  <c r="G855" i="155"/>
  <c r="G640" i="155" s="1"/>
  <c r="H640" i="164" s="1"/>
  <c r="H641" i="164" s="1"/>
  <c r="H644" i="164" s="1"/>
  <c r="F424" i="164"/>
  <c r="K424" i="162"/>
  <c r="L424" i="162" s="1"/>
  <c r="J532" i="158"/>
  <c r="K527" i="158"/>
  <c r="K532" i="158" s="1"/>
  <c r="J206" i="155"/>
  <c r="F215" i="155"/>
  <c r="I206" i="155"/>
  <c r="I206" i="162" s="1"/>
  <c r="H206" i="155"/>
  <c r="K539" i="162"/>
  <c r="G540" i="162"/>
  <c r="F539" i="164"/>
  <c r="J223" i="157"/>
  <c r="G229" i="157"/>
  <c r="G429" i="155"/>
  <c r="I279" i="166"/>
  <c r="I281" i="166" s="1"/>
  <c r="I281" i="161"/>
  <c r="J258" i="162"/>
  <c r="F258" i="167" s="1"/>
  <c r="G302" i="165"/>
  <c r="H303" i="160"/>
  <c r="H304" i="160" s="1"/>
  <c r="H799" i="160" s="1"/>
  <c r="I838" i="159"/>
  <c r="O838" i="159" s="1"/>
  <c r="F417" i="166"/>
  <c r="G27" i="160"/>
  <c r="G636" i="160"/>
  <c r="G639" i="160" s="1"/>
  <c r="G641" i="160" s="1"/>
  <c r="G868" i="160"/>
  <c r="G209" i="155"/>
  <c r="J27" i="165"/>
  <c r="J636" i="165"/>
  <c r="J639" i="165" s="1"/>
  <c r="J868" i="165"/>
  <c r="J891" i="155"/>
  <c r="J562" i="155"/>
  <c r="J303" i="157"/>
  <c r="J304" i="157" s="1"/>
  <c r="K302" i="157"/>
  <c r="K303" i="157" s="1"/>
  <c r="K304" i="157" s="1"/>
  <c r="I420" i="166"/>
  <c r="I431" i="166" s="1"/>
  <c r="I433" i="166" s="1"/>
  <c r="I431" i="161"/>
  <c r="I433" i="161" s="1"/>
  <c r="I828" i="161" s="1"/>
  <c r="G235" i="165"/>
  <c r="H236" i="160"/>
  <c r="I479" i="166"/>
  <c r="I481" i="166" s="1"/>
  <c r="I481" i="161"/>
  <c r="I838" i="161" s="1"/>
  <c r="G479" i="161"/>
  <c r="I584" i="160"/>
  <c r="I585" i="160" s="1"/>
  <c r="I591" i="160" s="1"/>
  <c r="F585" i="160"/>
  <c r="F591" i="160" s="1"/>
  <c r="J584" i="160"/>
  <c r="J585" i="160" s="1"/>
  <c r="J591" i="160" s="1"/>
  <c r="H584" i="160"/>
  <c r="H585" i="160" s="1"/>
  <c r="H591" i="160" s="1"/>
  <c r="G224" i="160"/>
  <c r="L13" i="49"/>
  <c r="G330" i="158"/>
  <c r="G331" i="158" s="1"/>
  <c r="G14" i="158"/>
  <c r="G15" i="158" s="1"/>
  <c r="I499" i="155"/>
  <c r="I19" i="155"/>
  <c r="H521" i="157"/>
  <c r="F521" i="155" s="1"/>
  <c r="J257" i="155"/>
  <c r="F275" i="155"/>
  <c r="I257" i="155"/>
  <c r="H257" i="155"/>
  <c r="G458" i="164"/>
  <c r="J457" i="164"/>
  <c r="J458" i="164" s="1"/>
  <c r="I479" i="165"/>
  <c r="I481" i="165" s="1"/>
  <c r="H481" i="161"/>
  <c r="H838" i="161" s="1"/>
  <c r="I479" i="167"/>
  <c r="I481" i="167" s="1"/>
  <c r="J481" i="161"/>
  <c r="J838" i="161" s="1"/>
  <c r="J585" i="159"/>
  <c r="J591" i="159" s="1"/>
  <c r="K584" i="159"/>
  <c r="K585" i="159" s="1"/>
  <c r="K591" i="159" s="1"/>
  <c r="H544" i="166"/>
  <c r="H886" i="166"/>
  <c r="J539" i="166"/>
  <c r="J540" i="166" s="1"/>
  <c r="F539" i="165"/>
  <c r="H540" i="162"/>
  <c r="O803" i="158"/>
  <c r="J803" i="158"/>
  <c r="K803" i="158" s="1"/>
  <c r="J488" i="158"/>
  <c r="J495" i="158" s="1"/>
  <c r="K486" i="158"/>
  <c r="K488" i="158" s="1"/>
  <c r="K495" i="158" s="1"/>
  <c r="F462" i="166"/>
  <c r="G420" i="166"/>
  <c r="I235" i="167"/>
  <c r="I236" i="167" s="1"/>
  <c r="J236" i="161"/>
  <c r="G279" i="155"/>
  <c r="H279" i="155"/>
  <c r="H279" i="162" s="1"/>
  <c r="J279" i="155"/>
  <c r="J279" i="162" s="1"/>
  <c r="I279" i="155"/>
  <c r="I279" i="162" s="1"/>
  <c r="F281" i="155"/>
  <c r="K528" i="164"/>
  <c r="G536" i="155"/>
  <c r="K535" i="155"/>
  <c r="H535" i="164"/>
  <c r="H536" i="164" s="1"/>
  <c r="J258" i="165"/>
  <c r="G279" i="165"/>
  <c r="H281" i="160"/>
  <c r="I221" i="167"/>
  <c r="I229" i="167" s="1"/>
  <c r="J229" i="161"/>
  <c r="I609" i="161"/>
  <c r="I223" i="160"/>
  <c r="I229" i="160" s="1"/>
  <c r="J223" i="160"/>
  <c r="H223" i="160"/>
  <c r="F229" i="160"/>
  <c r="I562" i="155"/>
  <c r="I891" i="155"/>
  <c r="I206" i="165"/>
  <c r="I215" i="165" s="1"/>
  <c r="H215" i="161"/>
  <c r="H238" i="157"/>
  <c r="J27" i="162"/>
  <c r="J28" i="49" s="1"/>
  <c r="J868" i="162"/>
  <c r="J636" i="162"/>
  <c r="J639" i="162" s="1"/>
  <c r="J641" i="162" s="1"/>
  <c r="J644" i="162" s="1"/>
  <c r="J213" i="165"/>
  <c r="J480" i="165"/>
  <c r="J270" i="167"/>
  <c r="I479" i="155"/>
  <c r="J479" i="155"/>
  <c r="F481" i="155"/>
  <c r="H479" i="155"/>
  <c r="I213" i="162"/>
  <c r="F213" i="166" s="1"/>
  <c r="I834" i="155"/>
  <c r="J521" i="161"/>
  <c r="H521" i="161"/>
  <c r="I521" i="161"/>
  <c r="K492" i="162"/>
  <c r="L492" i="162" s="1"/>
  <c r="F492" i="164"/>
  <c r="I633" i="158"/>
  <c r="I870" i="158"/>
  <c r="I580" i="161"/>
  <c r="I598" i="161" s="1"/>
  <c r="J234" i="166"/>
  <c r="G270" i="155"/>
  <c r="K458" i="155"/>
  <c r="L457" i="155"/>
  <c r="L458" i="155" s="1"/>
  <c r="H302" i="155"/>
  <c r="H302" i="162" s="1"/>
  <c r="I302" i="155"/>
  <c r="I302" i="162" s="1"/>
  <c r="J302" i="155"/>
  <c r="F303" i="155"/>
  <c r="F304" i="155" s="1"/>
  <c r="G211" i="155"/>
  <c r="L234" i="160"/>
  <c r="I522" i="159"/>
  <c r="F519" i="161"/>
  <c r="G544" i="159"/>
  <c r="G886" i="159"/>
  <c r="K421" i="167"/>
  <c r="H209" i="162"/>
  <c r="F209" i="165" s="1"/>
  <c r="K428" i="162"/>
  <c r="L428" i="162" s="1"/>
  <c r="F428" i="164"/>
  <c r="K18" i="9"/>
  <c r="G835" i="161"/>
  <c r="K835" i="161" s="1"/>
  <c r="I562" i="164"/>
  <c r="I891" i="164"/>
  <c r="G868" i="166"/>
  <c r="G636" i="166"/>
  <c r="G639" i="166" s="1"/>
  <c r="G641" i="166" s="1"/>
  <c r="G644" i="166" s="1"/>
  <c r="J644" i="166" s="1"/>
  <c r="G27" i="166"/>
  <c r="H609" i="161"/>
  <c r="J609" i="155"/>
  <c r="J418" i="164"/>
  <c r="G279" i="161"/>
  <c r="I279" i="165"/>
  <c r="I281" i="165" s="1"/>
  <c r="H281" i="161"/>
  <c r="L417" i="160"/>
  <c r="G540" i="155"/>
  <c r="K539" i="155"/>
  <c r="H539" i="164"/>
  <c r="H540" i="164" s="1"/>
  <c r="K211" i="161"/>
  <c r="L211" i="161" s="1"/>
  <c r="I211" i="164"/>
  <c r="J484" i="165"/>
  <c r="G258" i="155"/>
  <c r="H480" i="162"/>
  <c r="F480" i="165" s="1"/>
  <c r="J481" i="159"/>
  <c r="K479" i="159"/>
  <c r="K481" i="159" s="1"/>
  <c r="F493" i="166"/>
  <c r="H420" i="155"/>
  <c r="J420" i="155"/>
  <c r="I420" i="155"/>
  <c r="I420" i="162" s="1"/>
  <c r="F431" i="155"/>
  <c r="F433" i="155" s="1"/>
  <c r="J584" i="157"/>
  <c r="G585" i="157"/>
  <c r="G591" i="157" s="1"/>
  <c r="F329" i="166"/>
  <c r="K234" i="167"/>
  <c r="G257" i="165"/>
  <c r="H275" i="160"/>
  <c r="G27" i="161"/>
  <c r="C25" i="168" s="1"/>
  <c r="G868" i="161"/>
  <c r="G636" i="161"/>
  <c r="G639" i="161" s="1"/>
  <c r="G641" i="161" s="1"/>
  <c r="G644" i="161" s="1"/>
  <c r="K644" i="161" s="1"/>
  <c r="H19" i="167"/>
  <c r="H499" i="167"/>
  <c r="G891" i="160"/>
  <c r="G562" i="160"/>
  <c r="G465" i="165"/>
  <c r="F540" i="166"/>
  <c r="J544" i="155"/>
  <c r="J886" i="155"/>
  <c r="K636" i="155"/>
  <c r="K639" i="155" s="1"/>
  <c r="K868" i="155"/>
  <c r="K27" i="155"/>
  <c r="L27" i="155" s="1"/>
  <c r="G609" i="160"/>
  <c r="G420" i="161"/>
  <c r="I420" i="165"/>
  <c r="I431" i="165" s="1"/>
  <c r="I433" i="165" s="1"/>
  <c r="H431" i="161"/>
  <c r="H433" i="161" s="1"/>
  <c r="H828" i="161" s="1"/>
  <c r="I257" i="165"/>
  <c r="I275" i="165" s="1"/>
  <c r="H275" i="161"/>
  <c r="J465" i="157"/>
  <c r="F261" i="164"/>
  <c r="K261" i="162"/>
  <c r="L261" i="162" s="1"/>
  <c r="F458" i="166"/>
  <c r="K457" i="166"/>
  <c r="K458" i="166" s="1"/>
  <c r="H499" i="166"/>
  <c r="H19" i="166"/>
  <c r="G868" i="167"/>
  <c r="G636" i="167"/>
  <c r="G639" i="167" s="1"/>
  <c r="G641" i="167" s="1"/>
  <c r="G644" i="167" s="1"/>
  <c r="J644" i="167" s="1"/>
  <c r="G27" i="167"/>
  <c r="G840" i="158"/>
  <c r="H840" i="158"/>
  <c r="F501" i="158"/>
  <c r="J461" i="166"/>
  <c r="J462" i="166" s="1"/>
  <c r="J465" i="166" s="1"/>
  <c r="G562" i="165"/>
  <c r="G891" i="165"/>
  <c r="F493" i="167"/>
  <c r="H585" i="161"/>
  <c r="H591" i="161" s="1"/>
  <c r="I206" i="167"/>
  <c r="I215" i="167" s="1"/>
  <c r="J215" i="161"/>
  <c r="I640" i="164"/>
  <c r="K626" i="167"/>
  <c r="K630" i="167" s="1"/>
  <c r="K868" i="167" s="1"/>
  <c r="F630" i="167"/>
  <c r="I302" i="165"/>
  <c r="I303" i="165" s="1"/>
  <c r="I304" i="165" s="1"/>
  <c r="H303" i="161"/>
  <c r="H304" i="161" s="1"/>
  <c r="J891" i="162"/>
  <c r="J562" i="162"/>
  <c r="G465" i="160"/>
  <c r="H640" i="165"/>
  <c r="H640" i="162"/>
  <c r="F640" i="165" s="1"/>
  <c r="L329" i="162"/>
  <c r="F876" i="159"/>
  <c r="H584" i="155"/>
  <c r="F585" i="155"/>
  <c r="F591" i="155" s="1"/>
  <c r="K262" i="162"/>
  <c r="L262" i="162" s="1"/>
  <c r="F262" i="164"/>
  <c r="K262" i="164" s="1"/>
  <c r="L234" i="161"/>
  <c r="H562" i="155"/>
  <c r="H891" i="155"/>
  <c r="K562" i="157"/>
  <c r="K891" i="157"/>
  <c r="I479" i="160"/>
  <c r="J479" i="160"/>
  <c r="F481" i="160"/>
  <c r="H479" i="160"/>
  <c r="K429" i="161"/>
  <c r="L429" i="161" s="1"/>
  <c r="I429" i="164"/>
  <c r="I307" i="9"/>
  <c r="I486" i="9"/>
  <c r="I527" i="9"/>
  <c r="J527" i="9" s="1"/>
  <c r="I487" i="9"/>
  <c r="I308" i="9"/>
  <c r="K630" i="161"/>
  <c r="L626" i="161"/>
  <c r="L630" i="161" s="1"/>
  <c r="G27" i="165"/>
  <c r="G868" i="165"/>
  <c r="G636" i="165"/>
  <c r="G639" i="165" s="1"/>
  <c r="G641" i="165" s="1"/>
  <c r="G644" i="165" s="1"/>
  <c r="I257" i="167"/>
  <c r="I275" i="167" s="1"/>
  <c r="J275" i="161"/>
  <c r="J261" i="164"/>
  <c r="J312" i="9"/>
  <c r="J491" i="167"/>
  <c r="J493" i="167" s="1"/>
  <c r="G493" i="167"/>
  <c r="H636" i="162"/>
  <c r="H639" i="162" s="1"/>
  <c r="H27" i="162"/>
  <c r="H868" i="162"/>
  <c r="F461" i="167"/>
  <c r="J462" i="162"/>
  <c r="J465" i="162" s="1"/>
  <c r="K480" i="161"/>
  <c r="L480" i="161" s="1"/>
  <c r="I480" i="164"/>
  <c r="K234" i="155"/>
  <c r="H234" i="164"/>
  <c r="G876" i="9"/>
  <c r="J206" i="157"/>
  <c r="G215" i="157"/>
  <c r="G224" i="155"/>
  <c r="F14" i="158"/>
  <c r="F15" i="158" s="1"/>
  <c r="F330" i="158"/>
  <c r="F331" i="158" s="1"/>
  <c r="J539" i="167"/>
  <c r="J540" i="167" s="1"/>
  <c r="J209" i="165"/>
  <c r="F458" i="165"/>
  <c r="K457" i="165"/>
  <c r="K458" i="165" s="1"/>
  <c r="J224" i="162"/>
  <c r="F224" i="167" s="1"/>
  <c r="G420" i="160"/>
  <c r="K220" i="160"/>
  <c r="G220" i="164"/>
  <c r="G220" i="162"/>
  <c r="O799" i="159"/>
  <c r="J799" i="159"/>
  <c r="K799" i="159" s="1"/>
  <c r="H19" i="155"/>
  <c r="H499" i="155"/>
  <c r="I206" i="166"/>
  <c r="I215" i="166" s="1"/>
  <c r="I215" i="161"/>
  <c r="K876" i="158"/>
  <c r="K417" i="167"/>
  <c r="F544" i="161"/>
  <c r="F886" i="161"/>
  <c r="F540" i="167"/>
  <c r="I27" i="162"/>
  <c r="I28" i="49" s="1"/>
  <c r="I868" i="162"/>
  <c r="I636" i="162"/>
  <c r="I639" i="162" s="1"/>
  <c r="I641" i="162" s="1"/>
  <c r="I644" i="162" s="1"/>
  <c r="F19" i="155"/>
  <c r="F499" i="155"/>
  <c r="H835" i="155"/>
  <c r="I835" i="155"/>
  <c r="J835" i="155"/>
  <c r="J281" i="157"/>
  <c r="K279" i="157"/>
  <c r="K281" i="157" s="1"/>
  <c r="H544" i="155"/>
  <c r="H886" i="155"/>
  <c r="G206" i="166"/>
  <c r="H522" i="159"/>
  <c r="J536" i="159"/>
  <c r="K535" i="159"/>
  <c r="K536" i="159" s="1"/>
  <c r="K430" i="161"/>
  <c r="L430" i="161" s="1"/>
  <c r="I430" i="164"/>
  <c r="H550" i="157"/>
  <c r="H604" i="157"/>
  <c r="H599" i="157"/>
  <c r="I834" i="157"/>
  <c r="J834" i="157" s="1"/>
  <c r="K834" i="157" s="1"/>
  <c r="H562" i="165"/>
  <c r="H891" i="165"/>
  <c r="G302" i="167"/>
  <c r="J303" i="160"/>
  <c r="J304" i="160" s="1"/>
  <c r="J891" i="157"/>
  <c r="J562" i="157"/>
  <c r="H224" i="162"/>
  <c r="F224" i="165" s="1"/>
  <c r="G630" i="162"/>
  <c r="F626" i="164"/>
  <c r="K626" i="162"/>
  <c r="L539" i="160"/>
  <c r="L540" i="160" s="1"/>
  <c r="K540" i="160"/>
  <c r="K462" i="161"/>
  <c r="K465" i="161" s="1"/>
  <c r="L461" i="161"/>
  <c r="L462" i="161" s="1"/>
  <c r="L465" i="161" s="1"/>
  <c r="L499" i="161" s="1"/>
  <c r="K493" i="161"/>
  <c r="L491" i="161"/>
  <c r="L493" i="161" s="1"/>
  <c r="L854" i="160"/>
  <c r="L855" i="160" s="1"/>
  <c r="L640" i="160" s="1"/>
  <c r="K855" i="160"/>
  <c r="K640" i="160" s="1"/>
  <c r="I257" i="166"/>
  <c r="I275" i="166" s="1"/>
  <c r="I275" i="161"/>
  <c r="G257" i="161"/>
  <c r="K421" i="162"/>
  <c r="L421" i="162" s="1"/>
  <c r="F421" i="164"/>
  <c r="J801" i="9"/>
  <c r="K801" i="9" s="1"/>
  <c r="I224" i="162"/>
  <c r="F224" i="166" s="1"/>
  <c r="F220" i="167"/>
  <c r="K626" i="165"/>
  <c r="K630" i="165" s="1"/>
  <c r="K868" i="165" s="1"/>
  <c r="F630" i="165"/>
  <c r="J257" i="157"/>
  <c r="G275" i="157"/>
  <c r="G283" i="157" s="1"/>
  <c r="G324" i="157" s="1"/>
  <c r="G458" i="162"/>
  <c r="F457" i="164"/>
  <c r="K457" i="162"/>
  <c r="I544" i="155"/>
  <c r="I886" i="155"/>
  <c r="F329" i="167"/>
  <c r="O799" i="157"/>
  <c r="J799" i="157"/>
  <c r="K799" i="157" s="1"/>
  <c r="J270" i="162"/>
  <c r="F270" i="167" s="1"/>
  <c r="G562" i="166"/>
  <c r="G891" i="166"/>
  <c r="J484" i="166"/>
  <c r="J522" i="9"/>
  <c r="K519" i="9"/>
  <c r="K522" i="9" s="1"/>
  <c r="F484" i="165"/>
  <c r="K418" i="162"/>
  <c r="L418" i="162" s="1"/>
  <c r="F418" i="164"/>
  <c r="F461" i="165"/>
  <c r="H462" i="162"/>
  <c r="H465" i="162" s="1"/>
  <c r="G520" i="164"/>
  <c r="J520" i="164" s="1"/>
  <c r="K520" i="160"/>
  <c r="L520" i="160" s="1"/>
  <c r="G520" i="162"/>
  <c r="G589" i="161"/>
  <c r="K588" i="161"/>
  <c r="G891" i="167"/>
  <c r="G562" i="167"/>
  <c r="G500" i="158"/>
  <c r="G501" i="158" s="1"/>
  <c r="G20" i="158"/>
  <c r="G21" i="158" s="1"/>
  <c r="G420" i="167"/>
  <c r="G235" i="161"/>
  <c r="I235" i="165"/>
  <c r="I236" i="165" s="1"/>
  <c r="H236" i="161"/>
  <c r="I585" i="161"/>
  <c r="I591" i="161" s="1"/>
  <c r="J585" i="161"/>
  <c r="J591" i="161" s="1"/>
  <c r="K264" i="162"/>
  <c r="L264" i="162" s="1"/>
  <c r="F264" i="164"/>
  <c r="J417" i="166"/>
  <c r="J258" i="166"/>
  <c r="F313" i="157"/>
  <c r="G279" i="166"/>
  <c r="I281" i="160"/>
  <c r="J481" i="157"/>
  <c r="K479" i="157"/>
  <c r="K481" i="157" s="1"/>
  <c r="I224" i="164"/>
  <c r="K224" i="161"/>
  <c r="L224" i="161" s="1"/>
  <c r="H213" i="162"/>
  <c r="F213" i="165" s="1"/>
  <c r="I323" i="159"/>
  <c r="I296" i="159"/>
  <c r="I816" i="159" s="1"/>
  <c r="H19" i="165"/>
  <c r="H499" i="165"/>
  <c r="K604" i="9"/>
  <c r="J220" i="165"/>
  <c r="K220" i="165" s="1"/>
  <c r="J876" i="158"/>
  <c r="I18" i="157"/>
  <c r="I312" i="157"/>
  <c r="I313" i="157" s="1"/>
  <c r="I498" i="157"/>
  <c r="I302" i="166"/>
  <c r="I303" i="166" s="1"/>
  <c r="I304" i="166" s="1"/>
  <c r="I303" i="161"/>
  <c r="I304" i="161" s="1"/>
  <c r="I535" i="166"/>
  <c r="I536" i="166" s="1"/>
  <c r="I536" i="161"/>
  <c r="I535" i="167"/>
  <c r="I536" i="167" s="1"/>
  <c r="J536" i="161"/>
  <c r="H529" i="157"/>
  <c r="F529" i="155" s="1"/>
  <c r="G270" i="160"/>
  <c r="J484" i="167"/>
  <c r="K484" i="167" s="1"/>
  <c r="J424" i="164"/>
  <c r="G221" i="160"/>
  <c r="K626" i="166"/>
  <c r="K630" i="166" s="1"/>
  <c r="F630" i="166"/>
  <c r="J491" i="165"/>
  <c r="J493" i="165" s="1"/>
  <c r="G493" i="165"/>
  <c r="K329" i="155"/>
  <c r="J220" i="167"/>
  <c r="H544" i="165"/>
  <c r="H886" i="165"/>
  <c r="J578" i="162"/>
  <c r="J580" i="161"/>
  <c r="J598" i="161" s="1"/>
  <c r="H580" i="161"/>
  <c r="H598" i="161" s="1"/>
  <c r="H578" i="162"/>
  <c r="J420" i="157"/>
  <c r="G431" i="157"/>
  <c r="G433" i="157" s="1"/>
  <c r="I535" i="160"/>
  <c r="I535" i="162" s="1"/>
  <c r="F536" i="160"/>
  <c r="J535" i="160"/>
  <c r="G535" i="160"/>
  <c r="H535" i="160"/>
  <c r="G19" i="157"/>
  <c r="G499" i="157"/>
  <c r="G835" i="157"/>
  <c r="G891" i="161"/>
  <c r="G562" i="161"/>
  <c r="H588" i="165"/>
  <c r="H589" i="165" s="1"/>
  <c r="F589" i="165"/>
  <c r="I588" i="165"/>
  <c r="I589" i="165" s="1"/>
  <c r="G588" i="165"/>
  <c r="H609" i="155"/>
  <c r="K226" i="162"/>
  <c r="L226" i="162" s="1"/>
  <c r="F226" i="164"/>
  <c r="G234" i="162"/>
  <c r="J417" i="164"/>
  <c r="P833" i="160"/>
  <c r="L833" i="160"/>
  <c r="J19" i="160"/>
  <c r="J499" i="160"/>
  <c r="J210" i="165"/>
  <c r="H18" i="157"/>
  <c r="H312" i="157"/>
  <c r="H313" i="157" s="1"/>
  <c r="H498" i="157"/>
  <c r="H35" i="9"/>
  <c r="H37" i="9" s="1"/>
  <c r="H334" i="9"/>
  <c r="H899" i="9"/>
  <c r="H817" i="9"/>
  <c r="K630" i="160"/>
  <c r="L626" i="160"/>
  <c r="L630" i="160" s="1"/>
  <c r="G532" i="9"/>
  <c r="F527" i="157"/>
  <c r="I27" i="164"/>
  <c r="I636" i="164"/>
  <c r="I639" i="164" s="1"/>
  <c r="I868" i="164"/>
  <c r="J19" i="155"/>
  <c r="J499" i="155"/>
  <c r="G540" i="164"/>
  <c r="G499" i="161"/>
  <c r="G19" i="161"/>
  <c r="J461" i="165"/>
  <c r="J462" i="165" s="1"/>
  <c r="J465" i="165" s="1"/>
  <c r="I562" i="162"/>
  <c r="I891" i="162"/>
  <c r="H544" i="167"/>
  <c r="H886" i="167"/>
  <c r="L636" i="155"/>
  <c r="L639" i="155" s="1"/>
  <c r="L868" i="155"/>
  <c r="F312" i="161"/>
  <c r="F498" i="161"/>
  <c r="F18" i="161"/>
  <c r="K465" i="157"/>
  <c r="K499" i="157" s="1"/>
  <c r="G465" i="155"/>
  <c r="L220" i="155"/>
  <c r="K212" i="162" l="1"/>
  <c r="L212" i="162" s="1"/>
  <c r="G834" i="160"/>
  <c r="K834" i="160" s="1"/>
  <c r="P834" i="160" s="1"/>
  <c r="F423" i="164"/>
  <c r="G214" i="160"/>
  <c r="G214" i="164" s="1"/>
  <c r="G214" i="166"/>
  <c r="J214" i="166" s="1"/>
  <c r="I214" i="162"/>
  <c r="F214" i="166" s="1"/>
  <c r="G214" i="167"/>
  <c r="J214" i="167" s="1"/>
  <c r="J214" i="162"/>
  <c r="F214" i="167" s="1"/>
  <c r="K212" i="164"/>
  <c r="G214" i="155"/>
  <c r="G214" i="165"/>
  <c r="J214" i="165" s="1"/>
  <c r="H214" i="162"/>
  <c r="F214" i="165" s="1"/>
  <c r="K269" i="162"/>
  <c r="L269" i="162" s="1"/>
  <c r="J210" i="162"/>
  <c r="F210" i="167" s="1"/>
  <c r="K210" i="167" s="1"/>
  <c r="F425" i="164"/>
  <c r="K425" i="164" s="1"/>
  <c r="K238" i="159"/>
  <c r="K323" i="159" s="1"/>
  <c r="L461" i="160"/>
  <c r="L462" i="160" s="1"/>
  <c r="L465" i="160" s="1"/>
  <c r="L499" i="160" s="1"/>
  <c r="G210" i="160"/>
  <c r="K210" i="160" s="1"/>
  <c r="L210" i="160" s="1"/>
  <c r="I210" i="162"/>
  <c r="F210" i="166" s="1"/>
  <c r="K210" i="166" s="1"/>
  <c r="H634" i="158"/>
  <c r="F225" i="164"/>
  <c r="K225" i="164" s="1"/>
  <c r="I548" i="158"/>
  <c r="I26" i="158"/>
  <c r="H26" i="158"/>
  <c r="G235" i="167"/>
  <c r="G236" i="167" s="1"/>
  <c r="F419" i="164"/>
  <c r="K419" i="164" s="1"/>
  <c r="F274" i="164"/>
  <c r="K274" i="164" s="1"/>
  <c r="J234" i="164"/>
  <c r="K484" i="162"/>
  <c r="L484" i="162" s="1"/>
  <c r="K485" i="164"/>
  <c r="J235" i="162"/>
  <c r="F235" i="167" s="1"/>
  <c r="G235" i="160"/>
  <c r="K235" i="160" s="1"/>
  <c r="L235" i="160" s="1"/>
  <c r="L236" i="160" s="1"/>
  <c r="J209" i="162"/>
  <c r="F209" i="167" s="1"/>
  <c r="K209" i="167" s="1"/>
  <c r="I236" i="160"/>
  <c r="F417" i="164"/>
  <c r="K417" i="164" s="1"/>
  <c r="G588" i="167"/>
  <c r="G589" i="167" s="1"/>
  <c r="J562" i="165"/>
  <c r="J480" i="162"/>
  <c r="F480" i="167" s="1"/>
  <c r="K480" i="167" s="1"/>
  <c r="I19" i="162"/>
  <c r="I20" i="49" s="1"/>
  <c r="H206" i="162"/>
  <c r="F206" i="165" s="1"/>
  <c r="G209" i="160"/>
  <c r="K209" i="160" s="1"/>
  <c r="L209" i="160" s="1"/>
  <c r="I209" i="162"/>
  <c r="F209" i="166" s="1"/>
  <c r="K209" i="166" s="1"/>
  <c r="G206" i="160"/>
  <c r="K206" i="160" s="1"/>
  <c r="K266" i="164"/>
  <c r="I283" i="166"/>
  <c r="I324" i="166" s="1"/>
  <c r="G493" i="162"/>
  <c r="G493" i="164"/>
  <c r="J330" i="158"/>
  <c r="J331" i="158" s="1"/>
  <c r="J899" i="158" s="1"/>
  <c r="K224" i="166"/>
  <c r="G206" i="167"/>
  <c r="I579" i="164"/>
  <c r="H429" i="162"/>
  <c r="F429" i="165" s="1"/>
  <c r="K429" i="165" s="1"/>
  <c r="K422" i="164"/>
  <c r="I430" i="162"/>
  <c r="F430" i="166" s="1"/>
  <c r="K430" i="166" s="1"/>
  <c r="K492" i="164"/>
  <c r="F312" i="160"/>
  <c r="F313" i="160" s="1"/>
  <c r="F498" i="160"/>
  <c r="I429" i="162"/>
  <c r="F429" i="166" s="1"/>
  <c r="K429" i="166" s="1"/>
  <c r="I431" i="160"/>
  <c r="I433" i="160" s="1"/>
  <c r="I18" i="160" s="1"/>
  <c r="G429" i="160"/>
  <c r="K429" i="160" s="1"/>
  <c r="L429" i="160" s="1"/>
  <c r="K429" i="167"/>
  <c r="J431" i="160"/>
  <c r="J433" i="160" s="1"/>
  <c r="J828" i="160" s="1"/>
  <c r="J430" i="162"/>
  <c r="F430" i="167" s="1"/>
  <c r="K430" i="167" s="1"/>
  <c r="J238" i="159"/>
  <c r="J323" i="159" s="1"/>
  <c r="G579" i="164"/>
  <c r="H431" i="160"/>
  <c r="H433" i="160" s="1"/>
  <c r="H828" i="160" s="1"/>
  <c r="H430" i="162"/>
  <c r="F430" i="165" s="1"/>
  <c r="K430" i="165" s="1"/>
  <c r="H223" i="164"/>
  <c r="G430" i="160"/>
  <c r="G430" i="164" s="1"/>
  <c r="G529" i="161"/>
  <c r="K529" i="161" s="1"/>
  <c r="L529" i="161" s="1"/>
  <c r="J493" i="164"/>
  <c r="H584" i="162"/>
  <c r="F584" i="165" s="1"/>
  <c r="G296" i="159"/>
  <c r="G816" i="159" s="1"/>
  <c r="J816" i="159" s="1"/>
  <c r="K816" i="159" s="1"/>
  <c r="I480" i="162"/>
  <c r="F480" i="166" s="1"/>
  <c r="K480" i="166" s="1"/>
  <c r="K264" i="164"/>
  <c r="G480" i="160"/>
  <c r="K480" i="160" s="1"/>
  <c r="L480" i="160" s="1"/>
  <c r="L461" i="155"/>
  <c r="L462" i="155" s="1"/>
  <c r="L465" i="155" s="1"/>
  <c r="L499" i="155" s="1"/>
  <c r="K428" i="164"/>
  <c r="J257" i="162"/>
  <c r="J275" i="162" s="1"/>
  <c r="I215" i="160"/>
  <c r="J275" i="160"/>
  <c r="J283" i="160" s="1"/>
  <c r="J324" i="160" s="1"/>
  <c r="I529" i="166"/>
  <c r="K258" i="165"/>
  <c r="I211" i="162"/>
  <c r="F211" i="166" s="1"/>
  <c r="K211" i="166" s="1"/>
  <c r="F491" i="164"/>
  <c r="F493" i="164" s="1"/>
  <c r="K210" i="155"/>
  <c r="L210" i="155" s="1"/>
  <c r="I257" i="162"/>
  <c r="F257" i="166" s="1"/>
  <c r="L491" i="160"/>
  <c r="L493" i="160" s="1"/>
  <c r="I275" i="160"/>
  <c r="I283" i="160" s="1"/>
  <c r="I324" i="160" s="1"/>
  <c r="P834" i="161"/>
  <c r="K269" i="164"/>
  <c r="F238" i="160"/>
  <c r="F323" i="160" s="1"/>
  <c r="I296" i="157"/>
  <c r="I816" i="157" s="1"/>
  <c r="K422" i="162"/>
  <c r="L422" i="162" s="1"/>
  <c r="I283" i="167"/>
  <c r="I324" i="167" s="1"/>
  <c r="G281" i="160"/>
  <c r="K421" i="164"/>
  <c r="K633" i="9"/>
  <c r="G257" i="160"/>
  <c r="G275" i="160" s="1"/>
  <c r="L491" i="155"/>
  <c r="L493" i="155" s="1"/>
  <c r="G258" i="164"/>
  <c r="G235" i="166"/>
  <c r="G236" i="166" s="1"/>
  <c r="K302" i="161"/>
  <c r="K303" i="161" s="1"/>
  <c r="K304" i="161" s="1"/>
  <c r="J461" i="164"/>
  <c r="J462" i="164" s="1"/>
  <c r="J465" i="164" s="1"/>
  <c r="I235" i="162"/>
  <c r="F235" i="166" s="1"/>
  <c r="F236" i="166" s="1"/>
  <c r="G465" i="164"/>
  <c r="G499" i="164" s="1"/>
  <c r="H211" i="162"/>
  <c r="F211" i="165" s="1"/>
  <c r="K211" i="165" s="1"/>
  <c r="K213" i="166"/>
  <c r="H215" i="160"/>
  <c r="K461" i="162"/>
  <c r="K462" i="162" s="1"/>
  <c r="F461" i="164"/>
  <c r="F462" i="164" s="1"/>
  <c r="K480" i="165"/>
  <c r="L834" i="160"/>
  <c r="G303" i="161"/>
  <c r="G304" i="161" s="1"/>
  <c r="J211" i="162"/>
  <c r="F211" i="167" s="1"/>
  <c r="K211" i="167" s="1"/>
  <c r="K465" i="160"/>
  <c r="K19" i="160" s="1"/>
  <c r="L19" i="160" s="1"/>
  <c r="K224" i="165"/>
  <c r="H480" i="164"/>
  <c r="J215" i="160"/>
  <c r="K480" i="155"/>
  <c r="L480" i="155" s="1"/>
  <c r="G223" i="160"/>
  <c r="G223" i="164" s="1"/>
  <c r="K210" i="165"/>
  <c r="K224" i="167"/>
  <c r="K584" i="161"/>
  <c r="K585" i="161" s="1"/>
  <c r="F296" i="161"/>
  <c r="K14" i="158"/>
  <c r="K15" i="158" s="1"/>
  <c r="K270" i="166"/>
  <c r="G211" i="160"/>
  <c r="G834" i="155"/>
  <c r="K834" i="155" s="1"/>
  <c r="L834" i="155" s="1"/>
  <c r="G19" i="167"/>
  <c r="K213" i="165"/>
  <c r="H641" i="162"/>
  <c r="H644" i="162" s="1"/>
  <c r="G499" i="166"/>
  <c r="G279" i="164"/>
  <c r="G281" i="164" s="1"/>
  <c r="K258" i="167"/>
  <c r="K258" i="166"/>
  <c r="I588" i="167"/>
  <c r="I589" i="167" s="1"/>
  <c r="I609" i="167" s="1"/>
  <c r="J529" i="159"/>
  <c r="K529" i="159" s="1"/>
  <c r="F529" i="160"/>
  <c r="F589" i="167"/>
  <c r="F609" i="167" s="1"/>
  <c r="J283" i="161"/>
  <c r="J324" i="161" s="1"/>
  <c r="I238" i="165"/>
  <c r="I323" i="165" s="1"/>
  <c r="J640" i="164"/>
  <c r="G640" i="162"/>
  <c r="F640" i="164" s="1"/>
  <c r="H213" i="164"/>
  <c r="F519" i="160"/>
  <c r="H519" i="160" s="1"/>
  <c r="G641" i="155"/>
  <c r="G644" i="155" s="1"/>
  <c r="K644" i="155" s="1"/>
  <c r="I283" i="165"/>
  <c r="I324" i="165" s="1"/>
  <c r="G479" i="160"/>
  <c r="G313" i="159"/>
  <c r="G801" i="159" s="1"/>
  <c r="O801" i="159" s="1"/>
  <c r="J838" i="157"/>
  <c r="K838" i="157" s="1"/>
  <c r="I206" i="164"/>
  <c r="I215" i="164" s="1"/>
  <c r="G215" i="161"/>
  <c r="J479" i="162"/>
  <c r="F479" i="167" s="1"/>
  <c r="G838" i="161"/>
  <c r="K838" i="161" s="1"/>
  <c r="L838" i="161" s="1"/>
  <c r="O834" i="157"/>
  <c r="G580" i="161"/>
  <c r="G598" i="161" s="1"/>
  <c r="K209" i="165"/>
  <c r="K270" i="165"/>
  <c r="K226" i="164"/>
  <c r="J539" i="164"/>
  <c r="J540" i="164" s="1"/>
  <c r="J562" i="164" s="1"/>
  <c r="J838" i="159"/>
  <c r="K838" i="159" s="1"/>
  <c r="G206" i="155"/>
  <c r="J521" i="159"/>
  <c r="K521" i="159" s="1"/>
  <c r="G522" i="159"/>
  <c r="G876" i="159" s="1"/>
  <c r="G479" i="155"/>
  <c r="K479" i="155" s="1"/>
  <c r="F238" i="155"/>
  <c r="F323" i="155" s="1"/>
  <c r="F465" i="166"/>
  <c r="F19" i="166" s="1"/>
  <c r="K213" i="167"/>
  <c r="I641" i="164"/>
  <c r="I644" i="164" s="1"/>
  <c r="H283" i="160"/>
  <c r="H324" i="160" s="1"/>
  <c r="F283" i="155"/>
  <c r="F324" i="155" s="1"/>
  <c r="F206" i="166"/>
  <c r="J604" i="161"/>
  <c r="J550" i="161"/>
  <c r="J599" i="161"/>
  <c r="F279" i="167"/>
  <c r="J281" i="162"/>
  <c r="H599" i="161"/>
  <c r="H604" i="161"/>
  <c r="H550" i="161"/>
  <c r="F420" i="166"/>
  <c r="G543" i="9"/>
  <c r="G545" i="9" s="1"/>
  <c r="G885" i="9"/>
  <c r="H26" i="9"/>
  <c r="H634" i="9"/>
  <c r="H595" i="9"/>
  <c r="H548" i="9"/>
  <c r="H609" i="165"/>
  <c r="I835" i="157"/>
  <c r="J835" i="157" s="1"/>
  <c r="K835" i="157" s="1"/>
  <c r="K520" i="162"/>
  <c r="L520" i="162" s="1"/>
  <c r="F520" i="164"/>
  <c r="K520" i="164" s="1"/>
  <c r="L417" i="162"/>
  <c r="L562" i="160"/>
  <c r="L891" i="160"/>
  <c r="J886" i="159"/>
  <c r="J544" i="159"/>
  <c r="L220" i="160"/>
  <c r="J562" i="167"/>
  <c r="J891" i="167"/>
  <c r="K224" i="155"/>
  <c r="L224" i="155" s="1"/>
  <c r="H224" i="164"/>
  <c r="L234" i="155"/>
  <c r="J313" i="9"/>
  <c r="K312" i="9"/>
  <c r="K313" i="9" s="1"/>
  <c r="F308" i="159"/>
  <c r="G308" i="9"/>
  <c r="K281" i="160"/>
  <c r="L279" i="160"/>
  <c r="L281" i="160" s="1"/>
  <c r="K261" i="164"/>
  <c r="H420" i="165"/>
  <c r="H431" i="165" s="1"/>
  <c r="H433" i="165" s="1"/>
  <c r="H431" i="155"/>
  <c r="H433" i="155" s="1"/>
  <c r="H828" i="155" s="1"/>
  <c r="K258" i="155"/>
  <c r="L258" i="155" s="1"/>
  <c r="H258" i="164"/>
  <c r="G891" i="155"/>
  <c r="G562" i="155"/>
  <c r="H302" i="167"/>
  <c r="H303" i="167" s="1"/>
  <c r="H304" i="167" s="1"/>
  <c r="J303" i="155"/>
  <c r="J304" i="155" s="1"/>
  <c r="G302" i="155"/>
  <c r="G302" i="162" s="1"/>
  <c r="I521" i="167"/>
  <c r="J313" i="159"/>
  <c r="K312" i="159"/>
  <c r="K313" i="159" s="1"/>
  <c r="G544" i="155"/>
  <c r="G886" i="155"/>
  <c r="J19" i="167"/>
  <c r="J499" i="167"/>
  <c r="H550" i="160"/>
  <c r="H599" i="160"/>
  <c r="H604" i="160"/>
  <c r="I18" i="161"/>
  <c r="I498" i="161"/>
  <c r="I312" i="161"/>
  <c r="I313" i="161" s="1"/>
  <c r="H206" i="167"/>
  <c r="H215" i="167" s="1"/>
  <c r="J215" i="155"/>
  <c r="K424" i="164"/>
  <c r="I18" i="167"/>
  <c r="I498" i="167"/>
  <c r="I312" i="167"/>
  <c r="I313" i="167" s="1"/>
  <c r="K18" i="159"/>
  <c r="K578" i="160"/>
  <c r="G580" i="160"/>
  <c r="G598" i="160" s="1"/>
  <c r="H221" i="167"/>
  <c r="J229" i="155"/>
  <c r="G431" i="165"/>
  <c r="G433" i="165" s="1"/>
  <c r="G258" i="162"/>
  <c r="G562" i="164"/>
  <c r="G891" i="164"/>
  <c r="G535" i="165"/>
  <c r="H536" i="160"/>
  <c r="F886" i="160"/>
  <c r="F544" i="160"/>
  <c r="F578" i="167"/>
  <c r="J580" i="162"/>
  <c r="J598" i="162" s="1"/>
  <c r="K221" i="160"/>
  <c r="L221" i="160" s="1"/>
  <c r="G221" i="164"/>
  <c r="F535" i="166"/>
  <c r="I536" i="162"/>
  <c r="G281" i="166"/>
  <c r="K484" i="166"/>
  <c r="G636" i="162"/>
  <c r="G639" i="162" s="1"/>
  <c r="G868" i="162"/>
  <c r="G27" i="162"/>
  <c r="G28" i="49" s="1"/>
  <c r="K220" i="162"/>
  <c r="F220" i="164"/>
  <c r="G479" i="167"/>
  <c r="J481" i="160"/>
  <c r="J838" i="160" s="1"/>
  <c r="H18" i="161"/>
  <c r="H498" i="161"/>
  <c r="H312" i="161"/>
  <c r="H313" i="161" s="1"/>
  <c r="G275" i="166"/>
  <c r="G599" i="157"/>
  <c r="G604" i="157"/>
  <c r="G550" i="157"/>
  <c r="I303" i="155"/>
  <c r="I304" i="155" s="1"/>
  <c r="I799" i="155" s="1"/>
  <c r="H302" i="166"/>
  <c r="H303" i="166" s="1"/>
  <c r="H304" i="166" s="1"/>
  <c r="K270" i="155"/>
  <c r="L270" i="155" s="1"/>
  <c r="H270" i="164"/>
  <c r="I550" i="161"/>
  <c r="I599" i="161"/>
  <c r="I604" i="161"/>
  <c r="J238" i="161"/>
  <c r="G431" i="166"/>
  <c r="G433" i="166" s="1"/>
  <c r="J562" i="166"/>
  <c r="J891" i="166"/>
  <c r="G584" i="160"/>
  <c r="K209" i="155"/>
  <c r="L209" i="155" s="1"/>
  <c r="H209" i="164"/>
  <c r="F279" i="166"/>
  <c r="I281" i="162"/>
  <c r="K223" i="157"/>
  <c r="K229" i="157" s="1"/>
  <c r="J229" i="157"/>
  <c r="K885" i="158"/>
  <c r="K543" i="158"/>
  <c r="K545" i="158" s="1"/>
  <c r="I221" i="164"/>
  <c r="I229" i="164" s="1"/>
  <c r="K221" i="161"/>
  <c r="G229" i="161"/>
  <c r="H235" i="165"/>
  <c r="H236" i="165" s="1"/>
  <c r="H236" i="155"/>
  <c r="F221" i="166"/>
  <c r="H221" i="166"/>
  <c r="I229" i="155"/>
  <c r="G238" i="157"/>
  <c r="I521" i="160"/>
  <c r="G521" i="166" s="1"/>
  <c r="J521" i="160"/>
  <c r="G521" i="167" s="1"/>
  <c r="H521" i="160"/>
  <c r="G521" i="165" s="1"/>
  <c r="K519" i="159"/>
  <c r="K215" i="161"/>
  <c r="L206" i="161"/>
  <c r="L215" i="161" s="1"/>
  <c r="F313" i="161"/>
  <c r="H515" i="9"/>
  <c r="G210" i="164"/>
  <c r="J210" i="164" s="1"/>
  <c r="G535" i="166"/>
  <c r="I536" i="160"/>
  <c r="J529" i="155"/>
  <c r="H529" i="155"/>
  <c r="H529" i="165" s="1"/>
  <c r="I529" i="155"/>
  <c r="H529" i="166" s="1"/>
  <c r="J544" i="161"/>
  <c r="J886" i="161"/>
  <c r="I544" i="161"/>
  <c r="I886" i="161"/>
  <c r="H238" i="161"/>
  <c r="G633" i="158"/>
  <c r="G870" i="158"/>
  <c r="G591" i="161"/>
  <c r="G609" i="161"/>
  <c r="K876" i="9"/>
  <c r="K458" i="162"/>
  <c r="L457" i="162"/>
  <c r="L458" i="162" s="1"/>
  <c r="K499" i="161"/>
  <c r="K19" i="161"/>
  <c r="L19" i="161" s="1"/>
  <c r="G303" i="167"/>
  <c r="G304" i="167" s="1"/>
  <c r="F562" i="167"/>
  <c r="F891" i="167"/>
  <c r="J220" i="164"/>
  <c r="J215" i="157"/>
  <c r="K206" i="157"/>
  <c r="K215" i="157" s="1"/>
  <c r="J19" i="162"/>
  <c r="J20" i="49" s="1"/>
  <c r="J499" i="162"/>
  <c r="L868" i="161"/>
  <c r="L636" i="161"/>
  <c r="L639" i="161" s="1"/>
  <c r="L641" i="161" s="1"/>
  <c r="L644" i="161" s="1"/>
  <c r="I532" i="9"/>
  <c r="F527" i="159"/>
  <c r="G479" i="165"/>
  <c r="H481" i="160"/>
  <c r="H838" i="160" s="1"/>
  <c r="G479" i="166"/>
  <c r="I481" i="160"/>
  <c r="I838" i="160" s="1"/>
  <c r="H585" i="155"/>
  <c r="H591" i="155" s="1"/>
  <c r="J584" i="155"/>
  <c r="K491" i="167"/>
  <c r="K493" i="167" s="1"/>
  <c r="I840" i="158"/>
  <c r="J840" i="158" s="1"/>
  <c r="K840" i="158" s="1"/>
  <c r="H283" i="161"/>
  <c r="H324" i="161" s="1"/>
  <c r="H420" i="162"/>
  <c r="F562" i="166"/>
  <c r="F891" i="166"/>
  <c r="J585" i="157"/>
  <c r="J591" i="157" s="1"/>
  <c r="K584" i="157"/>
  <c r="K585" i="157" s="1"/>
  <c r="K591" i="157" s="1"/>
  <c r="H420" i="167"/>
  <c r="H431" i="167" s="1"/>
  <c r="H433" i="167" s="1"/>
  <c r="J431" i="155"/>
  <c r="J433" i="155" s="1"/>
  <c r="H891" i="164"/>
  <c r="H562" i="164"/>
  <c r="P835" i="161"/>
  <c r="L835" i="161"/>
  <c r="H519" i="161"/>
  <c r="I519" i="161"/>
  <c r="J519" i="161"/>
  <c r="F522" i="161"/>
  <c r="K211" i="155"/>
  <c r="L211" i="155" s="1"/>
  <c r="H211" i="164"/>
  <c r="I521" i="165"/>
  <c r="G223" i="167"/>
  <c r="J229" i="160"/>
  <c r="J223" i="162"/>
  <c r="F223" i="167" s="1"/>
  <c r="F229" i="167" s="1"/>
  <c r="H544" i="164"/>
  <c r="H886" i="164"/>
  <c r="H279" i="165"/>
  <c r="H281" i="165" s="1"/>
  <c r="H281" i="155"/>
  <c r="J20" i="158"/>
  <c r="J21" i="158" s="1"/>
  <c r="J500" i="158"/>
  <c r="J501" i="158" s="1"/>
  <c r="K539" i="165"/>
  <c r="K540" i="165" s="1"/>
  <c r="F540" i="165"/>
  <c r="L835" i="160"/>
  <c r="P835" i="160"/>
  <c r="K550" i="159"/>
  <c r="K599" i="159"/>
  <c r="H257" i="167"/>
  <c r="H275" i="167" s="1"/>
  <c r="J275" i="155"/>
  <c r="I521" i="155"/>
  <c r="H521" i="166" s="1"/>
  <c r="J521" i="155"/>
  <c r="H521" i="167" s="1"/>
  <c r="H521" i="155"/>
  <c r="H521" i="165" s="1"/>
  <c r="K224" i="160"/>
  <c r="L224" i="160" s="1"/>
  <c r="G224" i="164"/>
  <c r="J599" i="160"/>
  <c r="J604" i="160"/>
  <c r="J550" i="160"/>
  <c r="I479" i="162"/>
  <c r="G236" i="165"/>
  <c r="I18" i="166"/>
  <c r="I312" i="166"/>
  <c r="I313" i="166" s="1"/>
  <c r="I498" i="166"/>
  <c r="G303" i="165"/>
  <c r="G304" i="165" s="1"/>
  <c r="F540" i="164"/>
  <c r="J543" i="158"/>
  <c r="J545" i="158" s="1"/>
  <c r="J885" i="158"/>
  <c r="G536" i="161"/>
  <c r="K535" i="161"/>
  <c r="G535" i="162"/>
  <c r="I535" i="164"/>
  <c r="I536" i="164" s="1"/>
  <c r="J312" i="161"/>
  <c r="J313" i="161" s="1"/>
  <c r="J498" i="161"/>
  <c r="J18" i="161"/>
  <c r="L609" i="160"/>
  <c r="K234" i="166"/>
  <c r="G868" i="164"/>
  <c r="G27" i="164"/>
  <c r="G636" i="164"/>
  <c r="G639" i="164" s="1"/>
  <c r="G641" i="164" s="1"/>
  <c r="G644" i="164" s="1"/>
  <c r="G303" i="166"/>
  <c r="G304" i="166" s="1"/>
  <c r="K891" i="161"/>
  <c r="K562" i="161"/>
  <c r="K213" i="160"/>
  <c r="L213" i="160" s="1"/>
  <c r="G213" i="164"/>
  <c r="G213" i="162"/>
  <c r="H235" i="167"/>
  <c r="H236" i="167" s="1"/>
  <c r="J236" i="155"/>
  <c r="G235" i="155"/>
  <c r="I238" i="166"/>
  <c r="K235" i="157"/>
  <c r="K236" i="157" s="1"/>
  <c r="J236" i="157"/>
  <c r="G19" i="155"/>
  <c r="G499" i="155"/>
  <c r="L636" i="160"/>
  <c r="L639" i="160" s="1"/>
  <c r="L641" i="160" s="1"/>
  <c r="L644" i="160" s="1"/>
  <c r="L868" i="160"/>
  <c r="G535" i="167"/>
  <c r="J536" i="160"/>
  <c r="K420" i="157"/>
  <c r="K431" i="157" s="1"/>
  <c r="K433" i="157" s="1"/>
  <c r="K498" i="157" s="1"/>
  <c r="J431" i="157"/>
  <c r="J433" i="157" s="1"/>
  <c r="I886" i="167"/>
  <c r="I544" i="167"/>
  <c r="F302" i="166"/>
  <c r="I303" i="162"/>
  <c r="I304" i="162" s="1"/>
  <c r="F462" i="165"/>
  <c r="F465" i="165" s="1"/>
  <c r="K461" i="165"/>
  <c r="K462" i="165" s="1"/>
  <c r="K465" i="165" s="1"/>
  <c r="K499" i="165" s="1"/>
  <c r="F27" i="165"/>
  <c r="K27" i="165" s="1"/>
  <c r="F636" i="165"/>
  <c r="F868" i="165"/>
  <c r="K257" i="161"/>
  <c r="I257" i="164"/>
  <c r="I275" i="164" s="1"/>
  <c r="G275" i="161"/>
  <c r="F630" i="164"/>
  <c r="K626" i="164"/>
  <c r="K630" i="164" s="1"/>
  <c r="I310" i="9"/>
  <c r="F307" i="159"/>
  <c r="G307" i="9"/>
  <c r="F599" i="155"/>
  <c r="F550" i="155"/>
  <c r="F604" i="155"/>
  <c r="J640" i="165"/>
  <c r="J641" i="165" s="1"/>
  <c r="H641" i="165"/>
  <c r="H644" i="165" s="1"/>
  <c r="J644" i="165" s="1"/>
  <c r="F870" i="158"/>
  <c r="F633" i="158"/>
  <c r="H841" i="158"/>
  <c r="G841" i="158"/>
  <c r="K420" i="161"/>
  <c r="I420" i="164"/>
  <c r="I431" i="164" s="1"/>
  <c r="I433" i="164" s="1"/>
  <c r="G431" i="161"/>
  <c r="G433" i="161" s="1"/>
  <c r="G19" i="165"/>
  <c r="G499" i="165"/>
  <c r="F18" i="155"/>
  <c r="F312" i="155"/>
  <c r="F498" i="155"/>
  <c r="I521" i="166"/>
  <c r="H479" i="166"/>
  <c r="H481" i="166" s="1"/>
  <c r="I481" i="155"/>
  <c r="I838" i="155" s="1"/>
  <c r="H279" i="167"/>
  <c r="H281" i="167" s="1"/>
  <c r="J281" i="155"/>
  <c r="I604" i="160"/>
  <c r="I550" i="160"/>
  <c r="I599" i="160"/>
  <c r="K417" i="166"/>
  <c r="K540" i="162"/>
  <c r="L539" i="162"/>
  <c r="L540" i="162" s="1"/>
  <c r="G215" i="165"/>
  <c r="H799" i="161"/>
  <c r="K430" i="155"/>
  <c r="L430" i="155" s="1"/>
  <c r="H430" i="164"/>
  <c r="G303" i="160"/>
  <c r="G304" i="160" s="1"/>
  <c r="K302" i="160"/>
  <c r="G302" i="164"/>
  <c r="G556" i="158"/>
  <c r="G551" i="158"/>
  <c r="H886" i="161"/>
  <c r="H544" i="161"/>
  <c r="F221" i="165"/>
  <c r="I238" i="161"/>
  <c r="K234" i="165"/>
  <c r="F876" i="157"/>
  <c r="K580" i="161"/>
  <c r="K598" i="161" s="1"/>
  <c r="L578" i="161"/>
  <c r="L580" i="161" s="1"/>
  <c r="L598" i="161" s="1"/>
  <c r="G828" i="161"/>
  <c r="K828" i="161" s="1"/>
  <c r="J19" i="165"/>
  <c r="J499" i="165"/>
  <c r="J532" i="9"/>
  <c r="K527" i="9"/>
  <c r="K532" i="9" s="1"/>
  <c r="K27" i="160"/>
  <c r="L27" i="160" s="1"/>
  <c r="K636" i="160"/>
  <c r="K639" i="160" s="1"/>
  <c r="K641" i="160" s="1"/>
  <c r="K868" i="160"/>
  <c r="G589" i="165"/>
  <c r="J588" i="165"/>
  <c r="I235" i="164"/>
  <c r="I236" i="164" s="1"/>
  <c r="K235" i="161"/>
  <c r="G236" i="161"/>
  <c r="K589" i="161"/>
  <c r="L588" i="161"/>
  <c r="L589" i="161" s="1"/>
  <c r="K418" i="164"/>
  <c r="I283" i="161"/>
  <c r="I324" i="161" s="1"/>
  <c r="H609" i="167"/>
  <c r="H876" i="159"/>
  <c r="G835" i="155"/>
  <c r="K835" i="155" s="1"/>
  <c r="K539" i="167"/>
  <c r="K540" i="167" s="1"/>
  <c r="H817" i="158"/>
  <c r="I817" i="158"/>
  <c r="G817" i="158"/>
  <c r="F899" i="158"/>
  <c r="F35" i="158"/>
  <c r="F37" i="158" s="1"/>
  <c r="F334" i="158"/>
  <c r="K423" i="164"/>
  <c r="P27" i="162"/>
  <c r="H28" i="49"/>
  <c r="F487" i="159"/>
  <c r="G487" i="9"/>
  <c r="F302" i="165"/>
  <c r="H303" i="162"/>
  <c r="H304" i="162" s="1"/>
  <c r="J499" i="166"/>
  <c r="J19" i="166"/>
  <c r="J19" i="157"/>
  <c r="K19" i="157" s="1"/>
  <c r="J499" i="157"/>
  <c r="H420" i="166"/>
  <c r="H431" i="166" s="1"/>
  <c r="H433" i="166" s="1"/>
  <c r="I431" i="155"/>
  <c r="I433" i="155" s="1"/>
  <c r="I828" i="155" s="1"/>
  <c r="G420" i="155"/>
  <c r="G420" i="162" s="1"/>
  <c r="F279" i="165"/>
  <c r="H281" i="162"/>
  <c r="K500" i="158"/>
  <c r="K501" i="158" s="1"/>
  <c r="K20" i="158"/>
  <c r="K21" i="158" s="1"/>
  <c r="K29" i="158"/>
  <c r="H562" i="162"/>
  <c r="H891" i="162"/>
  <c r="H257" i="165"/>
  <c r="H275" i="165" s="1"/>
  <c r="H275" i="155"/>
  <c r="G257" i="155"/>
  <c r="K479" i="161"/>
  <c r="G481" i="161"/>
  <c r="I479" i="164"/>
  <c r="I481" i="164" s="1"/>
  <c r="H206" i="166"/>
  <c r="H215" i="166" s="1"/>
  <c r="I215" i="155"/>
  <c r="L891" i="161"/>
  <c r="L562" i="161"/>
  <c r="I544" i="165"/>
  <c r="I886" i="165"/>
  <c r="H522" i="157"/>
  <c r="F519" i="155"/>
  <c r="K417" i="165"/>
  <c r="K493" i="162"/>
  <c r="L491" i="162"/>
  <c r="L493" i="162" s="1"/>
  <c r="I609" i="165"/>
  <c r="G536" i="160"/>
  <c r="K535" i="160"/>
  <c r="G535" i="164"/>
  <c r="F578" i="165"/>
  <c r="H580" i="162"/>
  <c r="H598" i="162" s="1"/>
  <c r="F27" i="166"/>
  <c r="K27" i="166" s="1"/>
  <c r="F636" i="166"/>
  <c r="F639" i="166" s="1"/>
  <c r="F641" i="166" s="1"/>
  <c r="F644" i="166" s="1"/>
  <c r="F868" i="166"/>
  <c r="G270" i="164"/>
  <c r="K270" i="160"/>
  <c r="L270" i="160" s="1"/>
  <c r="G270" i="162"/>
  <c r="F532" i="157"/>
  <c r="H527" i="157"/>
  <c r="G275" i="167"/>
  <c r="J799" i="160"/>
  <c r="G799" i="160" s="1"/>
  <c r="K799" i="160" s="1"/>
  <c r="F234" i="164"/>
  <c r="K234" i="162"/>
  <c r="F609" i="165"/>
  <c r="G18" i="157"/>
  <c r="G312" i="157"/>
  <c r="G498" i="157"/>
  <c r="G828" i="157"/>
  <c r="K868" i="166"/>
  <c r="K636" i="166"/>
  <c r="K639" i="166" s="1"/>
  <c r="J535" i="162"/>
  <c r="I544" i="166"/>
  <c r="I886" i="166"/>
  <c r="G224" i="162"/>
  <c r="H801" i="157"/>
  <c r="I801" i="157"/>
  <c r="H235" i="162"/>
  <c r="G431" i="167"/>
  <c r="G433" i="167" s="1"/>
  <c r="H499" i="162"/>
  <c r="H19" i="162"/>
  <c r="K484" i="165"/>
  <c r="J876" i="9"/>
  <c r="K270" i="167"/>
  <c r="K457" i="164"/>
  <c r="K458" i="164" s="1"/>
  <c r="F458" i="164"/>
  <c r="J275" i="157"/>
  <c r="J283" i="157" s="1"/>
  <c r="J324" i="157" s="1"/>
  <c r="K257" i="157"/>
  <c r="K275" i="157" s="1"/>
  <c r="K283" i="157" s="1"/>
  <c r="K324" i="157" s="1"/>
  <c r="K220" i="167"/>
  <c r="K465" i="155"/>
  <c r="K484" i="164"/>
  <c r="K891" i="160"/>
  <c r="K562" i="160"/>
  <c r="K630" i="162"/>
  <c r="L626" i="162"/>
  <c r="L630" i="162" s="1"/>
  <c r="K544" i="159"/>
  <c r="K886" i="159"/>
  <c r="K420" i="160"/>
  <c r="G420" i="164"/>
  <c r="F462" i="167"/>
  <c r="F465" i="167" s="1"/>
  <c r="K461" i="167"/>
  <c r="K462" i="167" s="1"/>
  <c r="K465" i="167" s="1"/>
  <c r="K499" i="167" s="1"/>
  <c r="H19" i="164"/>
  <c r="H499" i="164"/>
  <c r="K27" i="161"/>
  <c r="L27" i="161" s="1"/>
  <c r="K868" i="161"/>
  <c r="K636" i="161"/>
  <c r="K639" i="161" s="1"/>
  <c r="K641" i="161" s="1"/>
  <c r="F486" i="159"/>
  <c r="I488" i="9"/>
  <c r="G486" i="9"/>
  <c r="G19" i="160"/>
  <c r="G499" i="160"/>
  <c r="F27" i="167"/>
  <c r="K27" i="167" s="1"/>
  <c r="F868" i="167"/>
  <c r="F636" i="167"/>
  <c r="J206" i="162"/>
  <c r="K334" i="158"/>
  <c r="K899" i="158"/>
  <c r="K35" i="158"/>
  <c r="K37" i="158" s="1"/>
  <c r="H257" i="162"/>
  <c r="I18" i="165"/>
  <c r="I312" i="165"/>
  <c r="I313" i="165" s="1"/>
  <c r="I498" i="165"/>
  <c r="K539" i="166"/>
  <c r="K540" i="166" s="1"/>
  <c r="G465" i="162"/>
  <c r="G275" i="165"/>
  <c r="K491" i="166"/>
  <c r="K493" i="166" s="1"/>
  <c r="L539" i="155"/>
  <c r="L540" i="155" s="1"/>
  <c r="K540" i="155"/>
  <c r="G279" i="162"/>
  <c r="K279" i="161"/>
  <c r="I279" i="164"/>
  <c r="I281" i="164" s="1"/>
  <c r="G281" i="161"/>
  <c r="I876" i="159"/>
  <c r="H302" i="165"/>
  <c r="H303" i="165" s="1"/>
  <c r="H304" i="165" s="1"/>
  <c r="H303" i="155"/>
  <c r="H304" i="155" s="1"/>
  <c r="G521" i="161"/>
  <c r="H479" i="165"/>
  <c r="H481" i="165" s="1"/>
  <c r="H481" i="155"/>
  <c r="H838" i="155" s="1"/>
  <c r="H479" i="167"/>
  <c r="H481" i="167" s="1"/>
  <c r="J481" i="155"/>
  <c r="J838" i="155" s="1"/>
  <c r="H323" i="157"/>
  <c r="H296" i="157"/>
  <c r="H816" i="157" s="1"/>
  <c r="G223" i="165"/>
  <c r="H223" i="162"/>
  <c r="F223" i="165" s="1"/>
  <c r="H229" i="160"/>
  <c r="G223" i="166"/>
  <c r="I223" i="162"/>
  <c r="F223" i="166" s="1"/>
  <c r="G281" i="165"/>
  <c r="K536" i="155"/>
  <c r="L535" i="155"/>
  <c r="L536" i="155" s="1"/>
  <c r="H279" i="166"/>
  <c r="H281" i="166" s="1"/>
  <c r="I281" i="155"/>
  <c r="K279" i="155"/>
  <c r="H279" i="164"/>
  <c r="H281" i="164" s="1"/>
  <c r="G281" i="155"/>
  <c r="I238" i="167"/>
  <c r="K461" i="166"/>
  <c r="K462" i="166" s="1"/>
  <c r="K465" i="166" s="1"/>
  <c r="K499" i="166" s="1"/>
  <c r="J599" i="159"/>
  <c r="J550" i="159"/>
  <c r="H479" i="162"/>
  <c r="H257" i="166"/>
  <c r="H275" i="166" s="1"/>
  <c r="I275" i="155"/>
  <c r="G334" i="158"/>
  <c r="G899" i="158"/>
  <c r="G35" i="158"/>
  <c r="G37" i="158" s="1"/>
  <c r="F599" i="160"/>
  <c r="F604" i="160"/>
  <c r="F550" i="160"/>
  <c r="K429" i="155"/>
  <c r="L429" i="155" s="1"/>
  <c r="H429" i="164"/>
  <c r="G562" i="162"/>
  <c r="G891" i="162"/>
  <c r="H206" i="165"/>
  <c r="H215" i="165" s="1"/>
  <c r="H215" i="155"/>
  <c r="K491" i="165"/>
  <c r="K493" i="165" s="1"/>
  <c r="L854" i="155"/>
  <c r="L855" i="155" s="1"/>
  <c r="K855" i="155"/>
  <c r="K640" i="155" s="1"/>
  <c r="K641" i="155" s="1"/>
  <c r="I799" i="161"/>
  <c r="G281" i="167"/>
  <c r="J420" i="162"/>
  <c r="K609" i="160"/>
  <c r="J868" i="164"/>
  <c r="J636" i="164"/>
  <c r="J639" i="164" s="1"/>
  <c r="J27" i="164"/>
  <c r="H535" i="162"/>
  <c r="J302" i="162"/>
  <c r="H235" i="166"/>
  <c r="H236" i="166" s="1"/>
  <c r="I236" i="155"/>
  <c r="G221" i="155"/>
  <c r="H221" i="165"/>
  <c r="H229" i="155"/>
  <c r="J604" i="159"/>
  <c r="G214" i="162" l="1"/>
  <c r="K214" i="162" s="1"/>
  <c r="L214" i="162" s="1"/>
  <c r="K214" i="160"/>
  <c r="L214" i="160" s="1"/>
  <c r="K296" i="159"/>
  <c r="K214" i="166"/>
  <c r="G215" i="166"/>
  <c r="K214" i="167"/>
  <c r="G235" i="162"/>
  <c r="G236" i="162" s="1"/>
  <c r="K214" i="165"/>
  <c r="G215" i="167"/>
  <c r="K214" i="155"/>
  <c r="L214" i="155" s="1"/>
  <c r="H214" i="164"/>
  <c r="J214" i="164" s="1"/>
  <c r="G210" i="162"/>
  <c r="K210" i="162" s="1"/>
  <c r="L210" i="162" s="1"/>
  <c r="G235" i="164"/>
  <c r="G236" i="164" s="1"/>
  <c r="G236" i="160"/>
  <c r="J236" i="162"/>
  <c r="G209" i="162"/>
  <c r="F209" i="164" s="1"/>
  <c r="G209" i="164"/>
  <c r="J209" i="164" s="1"/>
  <c r="I238" i="160"/>
  <c r="I296" i="160" s="1"/>
  <c r="I529" i="164"/>
  <c r="J498" i="160"/>
  <c r="J35" i="158"/>
  <c r="J37" i="158" s="1"/>
  <c r="G206" i="164"/>
  <c r="G480" i="164"/>
  <c r="J480" i="164" s="1"/>
  <c r="G206" i="162"/>
  <c r="F206" i="164" s="1"/>
  <c r="G215" i="160"/>
  <c r="K430" i="160"/>
  <c r="L430" i="160" s="1"/>
  <c r="H498" i="160"/>
  <c r="L461" i="162"/>
  <c r="L462" i="162" s="1"/>
  <c r="L465" i="162" s="1"/>
  <c r="L499" i="162" s="1"/>
  <c r="I498" i="160"/>
  <c r="I828" i="160"/>
  <c r="G828" i="160" s="1"/>
  <c r="K828" i="160" s="1"/>
  <c r="L828" i="160" s="1"/>
  <c r="I312" i="160"/>
  <c r="I313" i="160" s="1"/>
  <c r="I801" i="160" s="1"/>
  <c r="L302" i="161"/>
  <c r="L303" i="161" s="1"/>
  <c r="L304" i="161" s="1"/>
  <c r="G430" i="162"/>
  <c r="F430" i="164" s="1"/>
  <c r="G481" i="160"/>
  <c r="J223" i="164"/>
  <c r="J579" i="164"/>
  <c r="K579" i="164" s="1"/>
  <c r="G431" i="160"/>
  <c r="G433" i="160" s="1"/>
  <c r="G18" i="160" s="1"/>
  <c r="G429" i="164"/>
  <c r="J429" i="164" s="1"/>
  <c r="O816" i="159"/>
  <c r="H215" i="162"/>
  <c r="F431" i="166"/>
  <c r="F433" i="166" s="1"/>
  <c r="F498" i="166" s="1"/>
  <c r="I275" i="162"/>
  <c r="I283" i="162" s="1"/>
  <c r="I324" i="162" s="1"/>
  <c r="F257" i="167"/>
  <c r="F275" i="167" s="1"/>
  <c r="H18" i="160"/>
  <c r="H312" i="160"/>
  <c r="H313" i="160" s="1"/>
  <c r="H801" i="160" s="1"/>
  <c r="K236" i="160"/>
  <c r="I431" i="162"/>
  <c r="I433" i="162" s="1"/>
  <c r="I312" i="162" s="1"/>
  <c r="I313" i="162" s="1"/>
  <c r="G429" i="162"/>
  <c r="F296" i="155"/>
  <c r="F522" i="160"/>
  <c r="F876" i="160" s="1"/>
  <c r="J891" i="164"/>
  <c r="K539" i="164"/>
  <c r="K540" i="164" s="1"/>
  <c r="K562" i="164" s="1"/>
  <c r="J312" i="160"/>
  <c r="J313" i="160" s="1"/>
  <c r="J801" i="160" s="1"/>
  <c r="J18" i="160"/>
  <c r="G480" i="162"/>
  <c r="K480" i="162" s="1"/>
  <c r="L480" i="162" s="1"/>
  <c r="G19" i="164"/>
  <c r="J283" i="162"/>
  <c r="J324" i="162" s="1"/>
  <c r="H585" i="162"/>
  <c r="H591" i="162" s="1"/>
  <c r="H604" i="162" s="1"/>
  <c r="J296" i="159"/>
  <c r="I236" i="162"/>
  <c r="I215" i="162"/>
  <c r="F296" i="160"/>
  <c r="J238" i="157"/>
  <c r="J323" i="157" s="1"/>
  <c r="K491" i="164"/>
  <c r="K493" i="164" s="1"/>
  <c r="J238" i="160"/>
  <c r="J323" i="160" s="1"/>
  <c r="K223" i="160"/>
  <c r="L223" i="160" s="1"/>
  <c r="L229" i="160" s="1"/>
  <c r="J519" i="160"/>
  <c r="G519" i="167" s="1"/>
  <c r="J481" i="162"/>
  <c r="J258" i="164"/>
  <c r="G283" i="160"/>
  <c r="G324" i="160" s="1"/>
  <c r="J279" i="167"/>
  <c r="J281" i="167" s="1"/>
  <c r="I519" i="160"/>
  <c r="I522" i="160" s="1"/>
  <c r="K257" i="160"/>
  <c r="L257" i="160" s="1"/>
  <c r="L275" i="160" s="1"/>
  <c r="L283" i="160" s="1"/>
  <c r="L324" i="160" s="1"/>
  <c r="J235" i="165"/>
  <c r="J236" i="165" s="1"/>
  <c r="G257" i="164"/>
  <c r="G275" i="164" s="1"/>
  <c r="G283" i="164" s="1"/>
  <c r="G324" i="164" s="1"/>
  <c r="G257" i="162"/>
  <c r="G275" i="162" s="1"/>
  <c r="J238" i="155"/>
  <c r="J323" i="155" s="1"/>
  <c r="J302" i="166"/>
  <c r="J303" i="166" s="1"/>
  <c r="J304" i="166" s="1"/>
  <c r="L584" i="161"/>
  <c r="L585" i="161" s="1"/>
  <c r="L591" i="161" s="1"/>
  <c r="J302" i="167"/>
  <c r="J303" i="167" s="1"/>
  <c r="J304" i="167" s="1"/>
  <c r="J213" i="164"/>
  <c r="K499" i="160"/>
  <c r="K522" i="159"/>
  <c r="K876" i="159" s="1"/>
  <c r="H238" i="160"/>
  <c r="H323" i="160" s="1"/>
  <c r="J522" i="159"/>
  <c r="J876" i="159" s="1"/>
  <c r="G211" i="162"/>
  <c r="F211" i="164" s="1"/>
  <c r="J19" i="164"/>
  <c r="J499" i="164"/>
  <c r="K461" i="164"/>
  <c r="K462" i="164" s="1"/>
  <c r="K465" i="164" s="1"/>
  <c r="K499" i="164" s="1"/>
  <c r="J206" i="167"/>
  <c r="J215" i="167" s="1"/>
  <c r="G641" i="162"/>
  <c r="H283" i="155"/>
  <c r="H324" i="155" s="1"/>
  <c r="J801" i="159"/>
  <c r="K801" i="159" s="1"/>
  <c r="K479" i="160"/>
  <c r="K481" i="160" s="1"/>
  <c r="I296" i="165"/>
  <c r="J257" i="167"/>
  <c r="J275" i="167" s="1"/>
  <c r="G479" i="164"/>
  <c r="G211" i="164"/>
  <c r="J211" i="164" s="1"/>
  <c r="J588" i="167"/>
  <c r="J589" i="167" s="1"/>
  <c r="J420" i="165"/>
  <c r="J431" i="165" s="1"/>
  <c r="J433" i="165" s="1"/>
  <c r="J18" i="165" s="1"/>
  <c r="K211" i="160"/>
  <c r="L211" i="160" s="1"/>
  <c r="J641" i="164"/>
  <c r="P834" i="155"/>
  <c r="G229" i="160"/>
  <c r="G223" i="162"/>
  <c r="F223" i="164" s="1"/>
  <c r="F640" i="162"/>
  <c r="F641" i="162" s="1"/>
  <c r="F644" i="162" s="1"/>
  <c r="K640" i="162"/>
  <c r="J644" i="164"/>
  <c r="J420" i="167"/>
  <c r="J431" i="167" s="1"/>
  <c r="J433" i="167" s="1"/>
  <c r="J18" i="167" s="1"/>
  <c r="J529" i="160"/>
  <c r="G529" i="167" s="1"/>
  <c r="H529" i="160"/>
  <c r="H529" i="162" s="1"/>
  <c r="F529" i="165" s="1"/>
  <c r="I529" i="160"/>
  <c r="G529" i="166" s="1"/>
  <c r="J529" i="166" s="1"/>
  <c r="G481" i="155"/>
  <c r="G479" i="162"/>
  <c r="K479" i="162" s="1"/>
  <c r="G283" i="166"/>
  <c r="G324" i="166" s="1"/>
  <c r="P838" i="161"/>
  <c r="H479" i="164"/>
  <c r="H481" i="164" s="1"/>
  <c r="H206" i="164"/>
  <c r="K19" i="166"/>
  <c r="G215" i="155"/>
  <c r="O835" i="157"/>
  <c r="K206" i="155"/>
  <c r="K215" i="155" s="1"/>
  <c r="G283" i="161"/>
  <c r="G324" i="161" s="1"/>
  <c r="I521" i="162"/>
  <c r="F521" i="166" s="1"/>
  <c r="G238" i="161"/>
  <c r="G323" i="161" s="1"/>
  <c r="F499" i="166"/>
  <c r="J206" i="166"/>
  <c r="J215" i="166" s="1"/>
  <c r="H283" i="167"/>
  <c r="H324" i="167" s="1"/>
  <c r="I229" i="162"/>
  <c r="J257" i="166"/>
  <c r="J275" i="166" s="1"/>
  <c r="J206" i="165"/>
  <c r="J215" i="165" s="1"/>
  <c r="H283" i="165"/>
  <c r="H324" i="165" s="1"/>
  <c r="J224" i="164"/>
  <c r="G838" i="155"/>
  <c r="K838" i="155" s="1"/>
  <c r="L799" i="160"/>
  <c r="P799" i="160"/>
  <c r="K221" i="155"/>
  <c r="H221" i="164"/>
  <c r="H229" i="164" s="1"/>
  <c r="G229" i="155"/>
  <c r="K640" i="165"/>
  <c r="K640" i="166"/>
  <c r="K641" i="166" s="1"/>
  <c r="K644" i="166" s="1"/>
  <c r="L640" i="155"/>
  <c r="L641" i="155" s="1"/>
  <c r="L644" i="155" s="1"/>
  <c r="K640" i="167"/>
  <c r="K640" i="157"/>
  <c r="K641" i="157" s="1"/>
  <c r="K644" i="157" s="1"/>
  <c r="K640" i="158"/>
  <c r="K641" i="158" s="1"/>
  <c r="K644" i="158" s="1"/>
  <c r="K640" i="164"/>
  <c r="K640" i="159"/>
  <c r="K641" i="159" s="1"/>
  <c r="K644" i="159" s="1"/>
  <c r="F479" i="165"/>
  <c r="H481" i="162"/>
  <c r="L562" i="155"/>
  <c r="L891" i="155"/>
  <c r="K636" i="167"/>
  <c r="K639" i="167" s="1"/>
  <c r="F639" i="167"/>
  <c r="F641" i="167" s="1"/>
  <c r="F644" i="167" s="1"/>
  <c r="H876" i="157"/>
  <c r="H312" i="166"/>
  <c r="H313" i="166" s="1"/>
  <c r="H498" i="166"/>
  <c r="H18" i="166"/>
  <c r="J885" i="9"/>
  <c r="J543" i="9"/>
  <c r="J545" i="9" s="1"/>
  <c r="F420" i="164"/>
  <c r="K420" i="162"/>
  <c r="I307" i="159"/>
  <c r="F310" i="159"/>
  <c r="G307" i="159"/>
  <c r="H307" i="159"/>
  <c r="F19" i="165"/>
  <c r="K19" i="165" s="1"/>
  <c r="F499" i="165"/>
  <c r="G536" i="167"/>
  <c r="J535" i="167"/>
  <c r="J536" i="167" s="1"/>
  <c r="J302" i="165"/>
  <c r="J303" i="165" s="1"/>
  <c r="J304" i="165" s="1"/>
  <c r="F479" i="166"/>
  <c r="I481" i="162"/>
  <c r="I519" i="166"/>
  <c r="I522" i="166" s="1"/>
  <c r="I522" i="161"/>
  <c r="H550" i="155"/>
  <c r="H604" i="155"/>
  <c r="H599" i="155"/>
  <c r="J479" i="165"/>
  <c r="J481" i="165" s="1"/>
  <c r="G481" i="165"/>
  <c r="J521" i="165"/>
  <c r="J420" i="166"/>
  <c r="J431" i="166" s="1"/>
  <c r="J433" i="166" s="1"/>
  <c r="I886" i="162"/>
  <c r="I544" i="162"/>
  <c r="G308" i="159"/>
  <c r="H308" i="159"/>
  <c r="I308" i="159"/>
  <c r="F308" i="161" s="1"/>
  <c r="F281" i="167"/>
  <c r="K604" i="159"/>
  <c r="I238" i="155"/>
  <c r="J279" i="165"/>
  <c r="J281" i="165" s="1"/>
  <c r="K281" i="161"/>
  <c r="L279" i="161"/>
  <c r="L281" i="161" s="1"/>
  <c r="F19" i="167"/>
  <c r="K19" i="167" s="1"/>
  <c r="F499" i="167"/>
  <c r="L420" i="160"/>
  <c r="F235" i="165"/>
  <c r="H236" i="162"/>
  <c r="G283" i="167"/>
  <c r="G324" i="167" s="1"/>
  <c r="K536" i="160"/>
  <c r="L535" i="160"/>
  <c r="L536" i="160" s="1"/>
  <c r="K633" i="158"/>
  <c r="K870" i="158"/>
  <c r="F634" i="158"/>
  <c r="F548" i="158"/>
  <c r="F26" i="158"/>
  <c r="L235" i="161"/>
  <c r="L236" i="161" s="1"/>
  <c r="K236" i="161"/>
  <c r="L562" i="162"/>
  <c r="L891" i="162"/>
  <c r="F313" i="155"/>
  <c r="L420" i="161"/>
  <c r="L431" i="161" s="1"/>
  <c r="L433" i="161" s="1"/>
  <c r="L498" i="161" s="1"/>
  <c r="K431" i="161"/>
  <c r="K433" i="161" s="1"/>
  <c r="I800" i="9"/>
  <c r="I321" i="9"/>
  <c r="J498" i="157"/>
  <c r="J18" i="157"/>
  <c r="K238" i="157"/>
  <c r="J223" i="167"/>
  <c r="K223" i="167" s="1"/>
  <c r="G229" i="167"/>
  <c r="F876" i="161"/>
  <c r="O840" i="158"/>
  <c r="I527" i="159"/>
  <c r="F532" i="159"/>
  <c r="H527" i="159"/>
  <c r="H532" i="159" s="1"/>
  <c r="F275" i="166"/>
  <c r="G599" i="161"/>
  <c r="G604" i="161"/>
  <c r="G550" i="161"/>
  <c r="J521" i="167"/>
  <c r="J323" i="161"/>
  <c r="J296" i="161"/>
  <c r="J816" i="161" s="1"/>
  <c r="J479" i="167"/>
  <c r="J481" i="167" s="1"/>
  <c r="G481" i="167"/>
  <c r="G18" i="165"/>
  <c r="G312" i="165"/>
  <c r="G498" i="165"/>
  <c r="I283" i="155"/>
  <c r="I324" i="155" s="1"/>
  <c r="L544" i="155"/>
  <c r="L886" i="155"/>
  <c r="J257" i="165"/>
  <c r="J275" i="165" s="1"/>
  <c r="J279" i="164"/>
  <c r="J281" i="164" s="1"/>
  <c r="H229" i="165"/>
  <c r="H238" i="165" s="1"/>
  <c r="J221" i="165"/>
  <c r="K221" i="165" s="1"/>
  <c r="F302" i="167"/>
  <c r="J303" i="162"/>
  <c r="J304" i="162" s="1"/>
  <c r="F420" i="167"/>
  <c r="J431" i="162"/>
  <c r="J433" i="162" s="1"/>
  <c r="H283" i="166"/>
  <c r="H324" i="166" s="1"/>
  <c r="K281" i="155"/>
  <c r="L279" i="155"/>
  <c r="L281" i="155" s="1"/>
  <c r="K544" i="155"/>
  <c r="K886" i="155"/>
  <c r="J223" i="165"/>
  <c r="K223" i="165" s="1"/>
  <c r="G229" i="165"/>
  <c r="G238" i="165" s="1"/>
  <c r="H799" i="155"/>
  <c r="K562" i="155"/>
  <c r="K891" i="155"/>
  <c r="G19" i="162"/>
  <c r="G20" i="49" s="1"/>
  <c r="G499" i="162"/>
  <c r="F206" i="167"/>
  <c r="J215" i="162"/>
  <c r="G838" i="160"/>
  <c r="K838" i="160" s="1"/>
  <c r="I495" i="9"/>
  <c r="I839" i="9"/>
  <c r="J235" i="167"/>
  <c r="J236" i="167" s="1"/>
  <c r="J430" i="164"/>
  <c r="K636" i="162"/>
  <c r="K639" i="162" s="1"/>
  <c r="K27" i="162"/>
  <c r="L27" i="162" s="1"/>
  <c r="K868" i="162"/>
  <c r="G312" i="167"/>
  <c r="G498" i="167"/>
  <c r="G18" i="167"/>
  <c r="H532" i="157"/>
  <c r="F527" i="155"/>
  <c r="K270" i="162"/>
  <c r="L270" i="162" s="1"/>
  <c r="F270" i="164"/>
  <c r="F522" i="155"/>
  <c r="H519" i="155"/>
  <c r="H519" i="162" s="1"/>
  <c r="I519" i="155"/>
  <c r="J519" i="155"/>
  <c r="F281" i="165"/>
  <c r="I18" i="155"/>
  <c r="I312" i="155"/>
  <c r="I313" i="155" s="1"/>
  <c r="I498" i="155"/>
  <c r="J487" i="9"/>
  <c r="K487" i="9" s="1"/>
  <c r="F487" i="157"/>
  <c r="G609" i="165"/>
  <c r="K543" i="9"/>
  <c r="K545" i="9" s="1"/>
  <c r="K885" i="9"/>
  <c r="P828" i="161"/>
  <c r="L828" i="161"/>
  <c r="H229" i="162"/>
  <c r="G303" i="164"/>
  <c r="G304" i="164" s="1"/>
  <c r="J235" i="166"/>
  <c r="I18" i="164"/>
  <c r="I498" i="164"/>
  <c r="I312" i="164"/>
  <c r="I313" i="164" s="1"/>
  <c r="H584" i="165"/>
  <c r="H585" i="165" s="1"/>
  <c r="H591" i="165" s="1"/>
  <c r="F585" i="165"/>
  <c r="F591" i="165" s="1"/>
  <c r="I584" i="165"/>
  <c r="I585" i="165" s="1"/>
  <c r="I591" i="165" s="1"/>
  <c r="G310" i="9"/>
  <c r="J307" i="9"/>
  <c r="F307" i="157"/>
  <c r="F868" i="164"/>
  <c r="F636" i="164"/>
  <c r="F639" i="164" s="1"/>
  <c r="F641" i="164" s="1"/>
  <c r="F644" i="164" s="1"/>
  <c r="F27" i="164"/>
  <c r="K27" i="164" s="1"/>
  <c r="K275" i="161"/>
  <c r="L257" i="161"/>
  <c r="L275" i="161" s="1"/>
  <c r="F303" i="166"/>
  <c r="F304" i="166" s="1"/>
  <c r="L206" i="160"/>
  <c r="J886" i="160"/>
  <c r="J544" i="160"/>
  <c r="K235" i="155"/>
  <c r="H235" i="164"/>
  <c r="G236" i="155"/>
  <c r="F213" i="164"/>
  <c r="K213" i="162"/>
  <c r="L213" i="162" s="1"/>
  <c r="G886" i="161"/>
  <c r="G544" i="161"/>
  <c r="G521" i="155"/>
  <c r="J283" i="155"/>
  <c r="J324" i="155" s="1"/>
  <c r="J870" i="158"/>
  <c r="J633" i="158"/>
  <c r="I519" i="167"/>
  <c r="I522" i="167" s="1"/>
  <c r="J522" i="161"/>
  <c r="K599" i="157"/>
  <c r="K550" i="157"/>
  <c r="J585" i="155"/>
  <c r="J591" i="155" s="1"/>
  <c r="J584" i="162"/>
  <c r="G229" i="164"/>
  <c r="H323" i="161"/>
  <c r="H296" i="161"/>
  <c r="H816" i="161" s="1"/>
  <c r="H529" i="167"/>
  <c r="H516" i="9"/>
  <c r="F515" i="158"/>
  <c r="G323" i="157"/>
  <c r="G296" i="157"/>
  <c r="G816" i="157" s="1"/>
  <c r="J221" i="166"/>
  <c r="K221" i="166" s="1"/>
  <c r="H229" i="166"/>
  <c r="H238" i="166" s="1"/>
  <c r="L221" i="161"/>
  <c r="L229" i="161" s="1"/>
  <c r="K229" i="161"/>
  <c r="G585" i="160"/>
  <c r="G591" i="160" s="1"/>
  <c r="K584" i="160"/>
  <c r="G312" i="166"/>
  <c r="G498" i="166"/>
  <c r="G18" i="166"/>
  <c r="K465" i="162"/>
  <c r="K220" i="164"/>
  <c r="K28" i="49"/>
  <c r="K258" i="162"/>
  <c r="L258" i="162" s="1"/>
  <c r="F258" i="164"/>
  <c r="K580" i="160"/>
  <c r="K598" i="160" s="1"/>
  <c r="L578" i="160"/>
  <c r="L580" i="160" s="1"/>
  <c r="L598" i="160" s="1"/>
  <c r="K302" i="155"/>
  <c r="G303" i="155"/>
  <c r="G304" i="155" s="1"/>
  <c r="H302" i="164"/>
  <c r="H303" i="164" s="1"/>
  <c r="H304" i="164" s="1"/>
  <c r="H312" i="165"/>
  <c r="H313" i="165" s="1"/>
  <c r="H18" i="165"/>
  <c r="H498" i="165"/>
  <c r="J308" i="9"/>
  <c r="K308" i="9" s="1"/>
  <c r="F308" i="157"/>
  <c r="I519" i="157"/>
  <c r="I529" i="157"/>
  <c r="G529" i="157" s="1"/>
  <c r="J529" i="157" s="1"/>
  <c r="K529" i="157" s="1"/>
  <c r="I521" i="157"/>
  <c r="G521" i="157" s="1"/>
  <c r="J521" i="157" s="1"/>
  <c r="K521" i="157" s="1"/>
  <c r="K481" i="155"/>
  <c r="L479" i="155"/>
  <c r="L481" i="155" s="1"/>
  <c r="F535" i="165"/>
  <c r="H536" i="162"/>
  <c r="G26" i="158"/>
  <c r="G548" i="158"/>
  <c r="J334" i="158"/>
  <c r="G634" i="158"/>
  <c r="I323" i="167"/>
  <c r="I296" i="167"/>
  <c r="J223" i="166"/>
  <c r="K223" i="166" s="1"/>
  <c r="G229" i="166"/>
  <c r="K562" i="166"/>
  <c r="K891" i="166"/>
  <c r="K26" i="158"/>
  <c r="K548" i="158"/>
  <c r="K634" i="158"/>
  <c r="I486" i="159"/>
  <c r="H486" i="159"/>
  <c r="F488" i="159"/>
  <c r="G609" i="167"/>
  <c r="G313" i="157"/>
  <c r="G801" i="157" s="1"/>
  <c r="J312" i="157"/>
  <c r="G536" i="164"/>
  <c r="J535" i="164"/>
  <c r="J536" i="164" s="1"/>
  <c r="K481" i="161"/>
  <c r="L479" i="161"/>
  <c r="L481" i="161" s="1"/>
  <c r="H487" i="159"/>
  <c r="I487" i="159"/>
  <c r="F487" i="161" s="1"/>
  <c r="O817" i="158"/>
  <c r="J817" i="158"/>
  <c r="K817" i="158" s="1"/>
  <c r="F229" i="165"/>
  <c r="K303" i="160"/>
  <c r="K304" i="160" s="1"/>
  <c r="L302" i="160"/>
  <c r="L303" i="160" s="1"/>
  <c r="L304" i="160" s="1"/>
  <c r="I544" i="164"/>
  <c r="I886" i="164"/>
  <c r="H521" i="162"/>
  <c r="F521" i="165" s="1"/>
  <c r="J599" i="157"/>
  <c r="J550" i="157"/>
  <c r="H801" i="161"/>
  <c r="I801" i="161"/>
  <c r="J801" i="161"/>
  <c r="H229" i="167"/>
  <c r="H238" i="167" s="1"/>
  <c r="J221" i="167"/>
  <c r="G556" i="9"/>
  <c r="G551" i="9"/>
  <c r="J799" i="155"/>
  <c r="G283" i="165"/>
  <c r="G324" i="165" s="1"/>
  <c r="F257" i="165"/>
  <c r="H275" i="162"/>
  <c r="H283" i="162" s="1"/>
  <c r="H324" i="162" s="1"/>
  <c r="K224" i="162"/>
  <c r="L224" i="162" s="1"/>
  <c r="F224" i="164"/>
  <c r="L234" i="162"/>
  <c r="J270" i="164"/>
  <c r="K891" i="167"/>
  <c r="K562" i="167"/>
  <c r="L609" i="161"/>
  <c r="F639" i="165"/>
  <c r="F641" i="165" s="1"/>
  <c r="F644" i="165" s="1"/>
  <c r="K644" i="165" s="1"/>
  <c r="K636" i="165"/>
  <c r="K639" i="165" s="1"/>
  <c r="K535" i="162"/>
  <c r="F535" i="164"/>
  <c r="G536" i="162"/>
  <c r="J551" i="158"/>
  <c r="J556" i="158"/>
  <c r="F562" i="165"/>
  <c r="F891" i="165"/>
  <c r="J18" i="155"/>
  <c r="J312" i="155"/>
  <c r="J313" i="155" s="1"/>
  <c r="J498" i="155"/>
  <c r="F420" i="165"/>
  <c r="H431" i="162"/>
  <c r="H433" i="162" s="1"/>
  <c r="I886" i="160"/>
  <c r="I544" i="160"/>
  <c r="F229" i="166"/>
  <c r="K556" i="158"/>
  <c r="K551" i="158"/>
  <c r="J604" i="157"/>
  <c r="L220" i="162"/>
  <c r="F536" i="166"/>
  <c r="I578" i="167"/>
  <c r="I580" i="167" s="1"/>
  <c r="I598" i="167" s="1"/>
  <c r="F580" i="167"/>
  <c r="F598" i="167" s="1"/>
  <c r="H578" i="167"/>
  <c r="H580" i="167" s="1"/>
  <c r="H598" i="167" s="1"/>
  <c r="G578" i="167"/>
  <c r="H544" i="160"/>
  <c r="H886" i="160"/>
  <c r="F481" i="167"/>
  <c r="J521" i="162"/>
  <c r="F521" i="167" s="1"/>
  <c r="K521" i="161"/>
  <c r="L521" i="161" s="1"/>
  <c r="I521" i="164"/>
  <c r="F279" i="164"/>
  <c r="K279" i="162"/>
  <c r="G281" i="162"/>
  <c r="J486" i="9"/>
  <c r="F486" i="157"/>
  <c r="G488" i="9"/>
  <c r="L636" i="162"/>
  <c r="L639" i="162" s="1"/>
  <c r="L868" i="162"/>
  <c r="K19" i="155"/>
  <c r="L19" i="155" s="1"/>
  <c r="K499" i="155"/>
  <c r="H20" i="49"/>
  <c r="P19" i="162"/>
  <c r="F535" i="167"/>
  <c r="J536" i="162"/>
  <c r="I828" i="157"/>
  <c r="I527" i="157" s="1"/>
  <c r="K234" i="164"/>
  <c r="F543" i="157"/>
  <c r="F545" i="157" s="1"/>
  <c r="F885" i="157"/>
  <c r="F580" i="165"/>
  <c r="F598" i="165" s="1"/>
  <c r="G578" i="165"/>
  <c r="I578" i="165"/>
  <c r="I580" i="165" s="1"/>
  <c r="I598" i="165" s="1"/>
  <c r="H578" i="165"/>
  <c r="H580" i="165" s="1"/>
  <c r="H598" i="165" s="1"/>
  <c r="G886" i="160"/>
  <c r="G544" i="160"/>
  <c r="K302" i="162"/>
  <c r="F302" i="164"/>
  <c r="G303" i="162"/>
  <c r="G304" i="162" s="1"/>
  <c r="K257" i="155"/>
  <c r="H257" i="164"/>
  <c r="G275" i="155"/>
  <c r="G283" i="155" s="1"/>
  <c r="G324" i="155" s="1"/>
  <c r="K420" i="155"/>
  <c r="H420" i="164"/>
  <c r="H431" i="164" s="1"/>
  <c r="H433" i="164" s="1"/>
  <c r="G431" i="155"/>
  <c r="G433" i="155" s="1"/>
  <c r="F303" i="165"/>
  <c r="F304" i="165" s="1"/>
  <c r="L835" i="155"/>
  <c r="P835" i="155"/>
  <c r="K591" i="161"/>
  <c r="K609" i="161"/>
  <c r="I238" i="164"/>
  <c r="J589" i="165"/>
  <c r="K588" i="165"/>
  <c r="K589" i="165" s="1"/>
  <c r="I323" i="161"/>
  <c r="I296" i="161"/>
  <c r="I816" i="161" s="1"/>
  <c r="G799" i="161"/>
  <c r="K799" i="161" s="1"/>
  <c r="K562" i="162"/>
  <c r="K891" i="162"/>
  <c r="J828" i="155"/>
  <c r="G828" i="155" s="1"/>
  <c r="K828" i="155" s="1"/>
  <c r="G18" i="161"/>
  <c r="G312" i="161"/>
  <c r="G498" i="161"/>
  <c r="I841" i="158"/>
  <c r="O841" i="158" s="1"/>
  <c r="K868" i="164"/>
  <c r="K636" i="164"/>
  <c r="K639" i="164" s="1"/>
  <c r="I283" i="164"/>
  <c r="I324" i="164" s="1"/>
  <c r="I323" i="166"/>
  <c r="I296" i="166"/>
  <c r="K536" i="161"/>
  <c r="L535" i="161"/>
  <c r="L536" i="161" s="1"/>
  <c r="F562" i="164"/>
  <c r="F891" i="164"/>
  <c r="K562" i="165"/>
  <c r="K891" i="165"/>
  <c r="F236" i="167"/>
  <c r="G519" i="161"/>
  <c r="I519" i="165"/>
  <c r="I522" i="165" s="1"/>
  <c r="H522" i="161"/>
  <c r="H312" i="167"/>
  <c r="H313" i="167" s="1"/>
  <c r="H18" i="167"/>
  <c r="H498" i="167"/>
  <c r="F465" i="164"/>
  <c r="J479" i="166"/>
  <c r="J481" i="166" s="1"/>
  <c r="G481" i="166"/>
  <c r="I543" i="9"/>
  <c r="I545" i="9" s="1"/>
  <c r="I885" i="9"/>
  <c r="J229" i="162"/>
  <c r="G529" i="155"/>
  <c r="J535" i="166"/>
  <c r="J536" i="166" s="1"/>
  <c r="G536" i="166"/>
  <c r="G521" i="160"/>
  <c r="J521" i="166"/>
  <c r="H238" i="155"/>
  <c r="G221" i="162"/>
  <c r="F281" i="166"/>
  <c r="F215" i="165"/>
  <c r="J279" i="166"/>
  <c r="J281" i="166" s="1"/>
  <c r="J535" i="165"/>
  <c r="J536" i="165" s="1"/>
  <c r="G536" i="165"/>
  <c r="G519" i="165"/>
  <c r="H522" i="160"/>
  <c r="H498" i="155"/>
  <c r="H18" i="155"/>
  <c r="H312" i="155"/>
  <c r="H313" i="155" s="1"/>
  <c r="F215" i="166"/>
  <c r="F214" i="164" l="1"/>
  <c r="G238" i="166"/>
  <c r="G323" i="166" s="1"/>
  <c r="K235" i="162"/>
  <c r="L235" i="162" s="1"/>
  <c r="F235" i="164"/>
  <c r="F236" i="164" s="1"/>
  <c r="K209" i="162"/>
  <c r="L209" i="162" s="1"/>
  <c r="G238" i="167"/>
  <c r="G323" i="167" s="1"/>
  <c r="F210" i="164"/>
  <c r="K210" i="164" s="1"/>
  <c r="K214" i="164"/>
  <c r="G481" i="164"/>
  <c r="I323" i="160"/>
  <c r="I816" i="160"/>
  <c r="J206" i="164"/>
  <c r="K206" i="164" s="1"/>
  <c r="G431" i="162"/>
  <c r="G433" i="162" s="1"/>
  <c r="G498" i="162" s="1"/>
  <c r="K206" i="162"/>
  <c r="L206" i="162" s="1"/>
  <c r="L479" i="160"/>
  <c r="L481" i="160" s="1"/>
  <c r="G238" i="160"/>
  <c r="G323" i="160" s="1"/>
  <c r="K431" i="160"/>
  <c r="K433" i="160" s="1"/>
  <c r="K18" i="160" s="1"/>
  <c r="J296" i="157"/>
  <c r="K430" i="164"/>
  <c r="L431" i="160"/>
  <c r="L433" i="160" s="1"/>
  <c r="L498" i="160" s="1"/>
  <c r="F312" i="166"/>
  <c r="F313" i="166" s="1"/>
  <c r="H550" i="162"/>
  <c r="I529" i="162"/>
  <c r="F529" i="166" s="1"/>
  <c r="K529" i="166" s="1"/>
  <c r="K891" i="164"/>
  <c r="H599" i="162"/>
  <c r="G498" i="160"/>
  <c r="G312" i="160"/>
  <c r="K312" i="160" s="1"/>
  <c r="K229" i="160"/>
  <c r="K224" i="164"/>
  <c r="P828" i="160"/>
  <c r="J498" i="167"/>
  <c r="K430" i="162"/>
  <c r="L430" i="162" s="1"/>
  <c r="F18" i="166"/>
  <c r="J296" i="160"/>
  <c r="J816" i="160" s="1"/>
  <c r="K223" i="164"/>
  <c r="G431" i="164"/>
  <c r="G433" i="164" s="1"/>
  <c r="G498" i="164" s="1"/>
  <c r="K257" i="166"/>
  <c r="K275" i="166" s="1"/>
  <c r="I498" i="162"/>
  <c r="I18" i="162"/>
  <c r="I19" i="49" s="1"/>
  <c r="G519" i="166"/>
  <c r="G522" i="166" s="1"/>
  <c r="L283" i="161"/>
  <c r="L324" i="161" s="1"/>
  <c r="J238" i="162"/>
  <c r="J323" i="162" s="1"/>
  <c r="K429" i="162"/>
  <c r="L429" i="162" s="1"/>
  <c r="F429" i="164"/>
  <c r="K429" i="164" s="1"/>
  <c r="I238" i="162"/>
  <c r="I323" i="162" s="1"/>
  <c r="K235" i="167"/>
  <c r="K236" i="167" s="1"/>
  <c r="F480" i="164"/>
  <c r="K480" i="164" s="1"/>
  <c r="K258" i="164"/>
  <c r="K213" i="164"/>
  <c r="K206" i="166"/>
  <c r="K215" i="166" s="1"/>
  <c r="K302" i="166"/>
  <c r="K303" i="166" s="1"/>
  <c r="K304" i="166" s="1"/>
  <c r="J221" i="164"/>
  <c r="J229" i="164" s="1"/>
  <c r="G215" i="164"/>
  <c r="G238" i="164" s="1"/>
  <c r="G323" i="164" s="1"/>
  <c r="K641" i="164"/>
  <c r="K644" i="164" s="1"/>
  <c r="K521" i="165"/>
  <c r="J522" i="160"/>
  <c r="J876" i="160" s="1"/>
  <c r="K257" i="162"/>
  <c r="L257" i="162" s="1"/>
  <c r="L275" i="162" s="1"/>
  <c r="K588" i="167"/>
  <c r="K589" i="167" s="1"/>
  <c r="K609" i="167" s="1"/>
  <c r="H296" i="160"/>
  <c r="H816" i="160" s="1"/>
  <c r="F257" i="164"/>
  <c r="F275" i="164" s="1"/>
  <c r="L640" i="162"/>
  <c r="L641" i="162" s="1"/>
  <c r="L644" i="162" s="1"/>
  <c r="K279" i="167"/>
  <c r="K281" i="167" s="1"/>
  <c r="G519" i="160"/>
  <c r="G519" i="164" s="1"/>
  <c r="G215" i="162"/>
  <c r="K279" i="165"/>
  <c r="K281" i="165" s="1"/>
  <c r="I519" i="162"/>
  <c r="F519" i="166" s="1"/>
  <c r="K521" i="166"/>
  <c r="K275" i="160"/>
  <c r="K283" i="160" s="1"/>
  <c r="K324" i="160" s="1"/>
  <c r="K283" i="161"/>
  <c r="K324" i="161" s="1"/>
  <c r="J283" i="167"/>
  <c r="J324" i="167" s="1"/>
  <c r="K211" i="162"/>
  <c r="L211" i="162" s="1"/>
  <c r="J498" i="165"/>
  <c r="K641" i="165"/>
  <c r="L215" i="160"/>
  <c r="L238" i="160" s="1"/>
  <c r="L323" i="160" s="1"/>
  <c r="K257" i="167"/>
  <c r="K275" i="167" s="1"/>
  <c r="K206" i="165"/>
  <c r="K215" i="165" s="1"/>
  <c r="K236" i="162"/>
  <c r="K641" i="162"/>
  <c r="F479" i="164"/>
  <c r="G238" i="155"/>
  <c r="G323" i="155" s="1"/>
  <c r="G481" i="162"/>
  <c r="K479" i="167"/>
  <c r="K481" i="167" s="1"/>
  <c r="K223" i="162"/>
  <c r="L223" i="162" s="1"/>
  <c r="J229" i="166"/>
  <c r="L206" i="155"/>
  <c r="L215" i="155" s="1"/>
  <c r="K215" i="160"/>
  <c r="H215" i="164"/>
  <c r="G801" i="160"/>
  <c r="K801" i="160" s="1"/>
  <c r="L801" i="160" s="1"/>
  <c r="K211" i="164"/>
  <c r="J479" i="164"/>
  <c r="J481" i="164" s="1"/>
  <c r="J529" i="162"/>
  <c r="F529" i="167" s="1"/>
  <c r="J529" i="167"/>
  <c r="G529" i="165"/>
  <c r="J529" i="165" s="1"/>
  <c r="K529" i="165" s="1"/>
  <c r="G529" i="160"/>
  <c r="G529" i="162" s="1"/>
  <c r="G296" i="161"/>
  <c r="F238" i="166"/>
  <c r="F323" i="166" s="1"/>
  <c r="J283" i="166"/>
  <c r="J324" i="166" s="1"/>
  <c r="G801" i="161"/>
  <c r="K801" i="161" s="1"/>
  <c r="L801" i="161" s="1"/>
  <c r="H488" i="159"/>
  <c r="H495" i="159" s="1"/>
  <c r="H20" i="159" s="1"/>
  <c r="H21" i="159" s="1"/>
  <c r="J283" i="165"/>
  <c r="J324" i="165" s="1"/>
  <c r="K641" i="167"/>
  <c r="K644" i="167" s="1"/>
  <c r="G799" i="155"/>
  <c r="K799" i="155" s="1"/>
  <c r="P799" i="155" s="1"/>
  <c r="F215" i="164"/>
  <c r="K535" i="166"/>
  <c r="K536" i="166" s="1"/>
  <c r="K886" i="166" s="1"/>
  <c r="L238" i="161"/>
  <c r="L323" i="161" s="1"/>
  <c r="K279" i="166"/>
  <c r="K281" i="166" s="1"/>
  <c r="J841" i="158"/>
  <c r="K841" i="158" s="1"/>
  <c r="G487" i="159"/>
  <c r="F487" i="160" s="1"/>
  <c r="J828" i="157"/>
  <c r="K828" i="157" s="1"/>
  <c r="G527" i="159"/>
  <c r="J527" i="159" s="1"/>
  <c r="J229" i="165"/>
  <c r="J238" i="165" s="1"/>
  <c r="J323" i="165" s="1"/>
  <c r="G283" i="162"/>
  <c r="G324" i="162" s="1"/>
  <c r="H310" i="159"/>
  <c r="H321" i="159" s="1"/>
  <c r="H325" i="159" s="1"/>
  <c r="H326" i="159" s="1"/>
  <c r="H14" i="159" s="1"/>
  <c r="H15" i="159" s="1"/>
  <c r="L828" i="155"/>
  <c r="P828" i="155"/>
  <c r="H323" i="166"/>
  <c r="H296" i="166"/>
  <c r="K521" i="160"/>
  <c r="L521" i="160" s="1"/>
  <c r="G521" i="164"/>
  <c r="I551" i="9"/>
  <c r="I556" i="9"/>
  <c r="H876" i="161"/>
  <c r="G18" i="155"/>
  <c r="G312" i="155"/>
  <c r="G498" i="155"/>
  <c r="H275" i="164"/>
  <c r="H283" i="164" s="1"/>
  <c r="H324" i="164" s="1"/>
  <c r="J257" i="164"/>
  <c r="J275" i="164" s="1"/>
  <c r="J283" i="164" s="1"/>
  <c r="J324" i="164" s="1"/>
  <c r="K279" i="164"/>
  <c r="K281" i="164" s="1"/>
  <c r="F281" i="164"/>
  <c r="F544" i="166"/>
  <c r="F886" i="166"/>
  <c r="J313" i="157"/>
  <c r="K312" i="157"/>
  <c r="K313" i="157" s="1"/>
  <c r="K303" i="155"/>
  <c r="K304" i="155" s="1"/>
  <c r="L302" i="155"/>
  <c r="L303" i="155" s="1"/>
  <c r="L304" i="155" s="1"/>
  <c r="G522" i="167"/>
  <c r="H323" i="165"/>
  <c r="H296" i="165"/>
  <c r="I876" i="167"/>
  <c r="J522" i="155"/>
  <c r="H519" i="167"/>
  <c r="H522" i="167" s="1"/>
  <c r="J609" i="167"/>
  <c r="F321" i="159"/>
  <c r="F221" i="164"/>
  <c r="K221" i="162"/>
  <c r="G229" i="162"/>
  <c r="G886" i="166"/>
  <c r="G544" i="166"/>
  <c r="H18" i="164"/>
  <c r="H312" i="164"/>
  <c r="H313" i="164" s="1"/>
  <c r="H498" i="164"/>
  <c r="J578" i="165"/>
  <c r="G580" i="165"/>
  <c r="G598" i="165" s="1"/>
  <c r="F283" i="167"/>
  <c r="F324" i="167" s="1"/>
  <c r="H18" i="162"/>
  <c r="H312" i="162"/>
  <c r="H498" i="162"/>
  <c r="K535" i="164"/>
  <c r="K536" i="164" s="1"/>
  <c r="F536" i="164"/>
  <c r="L236" i="162"/>
  <c r="K257" i="165"/>
  <c r="K275" i="165" s="1"/>
  <c r="F275" i="165"/>
  <c r="F283" i="165" s="1"/>
  <c r="F324" i="165" s="1"/>
  <c r="O801" i="157"/>
  <c r="J801" i="157"/>
  <c r="K801" i="157" s="1"/>
  <c r="G486" i="159"/>
  <c r="G599" i="160"/>
  <c r="G604" i="160"/>
  <c r="G550" i="160"/>
  <c r="I604" i="165"/>
  <c r="I550" i="165"/>
  <c r="I599" i="165"/>
  <c r="J236" i="166"/>
  <c r="K235" i="166"/>
  <c r="K236" i="166" s="1"/>
  <c r="H487" i="157"/>
  <c r="F487" i="155" s="1"/>
  <c r="I487" i="157"/>
  <c r="G519" i="155"/>
  <c r="H527" i="155"/>
  <c r="I527" i="155"/>
  <c r="F532" i="155"/>
  <c r="J527" i="155"/>
  <c r="L838" i="160"/>
  <c r="P838" i="160"/>
  <c r="K302" i="167"/>
  <c r="K303" i="167" s="1"/>
  <c r="K304" i="167" s="1"/>
  <c r="F303" i="167"/>
  <c r="F304" i="167" s="1"/>
  <c r="F543" i="159"/>
  <c r="F545" i="159" s="1"/>
  <c r="F885" i="159"/>
  <c r="K18" i="161"/>
  <c r="K498" i="161"/>
  <c r="J498" i="166"/>
  <c r="J18" i="166"/>
  <c r="I876" i="166"/>
  <c r="J886" i="167"/>
  <c r="J544" i="167"/>
  <c r="I310" i="159"/>
  <c r="I321" i="159" s="1"/>
  <c r="I325" i="159" s="1"/>
  <c r="I326" i="159" s="1"/>
  <c r="F307" i="161"/>
  <c r="F481" i="165"/>
  <c r="K479" i="165"/>
  <c r="K481" i="165" s="1"/>
  <c r="H876" i="160"/>
  <c r="H323" i="155"/>
  <c r="H296" i="155"/>
  <c r="H816" i="155" s="1"/>
  <c r="J544" i="166"/>
  <c r="J886" i="166"/>
  <c r="G522" i="161"/>
  <c r="I519" i="164"/>
  <c r="I522" i="164" s="1"/>
  <c r="K519" i="161"/>
  <c r="G495" i="9"/>
  <c r="G839" i="9"/>
  <c r="J839" i="9" s="1"/>
  <c r="K839" i="9" s="1"/>
  <c r="K521" i="167"/>
  <c r="G522" i="165"/>
  <c r="K529" i="155"/>
  <c r="L529" i="155" s="1"/>
  <c r="H529" i="164"/>
  <c r="F19" i="164"/>
  <c r="K19" i="164" s="1"/>
  <c r="F499" i="164"/>
  <c r="F519" i="165"/>
  <c r="H522" i="162"/>
  <c r="L886" i="161"/>
  <c r="L544" i="161"/>
  <c r="G313" i="161"/>
  <c r="K312" i="161"/>
  <c r="L799" i="161"/>
  <c r="P799" i="161"/>
  <c r="K609" i="165"/>
  <c r="K599" i="161"/>
  <c r="K604" i="161"/>
  <c r="K550" i="161"/>
  <c r="L302" i="162"/>
  <c r="L303" i="162" s="1"/>
  <c r="L304" i="162" s="1"/>
  <c r="K303" i="162"/>
  <c r="K304" i="162" s="1"/>
  <c r="O828" i="157"/>
  <c r="F536" i="167"/>
  <c r="K535" i="167"/>
  <c r="K536" i="167" s="1"/>
  <c r="H486" i="157"/>
  <c r="I486" i="157"/>
  <c r="F488" i="157"/>
  <c r="L279" i="162"/>
  <c r="L281" i="162" s="1"/>
  <c r="K281" i="162"/>
  <c r="K420" i="166"/>
  <c r="K431" i="166" s="1"/>
  <c r="K433" i="166" s="1"/>
  <c r="K498" i="166" s="1"/>
  <c r="J578" i="167"/>
  <c r="G580" i="167"/>
  <c r="G598" i="167" s="1"/>
  <c r="G644" i="162"/>
  <c r="K644" i="162" s="1"/>
  <c r="F646" i="162"/>
  <c r="F647" i="162" s="1"/>
  <c r="L599" i="161"/>
  <c r="L604" i="161"/>
  <c r="L550" i="161"/>
  <c r="K229" i="165"/>
  <c r="J634" i="158"/>
  <c r="J548" i="158"/>
  <c r="J26" i="158"/>
  <c r="H544" i="162"/>
  <c r="H886" i="162"/>
  <c r="J816" i="157"/>
  <c r="K816" i="157" s="1"/>
  <c r="O816" i="157"/>
  <c r="H875" i="9"/>
  <c r="H524" i="9"/>
  <c r="J599" i="155"/>
  <c r="J550" i="155"/>
  <c r="J604" i="155"/>
  <c r="J519" i="162"/>
  <c r="J235" i="164"/>
  <c r="J236" i="164" s="1"/>
  <c r="H236" i="164"/>
  <c r="G584" i="165"/>
  <c r="H550" i="165"/>
  <c r="H599" i="165"/>
  <c r="H604" i="165"/>
  <c r="J302" i="164"/>
  <c r="J303" i="164" s="1"/>
  <c r="J304" i="164" s="1"/>
  <c r="H519" i="165"/>
  <c r="H522" i="165" s="1"/>
  <c r="H522" i="155"/>
  <c r="K270" i="164"/>
  <c r="J312" i="167"/>
  <c r="J313" i="167" s="1"/>
  <c r="G313" i="167"/>
  <c r="K206" i="167"/>
  <c r="K215" i="167" s="1"/>
  <c r="F215" i="167"/>
  <c r="F238" i="167" s="1"/>
  <c r="K420" i="167"/>
  <c r="K431" i="167" s="1"/>
  <c r="K433" i="167" s="1"/>
  <c r="K498" i="167" s="1"/>
  <c r="F431" i="167"/>
  <c r="F433" i="167" s="1"/>
  <c r="H885" i="159"/>
  <c r="H543" i="159"/>
  <c r="H545" i="159" s="1"/>
  <c r="K323" i="157"/>
  <c r="K296" i="157"/>
  <c r="K238" i="161"/>
  <c r="K886" i="160"/>
  <c r="K544" i="160"/>
  <c r="I323" i="155"/>
  <c r="I296" i="155"/>
  <c r="I816" i="155" s="1"/>
  <c r="F481" i="166"/>
  <c r="K479" i="166"/>
  <c r="K481" i="166" s="1"/>
  <c r="L420" i="162"/>
  <c r="J556" i="9"/>
  <c r="J551" i="9"/>
  <c r="L838" i="155"/>
  <c r="P838" i="155"/>
  <c r="G886" i="165"/>
  <c r="G544" i="165"/>
  <c r="G323" i="165"/>
  <c r="G296" i="165"/>
  <c r="K886" i="161"/>
  <c r="K544" i="161"/>
  <c r="J609" i="165"/>
  <c r="F551" i="157"/>
  <c r="F556" i="157"/>
  <c r="K486" i="9"/>
  <c r="K488" i="9" s="1"/>
  <c r="K495" i="9" s="1"/>
  <c r="J488" i="9"/>
  <c r="J495" i="9" s="1"/>
  <c r="G544" i="162"/>
  <c r="G886" i="162"/>
  <c r="I876" i="160"/>
  <c r="K535" i="165"/>
  <c r="K536" i="165" s="1"/>
  <c r="F536" i="165"/>
  <c r="K585" i="160"/>
  <c r="K591" i="160" s="1"/>
  <c r="L584" i="160"/>
  <c r="L585" i="160" s="1"/>
  <c r="L591" i="160" s="1"/>
  <c r="L235" i="155"/>
  <c r="L236" i="155" s="1"/>
  <c r="K236" i="155"/>
  <c r="F310" i="157"/>
  <c r="G307" i="157"/>
  <c r="I307" i="157"/>
  <c r="H307" i="157"/>
  <c r="K556" i="9"/>
  <c r="K551" i="9"/>
  <c r="F876" i="155"/>
  <c r="I20" i="9"/>
  <c r="I21" i="9" s="1"/>
  <c r="I500" i="9"/>
  <c r="K18" i="157"/>
  <c r="J801" i="155"/>
  <c r="H801" i="155"/>
  <c r="I801" i="155"/>
  <c r="I876" i="161"/>
  <c r="K229" i="155"/>
  <c r="L221" i="155"/>
  <c r="L229" i="155" s="1"/>
  <c r="J544" i="165"/>
  <c r="J886" i="165"/>
  <c r="I876" i="165"/>
  <c r="I323" i="164"/>
  <c r="I296" i="164"/>
  <c r="K275" i="155"/>
  <c r="K283" i="155" s="1"/>
  <c r="K324" i="155" s="1"/>
  <c r="L257" i="155"/>
  <c r="L275" i="155" s="1"/>
  <c r="L283" i="155" s="1"/>
  <c r="L324" i="155" s="1"/>
  <c r="I532" i="157"/>
  <c r="G527" i="157"/>
  <c r="K604" i="157"/>
  <c r="J886" i="164"/>
  <c r="J544" i="164"/>
  <c r="I522" i="157"/>
  <c r="G519" i="157"/>
  <c r="H308" i="157"/>
  <c r="F308" i="155" s="1"/>
  <c r="I308" i="157"/>
  <c r="G308" i="157"/>
  <c r="K521" i="155"/>
  <c r="L521" i="155" s="1"/>
  <c r="H521" i="164"/>
  <c r="J310" i="9"/>
  <c r="J321" i="9" s="1"/>
  <c r="J325" i="9" s="1"/>
  <c r="J326" i="9" s="1"/>
  <c r="K307" i="9"/>
  <c r="K310" i="9" s="1"/>
  <c r="K321" i="9" s="1"/>
  <c r="K325" i="9" s="1"/>
  <c r="K326" i="9" s="1"/>
  <c r="K330" i="9" s="1"/>
  <c r="K331" i="9" s="1"/>
  <c r="H519" i="166"/>
  <c r="H522" i="166" s="1"/>
  <c r="I522" i="155"/>
  <c r="K20" i="49"/>
  <c r="L20" i="49" s="1"/>
  <c r="H238" i="162"/>
  <c r="F308" i="160"/>
  <c r="J308" i="159"/>
  <c r="K308" i="159" s="1"/>
  <c r="J420" i="164"/>
  <c r="J431" i="164" s="1"/>
  <c r="J433" i="164" s="1"/>
  <c r="K302" i="165"/>
  <c r="K303" i="165" s="1"/>
  <c r="K304" i="165" s="1"/>
  <c r="L420" i="155"/>
  <c r="L431" i="155" s="1"/>
  <c r="L433" i="155" s="1"/>
  <c r="L498" i="155" s="1"/>
  <c r="K431" i="155"/>
  <c r="K433" i="155" s="1"/>
  <c r="F303" i="164"/>
  <c r="F304" i="164" s="1"/>
  <c r="J886" i="162"/>
  <c r="J544" i="162"/>
  <c r="G521" i="162"/>
  <c r="K229" i="166"/>
  <c r="K420" i="165"/>
  <c r="K431" i="165" s="1"/>
  <c r="K433" i="165" s="1"/>
  <c r="K498" i="165" s="1"/>
  <c r="F431" i="165"/>
  <c r="F433" i="165" s="1"/>
  <c r="K536" i="162"/>
  <c r="L535" i="162"/>
  <c r="L536" i="162" s="1"/>
  <c r="H323" i="167"/>
  <c r="H296" i="167"/>
  <c r="K481" i="162"/>
  <c r="L479" i="162"/>
  <c r="L481" i="162" s="1"/>
  <c r="K221" i="167"/>
  <c r="K229" i="167" s="1"/>
  <c r="J229" i="167"/>
  <c r="J238" i="167" s="1"/>
  <c r="H487" i="161"/>
  <c r="I487" i="161"/>
  <c r="J487" i="161"/>
  <c r="G544" i="164"/>
  <c r="G886" i="164"/>
  <c r="F495" i="159"/>
  <c r="F486" i="161"/>
  <c r="I488" i="159"/>
  <c r="I495" i="159" s="1"/>
  <c r="K19" i="162"/>
  <c r="L19" i="162" s="1"/>
  <c r="K499" i="162"/>
  <c r="J312" i="166"/>
  <c r="J313" i="166" s="1"/>
  <c r="G313" i="166"/>
  <c r="H515" i="158"/>
  <c r="H516" i="158" s="1"/>
  <c r="F516" i="158"/>
  <c r="I515" i="158"/>
  <c r="I516" i="158" s="1"/>
  <c r="G816" i="161"/>
  <c r="K816" i="161" s="1"/>
  <c r="F584" i="167"/>
  <c r="J585" i="162"/>
  <c r="J591" i="162" s="1"/>
  <c r="J876" i="161"/>
  <c r="G800" i="9"/>
  <c r="J800" i="9" s="1"/>
  <c r="K800" i="9" s="1"/>
  <c r="G321" i="9"/>
  <c r="F604" i="165"/>
  <c r="F599" i="165"/>
  <c r="F550" i="165"/>
  <c r="H885" i="157"/>
  <c r="H543" i="157"/>
  <c r="H545" i="157" s="1"/>
  <c r="J18" i="162"/>
  <c r="J498" i="162"/>
  <c r="J312" i="162"/>
  <c r="J313" i="162" s="1"/>
  <c r="G313" i="165"/>
  <c r="J312" i="165"/>
  <c r="J313" i="165" s="1"/>
  <c r="F283" i="166"/>
  <c r="F324" i="166" s="1"/>
  <c r="I532" i="159"/>
  <c r="F527" i="161"/>
  <c r="I325" i="9"/>
  <c r="I326" i="9" s="1"/>
  <c r="I803" i="9"/>
  <c r="L544" i="160"/>
  <c r="L886" i="160"/>
  <c r="K235" i="165"/>
  <c r="K236" i="165" s="1"/>
  <c r="F236" i="165"/>
  <c r="F238" i="165" s="1"/>
  <c r="H308" i="161"/>
  <c r="I308" i="161"/>
  <c r="J308" i="161"/>
  <c r="J296" i="155"/>
  <c r="J816" i="155" s="1"/>
  <c r="G544" i="167"/>
  <c r="G886" i="167"/>
  <c r="J307" i="159"/>
  <c r="F307" i="160"/>
  <c r="G310" i="159"/>
  <c r="G321" i="159" s="1"/>
  <c r="G325" i="159" s="1"/>
  <c r="G326" i="159" s="1"/>
  <c r="K209" i="164"/>
  <c r="G296" i="167" l="1"/>
  <c r="J215" i="164"/>
  <c r="G296" i="166"/>
  <c r="G18" i="162"/>
  <c r="G19" i="49" s="1"/>
  <c r="K283" i="166"/>
  <c r="K324" i="166" s="1"/>
  <c r="G296" i="160"/>
  <c r="K498" i="160"/>
  <c r="G313" i="160"/>
  <c r="K18" i="166"/>
  <c r="G816" i="160"/>
  <c r="K816" i="160" s="1"/>
  <c r="P816" i="160" s="1"/>
  <c r="G18" i="164"/>
  <c r="K238" i="160"/>
  <c r="K323" i="160" s="1"/>
  <c r="G519" i="162"/>
  <c r="G522" i="162" s="1"/>
  <c r="G312" i="164"/>
  <c r="J312" i="164" s="1"/>
  <c r="J313" i="164" s="1"/>
  <c r="F431" i="164"/>
  <c r="F433" i="164" s="1"/>
  <c r="F18" i="164" s="1"/>
  <c r="G296" i="155"/>
  <c r="G238" i="162"/>
  <c r="G323" i="162" s="1"/>
  <c r="K431" i="162"/>
  <c r="K433" i="162" s="1"/>
  <c r="K18" i="162" s="1"/>
  <c r="I522" i="162"/>
  <c r="I876" i="162" s="1"/>
  <c r="L431" i="162"/>
  <c r="L433" i="162" s="1"/>
  <c r="L498" i="162" s="1"/>
  <c r="J296" i="162"/>
  <c r="I296" i="162"/>
  <c r="K544" i="166"/>
  <c r="G522" i="160"/>
  <c r="G876" i="160" s="1"/>
  <c r="G522" i="164"/>
  <c r="G876" i="164" s="1"/>
  <c r="K275" i="162"/>
  <c r="K283" i="162" s="1"/>
  <c r="K324" i="162" s="1"/>
  <c r="K283" i="165"/>
  <c r="K324" i="165" s="1"/>
  <c r="K283" i="167"/>
  <c r="K324" i="167" s="1"/>
  <c r="K519" i="160"/>
  <c r="L519" i="160" s="1"/>
  <c r="L522" i="160" s="1"/>
  <c r="L876" i="160" s="1"/>
  <c r="K238" i="167"/>
  <c r="K323" i="167" s="1"/>
  <c r="K302" i="164"/>
  <c r="K303" i="164" s="1"/>
  <c r="K304" i="164" s="1"/>
  <c r="K215" i="162"/>
  <c r="L215" i="162"/>
  <c r="H330" i="159"/>
  <c r="H331" i="159" s="1"/>
  <c r="H334" i="159" s="1"/>
  <c r="P801" i="161"/>
  <c r="J238" i="166"/>
  <c r="J323" i="166" s="1"/>
  <c r="K479" i="164"/>
  <c r="K481" i="164" s="1"/>
  <c r="J487" i="159"/>
  <c r="K487" i="159" s="1"/>
  <c r="F481" i="164"/>
  <c r="H238" i="164"/>
  <c r="H296" i="164" s="1"/>
  <c r="K529" i="167"/>
  <c r="G532" i="159"/>
  <c r="G543" i="159" s="1"/>
  <c r="G545" i="159" s="1"/>
  <c r="L296" i="160"/>
  <c r="F527" i="160"/>
  <c r="H527" i="160" s="1"/>
  <c r="K257" i="164"/>
  <c r="K275" i="164" s="1"/>
  <c r="K283" i="164" s="1"/>
  <c r="K324" i="164" s="1"/>
  <c r="L799" i="155"/>
  <c r="P801" i="160"/>
  <c r="G527" i="155"/>
  <c r="G532" i="155" s="1"/>
  <c r="H839" i="159"/>
  <c r="L296" i="161"/>
  <c r="J296" i="165"/>
  <c r="H500" i="159"/>
  <c r="H501" i="159" s="1"/>
  <c r="H633" i="159" s="1"/>
  <c r="F283" i="164"/>
  <c r="F324" i="164" s="1"/>
  <c r="G487" i="157"/>
  <c r="J487" i="157" s="1"/>
  <c r="K487" i="157" s="1"/>
  <c r="H800" i="159"/>
  <c r="K238" i="165"/>
  <c r="K323" i="165" s="1"/>
  <c r="K529" i="160"/>
  <c r="L529" i="160" s="1"/>
  <c r="G529" i="164"/>
  <c r="J529" i="164" s="1"/>
  <c r="I488" i="157"/>
  <c r="I495" i="157" s="1"/>
  <c r="I20" i="157" s="1"/>
  <c r="I21" i="157" s="1"/>
  <c r="K312" i="166"/>
  <c r="K313" i="166" s="1"/>
  <c r="G801" i="155"/>
  <c r="K801" i="155" s="1"/>
  <c r="P801" i="155" s="1"/>
  <c r="G487" i="161"/>
  <c r="K487" i="161" s="1"/>
  <c r="L487" i="161" s="1"/>
  <c r="F296" i="166"/>
  <c r="G816" i="155"/>
  <c r="K816" i="155" s="1"/>
  <c r="P816" i="155" s="1"/>
  <c r="K235" i="164"/>
  <c r="K236" i="164" s="1"/>
  <c r="G296" i="164"/>
  <c r="J519" i="166"/>
  <c r="J522" i="166" s="1"/>
  <c r="J876" i="166" s="1"/>
  <c r="G308" i="161"/>
  <c r="I308" i="164" s="1"/>
  <c r="J323" i="167"/>
  <c r="J296" i="167"/>
  <c r="F323" i="167"/>
  <c r="F296" i="167"/>
  <c r="F307" i="155"/>
  <c r="H310" i="157"/>
  <c r="H321" i="157" s="1"/>
  <c r="H325" i="157" s="1"/>
  <c r="H326" i="157" s="1"/>
  <c r="F321" i="157"/>
  <c r="F650" i="162"/>
  <c r="F867" i="162"/>
  <c r="K544" i="167"/>
  <c r="K886" i="167"/>
  <c r="H876" i="162"/>
  <c r="I14" i="159"/>
  <c r="I15" i="159" s="1"/>
  <c r="I330" i="159"/>
  <c r="I331" i="159" s="1"/>
  <c r="L18" i="160"/>
  <c r="F551" i="159"/>
  <c r="F556" i="159"/>
  <c r="F543" i="155"/>
  <c r="F545" i="155" s="1"/>
  <c r="F885" i="155"/>
  <c r="K519" i="155"/>
  <c r="G522" i="155"/>
  <c r="H519" i="164"/>
  <c r="K420" i="164"/>
  <c r="K431" i="164" s="1"/>
  <c r="K433" i="164" s="1"/>
  <c r="K498" i="164" s="1"/>
  <c r="G800" i="159"/>
  <c r="G313" i="155"/>
  <c r="K312" i="155"/>
  <c r="I308" i="167"/>
  <c r="I543" i="159"/>
  <c r="I545" i="159" s="1"/>
  <c r="I885" i="159"/>
  <c r="H584" i="167"/>
  <c r="H585" i="167" s="1"/>
  <c r="H591" i="167" s="1"/>
  <c r="F585" i="167"/>
  <c r="F591" i="167" s="1"/>
  <c r="I584" i="167"/>
  <c r="I585" i="167" s="1"/>
  <c r="I591" i="167" s="1"/>
  <c r="H875" i="158"/>
  <c r="H524" i="158"/>
  <c r="I20" i="159"/>
  <c r="I21" i="159" s="1"/>
  <c r="I500" i="159"/>
  <c r="I501" i="159" s="1"/>
  <c r="F500" i="159"/>
  <c r="F20" i="159"/>
  <c r="I487" i="165"/>
  <c r="K521" i="162"/>
  <c r="L521" i="162" s="1"/>
  <c r="F521" i="164"/>
  <c r="K498" i="155"/>
  <c r="K18" i="155"/>
  <c r="H876" i="166"/>
  <c r="J308" i="157"/>
  <c r="K308" i="157" s="1"/>
  <c r="I876" i="157"/>
  <c r="I840" i="9"/>
  <c r="I501" i="9"/>
  <c r="I310" i="157"/>
  <c r="I321" i="157" s="1"/>
  <c r="I325" i="157" s="1"/>
  <c r="I326" i="157" s="1"/>
  <c r="K238" i="155"/>
  <c r="L550" i="160"/>
  <c r="L599" i="160"/>
  <c r="L604" i="160"/>
  <c r="J238" i="164"/>
  <c r="F486" i="155"/>
  <c r="H488" i="157"/>
  <c r="H495" i="157" s="1"/>
  <c r="F886" i="167"/>
  <c r="F544" i="167"/>
  <c r="F522" i="165"/>
  <c r="G876" i="161"/>
  <c r="H527" i="166"/>
  <c r="H532" i="166" s="1"/>
  <c r="I532" i="155"/>
  <c r="H487" i="155"/>
  <c r="H487" i="165" s="1"/>
  <c r="J487" i="155"/>
  <c r="H487" i="167" s="1"/>
  <c r="I487" i="155"/>
  <c r="H487" i="166" s="1"/>
  <c r="H487" i="160"/>
  <c r="G487" i="165" s="1"/>
  <c r="J487" i="160"/>
  <c r="G487" i="167" s="1"/>
  <c r="I487" i="160"/>
  <c r="G487" i="166" s="1"/>
  <c r="G876" i="166"/>
  <c r="H313" i="162"/>
  <c r="G312" i="162"/>
  <c r="J580" i="165"/>
  <c r="J598" i="165" s="1"/>
  <c r="K578" i="165"/>
  <c r="K580" i="165" s="1"/>
  <c r="K598" i="165" s="1"/>
  <c r="H803" i="159"/>
  <c r="F325" i="159"/>
  <c r="F326" i="159" s="1"/>
  <c r="I803" i="159"/>
  <c r="G803" i="159"/>
  <c r="F522" i="166"/>
  <c r="J310" i="159"/>
  <c r="J321" i="159" s="1"/>
  <c r="J325" i="159" s="1"/>
  <c r="J326" i="159" s="1"/>
  <c r="K307" i="159"/>
  <c r="K310" i="159" s="1"/>
  <c r="K321" i="159" s="1"/>
  <c r="K325" i="159" s="1"/>
  <c r="K326" i="159" s="1"/>
  <c r="K330" i="159" s="1"/>
  <c r="K331" i="159" s="1"/>
  <c r="F323" i="165"/>
  <c r="F296" i="165"/>
  <c r="I527" i="161"/>
  <c r="J527" i="161"/>
  <c r="F532" i="161"/>
  <c r="H527" i="161"/>
  <c r="J532" i="159"/>
  <c r="K527" i="159"/>
  <c r="K532" i="159" s="1"/>
  <c r="J599" i="162"/>
  <c r="J550" i="162"/>
  <c r="J604" i="162"/>
  <c r="F875" i="158"/>
  <c r="F524" i="158"/>
  <c r="I885" i="157"/>
  <c r="I543" i="157"/>
  <c r="I545" i="157" s="1"/>
  <c r="K886" i="165"/>
  <c r="K544" i="165"/>
  <c r="J20" i="9"/>
  <c r="J500" i="9"/>
  <c r="J501" i="9" s="1"/>
  <c r="H876" i="165"/>
  <c r="I308" i="166"/>
  <c r="K215" i="164"/>
  <c r="J19" i="49"/>
  <c r="H556" i="157"/>
  <c r="H551" i="157"/>
  <c r="G325" i="9"/>
  <c r="G326" i="9" s="1"/>
  <c r="G803" i="9"/>
  <c r="J803" i="9" s="1"/>
  <c r="K803" i="9" s="1"/>
  <c r="L816" i="161"/>
  <c r="P816" i="161"/>
  <c r="H486" i="161"/>
  <c r="I486" i="161"/>
  <c r="J486" i="161"/>
  <c r="F488" i="161"/>
  <c r="H556" i="159"/>
  <c r="H551" i="159"/>
  <c r="K313" i="161"/>
  <c r="L312" i="161"/>
  <c r="L313" i="161" s="1"/>
  <c r="G876" i="165"/>
  <c r="K522" i="161"/>
  <c r="L519" i="161"/>
  <c r="L522" i="161" s="1"/>
  <c r="L18" i="161"/>
  <c r="K238" i="166"/>
  <c r="F886" i="164"/>
  <c r="F544" i="164"/>
  <c r="P18" i="162"/>
  <c r="H19" i="49"/>
  <c r="L221" i="162"/>
  <c r="L229" i="162" s="1"/>
  <c r="K229" i="162"/>
  <c r="I800" i="159"/>
  <c r="I308" i="165"/>
  <c r="K529" i="162"/>
  <c r="L529" i="162" s="1"/>
  <c r="F529" i="164"/>
  <c r="F18" i="165"/>
  <c r="F312" i="165"/>
  <c r="F498" i="165"/>
  <c r="I876" i="155"/>
  <c r="G522" i="157"/>
  <c r="J519" i="157"/>
  <c r="G14" i="159"/>
  <c r="G15" i="159" s="1"/>
  <c r="G330" i="159"/>
  <c r="G331" i="159" s="1"/>
  <c r="I487" i="167"/>
  <c r="L544" i="162"/>
  <c r="L886" i="162"/>
  <c r="J498" i="164"/>
  <c r="J18" i="164"/>
  <c r="J308" i="160"/>
  <c r="G308" i="167" s="1"/>
  <c r="H308" i="160"/>
  <c r="G308" i="165" s="1"/>
  <c r="I308" i="160"/>
  <c r="G308" i="166" s="1"/>
  <c r="K35" i="9"/>
  <c r="K37" i="9" s="1"/>
  <c r="K899" i="9"/>
  <c r="L238" i="155"/>
  <c r="K599" i="160"/>
  <c r="K604" i="160"/>
  <c r="K550" i="160"/>
  <c r="F312" i="167"/>
  <c r="F18" i="167"/>
  <c r="F498" i="167"/>
  <c r="F519" i="167"/>
  <c r="J522" i="162"/>
  <c r="J486" i="159"/>
  <c r="F486" i="160"/>
  <c r="G488" i="159"/>
  <c r="H876" i="167"/>
  <c r="J519" i="167"/>
  <c r="J522" i="167" s="1"/>
  <c r="I307" i="160"/>
  <c r="J307" i="160"/>
  <c r="H307" i="160"/>
  <c r="F310" i="160"/>
  <c r="I14" i="9"/>
  <c r="I15" i="9" s="1"/>
  <c r="I330" i="9"/>
  <c r="I331" i="9" s="1"/>
  <c r="I875" i="158"/>
  <c r="I524" i="158"/>
  <c r="G515" i="158"/>
  <c r="I487" i="166"/>
  <c r="L283" i="162"/>
  <c r="L324" i="162" s="1"/>
  <c r="K544" i="162"/>
  <c r="K886" i="162"/>
  <c r="H323" i="162"/>
  <c r="H296" i="162"/>
  <c r="J14" i="9"/>
  <c r="J330" i="9"/>
  <c r="J331" i="9" s="1"/>
  <c r="H308" i="155"/>
  <c r="H308" i="165" s="1"/>
  <c r="J308" i="155"/>
  <c r="H308" i="167" s="1"/>
  <c r="I308" i="155"/>
  <c r="H308" i="166" s="1"/>
  <c r="J527" i="157"/>
  <c r="G532" i="157"/>
  <c r="J307" i="157"/>
  <c r="G310" i="157"/>
  <c r="G321" i="157" s="1"/>
  <c r="G325" i="157" s="1"/>
  <c r="G326" i="157" s="1"/>
  <c r="F886" i="165"/>
  <c r="F544" i="165"/>
  <c r="K323" i="161"/>
  <c r="K296" i="161"/>
  <c r="K313" i="160"/>
  <c r="L312" i="160"/>
  <c r="L313" i="160" s="1"/>
  <c r="H876" i="155"/>
  <c r="G585" i="165"/>
  <c r="G591" i="165" s="1"/>
  <c r="J584" i="165"/>
  <c r="H549" i="9"/>
  <c r="H552" i="9" s="1"/>
  <c r="H555" i="9" s="1"/>
  <c r="H597" i="9"/>
  <c r="J580" i="167"/>
  <c r="J598" i="167" s="1"/>
  <c r="K578" i="167"/>
  <c r="K580" i="167" s="1"/>
  <c r="K598" i="167" s="1"/>
  <c r="F495" i="157"/>
  <c r="G486" i="157"/>
  <c r="J519" i="165"/>
  <c r="J522" i="165" s="1"/>
  <c r="G20" i="9"/>
  <c r="G21" i="9" s="1"/>
  <c r="G500" i="9"/>
  <c r="I876" i="164"/>
  <c r="H307" i="161"/>
  <c r="F310" i="161"/>
  <c r="I307" i="161"/>
  <c r="J307" i="161"/>
  <c r="H527" i="167"/>
  <c r="H532" i="167" s="1"/>
  <c r="J532" i="155"/>
  <c r="H527" i="165"/>
  <c r="H532" i="165" s="1"/>
  <c r="H532" i="155"/>
  <c r="K544" i="164"/>
  <c r="K886" i="164"/>
  <c r="K221" i="164"/>
  <c r="K229" i="164" s="1"/>
  <c r="F229" i="164"/>
  <c r="F238" i="164" s="1"/>
  <c r="J876" i="155"/>
  <c r="G876" i="167"/>
  <c r="J521" i="164"/>
  <c r="L816" i="160" l="1"/>
  <c r="K498" i="162"/>
  <c r="K296" i="160"/>
  <c r="G313" i="164"/>
  <c r="F519" i="164"/>
  <c r="F522" i="164" s="1"/>
  <c r="K519" i="162"/>
  <c r="K522" i="162" s="1"/>
  <c r="F312" i="164"/>
  <c r="F313" i="164" s="1"/>
  <c r="F498" i="164"/>
  <c r="G296" i="162"/>
  <c r="I487" i="164"/>
  <c r="L238" i="162"/>
  <c r="L323" i="162" s="1"/>
  <c r="K519" i="166"/>
  <c r="K522" i="166" s="1"/>
  <c r="K876" i="166" s="1"/>
  <c r="K522" i="160"/>
  <c r="K876" i="160" s="1"/>
  <c r="K296" i="167"/>
  <c r="H839" i="157"/>
  <c r="K238" i="162"/>
  <c r="K323" i="162" s="1"/>
  <c r="H323" i="164"/>
  <c r="H35" i="159"/>
  <c r="H37" i="159" s="1"/>
  <c r="H899" i="159"/>
  <c r="G885" i="159"/>
  <c r="F532" i="160"/>
  <c r="F543" i="160" s="1"/>
  <c r="F545" i="160" s="1"/>
  <c r="K238" i="164"/>
  <c r="K323" i="164" s="1"/>
  <c r="I527" i="160"/>
  <c r="G527" i="166" s="1"/>
  <c r="J527" i="160"/>
  <c r="J527" i="162" s="1"/>
  <c r="J296" i="166"/>
  <c r="K527" i="155"/>
  <c r="L527" i="155" s="1"/>
  <c r="L532" i="155" s="1"/>
  <c r="K296" i="165"/>
  <c r="H527" i="164"/>
  <c r="H532" i="164" s="1"/>
  <c r="H885" i="164" s="1"/>
  <c r="J487" i="165"/>
  <c r="H870" i="159"/>
  <c r="K308" i="161"/>
  <c r="L308" i="161" s="1"/>
  <c r="L801" i="155"/>
  <c r="K529" i="164"/>
  <c r="I500" i="157"/>
  <c r="I501" i="157" s="1"/>
  <c r="I633" i="157" s="1"/>
  <c r="L816" i="155"/>
  <c r="G527" i="161"/>
  <c r="K527" i="161" s="1"/>
  <c r="G307" i="160"/>
  <c r="G307" i="164" s="1"/>
  <c r="I307" i="166"/>
  <c r="I310" i="166" s="1"/>
  <c r="I321" i="166" s="1"/>
  <c r="I325" i="166" s="1"/>
  <c r="I326" i="166" s="1"/>
  <c r="I310" i="161"/>
  <c r="I321" i="161" s="1"/>
  <c r="I325" i="161" s="1"/>
  <c r="I326" i="161" s="1"/>
  <c r="G527" i="165"/>
  <c r="H532" i="160"/>
  <c r="J308" i="166"/>
  <c r="J633" i="9"/>
  <c r="J870" i="9"/>
  <c r="F549" i="158"/>
  <c r="F552" i="158" s="1"/>
  <c r="F555" i="158" s="1"/>
  <c r="F597" i="158"/>
  <c r="J488" i="159"/>
  <c r="J495" i="159" s="1"/>
  <c r="K486" i="159"/>
  <c r="K488" i="159" s="1"/>
  <c r="K495" i="159" s="1"/>
  <c r="K500" i="159" s="1"/>
  <c r="K501" i="159" s="1"/>
  <c r="J876" i="162"/>
  <c r="K312" i="167"/>
  <c r="K313" i="167" s="1"/>
  <c r="F313" i="167"/>
  <c r="J308" i="165"/>
  <c r="J487" i="162"/>
  <c r="F487" i="167" s="1"/>
  <c r="G876" i="157"/>
  <c r="F313" i="165"/>
  <c r="K312" i="165"/>
  <c r="K313" i="165" s="1"/>
  <c r="H308" i="162"/>
  <c r="F308" i="165" s="1"/>
  <c r="K323" i="166"/>
  <c r="K296" i="166"/>
  <c r="F495" i="161"/>
  <c r="I486" i="165"/>
  <c r="I488" i="165" s="1"/>
  <c r="I495" i="165" s="1"/>
  <c r="H488" i="161"/>
  <c r="H495" i="161" s="1"/>
  <c r="G556" i="159"/>
  <c r="G551" i="159"/>
  <c r="K20" i="9"/>
  <c r="J21" i="9"/>
  <c r="K885" i="159"/>
  <c r="K543" i="159"/>
  <c r="K545" i="159" s="1"/>
  <c r="J487" i="166"/>
  <c r="G487" i="160"/>
  <c r="H543" i="166"/>
  <c r="H545" i="166" s="1"/>
  <c r="H885" i="166"/>
  <c r="I14" i="157"/>
  <c r="I15" i="157" s="1"/>
  <c r="I330" i="157"/>
  <c r="I331" i="157" s="1"/>
  <c r="K521" i="164"/>
  <c r="H487" i="162"/>
  <c r="F487" i="165" s="1"/>
  <c r="I633" i="159"/>
  <c r="I870" i="159"/>
  <c r="I604" i="167"/>
  <c r="I599" i="167"/>
  <c r="I550" i="167"/>
  <c r="G584" i="167"/>
  <c r="J308" i="162"/>
  <c r="F308" i="167" s="1"/>
  <c r="K313" i="155"/>
  <c r="L312" i="155"/>
  <c r="L313" i="155" s="1"/>
  <c r="J800" i="159"/>
  <c r="K800" i="159" s="1"/>
  <c r="O800" i="159"/>
  <c r="G876" i="162"/>
  <c r="F325" i="157"/>
  <c r="F326" i="157" s="1"/>
  <c r="H803" i="157"/>
  <c r="I803" i="157"/>
  <c r="G803" i="157"/>
  <c r="H14" i="157"/>
  <c r="H15" i="157" s="1"/>
  <c r="H330" i="157"/>
  <c r="H331" i="157" s="1"/>
  <c r="K312" i="164"/>
  <c r="K313" i="164" s="1"/>
  <c r="H885" i="167"/>
  <c r="H543" i="167"/>
  <c r="H545" i="167" s="1"/>
  <c r="J585" i="165"/>
  <c r="J591" i="165" s="1"/>
  <c r="K584" i="165"/>
  <c r="K585" i="165" s="1"/>
  <c r="K591" i="165" s="1"/>
  <c r="G308" i="155"/>
  <c r="J515" i="158"/>
  <c r="G516" i="158"/>
  <c r="F321" i="160"/>
  <c r="F323" i="164"/>
  <c r="F296" i="164"/>
  <c r="H543" i="155"/>
  <c r="H545" i="155" s="1"/>
  <c r="H551" i="155" s="1"/>
  <c r="H885" i="155"/>
  <c r="F321" i="161"/>
  <c r="J876" i="165"/>
  <c r="G599" i="165"/>
  <c r="G550" i="165"/>
  <c r="G604" i="165"/>
  <c r="J310" i="157"/>
  <c r="J321" i="157" s="1"/>
  <c r="J325" i="157" s="1"/>
  <c r="J326" i="157" s="1"/>
  <c r="K307" i="157"/>
  <c r="K310" i="157" s="1"/>
  <c r="K321" i="157" s="1"/>
  <c r="K325" i="157" s="1"/>
  <c r="K326" i="157" s="1"/>
  <c r="K330" i="157" s="1"/>
  <c r="K331" i="157" s="1"/>
  <c r="I549" i="158"/>
  <c r="I552" i="158" s="1"/>
  <c r="I555" i="158" s="1"/>
  <c r="I597" i="158"/>
  <c r="I334" i="9"/>
  <c r="I817" i="9"/>
  <c r="G307" i="165"/>
  <c r="H310" i="160"/>
  <c r="H321" i="160" s="1"/>
  <c r="H325" i="160" s="1"/>
  <c r="H326" i="160" s="1"/>
  <c r="J876" i="167"/>
  <c r="J486" i="160"/>
  <c r="H486" i="160"/>
  <c r="I486" i="160"/>
  <c r="F488" i="160"/>
  <c r="K18" i="167"/>
  <c r="L323" i="155"/>
  <c r="L296" i="155"/>
  <c r="J522" i="157"/>
  <c r="K519" i="157"/>
  <c r="K522" i="157" s="1"/>
  <c r="K876" i="161"/>
  <c r="I527" i="166"/>
  <c r="I532" i="166" s="1"/>
  <c r="I532" i="161"/>
  <c r="J14" i="159"/>
  <c r="J15" i="159" s="1"/>
  <c r="J330" i="159"/>
  <c r="J331" i="159" s="1"/>
  <c r="F330" i="159"/>
  <c r="F331" i="159" s="1"/>
  <c r="F14" i="159"/>
  <c r="G313" i="162"/>
  <c r="K312" i="162"/>
  <c r="I543" i="155"/>
  <c r="I545" i="155" s="1"/>
  <c r="I551" i="155" s="1"/>
  <c r="I885" i="155"/>
  <c r="K519" i="165"/>
  <c r="K522" i="165" s="1"/>
  <c r="J486" i="155"/>
  <c r="I486" i="155"/>
  <c r="H486" i="155"/>
  <c r="F488" i="155"/>
  <c r="K323" i="155"/>
  <c r="K296" i="155"/>
  <c r="H840" i="159"/>
  <c r="F501" i="159"/>
  <c r="K522" i="155"/>
  <c r="L519" i="155"/>
  <c r="L522" i="155" s="1"/>
  <c r="G800" i="157"/>
  <c r="H543" i="165"/>
  <c r="H545" i="165" s="1"/>
  <c r="H885" i="165"/>
  <c r="F500" i="157"/>
  <c r="F20" i="157"/>
  <c r="H557" i="9"/>
  <c r="H561" i="9"/>
  <c r="H563" i="9" s="1"/>
  <c r="G543" i="157"/>
  <c r="G545" i="157" s="1"/>
  <c r="G885" i="157"/>
  <c r="K14" i="9"/>
  <c r="K15" i="9" s="1"/>
  <c r="J15" i="9"/>
  <c r="I487" i="162"/>
  <c r="F487" i="166" s="1"/>
  <c r="K18" i="164"/>
  <c r="J885" i="155"/>
  <c r="J543" i="155"/>
  <c r="J545" i="155" s="1"/>
  <c r="J551" i="155" s="1"/>
  <c r="I307" i="167"/>
  <c r="I310" i="167" s="1"/>
  <c r="I321" i="167" s="1"/>
  <c r="I325" i="167" s="1"/>
  <c r="I326" i="167" s="1"/>
  <c r="J310" i="161"/>
  <c r="J321" i="161" s="1"/>
  <c r="J325" i="161" s="1"/>
  <c r="J326" i="161" s="1"/>
  <c r="I307" i="165"/>
  <c r="I310" i="165" s="1"/>
  <c r="I321" i="165" s="1"/>
  <c r="I325" i="165" s="1"/>
  <c r="I326" i="165" s="1"/>
  <c r="H310" i="161"/>
  <c r="H321" i="161" s="1"/>
  <c r="H325" i="161" s="1"/>
  <c r="H326" i="161" s="1"/>
  <c r="G840" i="9"/>
  <c r="J840" i="9" s="1"/>
  <c r="K840" i="9" s="1"/>
  <c r="G501" i="9"/>
  <c r="J486" i="157"/>
  <c r="G488" i="157"/>
  <c r="J532" i="157"/>
  <c r="K527" i="157"/>
  <c r="K532" i="157" s="1"/>
  <c r="H548" i="159"/>
  <c r="H595" i="159"/>
  <c r="H634" i="159"/>
  <c r="H26" i="159"/>
  <c r="G307" i="167"/>
  <c r="J310" i="160"/>
  <c r="J321" i="160" s="1"/>
  <c r="J325" i="160" s="1"/>
  <c r="J326" i="160" s="1"/>
  <c r="F522" i="167"/>
  <c r="K519" i="167"/>
  <c r="K522" i="167" s="1"/>
  <c r="G308" i="160"/>
  <c r="K18" i="165"/>
  <c r="L18" i="162"/>
  <c r="I486" i="167"/>
  <c r="I488" i="167" s="1"/>
  <c r="I495" i="167" s="1"/>
  <c r="J488" i="161"/>
  <c r="J495" i="161" s="1"/>
  <c r="G486" i="161"/>
  <c r="I556" i="157"/>
  <c r="I551" i="157"/>
  <c r="J543" i="159"/>
  <c r="J545" i="159" s="1"/>
  <c r="J885" i="159"/>
  <c r="F885" i="161"/>
  <c r="F543" i="161"/>
  <c r="F545" i="161" s="1"/>
  <c r="F876" i="166"/>
  <c r="O803" i="159"/>
  <c r="J803" i="159"/>
  <c r="K803" i="159" s="1"/>
  <c r="J487" i="167"/>
  <c r="J323" i="164"/>
  <c r="J296" i="164"/>
  <c r="I633" i="9"/>
  <c r="I870" i="9"/>
  <c r="I841" i="9"/>
  <c r="F599" i="167"/>
  <c r="F550" i="167"/>
  <c r="F604" i="167"/>
  <c r="I551" i="159"/>
  <c r="I556" i="159"/>
  <c r="H522" i="164"/>
  <c r="J519" i="164"/>
  <c r="J522" i="164" s="1"/>
  <c r="F551" i="155"/>
  <c r="F556" i="155"/>
  <c r="H800" i="157"/>
  <c r="J307" i="155"/>
  <c r="J307" i="162" s="1"/>
  <c r="I307" i="155"/>
  <c r="I307" i="162" s="1"/>
  <c r="F310" i="155"/>
  <c r="H307" i="155"/>
  <c r="G307" i="161"/>
  <c r="G330" i="157"/>
  <c r="G331" i="157" s="1"/>
  <c r="G14" i="157"/>
  <c r="G15" i="157" s="1"/>
  <c r="G307" i="166"/>
  <c r="I310" i="160"/>
  <c r="I321" i="160" s="1"/>
  <c r="I325" i="160" s="1"/>
  <c r="I326" i="160" s="1"/>
  <c r="G495" i="159"/>
  <c r="G839" i="159"/>
  <c r="J308" i="167"/>
  <c r="G334" i="159"/>
  <c r="G543" i="155"/>
  <c r="G545" i="155" s="1"/>
  <c r="G551" i="155" s="1"/>
  <c r="G885" i="155"/>
  <c r="L876" i="161"/>
  <c r="I486" i="166"/>
  <c r="I488" i="166" s="1"/>
  <c r="I495" i="166" s="1"/>
  <c r="I488" i="161"/>
  <c r="I495" i="161" s="1"/>
  <c r="G14" i="9"/>
  <c r="G15" i="9" s="1"/>
  <c r="G330" i="9"/>
  <c r="G331" i="9" s="1"/>
  <c r="I308" i="162"/>
  <c r="F308" i="166" s="1"/>
  <c r="I527" i="165"/>
  <c r="I532" i="165" s="1"/>
  <c r="H527" i="162"/>
  <c r="H532" i="161"/>
  <c r="I527" i="167"/>
  <c r="I532" i="167" s="1"/>
  <c r="J532" i="161"/>
  <c r="K334" i="159"/>
  <c r="G487" i="155"/>
  <c r="F876" i="165"/>
  <c r="H20" i="157"/>
  <c r="H21" i="157" s="1"/>
  <c r="H500" i="157"/>
  <c r="H501" i="157" s="1"/>
  <c r="L18" i="155"/>
  <c r="F21" i="159"/>
  <c r="H597" i="158"/>
  <c r="H549" i="158"/>
  <c r="H552" i="158" s="1"/>
  <c r="H555" i="158" s="1"/>
  <c r="H604" i="167"/>
  <c r="H550" i="167"/>
  <c r="H599" i="167"/>
  <c r="K19" i="49"/>
  <c r="G876" i="155"/>
  <c r="I334" i="159"/>
  <c r="F869" i="162"/>
  <c r="F871" i="162"/>
  <c r="I800" i="157"/>
  <c r="L519" i="162" l="1"/>
  <c r="L522" i="162" s="1"/>
  <c r="L296" i="162"/>
  <c r="K296" i="162"/>
  <c r="J532" i="160"/>
  <c r="J543" i="160" s="1"/>
  <c r="J545" i="160" s="1"/>
  <c r="G527" i="167"/>
  <c r="G532" i="167" s="1"/>
  <c r="I527" i="162"/>
  <c r="F527" i="166" s="1"/>
  <c r="K532" i="155"/>
  <c r="K543" i="155" s="1"/>
  <c r="K545" i="155" s="1"/>
  <c r="K551" i="155" s="1"/>
  <c r="G527" i="160"/>
  <c r="K527" i="160" s="1"/>
  <c r="I870" i="157"/>
  <c r="F885" i="160"/>
  <c r="K487" i="165"/>
  <c r="K296" i="164"/>
  <c r="H543" i="164"/>
  <c r="H545" i="164" s="1"/>
  <c r="H556" i="164" s="1"/>
  <c r="I532" i="160"/>
  <c r="I885" i="160" s="1"/>
  <c r="K308" i="166"/>
  <c r="I527" i="164"/>
  <c r="I532" i="164" s="1"/>
  <c r="I885" i="164" s="1"/>
  <c r="G532" i="161"/>
  <c r="G885" i="161" s="1"/>
  <c r="K307" i="160"/>
  <c r="L307" i="160" s="1"/>
  <c r="K487" i="166"/>
  <c r="I800" i="161"/>
  <c r="K519" i="164"/>
  <c r="K522" i="164" s="1"/>
  <c r="K876" i="164" s="1"/>
  <c r="G486" i="155"/>
  <c r="K486" i="155" s="1"/>
  <c r="I800" i="160"/>
  <c r="J800" i="161"/>
  <c r="K308" i="165"/>
  <c r="F307" i="166"/>
  <c r="I310" i="162"/>
  <c r="I321" i="162" s="1"/>
  <c r="I325" i="162" s="1"/>
  <c r="I326" i="162" s="1"/>
  <c r="H307" i="165"/>
  <c r="H310" i="165" s="1"/>
  <c r="H321" i="165" s="1"/>
  <c r="H325" i="165" s="1"/>
  <c r="H326" i="165" s="1"/>
  <c r="H310" i="155"/>
  <c r="H321" i="155" s="1"/>
  <c r="H325" i="155" s="1"/>
  <c r="H326" i="155" s="1"/>
  <c r="F551" i="161"/>
  <c r="F556" i="161"/>
  <c r="J800" i="157"/>
  <c r="K800" i="157" s="1"/>
  <c r="O800" i="157"/>
  <c r="G486" i="166"/>
  <c r="I488" i="160"/>
  <c r="I495" i="160" s="1"/>
  <c r="G310" i="165"/>
  <c r="G321" i="165" s="1"/>
  <c r="G325" i="165" s="1"/>
  <c r="G326" i="165" s="1"/>
  <c r="F14" i="157"/>
  <c r="F330" i="157"/>
  <c r="F331" i="157" s="1"/>
  <c r="K21" i="9"/>
  <c r="I839" i="161"/>
  <c r="I14" i="166"/>
  <c r="I15" i="166" s="1"/>
  <c r="I330" i="166"/>
  <c r="I331" i="166" s="1"/>
  <c r="H633" i="157"/>
  <c r="H870" i="157"/>
  <c r="I543" i="167"/>
  <c r="I545" i="167" s="1"/>
  <c r="I885" i="167"/>
  <c r="I486" i="162"/>
  <c r="G548" i="159"/>
  <c r="G595" i="159"/>
  <c r="J334" i="159"/>
  <c r="G26" i="159"/>
  <c r="G634" i="159"/>
  <c r="G20" i="159"/>
  <c r="G21" i="159" s="1"/>
  <c r="G500" i="159"/>
  <c r="G334" i="157"/>
  <c r="F321" i="155"/>
  <c r="J20" i="161"/>
  <c r="J21" i="161" s="1"/>
  <c r="J500" i="161"/>
  <c r="J501" i="161" s="1"/>
  <c r="G495" i="157"/>
  <c r="G839" i="157"/>
  <c r="J14" i="161"/>
  <c r="J15" i="161" s="1"/>
  <c r="I17" i="168" s="1"/>
  <c r="J330" i="161"/>
  <c r="J331" i="161" s="1"/>
  <c r="K876" i="155"/>
  <c r="H486" i="166"/>
  <c r="H488" i="166" s="1"/>
  <c r="H495" i="166" s="1"/>
  <c r="I488" i="155"/>
  <c r="I495" i="155" s="1"/>
  <c r="J876" i="157"/>
  <c r="G486" i="165"/>
  <c r="H488" i="160"/>
  <c r="H495" i="160" s="1"/>
  <c r="I515" i="9"/>
  <c r="H556" i="155"/>
  <c r="H800" i="160"/>
  <c r="K308" i="155"/>
  <c r="L308" i="155" s="1"/>
  <c r="H308" i="164"/>
  <c r="H556" i="167"/>
  <c r="H551" i="167"/>
  <c r="O803" i="157"/>
  <c r="J803" i="157"/>
  <c r="K803" i="157" s="1"/>
  <c r="K308" i="167"/>
  <c r="K556" i="159"/>
  <c r="K551" i="159"/>
  <c r="H486" i="162"/>
  <c r="H839" i="161"/>
  <c r="G532" i="166"/>
  <c r="J527" i="166"/>
  <c r="J532" i="166" s="1"/>
  <c r="G532" i="165"/>
  <c r="J527" i="165"/>
  <c r="J532" i="165" s="1"/>
  <c r="J885" i="161"/>
  <c r="J543" i="161"/>
  <c r="J545" i="161" s="1"/>
  <c r="I20" i="161"/>
  <c r="I21" i="161" s="1"/>
  <c r="I500" i="161"/>
  <c r="I501" i="161" s="1"/>
  <c r="G307" i="155"/>
  <c r="G307" i="162" s="1"/>
  <c r="K486" i="161"/>
  <c r="I486" i="164"/>
  <c r="I488" i="164" s="1"/>
  <c r="I495" i="164" s="1"/>
  <c r="G488" i="161"/>
  <c r="G495" i="161" s="1"/>
  <c r="G310" i="167"/>
  <c r="G321" i="167" s="1"/>
  <c r="G325" i="167" s="1"/>
  <c r="G326" i="167" s="1"/>
  <c r="J543" i="157"/>
  <c r="J545" i="157" s="1"/>
  <c r="J885" i="157"/>
  <c r="J310" i="162"/>
  <c r="J321" i="162" s="1"/>
  <c r="J325" i="162" s="1"/>
  <c r="J326" i="162" s="1"/>
  <c r="F307" i="167"/>
  <c r="G551" i="157"/>
  <c r="G556" i="157"/>
  <c r="L876" i="155"/>
  <c r="K876" i="165"/>
  <c r="I885" i="166"/>
  <c r="I543" i="166"/>
  <c r="I545" i="166" s="1"/>
  <c r="G486" i="167"/>
  <c r="J488" i="160"/>
  <c r="J495" i="160" s="1"/>
  <c r="J14" i="157"/>
  <c r="J15" i="157" s="1"/>
  <c r="J330" i="157"/>
  <c r="J331" i="157" s="1"/>
  <c r="H803" i="160"/>
  <c r="I803" i="160"/>
  <c r="J803" i="160"/>
  <c r="F325" i="160"/>
  <c r="F326" i="160" s="1"/>
  <c r="H500" i="161"/>
  <c r="H501" i="161" s="1"/>
  <c r="H20" i="161"/>
  <c r="H21" i="161" s="1"/>
  <c r="F551" i="160"/>
  <c r="F556" i="160"/>
  <c r="H885" i="160"/>
  <c r="H543" i="160"/>
  <c r="H545" i="160" s="1"/>
  <c r="K532" i="161"/>
  <c r="L527" i="161"/>
  <c r="L532" i="161" s="1"/>
  <c r="K487" i="155"/>
  <c r="L487" i="155" s="1"/>
  <c r="H487" i="164"/>
  <c r="H307" i="167"/>
  <c r="H310" i="167" s="1"/>
  <c r="H321" i="167" s="1"/>
  <c r="H325" i="167" s="1"/>
  <c r="H326" i="167" s="1"/>
  <c r="J310" i="155"/>
  <c r="J321" i="155" s="1"/>
  <c r="J325" i="155" s="1"/>
  <c r="J326" i="155" s="1"/>
  <c r="K876" i="167"/>
  <c r="J885" i="160"/>
  <c r="H330" i="161"/>
  <c r="H331" i="161" s="1"/>
  <c r="H14" i="161"/>
  <c r="H15" i="161" s="1"/>
  <c r="E17" i="168" s="1"/>
  <c r="F872" i="162"/>
  <c r="I26" i="159"/>
  <c r="I595" i="159"/>
  <c r="I634" i="159"/>
  <c r="I548" i="159"/>
  <c r="L19" i="49"/>
  <c r="K548" i="159"/>
  <c r="K634" i="159"/>
  <c r="H543" i="161"/>
  <c r="H545" i="161" s="1"/>
  <c r="H885" i="161"/>
  <c r="G817" i="9"/>
  <c r="I20" i="166"/>
  <c r="I21" i="166" s="1"/>
  <c r="I500" i="166"/>
  <c r="I501" i="166" s="1"/>
  <c r="G556" i="155"/>
  <c r="I14" i="160"/>
  <c r="I15" i="160" s="1"/>
  <c r="I330" i="160"/>
  <c r="I331" i="160" s="1"/>
  <c r="K307" i="161"/>
  <c r="I307" i="164"/>
  <c r="I310" i="164" s="1"/>
  <c r="I321" i="164" s="1"/>
  <c r="I325" i="164" s="1"/>
  <c r="I326" i="164" s="1"/>
  <c r="G310" i="161"/>
  <c r="G321" i="161" s="1"/>
  <c r="G325" i="161" s="1"/>
  <c r="G326" i="161" s="1"/>
  <c r="J876" i="164"/>
  <c r="J486" i="162"/>
  <c r="F876" i="167"/>
  <c r="J488" i="157"/>
  <c r="J495" i="157" s="1"/>
  <c r="K486" i="157"/>
  <c r="K488" i="157" s="1"/>
  <c r="K495" i="157" s="1"/>
  <c r="K500" i="157" s="1"/>
  <c r="K501" i="157" s="1"/>
  <c r="H307" i="162"/>
  <c r="I14" i="167"/>
  <c r="I15" i="167" s="1"/>
  <c r="I330" i="167"/>
  <c r="I331" i="167" s="1"/>
  <c r="H22" i="9"/>
  <c r="H596" i="9"/>
  <c r="H600" i="9" s="1"/>
  <c r="H603" i="9" s="1"/>
  <c r="H635" i="9"/>
  <c r="H637" i="9" s="1"/>
  <c r="H645" i="9" s="1"/>
  <c r="H646" i="9" s="1"/>
  <c r="H647" i="9" s="1"/>
  <c r="H556" i="165"/>
  <c r="H551" i="165"/>
  <c r="L876" i="162"/>
  <c r="F495" i="155"/>
  <c r="I556" i="155"/>
  <c r="K14" i="159"/>
  <c r="K15" i="159" s="1"/>
  <c r="F15" i="159"/>
  <c r="I557" i="158"/>
  <c r="I561" i="158"/>
  <c r="I563" i="158" s="1"/>
  <c r="J604" i="165"/>
  <c r="H800" i="161"/>
  <c r="G875" i="158"/>
  <c r="G524" i="158"/>
  <c r="K599" i="165"/>
  <c r="K550" i="165"/>
  <c r="J584" i="167"/>
  <c r="G585" i="167"/>
  <c r="G591" i="167" s="1"/>
  <c r="I334" i="157"/>
  <c r="I35" i="157"/>
  <c r="I37" i="157" s="1"/>
  <c r="I899" i="157"/>
  <c r="H556" i="166"/>
  <c r="H551" i="166"/>
  <c r="I20" i="165"/>
  <c r="I21" i="165" s="1"/>
  <c r="I500" i="165"/>
  <c r="I501" i="165" s="1"/>
  <c r="F20" i="161"/>
  <c r="F500" i="161"/>
  <c r="K633" i="159"/>
  <c r="K870" i="159"/>
  <c r="I885" i="165"/>
  <c r="I543" i="165"/>
  <c r="I545" i="165" s="1"/>
  <c r="I839" i="159"/>
  <c r="O839" i="159" s="1"/>
  <c r="H840" i="157"/>
  <c r="F501" i="157"/>
  <c r="F870" i="159"/>
  <c r="F633" i="159"/>
  <c r="H841" i="159"/>
  <c r="K876" i="157"/>
  <c r="F876" i="164"/>
  <c r="H561" i="158"/>
  <c r="H563" i="158" s="1"/>
  <c r="H557" i="158"/>
  <c r="F527" i="167"/>
  <c r="J532" i="162"/>
  <c r="F527" i="165"/>
  <c r="H532" i="162"/>
  <c r="G310" i="166"/>
  <c r="G321" i="166" s="1"/>
  <c r="G325" i="166" s="1"/>
  <c r="G326" i="166" s="1"/>
  <c r="H307" i="166"/>
  <c r="H310" i="166" s="1"/>
  <c r="H321" i="166" s="1"/>
  <c r="H325" i="166" s="1"/>
  <c r="H326" i="166" s="1"/>
  <c r="I310" i="155"/>
  <c r="I321" i="155" s="1"/>
  <c r="I325" i="155" s="1"/>
  <c r="I326" i="155" s="1"/>
  <c r="H876" i="164"/>
  <c r="J551" i="159"/>
  <c r="J556" i="159"/>
  <c r="I20" i="167"/>
  <c r="I21" i="167" s="1"/>
  <c r="I500" i="167"/>
  <c r="I501" i="167" s="1"/>
  <c r="K308" i="160"/>
  <c r="L308" i="160" s="1"/>
  <c r="G308" i="164"/>
  <c r="G308" i="162"/>
  <c r="J330" i="160"/>
  <c r="J331" i="160" s="1"/>
  <c r="J14" i="160"/>
  <c r="J15" i="160" s="1"/>
  <c r="K543" i="157"/>
  <c r="K545" i="157" s="1"/>
  <c r="K885" i="157"/>
  <c r="G633" i="9"/>
  <c r="G870" i="9"/>
  <c r="G841" i="9"/>
  <c r="J841" i="9" s="1"/>
  <c r="K841" i="9" s="1"/>
  <c r="I330" i="165"/>
  <c r="I331" i="165" s="1"/>
  <c r="I14" i="165"/>
  <c r="I15" i="165" s="1"/>
  <c r="J556" i="155"/>
  <c r="F21" i="157"/>
  <c r="K876" i="162"/>
  <c r="H486" i="165"/>
  <c r="H488" i="165" s="1"/>
  <c r="H495" i="165" s="1"/>
  <c r="H488" i="155"/>
  <c r="H495" i="155" s="1"/>
  <c r="H486" i="167"/>
  <c r="H488" i="167" s="1"/>
  <c r="H495" i="167" s="1"/>
  <c r="J488" i="155"/>
  <c r="J495" i="155" s="1"/>
  <c r="K313" i="162"/>
  <c r="L312" i="162"/>
  <c r="L313" i="162" s="1"/>
  <c r="H817" i="159"/>
  <c r="I817" i="159"/>
  <c r="F334" i="159"/>
  <c r="G817" i="159"/>
  <c r="I543" i="161"/>
  <c r="I545" i="161" s="1"/>
  <c r="I885" i="161"/>
  <c r="L543" i="155"/>
  <c r="L545" i="155" s="1"/>
  <c r="L551" i="155" s="1"/>
  <c r="L885" i="155"/>
  <c r="F495" i="160"/>
  <c r="G486" i="160"/>
  <c r="H14" i="160"/>
  <c r="H15" i="160" s="1"/>
  <c r="H330" i="160"/>
  <c r="H331" i="160" s="1"/>
  <c r="I26" i="9"/>
  <c r="I634" i="9"/>
  <c r="I595" i="9"/>
  <c r="I548" i="9"/>
  <c r="G334" i="9"/>
  <c r="K899" i="157"/>
  <c r="K35" i="157"/>
  <c r="K37" i="157" s="1"/>
  <c r="K334" i="157"/>
  <c r="J803" i="161"/>
  <c r="F325" i="161"/>
  <c r="F326" i="161" s="1"/>
  <c r="H803" i="161"/>
  <c r="I803" i="161"/>
  <c r="J800" i="160"/>
  <c r="J516" i="158"/>
  <c r="K515" i="158"/>
  <c r="K516" i="158" s="1"/>
  <c r="J550" i="165"/>
  <c r="J599" i="165"/>
  <c r="H334" i="157"/>
  <c r="K487" i="160"/>
  <c r="L487" i="160" s="1"/>
  <c r="G487" i="164"/>
  <c r="G487" i="162"/>
  <c r="J839" i="161"/>
  <c r="K487" i="167"/>
  <c r="J20" i="159"/>
  <c r="J500" i="159"/>
  <c r="J501" i="159" s="1"/>
  <c r="F557" i="158"/>
  <c r="F561" i="158"/>
  <c r="F563" i="158" s="1"/>
  <c r="I14" i="161"/>
  <c r="I15" i="161" s="1"/>
  <c r="G17" i="168" s="1"/>
  <c r="I330" i="161"/>
  <c r="I331" i="161" s="1"/>
  <c r="G310" i="160"/>
  <c r="G321" i="160" s="1"/>
  <c r="G325" i="160" s="1"/>
  <c r="G326" i="160" s="1"/>
  <c r="J527" i="167" l="1"/>
  <c r="J532" i="167" s="1"/>
  <c r="J543" i="167" s="1"/>
  <c r="J545" i="167" s="1"/>
  <c r="I532" i="162"/>
  <c r="G532" i="160"/>
  <c r="K885" i="155"/>
  <c r="I543" i="164"/>
  <c r="I545" i="164" s="1"/>
  <c r="I556" i="164" s="1"/>
  <c r="G527" i="164"/>
  <c r="J527" i="164" s="1"/>
  <c r="J532" i="164" s="1"/>
  <c r="G527" i="162"/>
  <c r="G532" i="162" s="1"/>
  <c r="H551" i="164"/>
  <c r="I543" i="160"/>
  <c r="I545" i="160" s="1"/>
  <c r="I556" i="160" s="1"/>
  <c r="G543" i="161"/>
  <c r="G545" i="161" s="1"/>
  <c r="G551" i="161" s="1"/>
  <c r="J307" i="165"/>
  <c r="J310" i="165" s="1"/>
  <c r="J321" i="165" s="1"/>
  <c r="J325" i="165" s="1"/>
  <c r="J326" i="165" s="1"/>
  <c r="J839" i="160"/>
  <c r="G800" i="161"/>
  <c r="K800" i="161" s="1"/>
  <c r="L800" i="161" s="1"/>
  <c r="H839" i="160"/>
  <c r="G486" i="162"/>
  <c r="K486" i="162" s="1"/>
  <c r="J308" i="164"/>
  <c r="J487" i="164"/>
  <c r="G488" i="155"/>
  <c r="G495" i="155" s="1"/>
  <c r="G20" i="155" s="1"/>
  <c r="G21" i="155" s="1"/>
  <c r="J839" i="159"/>
  <c r="K839" i="159" s="1"/>
  <c r="H486" i="164"/>
  <c r="H488" i="164" s="1"/>
  <c r="H495" i="164" s="1"/>
  <c r="H839" i="155"/>
  <c r="I334" i="161"/>
  <c r="H14" i="166"/>
  <c r="H15" i="166" s="1"/>
  <c r="H330" i="166"/>
  <c r="H331" i="166" s="1"/>
  <c r="I556" i="165"/>
  <c r="I551" i="165"/>
  <c r="H650" i="9"/>
  <c r="H867" i="9"/>
  <c r="H844" i="9"/>
  <c r="J817" i="9"/>
  <c r="K817" i="9" s="1"/>
  <c r="G20" i="157"/>
  <c r="G21" i="157" s="1"/>
  <c r="G500" i="157"/>
  <c r="I551" i="167"/>
  <c r="I556" i="167"/>
  <c r="H817" i="157"/>
  <c r="I817" i="157"/>
  <c r="F334" i="157"/>
  <c r="G817" i="157"/>
  <c r="H14" i="155"/>
  <c r="H15" i="155" s="1"/>
  <c r="H330" i="155"/>
  <c r="H331" i="155" s="1"/>
  <c r="J21" i="159"/>
  <c r="K20" i="159"/>
  <c r="K875" i="158"/>
  <c r="K524" i="158"/>
  <c r="K595" i="157"/>
  <c r="K548" i="157"/>
  <c r="K634" i="157"/>
  <c r="H334" i="160"/>
  <c r="F20" i="160"/>
  <c r="F500" i="160"/>
  <c r="F26" i="159"/>
  <c r="F595" i="159"/>
  <c r="F634" i="159"/>
  <c r="F548" i="159"/>
  <c r="H20" i="167"/>
  <c r="H21" i="167" s="1"/>
  <c r="H500" i="167"/>
  <c r="H501" i="167" s="1"/>
  <c r="G330" i="166"/>
  <c r="G331" i="166" s="1"/>
  <c r="G14" i="166"/>
  <c r="G15" i="166" s="1"/>
  <c r="J543" i="162"/>
  <c r="J545" i="162" s="1"/>
  <c r="J885" i="162"/>
  <c r="F870" i="157"/>
  <c r="H841" i="157"/>
  <c r="F633" i="157"/>
  <c r="F21" i="161"/>
  <c r="G550" i="167"/>
  <c r="G599" i="167"/>
  <c r="G604" i="167"/>
  <c r="K604" i="165"/>
  <c r="F20" i="155"/>
  <c r="F500" i="155"/>
  <c r="H608" i="9"/>
  <c r="H610" i="9" s="1"/>
  <c r="H605" i="9"/>
  <c r="H23" i="9" s="1"/>
  <c r="H24" i="9" s="1"/>
  <c r="H28" i="9" s="1"/>
  <c r="F307" i="165"/>
  <c r="H310" i="162"/>
  <c r="H321" i="162" s="1"/>
  <c r="H325" i="162" s="1"/>
  <c r="H326" i="162" s="1"/>
  <c r="K310" i="161"/>
  <c r="K321" i="161" s="1"/>
  <c r="K325" i="161" s="1"/>
  <c r="K326" i="161" s="1"/>
  <c r="L307" i="161"/>
  <c r="L310" i="161" s="1"/>
  <c r="L321" i="161" s="1"/>
  <c r="L325" i="161" s="1"/>
  <c r="L326" i="161" s="1"/>
  <c r="L330" i="161" s="1"/>
  <c r="L331" i="161" s="1"/>
  <c r="H334" i="161"/>
  <c r="G20" i="161"/>
  <c r="G21" i="161" s="1"/>
  <c r="G500" i="161"/>
  <c r="G501" i="161" s="1"/>
  <c r="K307" i="155"/>
  <c r="G310" i="155"/>
  <c r="G321" i="155" s="1"/>
  <c r="G325" i="155" s="1"/>
  <c r="G326" i="155" s="1"/>
  <c r="H307" i="164"/>
  <c r="G310" i="164"/>
  <c r="G321" i="164" s="1"/>
  <c r="G325" i="164" s="1"/>
  <c r="G326" i="164" s="1"/>
  <c r="G543" i="165"/>
  <c r="G545" i="165" s="1"/>
  <c r="G885" i="165"/>
  <c r="G800" i="160"/>
  <c r="K800" i="160" s="1"/>
  <c r="J486" i="165"/>
  <c r="J488" i="165" s="1"/>
  <c r="J495" i="165" s="1"/>
  <c r="G488" i="165"/>
  <c r="G495" i="165" s="1"/>
  <c r="H20" i="166"/>
  <c r="H21" i="166" s="1"/>
  <c r="H500" i="166"/>
  <c r="H501" i="166" s="1"/>
  <c r="J334" i="161"/>
  <c r="H800" i="155"/>
  <c r="K14" i="157"/>
  <c r="K15" i="157" s="1"/>
  <c r="F15" i="157"/>
  <c r="J486" i="166"/>
  <c r="J488" i="166" s="1"/>
  <c r="J495" i="166" s="1"/>
  <c r="G488" i="166"/>
  <c r="G495" i="166" s="1"/>
  <c r="H330" i="165"/>
  <c r="H331" i="165" s="1"/>
  <c r="H14" i="165"/>
  <c r="H15" i="165" s="1"/>
  <c r="I14" i="162"/>
  <c r="I330" i="162"/>
  <c r="I331" i="162" s="1"/>
  <c r="J870" i="159"/>
  <c r="J633" i="159"/>
  <c r="G26" i="9"/>
  <c r="J334" i="9"/>
  <c r="G634" i="9"/>
  <c r="G548" i="9"/>
  <c r="G595" i="9"/>
  <c r="J500" i="155"/>
  <c r="J501" i="155" s="1"/>
  <c r="J20" i="155"/>
  <c r="J21" i="155" s="1"/>
  <c r="H840" i="161"/>
  <c r="I840" i="161"/>
  <c r="J840" i="161"/>
  <c r="F501" i="161"/>
  <c r="H14" i="167"/>
  <c r="H15" i="167" s="1"/>
  <c r="H330" i="167"/>
  <c r="H331" i="167" s="1"/>
  <c r="H556" i="160"/>
  <c r="H551" i="160"/>
  <c r="F330" i="160"/>
  <c r="F331" i="160" s="1"/>
  <c r="F14" i="160"/>
  <c r="K488" i="161"/>
  <c r="K495" i="161" s="1"/>
  <c r="L486" i="161"/>
  <c r="L488" i="161" s="1"/>
  <c r="L495" i="161" s="1"/>
  <c r="L500" i="161" s="1"/>
  <c r="L501" i="161" s="1"/>
  <c r="J543" i="165"/>
  <c r="J545" i="165" s="1"/>
  <c r="J885" i="165"/>
  <c r="I20" i="155"/>
  <c r="I21" i="155" s="1"/>
  <c r="I500" i="155"/>
  <c r="I501" i="155" s="1"/>
  <c r="G26" i="157"/>
  <c r="G595" i="157"/>
  <c r="G634" i="157"/>
  <c r="J334" i="157"/>
  <c r="G548" i="157"/>
  <c r="I20" i="160"/>
  <c r="I21" i="160" s="1"/>
  <c r="I500" i="160"/>
  <c r="I501" i="160" s="1"/>
  <c r="K488" i="155"/>
  <c r="K495" i="155" s="1"/>
  <c r="L486" i="155"/>
  <c r="L488" i="155" s="1"/>
  <c r="L495" i="155" s="1"/>
  <c r="L500" i="155" s="1"/>
  <c r="L501" i="155" s="1"/>
  <c r="G803" i="161"/>
  <c r="K803" i="161" s="1"/>
  <c r="H20" i="155"/>
  <c r="H21" i="155" s="1"/>
  <c r="H500" i="155"/>
  <c r="H501" i="155" s="1"/>
  <c r="J334" i="160"/>
  <c r="I633" i="167"/>
  <c r="I870" i="167"/>
  <c r="J307" i="166"/>
  <c r="J310" i="166" s="1"/>
  <c r="J321" i="166" s="1"/>
  <c r="J325" i="166" s="1"/>
  <c r="J326" i="166" s="1"/>
  <c r="F532" i="167"/>
  <c r="L310" i="160"/>
  <c r="L321" i="160" s="1"/>
  <c r="L325" i="160" s="1"/>
  <c r="L326" i="160" s="1"/>
  <c r="L330" i="160" s="1"/>
  <c r="L331" i="160" s="1"/>
  <c r="I633" i="165"/>
  <c r="I870" i="165"/>
  <c r="J585" i="167"/>
  <c r="J591" i="167" s="1"/>
  <c r="K584" i="167"/>
  <c r="K585" i="167" s="1"/>
  <c r="K591" i="167" s="1"/>
  <c r="G549" i="158"/>
  <c r="G552" i="158" s="1"/>
  <c r="G555" i="158" s="1"/>
  <c r="G597" i="158"/>
  <c r="I543" i="162"/>
  <c r="I545" i="162" s="1"/>
  <c r="I885" i="162"/>
  <c r="J839" i="155"/>
  <c r="K633" i="157"/>
  <c r="K870" i="157"/>
  <c r="G885" i="167"/>
  <c r="G543" i="167"/>
  <c r="G545" i="167" s="1"/>
  <c r="F307" i="164"/>
  <c r="K307" i="162"/>
  <c r="G310" i="162"/>
  <c r="G321" i="162" s="1"/>
  <c r="G325" i="162" s="1"/>
  <c r="G326" i="162" s="1"/>
  <c r="I334" i="160"/>
  <c r="I870" i="166"/>
  <c r="I633" i="166"/>
  <c r="J551" i="160"/>
  <c r="J556" i="160"/>
  <c r="L543" i="161"/>
  <c r="L545" i="161" s="1"/>
  <c r="L885" i="161"/>
  <c r="J20" i="160"/>
  <c r="J21" i="160" s="1"/>
  <c r="J500" i="160"/>
  <c r="J501" i="160" s="1"/>
  <c r="K556" i="155"/>
  <c r="L556" i="155" s="1"/>
  <c r="J551" i="157"/>
  <c r="J556" i="157"/>
  <c r="I870" i="161"/>
  <c r="I633" i="161"/>
  <c r="G839" i="161"/>
  <c r="K839" i="161" s="1"/>
  <c r="K532" i="160"/>
  <c r="L527" i="160"/>
  <c r="L532" i="160" s="1"/>
  <c r="J870" i="161"/>
  <c r="J633" i="161"/>
  <c r="J800" i="155"/>
  <c r="F486" i="166"/>
  <c r="I488" i="162"/>
  <c r="I495" i="162" s="1"/>
  <c r="G14" i="165"/>
  <c r="G15" i="165" s="1"/>
  <c r="G330" i="165"/>
  <c r="G331" i="165" s="1"/>
  <c r="F310" i="166"/>
  <c r="F321" i="166" s="1"/>
  <c r="F325" i="166" s="1"/>
  <c r="F326" i="166" s="1"/>
  <c r="K487" i="162"/>
  <c r="L487" i="162" s="1"/>
  <c r="F487" i="164"/>
  <c r="O817" i="159"/>
  <c r="J817" i="159"/>
  <c r="K817" i="159" s="1"/>
  <c r="K551" i="157"/>
  <c r="K556" i="157"/>
  <c r="F532" i="165"/>
  <c r="K527" i="165"/>
  <c r="K532" i="165" s="1"/>
  <c r="I634" i="157"/>
  <c r="I548" i="157"/>
  <c r="I26" i="157"/>
  <c r="I595" i="157"/>
  <c r="I22" i="158"/>
  <c r="I24" i="158" s="1"/>
  <c r="I28" i="158" s="1"/>
  <c r="I596" i="158"/>
  <c r="I600" i="158" s="1"/>
  <c r="I603" i="158" s="1"/>
  <c r="I635" i="158"/>
  <c r="I637" i="158" s="1"/>
  <c r="I645" i="158" s="1"/>
  <c r="I14" i="164"/>
  <c r="I15" i="164" s="1"/>
  <c r="I330" i="164"/>
  <c r="I331" i="164" s="1"/>
  <c r="H551" i="161"/>
  <c r="H556" i="161"/>
  <c r="J14" i="162"/>
  <c r="J330" i="162"/>
  <c r="J331" i="162" s="1"/>
  <c r="J307" i="167"/>
  <c r="J310" i="167" s="1"/>
  <c r="J321" i="167" s="1"/>
  <c r="J325" i="167" s="1"/>
  <c r="J326" i="167" s="1"/>
  <c r="J551" i="161"/>
  <c r="J556" i="161"/>
  <c r="G543" i="166"/>
  <c r="G545" i="166" s="1"/>
  <c r="G885" i="166"/>
  <c r="H20" i="160"/>
  <c r="H21" i="160" s="1"/>
  <c r="H500" i="160"/>
  <c r="H501" i="160" s="1"/>
  <c r="H803" i="155"/>
  <c r="F325" i="155"/>
  <c r="F326" i="155" s="1"/>
  <c r="I803" i="155"/>
  <c r="J803" i="155"/>
  <c r="G14" i="160"/>
  <c r="G15" i="160" s="1"/>
  <c r="G330" i="160"/>
  <c r="G331" i="160" s="1"/>
  <c r="H548" i="157"/>
  <c r="H595" i="157"/>
  <c r="H634" i="157"/>
  <c r="H26" i="157"/>
  <c r="J875" i="158"/>
  <c r="J524" i="158"/>
  <c r="F22" i="158"/>
  <c r="F596" i="158"/>
  <c r="F600" i="158" s="1"/>
  <c r="F603" i="158" s="1"/>
  <c r="F635" i="158"/>
  <c r="F637" i="158" s="1"/>
  <c r="F645" i="158" s="1"/>
  <c r="F646" i="158" s="1"/>
  <c r="F647" i="158" s="1"/>
  <c r="F14" i="161"/>
  <c r="F330" i="161"/>
  <c r="F331" i="161" s="1"/>
  <c r="K486" i="160"/>
  <c r="G486" i="164"/>
  <c r="G488" i="160"/>
  <c r="G495" i="160" s="1"/>
  <c r="I839" i="160"/>
  <c r="I556" i="161"/>
  <c r="I551" i="161"/>
  <c r="H20" i="165"/>
  <c r="H21" i="165" s="1"/>
  <c r="H500" i="165"/>
  <c r="H501" i="165" s="1"/>
  <c r="I334" i="165"/>
  <c r="K308" i="162"/>
  <c r="L308" i="162" s="1"/>
  <c r="F308" i="164"/>
  <c r="I330" i="155"/>
  <c r="I331" i="155" s="1"/>
  <c r="I14" i="155"/>
  <c r="I15" i="155" s="1"/>
  <c r="H885" i="162"/>
  <c r="H543" i="162"/>
  <c r="H545" i="162" s="1"/>
  <c r="H596" i="158"/>
  <c r="H600" i="158" s="1"/>
  <c r="H603" i="158" s="1"/>
  <c r="H635" i="158"/>
  <c r="H637" i="158" s="1"/>
  <c r="H645" i="158" s="1"/>
  <c r="H22" i="158"/>
  <c r="H24" i="158" s="1"/>
  <c r="H28" i="158" s="1"/>
  <c r="K310" i="160"/>
  <c r="K321" i="160" s="1"/>
  <c r="K325" i="160" s="1"/>
  <c r="K326" i="160" s="1"/>
  <c r="F532" i="166"/>
  <c r="K527" i="166"/>
  <c r="K532" i="166" s="1"/>
  <c r="I839" i="155"/>
  <c r="I334" i="167"/>
  <c r="J500" i="157"/>
  <c r="J501" i="157" s="1"/>
  <c r="J20" i="157"/>
  <c r="F486" i="167"/>
  <c r="J488" i="162"/>
  <c r="J495" i="162" s="1"/>
  <c r="G14" i="161"/>
  <c r="G15" i="161" s="1"/>
  <c r="C17" i="168" s="1"/>
  <c r="G330" i="161"/>
  <c r="G331" i="161" s="1"/>
  <c r="F895" i="162"/>
  <c r="F877" i="162"/>
  <c r="F881" i="162" s="1"/>
  <c r="F882" i="162" s="1"/>
  <c r="F884" i="162" s="1"/>
  <c r="J14" i="155"/>
  <c r="J15" i="155" s="1"/>
  <c r="J330" i="155"/>
  <c r="J331" i="155" s="1"/>
  <c r="K885" i="161"/>
  <c r="K543" i="161"/>
  <c r="K545" i="161" s="1"/>
  <c r="H633" i="161"/>
  <c r="H870" i="161"/>
  <c r="G803" i="160"/>
  <c r="K803" i="160" s="1"/>
  <c r="J486" i="167"/>
  <c r="J488" i="167" s="1"/>
  <c r="J495" i="167" s="1"/>
  <c r="G488" i="167"/>
  <c r="G495" i="167" s="1"/>
  <c r="I556" i="166"/>
  <c r="I551" i="166"/>
  <c r="F310" i="167"/>
  <c r="F321" i="167" s="1"/>
  <c r="F325" i="167" s="1"/>
  <c r="F326" i="167" s="1"/>
  <c r="G330" i="167"/>
  <c r="G331" i="167" s="1"/>
  <c r="G14" i="167"/>
  <c r="G15" i="167" s="1"/>
  <c r="I20" i="164"/>
  <c r="I21" i="164" s="1"/>
  <c r="I500" i="164"/>
  <c r="I501" i="164" s="1"/>
  <c r="J543" i="166"/>
  <c r="J545" i="166" s="1"/>
  <c r="J885" i="166"/>
  <c r="F486" i="165"/>
  <c r="H488" i="162"/>
  <c r="H495" i="162" s="1"/>
  <c r="G543" i="160"/>
  <c r="G545" i="160" s="1"/>
  <c r="G885" i="160"/>
  <c r="I516" i="9"/>
  <c r="F515" i="159"/>
  <c r="G515" i="9"/>
  <c r="I839" i="157"/>
  <c r="J839" i="157" s="1"/>
  <c r="K839" i="157" s="1"/>
  <c r="I800" i="155"/>
  <c r="G501" i="159"/>
  <c r="G840" i="159"/>
  <c r="J26" i="159"/>
  <c r="J595" i="159"/>
  <c r="J634" i="159"/>
  <c r="J548" i="159"/>
  <c r="I334" i="166"/>
  <c r="J14" i="165"/>
  <c r="J15" i="165" s="1"/>
  <c r="J330" i="165"/>
  <c r="J331" i="165" s="1"/>
  <c r="K527" i="167" l="1"/>
  <c r="K532" i="167" s="1"/>
  <c r="K885" i="167" s="1"/>
  <c r="J885" i="167"/>
  <c r="G532" i="164"/>
  <c r="F527" i="164"/>
  <c r="K527" i="164" s="1"/>
  <c r="K532" i="164" s="1"/>
  <c r="I551" i="164"/>
  <c r="I551" i="160"/>
  <c r="K527" i="162"/>
  <c r="K532" i="162" s="1"/>
  <c r="G839" i="160"/>
  <c r="K839" i="160" s="1"/>
  <c r="P839" i="160" s="1"/>
  <c r="G556" i="161"/>
  <c r="P800" i="161"/>
  <c r="K308" i="164"/>
  <c r="G488" i="162"/>
  <c r="G495" i="162" s="1"/>
  <c r="G500" i="162" s="1"/>
  <c r="G501" i="162" s="1"/>
  <c r="F486" i="164"/>
  <c r="F488" i="164" s="1"/>
  <c r="F495" i="164" s="1"/>
  <c r="K487" i="164"/>
  <c r="G500" i="155"/>
  <c r="G501" i="155" s="1"/>
  <c r="G870" i="155" s="1"/>
  <c r="G839" i="155"/>
  <c r="K839" i="155" s="1"/>
  <c r="L839" i="155" s="1"/>
  <c r="K307" i="167"/>
  <c r="K310" i="167" s="1"/>
  <c r="K321" i="167" s="1"/>
  <c r="K325" i="167" s="1"/>
  <c r="K326" i="167" s="1"/>
  <c r="K330" i="167" s="1"/>
  <c r="K331" i="167" s="1"/>
  <c r="K334" i="167" s="1"/>
  <c r="K548" i="167" s="1"/>
  <c r="G800" i="155"/>
  <c r="K800" i="155" s="1"/>
  <c r="P800" i="155" s="1"/>
  <c r="G551" i="160"/>
  <c r="G556" i="160"/>
  <c r="K14" i="160"/>
  <c r="K15" i="160" s="1"/>
  <c r="K330" i="160"/>
  <c r="K331" i="160" s="1"/>
  <c r="I334" i="155"/>
  <c r="I548" i="155" s="1"/>
  <c r="J486" i="164"/>
  <c r="J488" i="164" s="1"/>
  <c r="J495" i="164" s="1"/>
  <c r="G488" i="164"/>
  <c r="G495" i="164" s="1"/>
  <c r="J543" i="164"/>
  <c r="J545" i="164" s="1"/>
  <c r="J885" i="164"/>
  <c r="K550" i="167"/>
  <c r="K599" i="167"/>
  <c r="I15" i="49"/>
  <c r="I16" i="49" s="1"/>
  <c r="I15" i="162"/>
  <c r="H633" i="166"/>
  <c r="H870" i="166"/>
  <c r="G334" i="166"/>
  <c r="I634" i="161"/>
  <c r="I548" i="161"/>
  <c r="I595" i="161"/>
  <c r="I26" i="161"/>
  <c r="G21" i="168" s="1"/>
  <c r="I840" i="159"/>
  <c r="J840" i="159" s="1"/>
  <c r="K840" i="159" s="1"/>
  <c r="O839" i="157"/>
  <c r="H515" i="159"/>
  <c r="H516" i="159" s="1"/>
  <c r="F516" i="159"/>
  <c r="I515" i="159"/>
  <c r="H20" i="162"/>
  <c r="H500" i="162"/>
  <c r="H501" i="162" s="1"/>
  <c r="F532" i="164"/>
  <c r="I870" i="164"/>
  <c r="I633" i="164"/>
  <c r="G20" i="167"/>
  <c r="G21" i="167" s="1"/>
  <c r="G500" i="167"/>
  <c r="G501" i="167" s="1"/>
  <c r="K486" i="167"/>
  <c r="K488" i="167" s="1"/>
  <c r="K495" i="167" s="1"/>
  <c r="K500" i="167" s="1"/>
  <c r="K501" i="167" s="1"/>
  <c r="K870" i="167" s="1"/>
  <c r="F488" i="167"/>
  <c r="F495" i="167" s="1"/>
  <c r="I26" i="167"/>
  <c r="I595" i="167"/>
  <c r="I634" i="167"/>
  <c r="I548" i="167"/>
  <c r="F543" i="166"/>
  <c r="F545" i="166" s="1"/>
  <c r="F885" i="166"/>
  <c r="H551" i="162"/>
  <c r="H556" i="162"/>
  <c r="K488" i="160"/>
  <c r="K495" i="160" s="1"/>
  <c r="L486" i="160"/>
  <c r="L488" i="160" s="1"/>
  <c r="L495" i="160" s="1"/>
  <c r="L500" i="160" s="1"/>
  <c r="L501" i="160" s="1"/>
  <c r="F608" i="158"/>
  <c r="F610" i="158" s="1"/>
  <c r="F605" i="158"/>
  <c r="F23" i="158" s="1"/>
  <c r="F24" i="158" s="1"/>
  <c r="F28" i="158" s="1"/>
  <c r="G803" i="155"/>
  <c r="K803" i="155" s="1"/>
  <c r="G543" i="164"/>
  <c r="G545" i="164" s="1"/>
  <c r="G885" i="164"/>
  <c r="K307" i="166"/>
  <c r="K310" i="166" s="1"/>
  <c r="K321" i="166" s="1"/>
  <c r="K325" i="166" s="1"/>
  <c r="K326" i="166" s="1"/>
  <c r="K330" i="166" s="1"/>
  <c r="K331" i="166" s="1"/>
  <c r="K486" i="166"/>
  <c r="K488" i="166" s="1"/>
  <c r="K495" i="166" s="1"/>
  <c r="K500" i="166" s="1"/>
  <c r="K501" i="166" s="1"/>
  <c r="F488" i="166"/>
  <c r="F495" i="166" s="1"/>
  <c r="L885" i="160"/>
  <c r="L543" i="160"/>
  <c r="L545" i="160" s="1"/>
  <c r="F310" i="164"/>
  <c r="F321" i="164" s="1"/>
  <c r="F325" i="164" s="1"/>
  <c r="F326" i="164" s="1"/>
  <c r="I551" i="162"/>
  <c r="I556" i="162"/>
  <c r="J599" i="167"/>
  <c r="J550" i="167"/>
  <c r="F543" i="167"/>
  <c r="F545" i="167" s="1"/>
  <c r="F885" i="167"/>
  <c r="K20" i="155"/>
  <c r="K21" i="155" s="1"/>
  <c r="K500" i="155"/>
  <c r="K501" i="155" s="1"/>
  <c r="J26" i="157"/>
  <c r="J595" i="157"/>
  <c r="J634" i="157"/>
  <c r="J548" i="157"/>
  <c r="I633" i="155"/>
  <c r="I870" i="155"/>
  <c r="L633" i="161"/>
  <c r="L870" i="161"/>
  <c r="G840" i="161"/>
  <c r="K840" i="161" s="1"/>
  <c r="G14" i="155"/>
  <c r="G15" i="155" s="1"/>
  <c r="G330" i="155"/>
  <c r="G331" i="155" s="1"/>
  <c r="J551" i="167"/>
  <c r="J556" i="167"/>
  <c r="H870" i="167"/>
  <c r="H633" i="167"/>
  <c r="K26" i="159"/>
  <c r="O817" i="157"/>
  <c r="J817" i="157"/>
  <c r="K817" i="157" s="1"/>
  <c r="H869" i="9"/>
  <c r="H871" i="9"/>
  <c r="H334" i="166"/>
  <c r="L486" i="162"/>
  <c r="L488" i="162" s="1"/>
  <c r="L495" i="162" s="1"/>
  <c r="L500" i="162" s="1"/>
  <c r="L501" i="162" s="1"/>
  <c r="K488" i="162"/>
  <c r="K495" i="162" s="1"/>
  <c r="J551" i="166"/>
  <c r="J556" i="166"/>
  <c r="J334" i="155"/>
  <c r="J548" i="155" s="1"/>
  <c r="J500" i="162"/>
  <c r="J501" i="162" s="1"/>
  <c r="J20" i="162"/>
  <c r="K543" i="166"/>
  <c r="K545" i="166" s="1"/>
  <c r="K885" i="166"/>
  <c r="F650" i="158"/>
  <c r="F867" i="158"/>
  <c r="F330" i="155"/>
  <c r="F331" i="155" s="1"/>
  <c r="F14" i="155"/>
  <c r="J15" i="49"/>
  <c r="J16" i="49" s="1"/>
  <c r="J15" i="162"/>
  <c r="L307" i="162"/>
  <c r="L310" i="162" s="1"/>
  <c r="L321" i="162" s="1"/>
  <c r="L325" i="162" s="1"/>
  <c r="L326" i="162" s="1"/>
  <c r="L330" i="162" s="1"/>
  <c r="L331" i="162" s="1"/>
  <c r="K310" i="162"/>
  <c r="K321" i="162" s="1"/>
  <c r="K325" i="162" s="1"/>
  <c r="K326" i="162" s="1"/>
  <c r="H870" i="155"/>
  <c r="H633" i="155"/>
  <c r="J551" i="165"/>
  <c r="J556" i="165"/>
  <c r="H745" i="9"/>
  <c r="H744" i="9"/>
  <c r="G633" i="159"/>
  <c r="G870" i="159"/>
  <c r="G841" i="159"/>
  <c r="I875" i="9"/>
  <c r="I524" i="9"/>
  <c r="K486" i="165"/>
  <c r="K488" i="165" s="1"/>
  <c r="K495" i="165" s="1"/>
  <c r="K500" i="165" s="1"/>
  <c r="K501" i="165" s="1"/>
  <c r="K870" i="165" s="1"/>
  <c r="F488" i="165"/>
  <c r="F495" i="165" s="1"/>
  <c r="F330" i="167"/>
  <c r="F331" i="167" s="1"/>
  <c r="F14" i="167"/>
  <c r="J20" i="167"/>
  <c r="J21" i="167" s="1"/>
  <c r="J500" i="167"/>
  <c r="J501" i="167" s="1"/>
  <c r="K551" i="161"/>
  <c r="K556" i="161"/>
  <c r="F890" i="162"/>
  <c r="F892" i="162" s="1"/>
  <c r="F887" i="162"/>
  <c r="F896" i="162" s="1"/>
  <c r="F897" i="162" s="1"/>
  <c r="F899" i="162" s="1"/>
  <c r="J21" i="157"/>
  <c r="K20" i="157"/>
  <c r="H30" i="158"/>
  <c r="I634" i="165"/>
  <c r="I548" i="165"/>
  <c r="I26" i="165"/>
  <c r="I595" i="165"/>
  <c r="F334" i="161"/>
  <c r="H817" i="161"/>
  <c r="I817" i="161"/>
  <c r="J817" i="161"/>
  <c r="H870" i="160"/>
  <c r="H633" i="160"/>
  <c r="J330" i="167"/>
  <c r="J331" i="167" s="1"/>
  <c r="J14" i="167"/>
  <c r="J15" i="167" s="1"/>
  <c r="I608" i="158"/>
  <c r="I610" i="158" s="1"/>
  <c r="I605" i="158"/>
  <c r="I23" i="158" s="1"/>
  <c r="K543" i="165"/>
  <c r="K545" i="165" s="1"/>
  <c r="K885" i="165"/>
  <c r="F330" i="166"/>
  <c r="F331" i="166" s="1"/>
  <c r="F14" i="166"/>
  <c r="K543" i="160"/>
  <c r="K545" i="160" s="1"/>
  <c r="K885" i="160"/>
  <c r="J633" i="160"/>
  <c r="J870" i="160"/>
  <c r="L551" i="161"/>
  <c r="L556" i="161"/>
  <c r="I26" i="160"/>
  <c r="I634" i="160"/>
  <c r="I595" i="160"/>
  <c r="I548" i="160"/>
  <c r="G556" i="167"/>
  <c r="G551" i="167"/>
  <c r="J26" i="160"/>
  <c r="J548" i="160"/>
  <c r="J595" i="160"/>
  <c r="J634" i="160"/>
  <c r="I870" i="160"/>
  <c r="I633" i="160"/>
  <c r="K20" i="161"/>
  <c r="K500" i="161"/>
  <c r="K501" i="161" s="1"/>
  <c r="I841" i="161"/>
  <c r="J841" i="161"/>
  <c r="F870" i="161"/>
  <c r="F633" i="161"/>
  <c r="H841" i="161"/>
  <c r="H334" i="165"/>
  <c r="G20" i="165"/>
  <c r="G21" i="165" s="1"/>
  <c r="G500" i="165"/>
  <c r="G501" i="165" s="1"/>
  <c r="G551" i="165"/>
  <c r="G556" i="165"/>
  <c r="K310" i="155"/>
  <c r="K321" i="155" s="1"/>
  <c r="K325" i="155" s="1"/>
  <c r="K326" i="155" s="1"/>
  <c r="L307" i="155"/>
  <c r="L310" i="155" s="1"/>
  <c r="L321" i="155" s="1"/>
  <c r="L325" i="155" s="1"/>
  <c r="L326" i="155" s="1"/>
  <c r="L330" i="155" s="1"/>
  <c r="L331" i="155" s="1"/>
  <c r="H634" i="161"/>
  <c r="H548" i="161"/>
  <c r="H595" i="161"/>
  <c r="H26" i="161"/>
  <c r="E21" i="168" s="1"/>
  <c r="L334" i="161"/>
  <c r="H14" i="162"/>
  <c r="H330" i="162"/>
  <c r="H331" i="162" s="1"/>
  <c r="J840" i="155"/>
  <c r="I840" i="155"/>
  <c r="H840" i="155"/>
  <c r="F501" i="155"/>
  <c r="J604" i="167"/>
  <c r="J556" i="162"/>
  <c r="J551" i="162"/>
  <c r="J840" i="160"/>
  <c r="H840" i="160"/>
  <c r="I840" i="160"/>
  <c r="F501" i="160"/>
  <c r="H26" i="160"/>
  <c r="H634" i="160"/>
  <c r="H595" i="160"/>
  <c r="H548" i="160"/>
  <c r="K21" i="159"/>
  <c r="G501" i="157"/>
  <c r="G840" i="157"/>
  <c r="J515" i="9"/>
  <c r="G516" i="9"/>
  <c r="F515" i="157"/>
  <c r="G334" i="167"/>
  <c r="H608" i="158"/>
  <c r="H610" i="158" s="1"/>
  <c r="H605" i="158"/>
  <c r="H23" i="158" s="1"/>
  <c r="I20" i="162"/>
  <c r="I500" i="162"/>
  <c r="I501" i="162" s="1"/>
  <c r="L334" i="160"/>
  <c r="L633" i="155"/>
  <c r="L870" i="155"/>
  <c r="F334" i="160"/>
  <c r="J817" i="160"/>
  <c r="H817" i="160"/>
  <c r="I817" i="160"/>
  <c r="J500" i="166"/>
  <c r="J501" i="166" s="1"/>
  <c r="J20" i="166"/>
  <c r="J21" i="166" s="1"/>
  <c r="P800" i="160"/>
  <c r="L800" i="160"/>
  <c r="H310" i="164"/>
  <c r="H321" i="164" s="1"/>
  <c r="H325" i="164" s="1"/>
  <c r="H326" i="164" s="1"/>
  <c r="J307" i="164"/>
  <c r="J310" i="164" s="1"/>
  <c r="J321" i="164" s="1"/>
  <c r="J325" i="164" s="1"/>
  <c r="J326" i="164" s="1"/>
  <c r="H20" i="164"/>
  <c r="H21" i="164" s="1"/>
  <c r="H500" i="164"/>
  <c r="H501" i="164" s="1"/>
  <c r="I548" i="166"/>
  <c r="I26" i="166"/>
  <c r="I634" i="166"/>
  <c r="I595" i="166"/>
  <c r="G885" i="162"/>
  <c r="G543" i="162"/>
  <c r="G545" i="162" s="1"/>
  <c r="L803" i="160"/>
  <c r="P803" i="160"/>
  <c r="J870" i="157"/>
  <c r="J633" i="157"/>
  <c r="H633" i="165"/>
  <c r="H870" i="165"/>
  <c r="G20" i="160"/>
  <c r="G21" i="160" s="1"/>
  <c r="G500" i="160"/>
  <c r="G501" i="160" s="1"/>
  <c r="F15" i="161"/>
  <c r="J549" i="158"/>
  <c r="J552" i="158" s="1"/>
  <c r="J597" i="158"/>
  <c r="G551" i="166"/>
  <c r="G556" i="166"/>
  <c r="J334" i="162"/>
  <c r="I334" i="164"/>
  <c r="I30" i="158"/>
  <c r="F543" i="165"/>
  <c r="F545" i="165" s="1"/>
  <c r="F885" i="165"/>
  <c r="L839" i="161"/>
  <c r="P839" i="161"/>
  <c r="G14" i="162"/>
  <c r="G330" i="162"/>
  <c r="G331" i="162" s="1"/>
  <c r="G561" i="158"/>
  <c r="G563" i="158" s="1"/>
  <c r="J555" i="158"/>
  <c r="G557" i="158"/>
  <c r="J330" i="166"/>
  <c r="J331" i="166" s="1"/>
  <c r="J14" i="166"/>
  <c r="J15" i="166" s="1"/>
  <c r="L803" i="161"/>
  <c r="P803" i="161"/>
  <c r="F15" i="160"/>
  <c r="H334" i="167"/>
  <c r="J633" i="155"/>
  <c r="J870" i="155"/>
  <c r="J26" i="9"/>
  <c r="K26" i="9" s="1"/>
  <c r="J548" i="9"/>
  <c r="J595" i="9"/>
  <c r="J634" i="9"/>
  <c r="K334" i="9"/>
  <c r="I334" i="162"/>
  <c r="G500" i="166"/>
  <c r="G501" i="166" s="1"/>
  <c r="G20" i="166"/>
  <c r="G21" i="166" s="1"/>
  <c r="J26" i="161"/>
  <c r="I21" i="168" s="1"/>
  <c r="J634" i="161"/>
  <c r="J548" i="161"/>
  <c r="J595" i="161"/>
  <c r="J20" i="165"/>
  <c r="J21" i="165" s="1"/>
  <c r="J500" i="165"/>
  <c r="J501" i="165" s="1"/>
  <c r="G330" i="164"/>
  <c r="G331" i="164" s="1"/>
  <c r="G14" i="164"/>
  <c r="G15" i="164" s="1"/>
  <c r="G633" i="161"/>
  <c r="G870" i="161"/>
  <c r="K14" i="161"/>
  <c r="K15" i="161" s="1"/>
  <c r="K330" i="161"/>
  <c r="K331" i="161" s="1"/>
  <c r="F310" i="165"/>
  <c r="F321" i="165" s="1"/>
  <c r="F325" i="165" s="1"/>
  <c r="F326" i="165" s="1"/>
  <c r="K307" i="165"/>
  <c r="K310" i="165" s="1"/>
  <c r="K321" i="165" s="1"/>
  <c r="K325" i="165" s="1"/>
  <c r="K326" i="165" s="1"/>
  <c r="K330" i="165" s="1"/>
  <c r="K331" i="165" s="1"/>
  <c r="F21" i="155"/>
  <c r="F21" i="160"/>
  <c r="K597" i="158"/>
  <c r="K549" i="158"/>
  <c r="K552" i="158" s="1"/>
  <c r="K555" i="158" s="1"/>
  <c r="H334" i="155"/>
  <c r="F26" i="157"/>
  <c r="F595" i="157"/>
  <c r="F634" i="157"/>
  <c r="F548" i="157"/>
  <c r="K543" i="167" l="1"/>
  <c r="K545" i="167" s="1"/>
  <c r="K551" i="167" s="1"/>
  <c r="L527" i="162"/>
  <c r="L532" i="162" s="1"/>
  <c r="L839" i="160"/>
  <c r="G20" i="162"/>
  <c r="G21" i="162" s="1"/>
  <c r="K26" i="157"/>
  <c r="G633" i="155"/>
  <c r="L800" i="155"/>
  <c r="P839" i="155"/>
  <c r="L20" i="155"/>
  <c r="L15" i="160"/>
  <c r="L14" i="160"/>
  <c r="H872" i="9"/>
  <c r="H895" i="9" s="1"/>
  <c r="O840" i="159"/>
  <c r="I548" i="162"/>
  <c r="I634" i="162"/>
  <c r="I26" i="162"/>
  <c r="I27" i="49" s="1"/>
  <c r="I595" i="162"/>
  <c r="I633" i="162"/>
  <c r="I870" i="162"/>
  <c r="G633" i="157"/>
  <c r="G870" i="157"/>
  <c r="G841" i="157"/>
  <c r="K604" i="167"/>
  <c r="H31" i="9"/>
  <c r="H649" i="9"/>
  <c r="H651" i="9" s="1"/>
  <c r="H763" i="9"/>
  <c r="F745" i="158"/>
  <c r="F869" i="158"/>
  <c r="F871" i="158"/>
  <c r="I516" i="159"/>
  <c r="F515" i="161"/>
  <c r="G26" i="166"/>
  <c r="J334" i="166"/>
  <c r="G548" i="166"/>
  <c r="G595" i="166"/>
  <c r="G634" i="166"/>
  <c r="J20" i="164"/>
  <c r="J21" i="164" s="1"/>
  <c r="J500" i="164"/>
  <c r="J501" i="164" s="1"/>
  <c r="I595" i="155"/>
  <c r="I26" i="155"/>
  <c r="I634" i="155"/>
  <c r="G334" i="164"/>
  <c r="G633" i="166"/>
  <c r="G870" i="166"/>
  <c r="K634" i="9"/>
  <c r="K548" i="9"/>
  <c r="L27" i="49"/>
  <c r="J557" i="158"/>
  <c r="J561" i="158"/>
  <c r="J563" i="158" s="1"/>
  <c r="L15" i="161"/>
  <c r="G556" i="162"/>
  <c r="G551" i="162"/>
  <c r="F548" i="160"/>
  <c r="F595" i="160"/>
  <c r="G334" i="160"/>
  <c r="F26" i="160"/>
  <c r="F634" i="160"/>
  <c r="I21" i="49"/>
  <c r="I22" i="49" s="1"/>
  <c r="I21" i="162"/>
  <c r="J516" i="9"/>
  <c r="K515" i="9"/>
  <c r="K516" i="9" s="1"/>
  <c r="L634" i="161"/>
  <c r="L548" i="161"/>
  <c r="L595" i="161"/>
  <c r="G841" i="161"/>
  <c r="K841" i="161" s="1"/>
  <c r="K551" i="160"/>
  <c r="K556" i="160"/>
  <c r="K551" i="165"/>
  <c r="K556" i="165"/>
  <c r="K14" i="167"/>
  <c r="K15" i="167" s="1"/>
  <c r="F15" i="167"/>
  <c r="K885" i="162"/>
  <c r="K543" i="162"/>
  <c r="K545" i="162" s="1"/>
  <c r="F500" i="164"/>
  <c r="F501" i="164" s="1"/>
  <c r="F20" i="164"/>
  <c r="K14" i="162"/>
  <c r="K330" i="162"/>
  <c r="K331" i="162" s="1"/>
  <c r="K551" i="166"/>
  <c r="K556" i="166"/>
  <c r="K500" i="162"/>
  <c r="K501" i="162" s="1"/>
  <c r="K20" i="162"/>
  <c r="H548" i="166"/>
  <c r="H26" i="166"/>
  <c r="H634" i="166"/>
  <c r="H595" i="166"/>
  <c r="K870" i="155"/>
  <c r="K633" i="155"/>
  <c r="L556" i="160"/>
  <c r="L551" i="160"/>
  <c r="K20" i="160"/>
  <c r="K500" i="160"/>
  <c r="K501" i="160" s="1"/>
  <c r="F551" i="166"/>
  <c r="F556" i="166"/>
  <c r="G633" i="167"/>
  <c r="G870" i="167"/>
  <c r="K543" i="164"/>
  <c r="K545" i="164" s="1"/>
  <c r="K885" i="164"/>
  <c r="F875" i="159"/>
  <c r="F524" i="159"/>
  <c r="C17" i="6"/>
  <c r="J551" i="164"/>
  <c r="J556" i="164"/>
  <c r="L21" i="155"/>
  <c r="G596" i="158"/>
  <c r="G600" i="158" s="1"/>
  <c r="G603" i="158" s="1"/>
  <c r="G635" i="158"/>
  <c r="G637" i="158" s="1"/>
  <c r="G645" i="158" s="1"/>
  <c r="G22" i="158"/>
  <c r="G24" i="158" s="1"/>
  <c r="G28" i="158" s="1"/>
  <c r="F551" i="165"/>
  <c r="F556" i="165"/>
  <c r="L885" i="162"/>
  <c r="L543" i="162"/>
  <c r="L545" i="162" s="1"/>
  <c r="C18" i="6"/>
  <c r="L840" i="161"/>
  <c r="P840" i="161"/>
  <c r="F330" i="164"/>
  <c r="F331" i="164" s="1"/>
  <c r="F14" i="164"/>
  <c r="K633" i="166"/>
  <c r="K870" i="166"/>
  <c r="L803" i="155"/>
  <c r="P803" i="155"/>
  <c r="L870" i="160"/>
  <c r="L633" i="160"/>
  <c r="F543" i="164"/>
  <c r="F545" i="164" s="1"/>
  <c r="F885" i="164"/>
  <c r="G515" i="159"/>
  <c r="H26" i="155"/>
  <c r="H634" i="155"/>
  <c r="H595" i="155"/>
  <c r="H548" i="155"/>
  <c r="K334" i="165"/>
  <c r="K548" i="165" s="1"/>
  <c r="J633" i="165"/>
  <c r="J870" i="165"/>
  <c r="H26" i="167"/>
  <c r="H634" i="167"/>
  <c r="H548" i="167"/>
  <c r="H595" i="167"/>
  <c r="J548" i="162"/>
  <c r="J634" i="162"/>
  <c r="J26" i="162"/>
  <c r="J27" i="49" s="1"/>
  <c r="J595" i="162"/>
  <c r="L14" i="161"/>
  <c r="J14" i="164"/>
  <c r="J15" i="164" s="1"/>
  <c r="J330" i="164"/>
  <c r="J331" i="164" s="1"/>
  <c r="G817" i="160"/>
  <c r="K817" i="160" s="1"/>
  <c r="L634" i="160"/>
  <c r="L548" i="160"/>
  <c r="L595" i="160"/>
  <c r="G26" i="167"/>
  <c r="J334" i="167"/>
  <c r="G548" i="167"/>
  <c r="G634" i="167"/>
  <c r="G595" i="167"/>
  <c r="G840" i="160"/>
  <c r="K840" i="160" s="1"/>
  <c r="F633" i="155"/>
  <c r="H841" i="155"/>
  <c r="F870" i="155"/>
  <c r="I841" i="155"/>
  <c r="J841" i="155"/>
  <c r="H334" i="162"/>
  <c r="K633" i="161"/>
  <c r="K870" i="161"/>
  <c r="K14" i="166"/>
  <c r="K15" i="166" s="1"/>
  <c r="F15" i="166"/>
  <c r="G817" i="161"/>
  <c r="K817" i="161" s="1"/>
  <c r="F334" i="167"/>
  <c r="F20" i="165"/>
  <c r="F500" i="165"/>
  <c r="F501" i="165" s="1"/>
  <c r="I841" i="159"/>
  <c r="J841" i="159" s="1"/>
  <c r="K841" i="159" s="1"/>
  <c r="K486" i="164"/>
  <c r="K488" i="164" s="1"/>
  <c r="K495" i="164" s="1"/>
  <c r="K500" i="164" s="1"/>
  <c r="K501" i="164" s="1"/>
  <c r="L334" i="162"/>
  <c r="F15" i="155"/>
  <c r="J21" i="49"/>
  <c r="J22" i="49" s="1"/>
  <c r="J21" i="162"/>
  <c r="J634" i="155"/>
  <c r="J595" i="155"/>
  <c r="J26" i="155"/>
  <c r="L633" i="162"/>
  <c r="L870" i="162"/>
  <c r="F551" i="167"/>
  <c r="F556" i="167"/>
  <c r="K556" i="167" s="1"/>
  <c r="F20" i="167"/>
  <c r="F500" i="167"/>
  <c r="F501" i="167" s="1"/>
  <c r="H633" i="162"/>
  <c r="H870" i="162"/>
  <c r="H875" i="159"/>
  <c r="H524" i="159"/>
  <c r="K561" i="158"/>
  <c r="K563" i="158" s="1"/>
  <c r="K557" i="158"/>
  <c r="G15" i="49"/>
  <c r="G15" i="162"/>
  <c r="H633" i="164"/>
  <c r="H870" i="164"/>
  <c r="G875" i="9"/>
  <c r="G524" i="9"/>
  <c r="F633" i="160"/>
  <c r="H841" i="160"/>
  <c r="I841" i="160"/>
  <c r="J841" i="160"/>
  <c r="F870" i="160"/>
  <c r="K14" i="155"/>
  <c r="K15" i="155" s="1"/>
  <c r="K330" i="155"/>
  <c r="K331" i="155" s="1"/>
  <c r="I549" i="9"/>
  <c r="I552" i="9" s="1"/>
  <c r="I555" i="9" s="1"/>
  <c r="I597" i="9"/>
  <c r="G870" i="162"/>
  <c r="G633" i="162"/>
  <c r="F14" i="165"/>
  <c r="F330" i="165"/>
  <c r="F331" i="165" s="1"/>
  <c r="I26" i="164"/>
  <c r="I595" i="164"/>
  <c r="I548" i="164"/>
  <c r="I634" i="164"/>
  <c r="G870" i="160"/>
  <c r="G633" i="160"/>
  <c r="H14" i="164"/>
  <c r="H15" i="164" s="1"/>
  <c r="H330" i="164"/>
  <c r="H331" i="164" s="1"/>
  <c r="J870" i="166"/>
  <c r="J633" i="166"/>
  <c r="H515" i="157"/>
  <c r="F516" i="157"/>
  <c r="I515" i="157"/>
  <c r="I516" i="157" s="1"/>
  <c r="I840" i="157"/>
  <c r="O840" i="157" s="1"/>
  <c r="G840" i="155"/>
  <c r="K840" i="155" s="1"/>
  <c r="P14" i="162"/>
  <c r="H15" i="49"/>
  <c r="H16" i="49" s="1"/>
  <c r="H15" i="162"/>
  <c r="G633" i="165"/>
  <c r="G870" i="165"/>
  <c r="H26" i="165"/>
  <c r="H548" i="165"/>
  <c r="H634" i="165"/>
  <c r="H595" i="165"/>
  <c r="K21" i="161"/>
  <c r="L20" i="161"/>
  <c r="F334" i="166"/>
  <c r="F26" i="161"/>
  <c r="G334" i="161"/>
  <c r="F634" i="161"/>
  <c r="F595" i="161"/>
  <c r="F548" i="161"/>
  <c r="K21" i="157"/>
  <c r="J633" i="167"/>
  <c r="J870" i="167"/>
  <c r="H40" i="9"/>
  <c r="H761" i="9"/>
  <c r="F744" i="158"/>
  <c r="F334" i="155"/>
  <c r="J817" i="155"/>
  <c r="H817" i="155"/>
  <c r="I817" i="155"/>
  <c r="J870" i="162"/>
  <c r="J633" i="162"/>
  <c r="K307" i="164"/>
  <c r="K310" i="164" s="1"/>
  <c r="K321" i="164" s="1"/>
  <c r="K325" i="164" s="1"/>
  <c r="K326" i="164" s="1"/>
  <c r="K330" i="164" s="1"/>
  <c r="K331" i="164" s="1"/>
  <c r="F500" i="166"/>
  <c r="F501" i="166" s="1"/>
  <c r="F20" i="166"/>
  <c r="K334" i="166"/>
  <c r="G556" i="164"/>
  <c r="G551" i="164"/>
  <c r="P20" i="162"/>
  <c r="H21" i="49"/>
  <c r="H22" i="49" s="1"/>
  <c r="H21" i="162"/>
  <c r="G20" i="164"/>
  <c r="G21" i="164" s="1"/>
  <c r="G500" i="164"/>
  <c r="G501" i="164" s="1"/>
  <c r="G21" i="49" l="1"/>
  <c r="H877" i="9"/>
  <c r="H881" i="9" s="1"/>
  <c r="H882" i="9" s="1"/>
  <c r="H884" i="9" s="1"/>
  <c r="H890" i="9" s="1"/>
  <c r="H892" i="9" s="1"/>
  <c r="L14" i="155"/>
  <c r="G841" i="160"/>
  <c r="K841" i="160" s="1"/>
  <c r="G515" i="157"/>
  <c r="G516" i="157" s="1"/>
  <c r="G841" i="155"/>
  <c r="K841" i="155" s="1"/>
  <c r="L841" i="155" s="1"/>
  <c r="K633" i="164"/>
  <c r="K870" i="164"/>
  <c r="F595" i="167"/>
  <c r="F26" i="167"/>
  <c r="F548" i="167"/>
  <c r="F634" i="167"/>
  <c r="H26" i="162"/>
  <c r="H595" i="162"/>
  <c r="H634" i="162"/>
  <c r="H548" i="162"/>
  <c r="G334" i="162"/>
  <c r="K870" i="160"/>
  <c r="K633" i="160"/>
  <c r="K875" i="9"/>
  <c r="K524" i="9"/>
  <c r="G26" i="164"/>
  <c r="G548" i="164"/>
  <c r="G595" i="164"/>
  <c r="G634" i="164"/>
  <c r="J595" i="166"/>
  <c r="J26" i="166"/>
  <c r="J634" i="166"/>
  <c r="J548" i="166"/>
  <c r="G817" i="155"/>
  <c r="K817" i="155" s="1"/>
  <c r="I875" i="157"/>
  <c r="I524" i="157"/>
  <c r="F334" i="165"/>
  <c r="G597" i="9"/>
  <c r="G549" i="9"/>
  <c r="G552" i="9" s="1"/>
  <c r="G555" i="9" s="1"/>
  <c r="K596" i="158"/>
  <c r="K600" i="158" s="1"/>
  <c r="K635" i="158"/>
  <c r="K22" i="158"/>
  <c r="K24" i="158" s="1"/>
  <c r="K28" i="158" s="1"/>
  <c r="F633" i="167"/>
  <c r="F870" i="167"/>
  <c r="O841" i="159"/>
  <c r="K20" i="165"/>
  <c r="F21" i="165"/>
  <c r="K21" i="49"/>
  <c r="G22" i="49"/>
  <c r="F551" i="164"/>
  <c r="F556" i="164"/>
  <c r="K14" i="164"/>
  <c r="K15" i="164" s="1"/>
  <c r="F15" i="164"/>
  <c r="L551" i="162"/>
  <c r="L556" i="162"/>
  <c r="C17" i="24"/>
  <c r="C17" i="7"/>
  <c r="C17" i="8"/>
  <c r="K21" i="160"/>
  <c r="L20" i="160"/>
  <c r="L14" i="162"/>
  <c r="K15" i="162"/>
  <c r="K556" i="162"/>
  <c r="K551" i="162"/>
  <c r="J875" i="9"/>
  <c r="J524" i="9"/>
  <c r="F633" i="165"/>
  <c r="F870" i="165"/>
  <c r="J603" i="158"/>
  <c r="G608" i="158"/>
  <c r="G610" i="158" s="1"/>
  <c r="G605" i="158"/>
  <c r="G23" i="158" s="1"/>
  <c r="K870" i="162"/>
  <c r="K633" i="162"/>
  <c r="K548" i="166"/>
  <c r="K634" i="166"/>
  <c r="F548" i="155"/>
  <c r="F634" i="155"/>
  <c r="F595" i="155"/>
  <c r="F26" i="155"/>
  <c r="G334" i="155"/>
  <c r="G548" i="155" s="1"/>
  <c r="J840" i="157"/>
  <c r="K840" i="157" s="1"/>
  <c r="P21" i="162"/>
  <c r="K20" i="166"/>
  <c r="F21" i="166"/>
  <c r="H42" i="9"/>
  <c r="H44" i="9"/>
  <c r="H41" i="9"/>
  <c r="G548" i="161"/>
  <c r="G595" i="161"/>
  <c r="G26" i="161"/>
  <c r="C21" i="168" s="1"/>
  <c r="K334" i="161"/>
  <c r="G634" i="161"/>
  <c r="F875" i="157"/>
  <c r="F524" i="157"/>
  <c r="H334" i="164"/>
  <c r="J334" i="164" s="1"/>
  <c r="K14" i="165"/>
  <c r="K15" i="165" s="1"/>
  <c r="F15" i="165"/>
  <c r="C15" i="6"/>
  <c r="K20" i="167"/>
  <c r="F21" i="167"/>
  <c r="L817" i="161"/>
  <c r="P817" i="161"/>
  <c r="L840" i="160"/>
  <c r="P840" i="160"/>
  <c r="J26" i="167"/>
  <c r="J595" i="167"/>
  <c r="J548" i="167"/>
  <c r="J634" i="167"/>
  <c r="F334" i="164"/>
  <c r="C18" i="8"/>
  <c r="C18" i="7"/>
  <c r="C18" i="24"/>
  <c r="G30" i="158"/>
  <c r="K556" i="164"/>
  <c r="K551" i="164"/>
  <c r="K20" i="164"/>
  <c r="F21" i="164"/>
  <c r="P841" i="161"/>
  <c r="L841" i="161"/>
  <c r="G634" i="160"/>
  <c r="G548" i="160"/>
  <c r="G595" i="160"/>
  <c r="G26" i="160"/>
  <c r="K334" i="160"/>
  <c r="J633" i="164"/>
  <c r="J870" i="164"/>
  <c r="J515" i="161"/>
  <c r="F516" i="161"/>
  <c r="H515" i="161"/>
  <c r="I515" i="161"/>
  <c r="F872" i="158"/>
  <c r="H653" i="9"/>
  <c r="H654" i="9" s="1"/>
  <c r="H34" i="9" s="1"/>
  <c r="K334" i="164"/>
  <c r="P15" i="162"/>
  <c r="C16" i="6"/>
  <c r="G633" i="164"/>
  <c r="G870" i="164"/>
  <c r="F633" i="166"/>
  <c r="F870" i="166"/>
  <c r="F40" i="158"/>
  <c r="F761" i="158"/>
  <c r="F548" i="166"/>
  <c r="F595" i="166"/>
  <c r="F634" i="166"/>
  <c r="F26" i="166"/>
  <c r="L21" i="161"/>
  <c r="L840" i="155"/>
  <c r="P840" i="155"/>
  <c r="F515" i="155"/>
  <c r="H516" i="157"/>
  <c r="I557" i="9"/>
  <c r="I561" i="9"/>
  <c r="I563" i="9" s="1"/>
  <c r="L841" i="160"/>
  <c r="P841" i="160"/>
  <c r="K15" i="49"/>
  <c r="G16" i="49"/>
  <c r="H549" i="159"/>
  <c r="H552" i="159" s="1"/>
  <c r="H555" i="159" s="1"/>
  <c r="H597" i="159"/>
  <c r="L15" i="155"/>
  <c r="L595" i="162"/>
  <c r="L548" i="162"/>
  <c r="L634" i="162"/>
  <c r="L817" i="160"/>
  <c r="P817" i="160"/>
  <c r="G516" i="159"/>
  <c r="F515" i="160"/>
  <c r="J515" i="159"/>
  <c r="J645" i="158"/>
  <c r="F597" i="159"/>
  <c r="F549" i="159"/>
  <c r="F552" i="159" s="1"/>
  <c r="F555" i="159" s="1"/>
  <c r="L20" i="162"/>
  <c r="K21" i="162"/>
  <c r="F633" i="164"/>
  <c r="F870" i="164"/>
  <c r="J22" i="158"/>
  <c r="J24" i="158" s="1"/>
  <c r="J28" i="158" s="1"/>
  <c r="J635" i="158"/>
  <c r="J637" i="158" s="1"/>
  <c r="K637" i="158" s="1"/>
  <c r="K645" i="158" s="1"/>
  <c r="K646" i="158" s="1"/>
  <c r="J596" i="158"/>
  <c r="J600" i="158" s="1"/>
  <c r="I875" i="159"/>
  <c r="I524" i="159"/>
  <c r="F31" i="158"/>
  <c r="F43" i="158" s="1"/>
  <c r="F763" i="158"/>
  <c r="F649" i="158"/>
  <c r="F651" i="158" s="1"/>
  <c r="H43" i="9"/>
  <c r="I841" i="157"/>
  <c r="O841" i="157" s="1"/>
  <c r="H887" i="9" l="1"/>
  <c r="H896" i="9" s="1"/>
  <c r="H897" i="9" s="1"/>
  <c r="J515" i="157"/>
  <c r="P841" i="155"/>
  <c r="J841" i="157"/>
  <c r="K841" i="157" s="1"/>
  <c r="K634" i="167"/>
  <c r="J26" i="164"/>
  <c r="J595" i="164"/>
  <c r="J634" i="164"/>
  <c r="J548" i="164"/>
  <c r="F653" i="158"/>
  <c r="F654" i="158" s="1"/>
  <c r="F34" i="158" s="1"/>
  <c r="I515" i="166"/>
  <c r="I516" i="166" s="1"/>
  <c r="I516" i="161"/>
  <c r="G634" i="155"/>
  <c r="K334" i="155"/>
  <c r="K548" i="155" s="1"/>
  <c r="G595" i="155"/>
  <c r="G26" i="155"/>
  <c r="K30" i="158"/>
  <c r="K32" i="158" s="1"/>
  <c r="K41" i="158"/>
  <c r="J30" i="158"/>
  <c r="I515" i="165"/>
  <c r="I516" i="165" s="1"/>
  <c r="H516" i="161"/>
  <c r="I515" i="167"/>
  <c r="I516" i="167" s="1"/>
  <c r="J516" i="161"/>
  <c r="K634" i="160"/>
  <c r="K26" i="160"/>
  <c r="L26" i="160" s="1"/>
  <c r="K548" i="160"/>
  <c r="K595" i="160"/>
  <c r="K21" i="164"/>
  <c r="F26" i="164"/>
  <c r="F634" i="164"/>
  <c r="F595" i="164"/>
  <c r="F548" i="164"/>
  <c r="F549" i="157"/>
  <c r="F552" i="157" s="1"/>
  <c r="F555" i="157" s="1"/>
  <c r="F597" i="157"/>
  <c r="K548" i="161"/>
  <c r="K595" i="161"/>
  <c r="K26" i="161"/>
  <c r="L26" i="161" s="1"/>
  <c r="K634" i="161"/>
  <c r="K21" i="166"/>
  <c r="K633" i="165"/>
  <c r="J597" i="9"/>
  <c r="J549" i="9"/>
  <c r="J552" i="9" s="1"/>
  <c r="L21" i="160"/>
  <c r="L817" i="155"/>
  <c r="P817" i="155"/>
  <c r="G26" i="162"/>
  <c r="G27" i="49" s="1"/>
  <c r="G548" i="162"/>
  <c r="G595" i="162"/>
  <c r="K334" i="162"/>
  <c r="G634" i="162"/>
  <c r="P26" i="162"/>
  <c r="H27" i="49"/>
  <c r="K26" i="167"/>
  <c r="C15" i="24"/>
  <c r="C15" i="7"/>
  <c r="C15" i="8"/>
  <c r="C20" i="6"/>
  <c r="J15" i="6" s="1"/>
  <c r="F557" i="159"/>
  <c r="F561" i="159"/>
  <c r="F563" i="159" s="1"/>
  <c r="J516" i="159"/>
  <c r="K515" i="159"/>
  <c r="K516" i="159" s="1"/>
  <c r="H561" i="159"/>
  <c r="H563" i="159" s="1"/>
  <c r="H557" i="159"/>
  <c r="I515" i="155"/>
  <c r="F516" i="155"/>
  <c r="J515" i="155"/>
  <c r="H515" i="155"/>
  <c r="I549" i="159"/>
  <c r="I552" i="159" s="1"/>
  <c r="I555" i="159" s="1"/>
  <c r="I597" i="159"/>
  <c r="L21" i="162"/>
  <c r="I515" i="160"/>
  <c r="F516" i="160"/>
  <c r="J515" i="160"/>
  <c r="H515" i="160"/>
  <c r="K26" i="166"/>
  <c r="F42" i="158"/>
  <c r="F44" i="158"/>
  <c r="F41" i="158"/>
  <c r="J516" i="157"/>
  <c r="K515" i="157"/>
  <c r="K516" i="157" s="1"/>
  <c r="F875" i="161"/>
  <c r="F524" i="161"/>
  <c r="L15" i="162"/>
  <c r="K21" i="165"/>
  <c r="I597" i="157"/>
  <c r="I549" i="157"/>
  <c r="I552" i="157" s="1"/>
  <c r="I555" i="157" s="1"/>
  <c r="K23" i="158"/>
  <c r="K647" i="158"/>
  <c r="H875" i="157"/>
  <c r="H524" i="157"/>
  <c r="C16" i="24"/>
  <c r="C16" i="7"/>
  <c r="C16" i="8"/>
  <c r="G515" i="161"/>
  <c r="K21" i="167"/>
  <c r="H634" i="164"/>
  <c r="H548" i="164"/>
  <c r="H26" i="164"/>
  <c r="H595" i="164"/>
  <c r="G875" i="159"/>
  <c r="G524" i="159"/>
  <c r="L15" i="49"/>
  <c r="L16" i="49" s="1"/>
  <c r="K16" i="49"/>
  <c r="I22" i="9"/>
  <c r="I596" i="9"/>
  <c r="I600" i="9" s="1"/>
  <c r="I603" i="9" s="1"/>
  <c r="I635" i="9"/>
  <c r="I637" i="9" s="1"/>
  <c r="I645" i="9" s="1"/>
  <c r="I646" i="9" s="1"/>
  <c r="I647" i="9" s="1"/>
  <c r="G875" i="157"/>
  <c r="G524" i="157"/>
  <c r="K548" i="164"/>
  <c r="K634" i="164"/>
  <c r="F895" i="158"/>
  <c r="F877" i="158"/>
  <c r="F881" i="158" s="1"/>
  <c r="F882" i="158" s="1"/>
  <c r="F884" i="158" s="1"/>
  <c r="J608" i="158"/>
  <c r="J610" i="158" s="1"/>
  <c r="J605" i="158"/>
  <c r="J23" i="158" s="1"/>
  <c r="K603" i="158"/>
  <c r="L21" i="49"/>
  <c r="L22" i="49" s="1"/>
  <c r="K22" i="49"/>
  <c r="K633" i="167"/>
  <c r="G561" i="9"/>
  <c r="G563" i="9" s="1"/>
  <c r="G557" i="9"/>
  <c r="J555" i="9"/>
  <c r="F595" i="165"/>
  <c r="F26" i="165"/>
  <c r="G334" i="165"/>
  <c r="F634" i="165"/>
  <c r="F548" i="165"/>
  <c r="K597" i="9"/>
  <c r="K549" i="9"/>
  <c r="K552" i="9" s="1"/>
  <c r="K555" i="9" s="1"/>
  <c r="K26" i="164" l="1"/>
  <c r="J515" i="162"/>
  <c r="F515" i="167" s="1"/>
  <c r="I515" i="162"/>
  <c r="F515" i="166" s="1"/>
  <c r="J16" i="6"/>
  <c r="F890" i="158"/>
  <c r="F892" i="158" s="1"/>
  <c r="F887" i="158"/>
  <c r="F896" i="158" s="1"/>
  <c r="F897" i="158" s="1"/>
  <c r="G549" i="157"/>
  <c r="G552" i="157" s="1"/>
  <c r="G555" i="157" s="1"/>
  <c r="G597" i="157"/>
  <c r="G515" i="165"/>
  <c r="H516" i="160"/>
  <c r="H515" i="166"/>
  <c r="H516" i="166" s="1"/>
  <c r="I516" i="155"/>
  <c r="J875" i="159"/>
  <c r="J524" i="159"/>
  <c r="C20" i="7"/>
  <c r="J16" i="7" s="1"/>
  <c r="K27" i="49"/>
  <c r="F557" i="157"/>
  <c r="F561" i="157"/>
  <c r="F563" i="157" s="1"/>
  <c r="I875" i="165"/>
  <c r="I524" i="165"/>
  <c r="I875" i="161"/>
  <c r="I524" i="161"/>
  <c r="J561" i="9"/>
  <c r="J563" i="9" s="1"/>
  <c r="J557" i="9"/>
  <c r="G516" i="161"/>
  <c r="K515" i="161"/>
  <c r="I515" i="164"/>
  <c r="I516" i="164" s="1"/>
  <c r="J875" i="157"/>
  <c r="J524" i="157"/>
  <c r="G515" i="160"/>
  <c r="H596" i="159"/>
  <c r="H600" i="159" s="1"/>
  <c r="H603" i="159" s="1"/>
  <c r="H22" i="159"/>
  <c r="H635" i="159"/>
  <c r="H637" i="159" s="1"/>
  <c r="H645" i="159" s="1"/>
  <c r="H646" i="159" s="1"/>
  <c r="H647" i="159" s="1"/>
  <c r="K595" i="162"/>
  <c r="K26" i="162"/>
  <c r="L26" i="162" s="1"/>
  <c r="K634" i="162"/>
  <c r="K548" i="162"/>
  <c r="I875" i="167"/>
  <c r="I524" i="167"/>
  <c r="G597" i="159"/>
  <c r="G549" i="159"/>
  <c r="G552" i="159" s="1"/>
  <c r="G555" i="159" s="1"/>
  <c r="H597" i="157"/>
  <c r="H549" i="157"/>
  <c r="H552" i="157" s="1"/>
  <c r="H555" i="157" s="1"/>
  <c r="F597" i="161"/>
  <c r="F549" i="161"/>
  <c r="F552" i="161" s="1"/>
  <c r="F555" i="161" s="1"/>
  <c r="G515" i="166"/>
  <c r="I516" i="160"/>
  <c r="I557" i="159"/>
  <c r="I561" i="159"/>
  <c r="I563" i="159" s="1"/>
  <c r="G515" i="155"/>
  <c r="G26" i="165"/>
  <c r="G595" i="165"/>
  <c r="J334" i="165"/>
  <c r="G634" i="165"/>
  <c r="G548" i="165"/>
  <c r="G22" i="9"/>
  <c r="G596" i="9"/>
  <c r="G600" i="9" s="1"/>
  <c r="G603" i="9" s="1"/>
  <c r="G635" i="9"/>
  <c r="G637" i="9" s="1"/>
  <c r="G645" i="9" s="1"/>
  <c r="K608" i="158"/>
  <c r="K610" i="158" s="1"/>
  <c r="K605" i="158"/>
  <c r="G515" i="167"/>
  <c r="J516" i="160"/>
  <c r="J516" i="155"/>
  <c r="H515" i="167"/>
  <c r="H516" i="167" s="1"/>
  <c r="F22" i="159"/>
  <c r="F635" i="159"/>
  <c r="F637" i="159" s="1"/>
  <c r="F645" i="159" s="1"/>
  <c r="F646" i="159" s="1"/>
  <c r="F647" i="159" s="1"/>
  <c r="F596" i="159"/>
  <c r="F600" i="159" s="1"/>
  <c r="F603" i="159" s="1"/>
  <c r="J17" i="6"/>
  <c r="J18" i="6"/>
  <c r="H875" i="161"/>
  <c r="H524" i="161"/>
  <c r="I875" i="166"/>
  <c r="I524" i="166"/>
  <c r="K561" i="9"/>
  <c r="K563" i="9" s="1"/>
  <c r="K557" i="9"/>
  <c r="I608" i="9"/>
  <c r="I610" i="9" s="1"/>
  <c r="I605" i="9"/>
  <c r="I23" i="9" s="1"/>
  <c r="I24" i="9" s="1"/>
  <c r="I28" i="9" s="1"/>
  <c r="I561" i="157"/>
  <c r="I563" i="157" s="1"/>
  <c r="I557" i="157"/>
  <c r="K875" i="157"/>
  <c r="K524" i="157"/>
  <c r="I650" i="9"/>
  <c r="I867" i="9"/>
  <c r="I844" i="9"/>
  <c r="K650" i="158"/>
  <c r="K651" i="158" s="1"/>
  <c r="K867" i="158"/>
  <c r="F875" i="160"/>
  <c r="F524" i="160"/>
  <c r="H515" i="165"/>
  <c r="H516" i="165" s="1"/>
  <c r="H516" i="155"/>
  <c r="F875" i="155"/>
  <c r="F524" i="155"/>
  <c r="K875" i="159"/>
  <c r="K524" i="159"/>
  <c r="C20" i="8"/>
  <c r="J16" i="8" s="1"/>
  <c r="C20" i="24"/>
  <c r="J875" i="161"/>
  <c r="J524" i="161"/>
  <c r="H515" i="162"/>
  <c r="K634" i="155"/>
  <c r="K26" i="155"/>
  <c r="L26" i="155" s="1"/>
  <c r="K595" i="155"/>
  <c r="L334" i="155"/>
  <c r="L548" i="155" s="1"/>
  <c r="I516" i="162" l="1"/>
  <c r="J516" i="162"/>
  <c r="J597" i="161"/>
  <c r="J549" i="161"/>
  <c r="J552" i="161" s="1"/>
  <c r="J555" i="161" s="1"/>
  <c r="I871" i="9"/>
  <c r="I869" i="9"/>
  <c r="G608" i="9"/>
  <c r="G610" i="9" s="1"/>
  <c r="J603" i="9"/>
  <c r="G605" i="9"/>
  <c r="G23" i="9" s="1"/>
  <c r="G24" i="9" s="1"/>
  <c r="G28" i="9" s="1"/>
  <c r="J595" i="165"/>
  <c r="J634" i="165"/>
  <c r="J26" i="165"/>
  <c r="K26" i="165" s="1"/>
  <c r="J548" i="165"/>
  <c r="J22" i="9"/>
  <c r="J596" i="9"/>
  <c r="J600" i="9" s="1"/>
  <c r="J635" i="9"/>
  <c r="J637" i="9" s="1"/>
  <c r="K637" i="9" s="1"/>
  <c r="K645" i="9" s="1"/>
  <c r="K646" i="9" s="1"/>
  <c r="K647" i="9" s="1"/>
  <c r="K867" i="9" s="1"/>
  <c r="J555" i="157"/>
  <c r="G557" i="157"/>
  <c r="G561" i="157"/>
  <c r="G563" i="157" s="1"/>
  <c r="J17" i="24"/>
  <c r="J18" i="24"/>
  <c r="F597" i="155"/>
  <c r="F549" i="155"/>
  <c r="F552" i="155" s="1"/>
  <c r="F555" i="155" s="1"/>
  <c r="I549" i="166"/>
  <c r="I597" i="166"/>
  <c r="F608" i="159"/>
  <c r="F610" i="159" s="1"/>
  <c r="F605" i="159"/>
  <c r="F23" i="159" s="1"/>
  <c r="F24" i="159" s="1"/>
  <c r="J875" i="155"/>
  <c r="J524" i="155"/>
  <c r="J549" i="155" s="1"/>
  <c r="J16" i="24"/>
  <c r="I596" i="159"/>
  <c r="I600" i="159" s="1"/>
  <c r="I603" i="159" s="1"/>
  <c r="I22" i="159"/>
  <c r="I635" i="159"/>
  <c r="I637" i="159" s="1"/>
  <c r="I645" i="159" s="1"/>
  <c r="I646" i="159" s="1"/>
  <c r="I647" i="159" s="1"/>
  <c r="G561" i="159"/>
  <c r="G563" i="159" s="1"/>
  <c r="J555" i="159"/>
  <c r="G557" i="159"/>
  <c r="I549" i="167"/>
  <c r="I552" i="167" s="1"/>
  <c r="I555" i="167" s="1"/>
  <c r="I597" i="167"/>
  <c r="H867" i="159"/>
  <c r="H650" i="159"/>
  <c r="J549" i="157"/>
  <c r="J552" i="157" s="1"/>
  <c r="J597" i="157"/>
  <c r="K516" i="161"/>
  <c r="L515" i="161"/>
  <c r="L516" i="161" s="1"/>
  <c r="J597" i="159"/>
  <c r="J549" i="159"/>
  <c r="J552" i="159" s="1"/>
  <c r="H875" i="160"/>
  <c r="H524" i="160"/>
  <c r="J18" i="8"/>
  <c r="J17" i="8"/>
  <c r="K869" i="158"/>
  <c r="K872" i="158" s="1"/>
  <c r="K871" i="158"/>
  <c r="H549" i="161"/>
  <c r="H552" i="161" s="1"/>
  <c r="H555" i="161" s="1"/>
  <c r="H597" i="161"/>
  <c r="H875" i="167"/>
  <c r="H524" i="167"/>
  <c r="F557" i="161"/>
  <c r="F561" i="161"/>
  <c r="F563" i="161" s="1"/>
  <c r="I875" i="164"/>
  <c r="I524" i="164"/>
  <c r="I597" i="161"/>
  <c r="I549" i="161"/>
  <c r="I552" i="161" s="1"/>
  <c r="I555" i="161" s="1"/>
  <c r="H875" i="166"/>
  <c r="H524" i="166"/>
  <c r="K653" i="158"/>
  <c r="K654" i="158" s="1"/>
  <c r="K34" i="158" s="1"/>
  <c r="L595" i="155"/>
  <c r="L634" i="155"/>
  <c r="K596" i="9"/>
  <c r="K600" i="9" s="1"/>
  <c r="K635" i="9"/>
  <c r="H844" i="159"/>
  <c r="F650" i="159"/>
  <c r="F867" i="159"/>
  <c r="J875" i="160"/>
  <c r="J524" i="160"/>
  <c r="I875" i="160"/>
  <c r="I524" i="160"/>
  <c r="H561" i="157"/>
  <c r="H563" i="157" s="1"/>
  <c r="H557" i="157"/>
  <c r="G875" i="161"/>
  <c r="G524" i="161"/>
  <c r="J875" i="162"/>
  <c r="J524" i="162"/>
  <c r="F596" i="157"/>
  <c r="F600" i="157" s="1"/>
  <c r="F603" i="157" s="1"/>
  <c r="F635" i="157"/>
  <c r="F637" i="157" s="1"/>
  <c r="F645" i="157" s="1"/>
  <c r="F646" i="157" s="1"/>
  <c r="F647" i="157" s="1"/>
  <c r="F22" i="157"/>
  <c r="J18" i="7"/>
  <c r="J17" i="7"/>
  <c r="J515" i="165"/>
  <c r="J516" i="165" s="1"/>
  <c r="G516" i="165"/>
  <c r="H875" i="165"/>
  <c r="H524" i="165"/>
  <c r="G516" i="160"/>
  <c r="G515" i="164"/>
  <c r="K515" i="160"/>
  <c r="I597" i="165"/>
  <c r="I549" i="165"/>
  <c r="I552" i="165" s="1"/>
  <c r="I555" i="165" s="1"/>
  <c r="F516" i="166"/>
  <c r="J15" i="8"/>
  <c r="F597" i="160"/>
  <c r="F549" i="160"/>
  <c r="F552" i="160" s="1"/>
  <c r="F555" i="160" s="1"/>
  <c r="K549" i="157"/>
  <c r="K552" i="157" s="1"/>
  <c r="K555" i="157" s="1"/>
  <c r="K597" i="157"/>
  <c r="J15" i="24"/>
  <c r="F515" i="165"/>
  <c r="H516" i="162"/>
  <c r="K597" i="159"/>
  <c r="K549" i="159"/>
  <c r="K552" i="159" s="1"/>
  <c r="K555" i="159" s="1"/>
  <c r="H875" i="155"/>
  <c r="H524" i="155"/>
  <c r="H549" i="155" s="1"/>
  <c r="I744" i="9"/>
  <c r="I745" i="9"/>
  <c r="I22" i="157"/>
  <c r="I596" i="157"/>
  <c r="I600" i="157" s="1"/>
  <c r="I603" i="157" s="1"/>
  <c r="I635" i="157"/>
  <c r="I637" i="157" s="1"/>
  <c r="I645" i="157" s="1"/>
  <c r="I646" i="157" s="1"/>
  <c r="I647" i="157" s="1"/>
  <c r="G516" i="167"/>
  <c r="J515" i="167"/>
  <c r="J516" i="167" s="1"/>
  <c r="J645" i="9"/>
  <c r="J646" i="9" s="1"/>
  <c r="G646" i="9"/>
  <c r="G647" i="9" s="1"/>
  <c r="G516" i="155"/>
  <c r="K515" i="155"/>
  <c r="H515" i="164"/>
  <c r="H516" i="164" s="1"/>
  <c r="J515" i="166"/>
  <c r="J516" i="166" s="1"/>
  <c r="G516" i="166"/>
  <c r="H608" i="159"/>
  <c r="H610" i="159" s="1"/>
  <c r="H605" i="159"/>
  <c r="H23" i="159" s="1"/>
  <c r="H24" i="159" s="1"/>
  <c r="H28" i="159" s="1"/>
  <c r="G515" i="162"/>
  <c r="F516" i="167"/>
  <c r="J15" i="7"/>
  <c r="I875" i="155"/>
  <c r="I524" i="155"/>
  <c r="I549" i="155" s="1"/>
  <c r="I875" i="162"/>
  <c r="I524" i="162"/>
  <c r="J647" i="9" l="1"/>
  <c r="J867" i="9" s="1"/>
  <c r="J869" i="9" s="1"/>
  <c r="I872" i="9"/>
  <c r="I877" i="9" s="1"/>
  <c r="I881" i="9" s="1"/>
  <c r="I882" i="9" s="1"/>
  <c r="I884" i="9" s="1"/>
  <c r="K515" i="167"/>
  <c r="K516" i="167" s="1"/>
  <c r="K524" i="167" s="1"/>
  <c r="H30" i="159"/>
  <c r="I867" i="157"/>
  <c r="I650" i="157"/>
  <c r="K516" i="155"/>
  <c r="L515" i="155"/>
  <c r="L516" i="155" s="1"/>
  <c r="H597" i="155"/>
  <c r="H875" i="162"/>
  <c r="H524" i="162"/>
  <c r="F561" i="160"/>
  <c r="F563" i="160" s="1"/>
  <c r="F557" i="160"/>
  <c r="F875" i="166"/>
  <c r="F524" i="166"/>
  <c r="K516" i="160"/>
  <c r="L515" i="160"/>
  <c r="L516" i="160" s="1"/>
  <c r="J875" i="165"/>
  <c r="J524" i="165"/>
  <c r="G597" i="161"/>
  <c r="G549" i="161"/>
  <c r="G552" i="161" s="1"/>
  <c r="G555" i="161" s="1"/>
  <c r="F869" i="159"/>
  <c r="F871" i="159"/>
  <c r="H869" i="159"/>
  <c r="H871" i="159"/>
  <c r="G22" i="159"/>
  <c r="G635" i="159"/>
  <c r="G637" i="159" s="1"/>
  <c r="G645" i="159" s="1"/>
  <c r="G596" i="159"/>
  <c r="G600" i="159" s="1"/>
  <c r="G603" i="159" s="1"/>
  <c r="J557" i="157"/>
  <c r="J561" i="157"/>
  <c r="J563" i="157" s="1"/>
  <c r="F875" i="167"/>
  <c r="F524" i="167"/>
  <c r="G875" i="166"/>
  <c r="G524" i="166"/>
  <c r="G875" i="155"/>
  <c r="G524" i="155"/>
  <c r="G549" i="155" s="1"/>
  <c r="J875" i="167"/>
  <c r="J524" i="167"/>
  <c r="K515" i="165"/>
  <c r="K516" i="165" s="1"/>
  <c r="F516" i="165"/>
  <c r="K515" i="166"/>
  <c r="K516" i="166" s="1"/>
  <c r="G516" i="164"/>
  <c r="J515" i="164"/>
  <c r="J516" i="164" s="1"/>
  <c r="H597" i="165"/>
  <c r="H549" i="165"/>
  <c r="H552" i="165" s="1"/>
  <c r="H555" i="165" s="1"/>
  <c r="F608" i="157"/>
  <c r="F610" i="157" s="1"/>
  <c r="F605" i="157"/>
  <c r="F23" i="157" s="1"/>
  <c r="F24" i="157" s="1"/>
  <c r="H22" i="157"/>
  <c r="H596" i="157"/>
  <c r="H600" i="157" s="1"/>
  <c r="H603" i="157" s="1"/>
  <c r="H635" i="157"/>
  <c r="H637" i="157" s="1"/>
  <c r="H645" i="157" s="1"/>
  <c r="H646" i="157" s="1"/>
  <c r="H647" i="157" s="1"/>
  <c r="H844" i="157" s="1"/>
  <c r="I561" i="161"/>
  <c r="I563" i="161" s="1"/>
  <c r="I557" i="161"/>
  <c r="L875" i="161"/>
  <c r="L524" i="161"/>
  <c r="J557" i="159"/>
  <c r="J561" i="159"/>
  <c r="J563" i="159" s="1"/>
  <c r="I608" i="159"/>
  <c r="I610" i="159" s="1"/>
  <c r="I605" i="159"/>
  <c r="I23" i="159" s="1"/>
  <c r="I24" i="159" s="1"/>
  <c r="I28" i="159" s="1"/>
  <c r="J552" i="155"/>
  <c r="J597" i="155"/>
  <c r="K869" i="9"/>
  <c r="K871" i="9"/>
  <c r="H875" i="164"/>
  <c r="H524" i="164"/>
  <c r="G867" i="9"/>
  <c r="G650" i="9"/>
  <c r="G844" i="9"/>
  <c r="J844" i="9" s="1"/>
  <c r="K844" i="9" s="1"/>
  <c r="F28" i="159"/>
  <c r="I597" i="155"/>
  <c r="I608" i="157"/>
  <c r="I610" i="157" s="1"/>
  <c r="I605" i="157"/>
  <c r="I23" i="157" s="1"/>
  <c r="I24" i="157" s="1"/>
  <c r="I28" i="157" s="1"/>
  <c r="F650" i="157"/>
  <c r="F867" i="157"/>
  <c r="K895" i="158"/>
  <c r="K897" i="158" s="1"/>
  <c r="K877" i="158"/>
  <c r="K881" i="158" s="1"/>
  <c r="K882" i="158" s="1"/>
  <c r="K884" i="158" s="1"/>
  <c r="I597" i="162"/>
  <c r="I549" i="162"/>
  <c r="K515" i="162"/>
  <c r="G516" i="162"/>
  <c r="F515" i="164"/>
  <c r="J875" i="166"/>
  <c r="J524" i="166"/>
  <c r="G875" i="167"/>
  <c r="G524" i="167"/>
  <c r="I31" i="9"/>
  <c r="I649" i="9"/>
  <c r="I651" i="9" s="1"/>
  <c r="I763" i="9"/>
  <c r="F745" i="159"/>
  <c r="G745" i="9"/>
  <c r="K561" i="159"/>
  <c r="K563" i="159" s="1"/>
  <c r="K557" i="159"/>
  <c r="I561" i="165"/>
  <c r="I563" i="165" s="1"/>
  <c r="I557" i="165"/>
  <c r="G875" i="160"/>
  <c r="G524" i="160"/>
  <c r="J549" i="162"/>
  <c r="J552" i="162" s="1"/>
  <c r="J555" i="162" s="1"/>
  <c r="J597" i="162"/>
  <c r="J597" i="160"/>
  <c r="J549" i="160"/>
  <c r="J552" i="160" s="1"/>
  <c r="J555" i="160" s="1"/>
  <c r="F635" i="161"/>
  <c r="F637" i="161" s="1"/>
  <c r="F645" i="161" s="1"/>
  <c r="F646" i="161" s="1"/>
  <c r="F647" i="161" s="1"/>
  <c r="F596" i="161"/>
  <c r="F600" i="161" s="1"/>
  <c r="F603" i="161" s="1"/>
  <c r="F22" i="161"/>
  <c r="H561" i="161"/>
  <c r="H563" i="161" s="1"/>
  <c r="H557" i="161"/>
  <c r="K875" i="161"/>
  <c r="K524" i="161"/>
  <c r="F561" i="155"/>
  <c r="F563" i="155" s="1"/>
  <c r="F557" i="155"/>
  <c r="J608" i="9"/>
  <c r="J610" i="9" s="1"/>
  <c r="K603" i="9"/>
  <c r="J605" i="9"/>
  <c r="J23" i="9" s="1"/>
  <c r="K23" i="9" s="1"/>
  <c r="I40" i="9"/>
  <c r="I761" i="9"/>
  <c r="F744" i="159"/>
  <c r="G744" i="9"/>
  <c r="K557" i="157"/>
  <c r="K561" i="157"/>
  <c r="K563" i="157" s="1"/>
  <c r="G875" i="165"/>
  <c r="G524" i="165"/>
  <c r="I597" i="160"/>
  <c r="I549" i="160"/>
  <c r="I552" i="160" s="1"/>
  <c r="I555" i="160" s="1"/>
  <c r="H549" i="166"/>
  <c r="H597" i="166"/>
  <c r="I549" i="164"/>
  <c r="I597" i="164"/>
  <c r="H549" i="167"/>
  <c r="H552" i="167" s="1"/>
  <c r="H555" i="167" s="1"/>
  <c r="H597" i="167"/>
  <c r="H597" i="160"/>
  <c r="H549" i="160"/>
  <c r="H552" i="160" s="1"/>
  <c r="H555" i="160" s="1"/>
  <c r="I557" i="167"/>
  <c r="I561" i="167"/>
  <c r="I563" i="167" s="1"/>
  <c r="I867" i="159"/>
  <c r="I650" i="159"/>
  <c r="G635" i="157"/>
  <c r="G637" i="157" s="1"/>
  <c r="G645" i="157" s="1"/>
  <c r="G22" i="157"/>
  <c r="G596" i="157"/>
  <c r="G600" i="157" s="1"/>
  <c r="G603" i="157" s="1"/>
  <c r="K22" i="9"/>
  <c r="K634" i="165"/>
  <c r="J557" i="161"/>
  <c r="J561" i="161"/>
  <c r="J563" i="161" s="1"/>
  <c r="K875" i="167" l="1"/>
  <c r="J555" i="155"/>
  <c r="I895" i="9"/>
  <c r="J650" i="9"/>
  <c r="K650" i="9" s="1"/>
  <c r="K872" i="9"/>
  <c r="K895" i="9" s="1"/>
  <c r="I43" i="9"/>
  <c r="I44" i="9" s="1"/>
  <c r="F872" i="159"/>
  <c r="F895" i="159" s="1"/>
  <c r="I30" i="159"/>
  <c r="F28" i="157"/>
  <c r="H561" i="167"/>
  <c r="H563" i="167" s="1"/>
  <c r="H557" i="167"/>
  <c r="G597" i="165"/>
  <c r="G549" i="165"/>
  <c r="G552" i="165" s="1"/>
  <c r="G555" i="165" s="1"/>
  <c r="J645" i="157"/>
  <c r="J646" i="157" s="1"/>
  <c r="G646" i="157"/>
  <c r="G647" i="157" s="1"/>
  <c r="I869" i="159"/>
  <c r="I871" i="159"/>
  <c r="J561" i="162"/>
  <c r="J563" i="162" s="1"/>
  <c r="J557" i="162"/>
  <c r="G549" i="160"/>
  <c r="G552" i="160" s="1"/>
  <c r="G555" i="160" s="1"/>
  <c r="G597" i="160"/>
  <c r="G31" i="9"/>
  <c r="G649" i="9"/>
  <c r="G651" i="9" s="1"/>
  <c r="G763" i="9"/>
  <c r="I764" i="9" s="1"/>
  <c r="J745" i="9"/>
  <c r="F745" i="157"/>
  <c r="F871" i="157"/>
  <c r="F869" i="157"/>
  <c r="L549" i="161"/>
  <c r="L552" i="161" s="1"/>
  <c r="L555" i="161" s="1"/>
  <c r="L597" i="161"/>
  <c r="I635" i="161"/>
  <c r="I637" i="161" s="1"/>
  <c r="I645" i="161" s="1"/>
  <c r="I646" i="161" s="1"/>
  <c r="I647" i="161" s="1"/>
  <c r="I844" i="161" s="1"/>
  <c r="I596" i="161"/>
  <c r="I600" i="161" s="1"/>
  <c r="I603" i="161" s="1"/>
  <c r="I22" i="161"/>
  <c r="I30" i="157"/>
  <c r="K875" i="155"/>
  <c r="K524" i="155"/>
  <c r="K549" i="155" s="1"/>
  <c r="J561" i="160"/>
  <c r="J563" i="160" s="1"/>
  <c r="J557" i="160"/>
  <c r="H745" i="159"/>
  <c r="F31" i="159"/>
  <c r="F763" i="159"/>
  <c r="F649" i="159"/>
  <c r="F651" i="159" s="1"/>
  <c r="G597" i="167"/>
  <c r="G549" i="167"/>
  <c r="G552" i="167" s="1"/>
  <c r="K515" i="164"/>
  <c r="K516" i="164" s="1"/>
  <c r="F516" i="164"/>
  <c r="F875" i="165"/>
  <c r="F524" i="165"/>
  <c r="J597" i="167"/>
  <c r="J549" i="167"/>
  <c r="J552" i="167" s="1"/>
  <c r="G549" i="166"/>
  <c r="G597" i="166"/>
  <c r="J603" i="159"/>
  <c r="G608" i="159"/>
  <c r="G610" i="159" s="1"/>
  <c r="G605" i="159"/>
  <c r="G23" i="159" s="1"/>
  <c r="G24" i="159" s="1"/>
  <c r="G28" i="159" s="1"/>
  <c r="H872" i="159"/>
  <c r="J549" i="165"/>
  <c r="J552" i="165" s="1"/>
  <c r="J597" i="165"/>
  <c r="F549" i="166"/>
  <c r="F597" i="166"/>
  <c r="H549" i="162"/>
  <c r="H552" i="162" s="1"/>
  <c r="H555" i="162" s="1"/>
  <c r="H597" i="162"/>
  <c r="K597" i="167"/>
  <c r="K549" i="167"/>
  <c r="K552" i="167" s="1"/>
  <c r="J24" i="9"/>
  <c r="H561" i="160"/>
  <c r="H563" i="160" s="1"/>
  <c r="H557" i="160"/>
  <c r="F40" i="159"/>
  <c r="F41" i="159" s="1"/>
  <c r="H744" i="159"/>
  <c r="F761" i="159"/>
  <c r="K608" i="9"/>
  <c r="K610" i="9" s="1"/>
  <c r="K605" i="9"/>
  <c r="K890" i="158"/>
  <c r="K892" i="158" s="1"/>
  <c r="K887" i="158"/>
  <c r="K896" i="158" s="1"/>
  <c r="H608" i="157"/>
  <c r="H610" i="157" s="1"/>
  <c r="H605" i="157"/>
  <c r="H23" i="157" s="1"/>
  <c r="H24" i="157" s="1"/>
  <c r="H28" i="157" s="1"/>
  <c r="H561" i="165"/>
  <c r="H563" i="165" s="1"/>
  <c r="H557" i="165"/>
  <c r="K875" i="166"/>
  <c r="K524" i="166"/>
  <c r="K875" i="160"/>
  <c r="K524" i="160"/>
  <c r="I869" i="157"/>
  <c r="I871" i="157"/>
  <c r="J635" i="161"/>
  <c r="J637" i="161" s="1"/>
  <c r="J645" i="161" s="1"/>
  <c r="J646" i="161" s="1"/>
  <c r="J647" i="161" s="1"/>
  <c r="J844" i="161" s="1"/>
  <c r="J596" i="161"/>
  <c r="J600" i="161" s="1"/>
  <c r="J603" i="161" s="1"/>
  <c r="J22" i="161"/>
  <c r="J603" i="157"/>
  <c r="G608" i="157"/>
  <c r="G610" i="157" s="1"/>
  <c r="G605" i="157"/>
  <c r="G23" i="157" s="1"/>
  <c r="G24" i="157" s="1"/>
  <c r="G28" i="157" s="1"/>
  <c r="I22" i="167"/>
  <c r="I596" i="167"/>
  <c r="I600" i="167" s="1"/>
  <c r="I603" i="167" s="1"/>
  <c r="I635" i="167"/>
  <c r="I637" i="167" s="1"/>
  <c r="I645" i="167" s="1"/>
  <c r="I646" i="167" s="1"/>
  <c r="I647" i="167" s="1"/>
  <c r="I557" i="160"/>
  <c r="I561" i="160"/>
  <c r="I563" i="160" s="1"/>
  <c r="K635" i="157"/>
  <c r="K596" i="157"/>
  <c r="K600" i="157" s="1"/>
  <c r="I41" i="9"/>
  <c r="I42" i="9" s="1"/>
  <c r="F596" i="155"/>
  <c r="F600" i="155" s="1"/>
  <c r="F603" i="155" s="1"/>
  <c r="F22" i="155"/>
  <c r="F635" i="155"/>
  <c r="F637" i="155" s="1"/>
  <c r="F645" i="155" s="1"/>
  <c r="F646" i="155" s="1"/>
  <c r="F647" i="155" s="1"/>
  <c r="F608" i="161"/>
  <c r="F610" i="161" s="1"/>
  <c r="F605" i="161"/>
  <c r="F23" i="161" s="1"/>
  <c r="F24" i="161" s="1"/>
  <c r="I596" i="165"/>
  <c r="I600" i="165" s="1"/>
  <c r="I603" i="165" s="1"/>
  <c r="I22" i="165"/>
  <c r="I635" i="165"/>
  <c r="I637" i="165" s="1"/>
  <c r="I645" i="165" s="1"/>
  <c r="I646" i="165" s="1"/>
  <c r="I647" i="165" s="1"/>
  <c r="K635" i="159"/>
  <c r="K596" i="159"/>
  <c r="K600" i="159" s="1"/>
  <c r="G875" i="162"/>
  <c r="G524" i="162"/>
  <c r="G869" i="9"/>
  <c r="G871" i="9"/>
  <c r="J871" i="9" s="1"/>
  <c r="J875" i="164"/>
  <c r="J524" i="164"/>
  <c r="K875" i="165"/>
  <c r="K524" i="165"/>
  <c r="I887" i="9"/>
  <c r="I896" i="9" s="1"/>
  <c r="I897" i="9" s="1"/>
  <c r="I899" i="9" s="1"/>
  <c r="I890" i="9"/>
  <c r="I892" i="9" s="1"/>
  <c r="J635" i="157"/>
  <c r="J637" i="157" s="1"/>
  <c r="K637" i="157" s="1"/>
  <c r="K645" i="157" s="1"/>
  <c r="K646" i="157" s="1"/>
  <c r="K647" i="157" s="1"/>
  <c r="J22" i="157"/>
  <c r="J596" i="157"/>
  <c r="J600" i="157" s="1"/>
  <c r="J645" i="159"/>
  <c r="J646" i="159" s="1"/>
  <c r="G646" i="159"/>
  <c r="G647" i="159" s="1"/>
  <c r="J744" i="9"/>
  <c r="G40" i="9"/>
  <c r="G761" i="9"/>
  <c r="I762" i="9" s="1"/>
  <c r="F744" i="157"/>
  <c r="K549" i="161"/>
  <c r="K552" i="161" s="1"/>
  <c r="K597" i="161"/>
  <c r="H596" i="161"/>
  <c r="H600" i="161" s="1"/>
  <c r="H603" i="161" s="1"/>
  <c r="H22" i="161"/>
  <c r="H635" i="161"/>
  <c r="H637" i="161" s="1"/>
  <c r="H645" i="161" s="1"/>
  <c r="H646" i="161" s="1"/>
  <c r="H647" i="161" s="1"/>
  <c r="H844" i="161" s="1"/>
  <c r="F867" i="161"/>
  <c r="F650" i="161"/>
  <c r="I653" i="9"/>
  <c r="I654" i="9" s="1"/>
  <c r="I34" i="9" s="1"/>
  <c r="I35" i="9" s="1"/>
  <c r="I37" i="9" s="1"/>
  <c r="J549" i="166"/>
  <c r="J597" i="166"/>
  <c r="K516" i="162"/>
  <c r="L515" i="162"/>
  <c r="L516" i="162" s="1"/>
  <c r="H597" i="164"/>
  <c r="H549" i="164"/>
  <c r="K877" i="9"/>
  <c r="K881" i="9" s="1"/>
  <c r="K882" i="9" s="1"/>
  <c r="K884" i="9" s="1"/>
  <c r="J596" i="159"/>
  <c r="J600" i="159" s="1"/>
  <c r="J635" i="159"/>
  <c r="J637" i="159" s="1"/>
  <c r="K637" i="159" s="1"/>
  <c r="K645" i="159" s="1"/>
  <c r="K646" i="159" s="1"/>
  <c r="K647" i="159" s="1"/>
  <c r="J22" i="159"/>
  <c r="H867" i="157"/>
  <c r="H650" i="157"/>
  <c r="G875" i="164"/>
  <c r="G524" i="164"/>
  <c r="G597" i="155"/>
  <c r="F597" i="167"/>
  <c r="F549" i="167"/>
  <c r="F552" i="167" s="1"/>
  <c r="F555" i="167" s="1"/>
  <c r="G561" i="161"/>
  <c r="G563" i="161" s="1"/>
  <c r="G557" i="161"/>
  <c r="K555" i="161"/>
  <c r="L875" i="160"/>
  <c r="L524" i="160"/>
  <c r="F22" i="160"/>
  <c r="F635" i="160"/>
  <c r="F637" i="160" s="1"/>
  <c r="F645" i="160" s="1"/>
  <c r="F596" i="160"/>
  <c r="F600" i="160" s="1"/>
  <c r="F603" i="160" s="1"/>
  <c r="L875" i="155"/>
  <c r="L524" i="155"/>
  <c r="L549" i="155" s="1"/>
  <c r="F877" i="159" l="1"/>
  <c r="F881" i="159" s="1"/>
  <c r="F882" i="159" s="1"/>
  <c r="F884" i="159" s="1"/>
  <c r="F887" i="159" s="1"/>
  <c r="F896" i="159" s="1"/>
  <c r="F897" i="159" s="1"/>
  <c r="F899" i="159" s="1"/>
  <c r="J561" i="155"/>
  <c r="J563" i="155" s="1"/>
  <c r="J557" i="155"/>
  <c r="J596" i="155" s="1"/>
  <c r="J600" i="155" s="1"/>
  <c r="J603" i="155" s="1"/>
  <c r="F872" i="157"/>
  <c r="F895" i="157" s="1"/>
  <c r="G872" i="9"/>
  <c r="J872" i="9" s="1"/>
  <c r="J895" i="9" s="1"/>
  <c r="I872" i="157"/>
  <c r="I877" i="157" s="1"/>
  <c r="I881" i="157" s="1"/>
  <c r="I882" i="157" s="1"/>
  <c r="I884" i="157" s="1"/>
  <c r="F28" i="161"/>
  <c r="H30" i="157"/>
  <c r="F646" i="160"/>
  <c r="F647" i="160" s="1"/>
  <c r="K561" i="161"/>
  <c r="K563" i="161" s="1"/>
  <c r="K557" i="161"/>
  <c r="F871" i="161"/>
  <c r="F869" i="161"/>
  <c r="G30" i="157"/>
  <c r="K549" i="166"/>
  <c r="K597" i="166"/>
  <c r="K555" i="160"/>
  <c r="G561" i="160"/>
  <c r="G563" i="160" s="1"/>
  <c r="G557" i="160"/>
  <c r="L597" i="155"/>
  <c r="G22" i="161"/>
  <c r="G635" i="161"/>
  <c r="G637" i="161" s="1"/>
  <c r="G645" i="161" s="1"/>
  <c r="G596" i="161"/>
  <c r="G600" i="161" s="1"/>
  <c r="G603" i="161" s="1"/>
  <c r="F557" i="167"/>
  <c r="F561" i="167"/>
  <c r="F563" i="167" s="1"/>
  <c r="G555" i="167"/>
  <c r="G597" i="164"/>
  <c r="G549" i="164"/>
  <c r="H869" i="157"/>
  <c r="H871" i="157"/>
  <c r="J22" i="155"/>
  <c r="G41" i="9"/>
  <c r="G42" i="9" s="1"/>
  <c r="J597" i="164"/>
  <c r="J549" i="164"/>
  <c r="G549" i="162"/>
  <c r="G597" i="162"/>
  <c r="I608" i="165"/>
  <c r="I610" i="165" s="1"/>
  <c r="I605" i="165"/>
  <c r="I23" i="165" s="1"/>
  <c r="I24" i="165" s="1"/>
  <c r="I28" i="165" s="1"/>
  <c r="I22" i="160"/>
  <c r="I635" i="160"/>
  <c r="I637" i="160" s="1"/>
  <c r="I645" i="160" s="1"/>
  <c r="I646" i="160" s="1"/>
  <c r="I647" i="160" s="1"/>
  <c r="I596" i="160"/>
  <c r="I600" i="160" s="1"/>
  <c r="I603" i="160" s="1"/>
  <c r="J608" i="161"/>
  <c r="J610" i="161" s="1"/>
  <c r="J605" i="161"/>
  <c r="J23" i="161" s="1"/>
  <c r="J24" i="161" s="1"/>
  <c r="K549" i="160"/>
  <c r="K552" i="160" s="1"/>
  <c r="K597" i="160"/>
  <c r="F42" i="159"/>
  <c r="H895" i="159"/>
  <c r="H877" i="159"/>
  <c r="H881" i="159" s="1"/>
  <c r="H882" i="159" s="1"/>
  <c r="H884" i="159" s="1"/>
  <c r="F549" i="165"/>
  <c r="F552" i="165" s="1"/>
  <c r="F555" i="165" s="1"/>
  <c r="F597" i="165"/>
  <c r="J651" i="9"/>
  <c r="G653" i="9"/>
  <c r="J653" i="9" s="1"/>
  <c r="K653" i="9" s="1"/>
  <c r="L561" i="161"/>
  <c r="L563" i="161" s="1"/>
  <c r="L557" i="161"/>
  <c r="J635" i="162"/>
  <c r="J637" i="162" s="1"/>
  <c r="J645" i="162" s="1"/>
  <c r="J646" i="162" s="1"/>
  <c r="J647" i="162" s="1"/>
  <c r="J596" i="162"/>
  <c r="J600" i="162" s="1"/>
  <c r="J603" i="162" s="1"/>
  <c r="J22" i="162"/>
  <c r="I872" i="159"/>
  <c r="K875" i="162"/>
  <c r="K524" i="162"/>
  <c r="H608" i="161"/>
  <c r="H610" i="161" s="1"/>
  <c r="H605" i="161"/>
  <c r="H23" i="161" s="1"/>
  <c r="H24" i="161" s="1"/>
  <c r="G762" i="9"/>
  <c r="J761" i="9"/>
  <c r="K761" i="9" s="1"/>
  <c r="H762" i="9"/>
  <c r="J647" i="159"/>
  <c r="F650" i="155"/>
  <c r="F867" i="155"/>
  <c r="H761" i="159"/>
  <c r="H40" i="159"/>
  <c r="H635" i="160"/>
  <c r="H637" i="160" s="1"/>
  <c r="H645" i="160" s="1"/>
  <c r="H646" i="160" s="1"/>
  <c r="H647" i="160" s="1"/>
  <c r="H22" i="160"/>
  <c r="H596" i="160"/>
  <c r="H600" i="160" s="1"/>
  <c r="H603" i="160" s="1"/>
  <c r="H557" i="162"/>
  <c r="H561" i="162"/>
  <c r="H563" i="162" s="1"/>
  <c r="J608" i="159"/>
  <c r="J610" i="159" s="1"/>
  <c r="J605" i="159"/>
  <c r="J23" i="159" s="1"/>
  <c r="K23" i="159" s="1"/>
  <c r="K603" i="159"/>
  <c r="K875" i="164"/>
  <c r="K524" i="164"/>
  <c r="J763" i="9"/>
  <c r="K763" i="9" s="1"/>
  <c r="G764" i="9"/>
  <c r="H764" i="9"/>
  <c r="J555" i="165"/>
  <c r="G557" i="165"/>
  <c r="G561" i="165"/>
  <c r="G563" i="165" s="1"/>
  <c r="L597" i="160"/>
  <c r="L549" i="160"/>
  <c r="L552" i="160" s="1"/>
  <c r="L555" i="160" s="1"/>
  <c r="K22" i="159"/>
  <c r="G844" i="161"/>
  <c r="K844" i="161" s="1"/>
  <c r="H867" i="161"/>
  <c r="H650" i="161"/>
  <c r="J40" i="9"/>
  <c r="K744" i="9"/>
  <c r="K22" i="157"/>
  <c r="F608" i="155"/>
  <c r="F610" i="155" s="1"/>
  <c r="F605" i="155"/>
  <c r="F23" i="155" s="1"/>
  <c r="F24" i="155" s="1"/>
  <c r="I650" i="167"/>
  <c r="I867" i="167"/>
  <c r="J867" i="161"/>
  <c r="J650" i="161"/>
  <c r="H22" i="165"/>
  <c r="H635" i="165"/>
  <c r="H637" i="165" s="1"/>
  <c r="H645" i="165" s="1"/>
  <c r="H646" i="165" s="1"/>
  <c r="H647" i="165" s="1"/>
  <c r="H596" i="165"/>
  <c r="H600" i="165" s="1"/>
  <c r="H603" i="165" s="1"/>
  <c r="J28" i="9"/>
  <c r="K24" i="9"/>
  <c r="F43" i="159"/>
  <c r="F44" i="159" s="1"/>
  <c r="K597" i="155"/>
  <c r="I608" i="161"/>
  <c r="I610" i="161" s="1"/>
  <c r="I605" i="161"/>
  <c r="I23" i="161" s="1"/>
  <c r="I24" i="161" s="1"/>
  <c r="F649" i="157"/>
  <c r="F651" i="157" s="1"/>
  <c r="F31" i="157"/>
  <c r="H745" i="157"/>
  <c r="F763" i="157"/>
  <c r="G43" i="9"/>
  <c r="G44" i="9" s="1"/>
  <c r="G650" i="157"/>
  <c r="G867" i="157"/>
  <c r="G844" i="157"/>
  <c r="G745" i="157" s="1"/>
  <c r="H596" i="167"/>
  <c r="H600" i="167" s="1"/>
  <c r="H603" i="167" s="1"/>
  <c r="H22" i="167"/>
  <c r="H635" i="167"/>
  <c r="H637" i="167" s="1"/>
  <c r="H645" i="167" s="1"/>
  <c r="H646" i="167" s="1"/>
  <c r="H647" i="167" s="1"/>
  <c r="F608" i="160"/>
  <c r="F610" i="160" s="1"/>
  <c r="F605" i="160"/>
  <c r="F23" i="160" s="1"/>
  <c r="G30" i="159"/>
  <c r="K650" i="159"/>
  <c r="K651" i="159" s="1"/>
  <c r="K867" i="159"/>
  <c r="K890" i="9"/>
  <c r="K892" i="9" s="1"/>
  <c r="K887" i="9"/>
  <c r="K896" i="9" s="1"/>
  <c r="K897" i="9" s="1"/>
  <c r="L875" i="162"/>
  <c r="L524" i="162"/>
  <c r="F40" i="157"/>
  <c r="H744" i="157"/>
  <c r="F761" i="157"/>
  <c r="G650" i="159"/>
  <c r="G867" i="159"/>
  <c r="G844" i="159"/>
  <c r="K650" i="157"/>
  <c r="K651" i="157" s="1"/>
  <c r="K867" i="157"/>
  <c r="K597" i="165"/>
  <c r="K549" i="165"/>
  <c r="K552" i="165" s="1"/>
  <c r="K555" i="165" s="1"/>
  <c r="I650" i="165"/>
  <c r="I867" i="165"/>
  <c r="I608" i="167"/>
  <c r="I610" i="167" s="1"/>
  <c r="I605" i="167"/>
  <c r="I23" i="167" s="1"/>
  <c r="I24" i="167" s="1"/>
  <c r="I28" i="167" s="1"/>
  <c r="J608" i="157"/>
  <c r="J610" i="157" s="1"/>
  <c r="J605" i="157"/>
  <c r="J23" i="157" s="1"/>
  <c r="K23" i="157" s="1"/>
  <c r="K603" i="157"/>
  <c r="F875" i="164"/>
  <c r="F524" i="164"/>
  <c r="F653" i="159"/>
  <c r="F654" i="159" s="1"/>
  <c r="F34" i="159" s="1"/>
  <c r="H649" i="159"/>
  <c r="H651" i="159" s="1"/>
  <c r="H31" i="159"/>
  <c r="H763" i="159"/>
  <c r="J22" i="160"/>
  <c r="J635" i="160"/>
  <c r="J637" i="160" s="1"/>
  <c r="J645" i="160" s="1"/>
  <c r="J646" i="160" s="1"/>
  <c r="J647" i="160" s="1"/>
  <c r="J596" i="160"/>
  <c r="J600" i="160" s="1"/>
  <c r="J603" i="160" s="1"/>
  <c r="I650" i="161"/>
  <c r="I867" i="161"/>
  <c r="J31" i="9"/>
  <c r="J649" i="9"/>
  <c r="K649" i="9" s="1"/>
  <c r="K651" i="9" s="1"/>
  <c r="K745" i="9"/>
  <c r="J647" i="157"/>
  <c r="F890" i="159" l="1"/>
  <c r="F892" i="159" s="1"/>
  <c r="J635" i="155"/>
  <c r="J637" i="155" s="1"/>
  <c r="J645" i="155" s="1"/>
  <c r="J646" i="155" s="1"/>
  <c r="J647" i="155" s="1"/>
  <c r="J650" i="155" s="1"/>
  <c r="I895" i="157"/>
  <c r="G877" i="9"/>
  <c r="G881" i="9" s="1"/>
  <c r="G882" i="9" s="1"/>
  <c r="G884" i="9" s="1"/>
  <c r="G895" i="9"/>
  <c r="F877" i="157"/>
  <c r="F881" i="157" s="1"/>
  <c r="F882" i="157" s="1"/>
  <c r="F884" i="157" s="1"/>
  <c r="F890" i="157" s="1"/>
  <c r="F892" i="157" s="1"/>
  <c r="G744" i="157"/>
  <c r="G761" i="157" s="1"/>
  <c r="F872" i="161"/>
  <c r="F877" i="161" s="1"/>
  <c r="F881" i="161" s="1"/>
  <c r="F882" i="161" s="1"/>
  <c r="F884" i="161" s="1"/>
  <c r="J764" i="9"/>
  <c r="K764" i="9" s="1"/>
  <c r="J24" i="159"/>
  <c r="J28" i="159" s="1"/>
  <c r="H872" i="157"/>
  <c r="H877" i="157" s="1"/>
  <c r="H881" i="157" s="1"/>
  <c r="H882" i="157" s="1"/>
  <c r="H884" i="157" s="1"/>
  <c r="J762" i="9"/>
  <c r="K762" i="9" s="1"/>
  <c r="F28" i="155"/>
  <c r="I19" i="168"/>
  <c r="I23" i="168" s="1"/>
  <c r="I27" i="168" s="1"/>
  <c r="I31" i="168" s="1"/>
  <c r="I33" i="168" s="1"/>
  <c r="J28" i="161"/>
  <c r="I30" i="167"/>
  <c r="F35" i="159"/>
  <c r="F37" i="159" s="1"/>
  <c r="J867" i="157"/>
  <c r="J869" i="157" s="1"/>
  <c r="J650" i="157"/>
  <c r="H653" i="159"/>
  <c r="H654" i="159" s="1"/>
  <c r="H34" i="159" s="1"/>
  <c r="K653" i="157"/>
  <c r="K654" i="157" s="1"/>
  <c r="H608" i="165"/>
  <c r="H610" i="165" s="1"/>
  <c r="H605" i="165"/>
  <c r="H23" i="165" s="1"/>
  <c r="H24" i="165" s="1"/>
  <c r="H28" i="165" s="1"/>
  <c r="J871" i="161"/>
  <c r="J869" i="161"/>
  <c r="J24" i="157"/>
  <c r="J557" i="165"/>
  <c r="J561" i="165"/>
  <c r="J563" i="165" s="1"/>
  <c r="H650" i="160"/>
  <c r="H867" i="160"/>
  <c r="F557" i="165"/>
  <c r="F561" i="165"/>
  <c r="F563" i="165" s="1"/>
  <c r="G646" i="161"/>
  <c r="K645" i="161"/>
  <c r="K22" i="161"/>
  <c r="K635" i="161"/>
  <c r="K637" i="161" s="1"/>
  <c r="L637" i="161" s="1"/>
  <c r="L645" i="161" s="1"/>
  <c r="L646" i="161" s="1"/>
  <c r="L647" i="161" s="1"/>
  <c r="K596" i="161"/>
  <c r="K600" i="161" s="1"/>
  <c r="K603" i="161" s="1"/>
  <c r="I844" i="159"/>
  <c r="J844" i="159" s="1"/>
  <c r="K844" i="159" s="1"/>
  <c r="G744" i="159"/>
  <c r="G745" i="159"/>
  <c r="K653" i="159"/>
  <c r="K654" i="159" s="1"/>
  <c r="H608" i="167"/>
  <c r="H610" i="167" s="1"/>
  <c r="H605" i="167"/>
  <c r="H23" i="167" s="1"/>
  <c r="H24" i="167" s="1"/>
  <c r="H28" i="167" s="1"/>
  <c r="H31" i="157"/>
  <c r="H32" i="157" s="1"/>
  <c r="H649" i="157"/>
  <c r="H651" i="157" s="1"/>
  <c r="H763" i="157"/>
  <c r="F745" i="155"/>
  <c r="H650" i="165"/>
  <c r="H867" i="165"/>
  <c r="I869" i="167"/>
  <c r="I871" i="167"/>
  <c r="H869" i="161"/>
  <c r="H871" i="161"/>
  <c r="H22" i="162"/>
  <c r="H596" i="162"/>
  <c r="H600" i="162" s="1"/>
  <c r="H603" i="162" s="1"/>
  <c r="H635" i="162"/>
  <c r="H637" i="162" s="1"/>
  <c r="H645" i="162" s="1"/>
  <c r="H42" i="159"/>
  <c r="H44" i="159"/>
  <c r="H41" i="159"/>
  <c r="J867" i="159"/>
  <c r="J869" i="159" s="1"/>
  <c r="J650" i="159"/>
  <c r="I895" i="159"/>
  <c r="I877" i="159"/>
  <c r="I881" i="159" s="1"/>
  <c r="I882" i="159" s="1"/>
  <c r="I884" i="159" s="1"/>
  <c r="L596" i="161"/>
  <c r="L600" i="161" s="1"/>
  <c r="L603" i="161" s="1"/>
  <c r="L635" i="161"/>
  <c r="G654" i="9"/>
  <c r="H887" i="159"/>
  <c r="H896" i="159" s="1"/>
  <c r="H897" i="159" s="1"/>
  <c r="H890" i="159"/>
  <c r="H892" i="159" s="1"/>
  <c r="I869" i="161"/>
  <c r="I871" i="161"/>
  <c r="L597" i="162"/>
  <c r="L549" i="162"/>
  <c r="K608" i="159"/>
  <c r="K610" i="159" s="1"/>
  <c r="K605" i="159"/>
  <c r="F869" i="155"/>
  <c r="F871" i="155"/>
  <c r="J867" i="162"/>
  <c r="J650" i="162"/>
  <c r="I650" i="160"/>
  <c r="I867" i="160"/>
  <c r="G561" i="167"/>
  <c r="G563" i="167" s="1"/>
  <c r="J555" i="167"/>
  <c r="G557" i="167"/>
  <c r="K561" i="160"/>
  <c r="K563" i="160" s="1"/>
  <c r="K557" i="160"/>
  <c r="J877" i="9"/>
  <c r="J881" i="9" s="1"/>
  <c r="J882" i="9" s="1"/>
  <c r="K557" i="165"/>
  <c r="K596" i="165" s="1"/>
  <c r="K600" i="165" s="1"/>
  <c r="K561" i="165"/>
  <c r="K563" i="165" s="1"/>
  <c r="K608" i="157"/>
  <c r="K610" i="157" s="1"/>
  <c r="K605" i="157"/>
  <c r="G869" i="159"/>
  <c r="G871" i="159"/>
  <c r="J871" i="159" s="1"/>
  <c r="H761" i="157"/>
  <c r="H40" i="157"/>
  <c r="F744" i="155"/>
  <c r="E19" i="168"/>
  <c r="E23" i="168" s="1"/>
  <c r="E27" i="168" s="1"/>
  <c r="E31" i="168" s="1"/>
  <c r="E33" i="168" s="1"/>
  <c r="H28" i="161"/>
  <c r="I844" i="157"/>
  <c r="J844" i="157" s="1"/>
  <c r="K844" i="157" s="1"/>
  <c r="F43" i="157"/>
  <c r="F44" i="157" s="1"/>
  <c r="L844" i="161"/>
  <c r="P844" i="161"/>
  <c r="K549" i="164"/>
  <c r="K597" i="164"/>
  <c r="H608" i="160"/>
  <c r="H610" i="160" s="1"/>
  <c r="H605" i="160"/>
  <c r="H23" i="160" s="1"/>
  <c r="H24" i="160" s="1"/>
  <c r="H28" i="160" s="1"/>
  <c r="J23" i="49"/>
  <c r="J608" i="155"/>
  <c r="J610" i="155" s="1"/>
  <c r="J605" i="155"/>
  <c r="J23" i="155" s="1"/>
  <c r="J24" i="155" s="1"/>
  <c r="J28" i="155" s="1"/>
  <c r="F22" i="167"/>
  <c r="F635" i="167"/>
  <c r="F596" i="167"/>
  <c r="F600" i="167" s="1"/>
  <c r="F603" i="167" s="1"/>
  <c r="F24" i="160"/>
  <c r="G22" i="160"/>
  <c r="G596" i="160"/>
  <c r="G600" i="160" s="1"/>
  <c r="G603" i="160" s="1"/>
  <c r="G635" i="160"/>
  <c r="G637" i="160" s="1"/>
  <c r="G645" i="160"/>
  <c r="J867" i="160"/>
  <c r="J650" i="160"/>
  <c r="K871" i="159"/>
  <c r="K869" i="159"/>
  <c r="J43" i="9"/>
  <c r="J44" i="9" s="1"/>
  <c r="K31" i="9"/>
  <c r="J608" i="160"/>
  <c r="J610" i="160" s="1"/>
  <c r="J605" i="160"/>
  <c r="J23" i="160" s="1"/>
  <c r="J24" i="160" s="1"/>
  <c r="J28" i="160" s="1"/>
  <c r="H43" i="159"/>
  <c r="H32" i="159"/>
  <c r="F597" i="164"/>
  <c r="F549" i="164"/>
  <c r="I869" i="165"/>
  <c r="I871" i="165"/>
  <c r="K871" i="157"/>
  <c r="K869" i="157"/>
  <c r="H650" i="167"/>
  <c r="H867" i="167"/>
  <c r="G869" i="157"/>
  <c r="G871" i="157"/>
  <c r="J871" i="157" s="1"/>
  <c r="G763" i="157"/>
  <c r="G31" i="157"/>
  <c r="G32" i="157" s="1"/>
  <c r="G649" i="157"/>
  <c r="G651" i="157" s="1"/>
  <c r="F653" i="157"/>
  <c r="F654" i="157" s="1"/>
  <c r="F34" i="157" s="1"/>
  <c r="J41" i="9"/>
  <c r="J42" i="9" s="1"/>
  <c r="K28" i="9"/>
  <c r="K40" i="9"/>
  <c r="L561" i="160"/>
  <c r="L563" i="160" s="1"/>
  <c r="L557" i="160"/>
  <c r="G22" i="165"/>
  <c r="G635" i="165"/>
  <c r="G637" i="165" s="1"/>
  <c r="G645" i="165" s="1"/>
  <c r="G596" i="165"/>
  <c r="G600" i="165" s="1"/>
  <c r="G603" i="165" s="1"/>
  <c r="J844" i="155"/>
  <c r="K549" i="162"/>
  <c r="K597" i="162"/>
  <c r="F41" i="157"/>
  <c r="F42" i="157" s="1"/>
  <c r="J608" i="162"/>
  <c r="J610" i="162" s="1"/>
  <c r="J605" i="162"/>
  <c r="J23" i="162" s="1"/>
  <c r="J24" i="49" s="1"/>
  <c r="G19" i="168"/>
  <c r="G23" i="168" s="1"/>
  <c r="G27" i="168" s="1"/>
  <c r="G31" i="168" s="1"/>
  <c r="G33" i="168" s="1"/>
  <c r="I28" i="161"/>
  <c r="I608" i="160"/>
  <c r="I610" i="160" s="1"/>
  <c r="I605" i="160"/>
  <c r="I23" i="160" s="1"/>
  <c r="I24" i="160" s="1"/>
  <c r="I28" i="160" s="1"/>
  <c r="G608" i="161"/>
  <c r="G610" i="161" s="1"/>
  <c r="G605" i="161"/>
  <c r="G23" i="161" s="1"/>
  <c r="G24" i="161" s="1"/>
  <c r="I887" i="157"/>
  <c r="I896" i="157" s="1"/>
  <c r="I897" i="157" s="1"/>
  <c r="I890" i="157"/>
  <c r="I892" i="157" s="1"/>
  <c r="H844" i="160"/>
  <c r="I844" i="160"/>
  <c r="F650" i="160"/>
  <c r="J844" i="160"/>
  <c r="F867" i="160"/>
  <c r="F30" i="161"/>
  <c r="J867" i="155" l="1"/>
  <c r="F895" i="161"/>
  <c r="K24" i="159"/>
  <c r="F887" i="157"/>
  <c r="F896" i="157" s="1"/>
  <c r="F897" i="157" s="1"/>
  <c r="F899" i="157" s="1"/>
  <c r="H895" i="157"/>
  <c r="G40" i="157"/>
  <c r="G41" i="157" s="1"/>
  <c r="G872" i="159"/>
  <c r="G895" i="159" s="1"/>
  <c r="J872" i="161"/>
  <c r="J895" i="161" s="1"/>
  <c r="F872" i="155"/>
  <c r="F895" i="155" s="1"/>
  <c r="G871" i="161"/>
  <c r="K871" i="161" s="1"/>
  <c r="J24" i="162"/>
  <c r="J28" i="162" s="1"/>
  <c r="J41" i="162" s="1"/>
  <c r="J42" i="162" s="1"/>
  <c r="O844" i="157"/>
  <c r="I872" i="165"/>
  <c r="I895" i="165" s="1"/>
  <c r="H30" i="167"/>
  <c r="J30" i="160"/>
  <c r="C19" i="168"/>
  <c r="C23" i="168" s="1"/>
  <c r="C27" i="168" s="1"/>
  <c r="C31" i="168" s="1"/>
  <c r="C33" i="168" s="1"/>
  <c r="G28" i="161"/>
  <c r="I30" i="160"/>
  <c r="F35" i="157"/>
  <c r="F37" i="157" s="1"/>
  <c r="G608" i="165"/>
  <c r="G610" i="165" s="1"/>
  <c r="J603" i="165"/>
  <c r="G605" i="165"/>
  <c r="G23" i="165" s="1"/>
  <c r="G24" i="165" s="1"/>
  <c r="G28" i="165" s="1"/>
  <c r="H869" i="167"/>
  <c r="H871" i="167"/>
  <c r="J557" i="167"/>
  <c r="J561" i="167"/>
  <c r="J563" i="167" s="1"/>
  <c r="K555" i="167"/>
  <c r="I887" i="159"/>
  <c r="I896" i="159" s="1"/>
  <c r="I897" i="159" s="1"/>
  <c r="I899" i="159" s="1"/>
  <c r="I890" i="159"/>
  <c r="I892" i="159" s="1"/>
  <c r="J869" i="155"/>
  <c r="J871" i="155"/>
  <c r="G844" i="160"/>
  <c r="K844" i="160" s="1"/>
  <c r="I30" i="161"/>
  <c r="G646" i="165"/>
  <c r="G647" i="165" s="1"/>
  <c r="J645" i="165"/>
  <c r="J646" i="165" s="1"/>
  <c r="K43" i="9"/>
  <c r="G608" i="160"/>
  <c r="G610" i="160" s="1"/>
  <c r="G605" i="160"/>
  <c r="G23" i="160" s="1"/>
  <c r="G24" i="160" s="1"/>
  <c r="G28" i="160" s="1"/>
  <c r="F637" i="167"/>
  <c r="F645" i="167" s="1"/>
  <c r="F646" i="167" s="1"/>
  <c r="F647" i="167" s="1"/>
  <c r="J25" i="49"/>
  <c r="J29" i="49" s="1"/>
  <c r="J41" i="49" s="1"/>
  <c r="J42" i="49" s="1"/>
  <c r="H41" i="157"/>
  <c r="H42" i="157" s="1"/>
  <c r="K596" i="160"/>
  <c r="K600" i="160" s="1"/>
  <c r="K603" i="160" s="1"/>
  <c r="K22" i="160"/>
  <c r="K635" i="160"/>
  <c r="K637" i="160" s="1"/>
  <c r="L637" i="160" s="1"/>
  <c r="L645" i="160" s="1"/>
  <c r="L646" i="160" s="1"/>
  <c r="L647" i="160" s="1"/>
  <c r="I871" i="160"/>
  <c r="I869" i="160"/>
  <c r="I872" i="161"/>
  <c r="H608" i="162"/>
  <c r="H610" i="162" s="1"/>
  <c r="H605" i="162"/>
  <c r="H23" i="162" s="1"/>
  <c r="H24" i="162" s="1"/>
  <c r="J30" i="159"/>
  <c r="K28" i="159"/>
  <c r="I872" i="167"/>
  <c r="I744" i="159"/>
  <c r="J744" i="159" s="1"/>
  <c r="I745" i="159"/>
  <c r="K608" i="161"/>
  <c r="K610" i="161" s="1"/>
  <c r="K605" i="161"/>
  <c r="K23" i="161" s="1"/>
  <c r="L23" i="161" s="1"/>
  <c r="J22" i="165"/>
  <c r="J596" i="165"/>
  <c r="J600" i="165" s="1"/>
  <c r="J635" i="165"/>
  <c r="J637" i="165" s="1"/>
  <c r="K645" i="160"/>
  <c r="G646" i="160"/>
  <c r="J869" i="162"/>
  <c r="J871" i="162"/>
  <c r="G653" i="157"/>
  <c r="G654" i="157" s="1"/>
  <c r="H646" i="162"/>
  <c r="H647" i="162" s="1"/>
  <c r="F649" i="155"/>
  <c r="F651" i="155" s="1"/>
  <c r="H745" i="155"/>
  <c r="F31" i="155"/>
  <c r="I745" i="155"/>
  <c r="J745" i="155"/>
  <c r="J30" i="161"/>
  <c r="H30" i="160"/>
  <c r="K44" i="9"/>
  <c r="K42" i="9"/>
  <c r="H887" i="157"/>
  <c r="H896" i="157" s="1"/>
  <c r="H897" i="157" s="1"/>
  <c r="H899" i="157" s="1"/>
  <c r="H890" i="157"/>
  <c r="H892" i="157" s="1"/>
  <c r="F890" i="161"/>
  <c r="F892" i="161" s="1"/>
  <c r="F887" i="161"/>
  <c r="F896" i="161" s="1"/>
  <c r="H23" i="49"/>
  <c r="H871" i="165"/>
  <c r="H869" i="165"/>
  <c r="H653" i="157"/>
  <c r="H654" i="157" s="1"/>
  <c r="H34" i="157" s="1"/>
  <c r="H35" i="157" s="1"/>
  <c r="H37" i="157" s="1"/>
  <c r="G31" i="159"/>
  <c r="G763" i="159"/>
  <c r="F745" i="160"/>
  <c r="G649" i="159"/>
  <c r="G651" i="159" s="1"/>
  <c r="O844" i="159"/>
  <c r="L650" i="161"/>
  <c r="L867" i="161"/>
  <c r="H871" i="160"/>
  <c r="H869" i="160"/>
  <c r="F608" i="167"/>
  <c r="F610" i="167" s="1"/>
  <c r="F605" i="167"/>
  <c r="F23" i="167" s="1"/>
  <c r="F24" i="167" s="1"/>
  <c r="F40" i="155"/>
  <c r="F41" i="155" s="1"/>
  <c r="H744" i="155"/>
  <c r="H40" i="155" s="1"/>
  <c r="I744" i="155"/>
  <c r="I40" i="155" s="1"/>
  <c r="J744" i="155"/>
  <c r="J40" i="155" s="1"/>
  <c r="J41" i="155" s="1"/>
  <c r="G34" i="9"/>
  <c r="G35" i="9" s="1"/>
  <c r="G37" i="9" s="1"/>
  <c r="J654" i="9"/>
  <c r="F869" i="160"/>
  <c r="F871" i="160"/>
  <c r="K41" i="9"/>
  <c r="G42" i="157"/>
  <c r="G44" i="157"/>
  <c r="H30" i="161"/>
  <c r="L635" i="160"/>
  <c r="L596" i="160"/>
  <c r="L600" i="160" s="1"/>
  <c r="L603" i="160" s="1"/>
  <c r="G872" i="157"/>
  <c r="K872" i="157"/>
  <c r="K872" i="159"/>
  <c r="J869" i="160"/>
  <c r="J871" i="160"/>
  <c r="F28" i="160"/>
  <c r="I744" i="157"/>
  <c r="I745" i="157"/>
  <c r="J884" i="9"/>
  <c r="G890" i="9"/>
  <c r="G892" i="9" s="1"/>
  <c r="G887" i="9"/>
  <c r="G896" i="9" s="1"/>
  <c r="G897" i="9" s="1"/>
  <c r="G899" i="9" s="1"/>
  <c r="G635" i="167"/>
  <c r="G637" i="167" s="1"/>
  <c r="G645" i="167" s="1"/>
  <c r="G596" i="167"/>
  <c r="G600" i="167" s="1"/>
  <c r="G603" i="167" s="1"/>
  <c r="G22" i="167"/>
  <c r="L608" i="161"/>
  <c r="L610" i="161" s="1"/>
  <c r="L605" i="161"/>
  <c r="H872" i="161"/>
  <c r="H43" i="157"/>
  <c r="H44" i="157" s="1"/>
  <c r="G761" i="159"/>
  <c r="G40" i="159"/>
  <c r="F744" i="160"/>
  <c r="L22" i="161"/>
  <c r="G647" i="161"/>
  <c r="K646" i="161"/>
  <c r="K647" i="161" s="1"/>
  <c r="F22" i="165"/>
  <c r="F596" i="165"/>
  <c r="F600" i="165" s="1"/>
  <c r="F603" i="165" s="1"/>
  <c r="F635" i="165"/>
  <c r="J28" i="157"/>
  <c r="K24" i="157"/>
  <c r="F897" i="161" l="1"/>
  <c r="F899" i="161" s="1"/>
  <c r="G43" i="157"/>
  <c r="J877" i="161"/>
  <c r="J881" i="161" s="1"/>
  <c r="J882" i="161" s="1"/>
  <c r="J884" i="161" s="1"/>
  <c r="J887" i="161" s="1"/>
  <c r="J896" i="161" s="1"/>
  <c r="J897" i="161" s="1"/>
  <c r="J899" i="161" s="1"/>
  <c r="F877" i="155"/>
  <c r="F881" i="155" s="1"/>
  <c r="F882" i="155" s="1"/>
  <c r="F884" i="155" s="1"/>
  <c r="G877" i="159"/>
  <c r="G881" i="159" s="1"/>
  <c r="G882" i="159" s="1"/>
  <c r="G884" i="159" s="1"/>
  <c r="J872" i="159"/>
  <c r="J895" i="159" s="1"/>
  <c r="J48" i="49"/>
  <c r="J49" i="49" s="1"/>
  <c r="J51" i="49" s="1"/>
  <c r="J52" i="49" s="1"/>
  <c r="J34" i="49" s="1"/>
  <c r="K24" i="161"/>
  <c r="K28" i="161" s="1"/>
  <c r="I877" i="165"/>
  <c r="I881" i="165" s="1"/>
  <c r="I882" i="165" s="1"/>
  <c r="I884" i="165" s="1"/>
  <c r="I887" i="165" s="1"/>
  <c r="I896" i="165" s="1"/>
  <c r="I897" i="165" s="1"/>
  <c r="I899" i="165" s="1"/>
  <c r="I872" i="160"/>
  <c r="I877" i="160" s="1"/>
  <c r="I881" i="160" s="1"/>
  <c r="I882" i="160" s="1"/>
  <c r="I884" i="160" s="1"/>
  <c r="J872" i="162"/>
  <c r="J877" i="162" s="1"/>
  <c r="J881" i="162" s="1"/>
  <c r="J882" i="162" s="1"/>
  <c r="J884" i="162" s="1"/>
  <c r="F28" i="167"/>
  <c r="K895" i="157"/>
  <c r="K877" i="157"/>
  <c r="K881" i="157" s="1"/>
  <c r="K882" i="157" s="1"/>
  <c r="K884" i="157" s="1"/>
  <c r="G43" i="159"/>
  <c r="G44" i="159" s="1"/>
  <c r="G32" i="159"/>
  <c r="H31" i="155"/>
  <c r="H649" i="155"/>
  <c r="G34" i="157"/>
  <c r="G35" i="157" s="1"/>
  <c r="G37" i="157" s="1"/>
  <c r="J22" i="167"/>
  <c r="J635" i="167"/>
  <c r="J596" i="167"/>
  <c r="J600" i="167" s="1"/>
  <c r="G41" i="159"/>
  <c r="G42" i="159" s="1"/>
  <c r="H40" i="165"/>
  <c r="L869" i="161"/>
  <c r="L871" i="161"/>
  <c r="F31" i="160"/>
  <c r="I745" i="160"/>
  <c r="J745" i="160"/>
  <c r="H745" i="160"/>
  <c r="F649" i="160"/>
  <c r="F651" i="160" s="1"/>
  <c r="H28" i="162"/>
  <c r="J890" i="161"/>
  <c r="J892" i="161" s="1"/>
  <c r="G745" i="155"/>
  <c r="F653" i="155"/>
  <c r="F654" i="155" s="1"/>
  <c r="F34" i="155" s="1"/>
  <c r="I40" i="159"/>
  <c r="F744" i="161"/>
  <c r="I761" i="159"/>
  <c r="G762" i="159" s="1"/>
  <c r="F867" i="167"/>
  <c r="F650" i="167"/>
  <c r="J647" i="165"/>
  <c r="L844" i="160"/>
  <c r="P844" i="160"/>
  <c r="H872" i="167"/>
  <c r="G30" i="161"/>
  <c r="I649" i="159"/>
  <c r="I651" i="159" s="1"/>
  <c r="J651" i="159" s="1"/>
  <c r="I31" i="159"/>
  <c r="I763" i="159"/>
  <c r="G764" i="159" s="1"/>
  <c r="F745" i="161"/>
  <c r="K608" i="160"/>
  <c r="K610" i="160" s="1"/>
  <c r="K605" i="160"/>
  <c r="K23" i="160" s="1"/>
  <c r="L23" i="160" s="1"/>
  <c r="K603" i="165"/>
  <c r="F608" i="165"/>
  <c r="F610" i="165" s="1"/>
  <c r="F605" i="165"/>
  <c r="F23" i="165" s="1"/>
  <c r="H895" i="161"/>
  <c r="H877" i="161"/>
  <c r="H881" i="161" s="1"/>
  <c r="H882" i="161" s="1"/>
  <c r="H884" i="161" s="1"/>
  <c r="G646" i="167"/>
  <c r="G647" i="167" s="1"/>
  <c r="J645" i="167"/>
  <c r="J646" i="167" s="1"/>
  <c r="F30" i="160"/>
  <c r="K22" i="165"/>
  <c r="F872" i="160"/>
  <c r="J745" i="159"/>
  <c r="I31" i="155"/>
  <c r="I649" i="155"/>
  <c r="H649" i="166" s="1"/>
  <c r="I895" i="161"/>
  <c r="I877" i="161"/>
  <c r="I881" i="161" s="1"/>
  <c r="I882" i="161" s="1"/>
  <c r="I884" i="161" s="1"/>
  <c r="L650" i="160"/>
  <c r="L867" i="160"/>
  <c r="G650" i="165"/>
  <c r="G867" i="165"/>
  <c r="K561" i="167"/>
  <c r="K563" i="167" s="1"/>
  <c r="K557" i="167"/>
  <c r="K596" i="167" s="1"/>
  <c r="K600" i="167" s="1"/>
  <c r="K635" i="165"/>
  <c r="F637" i="165"/>
  <c r="G867" i="161"/>
  <c r="G869" i="161" s="1"/>
  <c r="G872" i="161" s="1"/>
  <c r="G650" i="161"/>
  <c r="J40" i="159"/>
  <c r="K744" i="159"/>
  <c r="J603" i="167"/>
  <c r="G608" i="167"/>
  <c r="G610" i="167" s="1"/>
  <c r="G605" i="167"/>
  <c r="G23" i="167" s="1"/>
  <c r="G24" i="167" s="1"/>
  <c r="G28" i="167" s="1"/>
  <c r="J890" i="9"/>
  <c r="J892" i="9" s="1"/>
  <c r="J887" i="9"/>
  <c r="J896" i="9" s="1"/>
  <c r="J897" i="9" s="1"/>
  <c r="J899" i="9" s="1"/>
  <c r="G653" i="159"/>
  <c r="G654" i="159" s="1"/>
  <c r="J649" i="155"/>
  <c r="J31" i="155"/>
  <c r="G647" i="160"/>
  <c r="K646" i="160"/>
  <c r="K647" i="160" s="1"/>
  <c r="I31" i="157"/>
  <c r="I649" i="157"/>
  <c r="I651" i="157" s="1"/>
  <c r="I763" i="157"/>
  <c r="J745" i="157"/>
  <c r="J872" i="157"/>
  <c r="J895" i="157" s="1"/>
  <c r="G895" i="157"/>
  <c r="G877" i="157"/>
  <c r="J30" i="157"/>
  <c r="K28" i="157"/>
  <c r="I40" i="157"/>
  <c r="I761" i="157"/>
  <c r="J744" i="157"/>
  <c r="K895" i="159"/>
  <c r="K877" i="159"/>
  <c r="K881" i="159" s="1"/>
  <c r="K882" i="159" s="1"/>
  <c r="K884" i="159" s="1"/>
  <c r="H40" i="167"/>
  <c r="J42" i="155"/>
  <c r="G744" i="155"/>
  <c r="K867" i="161"/>
  <c r="K869" i="161" s="1"/>
  <c r="K650" i="161"/>
  <c r="F40" i="160"/>
  <c r="H744" i="160"/>
  <c r="H40" i="160" s="1"/>
  <c r="I744" i="160"/>
  <c r="I40" i="160" s="1"/>
  <c r="J744" i="160"/>
  <c r="J40" i="160" s="1"/>
  <c r="J872" i="160"/>
  <c r="L608" i="160"/>
  <c r="L610" i="160" s="1"/>
  <c r="L605" i="160"/>
  <c r="G30" i="160"/>
  <c r="J34" i="9"/>
  <c r="K654" i="9"/>
  <c r="H40" i="166"/>
  <c r="F42" i="155"/>
  <c r="H872" i="160"/>
  <c r="H872" i="165"/>
  <c r="F887" i="155"/>
  <c r="F896" i="155" s="1"/>
  <c r="F897" i="155" s="1"/>
  <c r="F899" i="155" s="1"/>
  <c r="F890" i="155"/>
  <c r="F892" i="155" s="1"/>
  <c r="F43" i="155"/>
  <c r="F44" i="155" s="1"/>
  <c r="H650" i="162"/>
  <c r="H867" i="162"/>
  <c r="I895" i="167"/>
  <c r="I877" i="167"/>
  <c r="I881" i="167" s="1"/>
  <c r="I882" i="167" s="1"/>
  <c r="I884" i="167" s="1"/>
  <c r="H24" i="49"/>
  <c r="H25" i="49" s="1"/>
  <c r="H29" i="49" s="1"/>
  <c r="H41" i="49" s="1"/>
  <c r="H42" i="49" s="1"/>
  <c r="L22" i="160"/>
  <c r="J872" i="155"/>
  <c r="J608" i="165"/>
  <c r="J610" i="165" s="1"/>
  <c r="J605" i="165"/>
  <c r="J23" i="165" s="1"/>
  <c r="J24" i="165" s="1"/>
  <c r="J28" i="165" s="1"/>
  <c r="K24" i="160" l="1"/>
  <c r="L24" i="161"/>
  <c r="J877" i="159"/>
  <c r="J881" i="159" s="1"/>
  <c r="J882" i="159" s="1"/>
  <c r="I895" i="160"/>
  <c r="J895" i="162"/>
  <c r="G745" i="160"/>
  <c r="G31" i="160" s="1"/>
  <c r="G32" i="160" s="1"/>
  <c r="I890" i="165"/>
  <c r="I892" i="165" s="1"/>
  <c r="H764" i="159"/>
  <c r="I764" i="159" s="1"/>
  <c r="J764" i="159" s="1"/>
  <c r="K764" i="159" s="1"/>
  <c r="J763" i="159"/>
  <c r="K763" i="159" s="1"/>
  <c r="K23" i="165"/>
  <c r="H762" i="159"/>
  <c r="I762" i="159" s="1"/>
  <c r="J762" i="159" s="1"/>
  <c r="K762" i="159" s="1"/>
  <c r="J761" i="159"/>
  <c r="K761" i="159" s="1"/>
  <c r="F35" i="155"/>
  <c r="F37" i="155" s="1"/>
  <c r="K40" i="159"/>
  <c r="J41" i="159"/>
  <c r="J42" i="159" s="1"/>
  <c r="I744" i="161"/>
  <c r="I40" i="161" s="1"/>
  <c r="J744" i="161"/>
  <c r="J40" i="161" s="1"/>
  <c r="F40" i="161"/>
  <c r="H744" i="161"/>
  <c r="H40" i="161" s="1"/>
  <c r="J895" i="155"/>
  <c r="J877" i="155"/>
  <c r="J881" i="155" s="1"/>
  <c r="J882" i="155" s="1"/>
  <c r="J884" i="155" s="1"/>
  <c r="G744" i="160"/>
  <c r="H41" i="160"/>
  <c r="H42" i="160" s="1"/>
  <c r="H41" i="167"/>
  <c r="H42" i="167" s="1"/>
  <c r="G762" i="157"/>
  <c r="H762" i="157"/>
  <c r="J761" i="157"/>
  <c r="K761" i="157" s="1"/>
  <c r="I43" i="157"/>
  <c r="I32" i="157"/>
  <c r="K650" i="160"/>
  <c r="K867" i="160"/>
  <c r="K869" i="160" s="1"/>
  <c r="H31" i="167"/>
  <c r="J43" i="155"/>
  <c r="J44" i="155" s="1"/>
  <c r="H31" i="166"/>
  <c r="H43" i="166" s="1"/>
  <c r="H44" i="166" s="1"/>
  <c r="I43" i="155"/>
  <c r="I44" i="155" s="1"/>
  <c r="F24" i="165"/>
  <c r="F32" i="160"/>
  <c r="G650" i="167"/>
  <c r="G867" i="167"/>
  <c r="F31" i="161"/>
  <c r="J745" i="161"/>
  <c r="H745" i="161"/>
  <c r="I745" i="161"/>
  <c r="F649" i="161"/>
  <c r="F651" i="161" s="1"/>
  <c r="J884" i="159"/>
  <c r="G890" i="159"/>
  <c r="G892" i="159" s="1"/>
  <c r="G887" i="159"/>
  <c r="G896" i="159" s="1"/>
  <c r="G897" i="159" s="1"/>
  <c r="G899" i="159" s="1"/>
  <c r="I41" i="159"/>
  <c r="I42" i="159" s="1"/>
  <c r="J31" i="160"/>
  <c r="J649" i="160"/>
  <c r="L872" i="161"/>
  <c r="I653" i="157"/>
  <c r="J653" i="157" s="1"/>
  <c r="J651" i="157"/>
  <c r="G871" i="165"/>
  <c r="J871" i="165" s="1"/>
  <c r="G869" i="165"/>
  <c r="I653" i="159"/>
  <c r="I654" i="159" s="1"/>
  <c r="I34" i="159" s="1"/>
  <c r="I35" i="159" s="1"/>
  <c r="I37" i="159" s="1"/>
  <c r="H41" i="165"/>
  <c r="H42" i="165" s="1"/>
  <c r="G40" i="167"/>
  <c r="J41" i="160"/>
  <c r="J42" i="160" s="1"/>
  <c r="K744" i="155"/>
  <c r="G40" i="155"/>
  <c r="I890" i="160"/>
  <c r="I892" i="160" s="1"/>
  <c r="I887" i="160"/>
  <c r="I896" i="160" s="1"/>
  <c r="G650" i="160"/>
  <c r="G867" i="160"/>
  <c r="H649" i="167"/>
  <c r="H651" i="167" s="1"/>
  <c r="J651" i="155"/>
  <c r="J608" i="167"/>
  <c r="J610" i="167" s="1"/>
  <c r="J605" i="167"/>
  <c r="J23" i="167" s="1"/>
  <c r="K23" i="167" s="1"/>
  <c r="K603" i="167"/>
  <c r="K872" i="161"/>
  <c r="K895" i="161" s="1"/>
  <c r="G895" i="161"/>
  <c r="G877" i="161"/>
  <c r="L871" i="160"/>
  <c r="L869" i="160"/>
  <c r="J31" i="159"/>
  <c r="K745" i="159"/>
  <c r="J649" i="159" s="1"/>
  <c r="H887" i="161"/>
  <c r="H896" i="161" s="1"/>
  <c r="H897" i="161" s="1"/>
  <c r="H899" i="161" s="1"/>
  <c r="H890" i="161"/>
  <c r="H892" i="161" s="1"/>
  <c r="K608" i="165"/>
  <c r="K610" i="165" s="1"/>
  <c r="K605" i="165"/>
  <c r="F871" i="167"/>
  <c r="F869" i="167"/>
  <c r="E18" i="6"/>
  <c r="J35" i="49"/>
  <c r="J37" i="49" s="1"/>
  <c r="G649" i="155"/>
  <c r="H649" i="164" s="1"/>
  <c r="G31" i="155"/>
  <c r="K745" i="155"/>
  <c r="F653" i="160"/>
  <c r="F654" i="160" s="1"/>
  <c r="F34" i="160" s="1"/>
  <c r="I31" i="160"/>
  <c r="I649" i="160"/>
  <c r="J637" i="167"/>
  <c r="K637" i="167" s="1"/>
  <c r="K645" i="167" s="1"/>
  <c r="K646" i="167" s="1"/>
  <c r="K647" i="167" s="1"/>
  <c r="K635" i="167"/>
  <c r="H649" i="165"/>
  <c r="H651" i="165" s="1"/>
  <c r="F41" i="167"/>
  <c r="F42" i="167" s="1"/>
  <c r="F30" i="167"/>
  <c r="H871" i="162"/>
  <c r="H869" i="162"/>
  <c r="G30" i="167"/>
  <c r="J40" i="157"/>
  <c r="K744" i="157"/>
  <c r="G34" i="159"/>
  <c r="G35" i="159" s="1"/>
  <c r="G37" i="159" s="1"/>
  <c r="I890" i="161"/>
  <c r="I892" i="161" s="1"/>
  <c r="I887" i="161"/>
  <c r="I896" i="161" s="1"/>
  <c r="I897" i="161" s="1"/>
  <c r="I899" i="161" s="1"/>
  <c r="K30" i="161"/>
  <c r="L28" i="161"/>
  <c r="J650" i="165"/>
  <c r="J867" i="165"/>
  <c r="J869" i="165" s="1"/>
  <c r="I887" i="167"/>
  <c r="I896" i="167" s="1"/>
  <c r="I897" i="167" s="1"/>
  <c r="I899" i="167" s="1"/>
  <c r="I890" i="167"/>
  <c r="I892" i="167" s="1"/>
  <c r="H895" i="165"/>
  <c r="H877" i="165"/>
  <c r="H881" i="165" s="1"/>
  <c r="H882" i="165" s="1"/>
  <c r="H884" i="165" s="1"/>
  <c r="H895" i="160"/>
  <c r="H877" i="160"/>
  <c r="H881" i="160" s="1"/>
  <c r="H882" i="160" s="1"/>
  <c r="H884" i="160" s="1"/>
  <c r="K34" i="9"/>
  <c r="J35" i="9"/>
  <c r="J37" i="9" s="1"/>
  <c r="K890" i="159"/>
  <c r="K892" i="159" s="1"/>
  <c r="K887" i="159"/>
  <c r="K896" i="159" s="1"/>
  <c r="K897" i="159" s="1"/>
  <c r="K899" i="159" s="1"/>
  <c r="I42" i="157"/>
  <c r="I44" i="157"/>
  <c r="I41" i="157"/>
  <c r="J31" i="157"/>
  <c r="K745" i="157"/>
  <c r="J649" i="157" s="1"/>
  <c r="K28" i="160"/>
  <c r="L24" i="160"/>
  <c r="J895" i="160"/>
  <c r="J877" i="160"/>
  <c r="J881" i="160" s="1"/>
  <c r="J882" i="160" s="1"/>
  <c r="J884" i="160" s="1"/>
  <c r="G40" i="166"/>
  <c r="I41" i="160"/>
  <c r="I42" i="160" s="1"/>
  <c r="G881" i="157"/>
  <c r="G882" i="157" s="1"/>
  <c r="G884" i="157" s="1"/>
  <c r="J877" i="157"/>
  <c r="J881" i="157" s="1"/>
  <c r="J882" i="157" s="1"/>
  <c r="J763" i="157"/>
  <c r="K763" i="157" s="1"/>
  <c r="H764" i="157"/>
  <c r="G764" i="157"/>
  <c r="J887" i="162"/>
  <c r="J896" i="162" s="1"/>
  <c r="J897" i="162" s="1"/>
  <c r="J899" i="162" s="1"/>
  <c r="J890" i="162"/>
  <c r="J892" i="162" s="1"/>
  <c r="K637" i="165"/>
  <c r="F645" i="165"/>
  <c r="F895" i="160"/>
  <c r="F877" i="160"/>
  <c r="F881" i="160" s="1"/>
  <c r="F882" i="160" s="1"/>
  <c r="F884" i="160" s="1"/>
  <c r="F41" i="160"/>
  <c r="F42" i="160" s="1"/>
  <c r="I43" i="159"/>
  <c r="I44" i="159" s="1"/>
  <c r="I32" i="159"/>
  <c r="H895" i="167"/>
  <c r="H877" i="167"/>
  <c r="H881" i="167" s="1"/>
  <c r="H882" i="167" s="1"/>
  <c r="H884" i="167" s="1"/>
  <c r="H41" i="162"/>
  <c r="H42" i="162" s="1"/>
  <c r="H48" i="49"/>
  <c r="H49" i="49" s="1"/>
  <c r="H31" i="160"/>
  <c r="H649" i="160"/>
  <c r="F43" i="160"/>
  <c r="F44" i="160" s="1"/>
  <c r="K22" i="167"/>
  <c r="H31" i="165"/>
  <c r="H43" i="165" s="1"/>
  <c r="H44" i="165" s="1"/>
  <c r="H43" i="155"/>
  <c r="H44" i="155" s="1"/>
  <c r="K890" i="157"/>
  <c r="K892" i="157" s="1"/>
  <c r="K887" i="157"/>
  <c r="K896" i="157" s="1"/>
  <c r="K897" i="157" s="1"/>
  <c r="G649" i="160" l="1"/>
  <c r="G649" i="164" s="1"/>
  <c r="K745" i="160"/>
  <c r="K649" i="160" s="1"/>
  <c r="I897" i="160"/>
  <c r="I899" i="160" s="1"/>
  <c r="J24" i="167"/>
  <c r="K24" i="167" s="1"/>
  <c r="J653" i="159"/>
  <c r="G872" i="165"/>
  <c r="G877" i="165" s="1"/>
  <c r="O762" i="159"/>
  <c r="J654" i="159"/>
  <c r="J34" i="159" s="1"/>
  <c r="J35" i="159" s="1"/>
  <c r="J37" i="159" s="1"/>
  <c r="I654" i="157"/>
  <c r="J654" i="157" s="1"/>
  <c r="J34" i="157" s="1"/>
  <c r="F887" i="160"/>
  <c r="F896" i="160" s="1"/>
  <c r="F897" i="160" s="1"/>
  <c r="F899" i="160" s="1"/>
  <c r="F890" i="160"/>
  <c r="F892" i="160" s="1"/>
  <c r="I764" i="157"/>
  <c r="J764" i="157" s="1"/>
  <c r="K764" i="157" s="1"/>
  <c r="L30" i="161"/>
  <c r="K40" i="157"/>
  <c r="J41" i="157"/>
  <c r="J42" i="157" s="1"/>
  <c r="K649" i="155"/>
  <c r="K31" i="155"/>
  <c r="L745" i="155"/>
  <c r="L649" i="155" s="1"/>
  <c r="H40" i="164"/>
  <c r="J890" i="159"/>
  <c r="J892" i="159" s="1"/>
  <c r="J887" i="159"/>
  <c r="J896" i="159" s="1"/>
  <c r="J897" i="159" s="1"/>
  <c r="J899" i="159" s="1"/>
  <c r="H649" i="161"/>
  <c r="H31" i="161"/>
  <c r="G869" i="167"/>
  <c r="G871" i="167"/>
  <c r="J871" i="167" s="1"/>
  <c r="K24" i="165"/>
  <c r="F28" i="165"/>
  <c r="I762" i="157"/>
  <c r="O762" i="157" s="1"/>
  <c r="I40" i="167"/>
  <c r="J41" i="161"/>
  <c r="J42" i="161" s="1"/>
  <c r="K44" i="159"/>
  <c r="K42" i="159"/>
  <c r="K41" i="159"/>
  <c r="H51" i="49"/>
  <c r="H52" i="49" s="1"/>
  <c r="H34" i="49" s="1"/>
  <c r="J43" i="157"/>
  <c r="J44" i="157" s="1"/>
  <c r="K31" i="157"/>
  <c r="H890" i="160"/>
  <c r="H892" i="160" s="1"/>
  <c r="H887" i="160"/>
  <c r="H896" i="160" s="1"/>
  <c r="H897" i="160" s="1"/>
  <c r="H899" i="160" s="1"/>
  <c r="H653" i="165"/>
  <c r="H654" i="165" s="1"/>
  <c r="H34" i="165" s="1"/>
  <c r="H35" i="165" s="1"/>
  <c r="H37" i="165" s="1"/>
  <c r="G31" i="166"/>
  <c r="I43" i="160"/>
  <c r="I44" i="160" s="1"/>
  <c r="I32" i="160"/>
  <c r="H31" i="164"/>
  <c r="G43" i="155"/>
  <c r="G44" i="155" s="1"/>
  <c r="F872" i="167"/>
  <c r="L872" i="160"/>
  <c r="G651" i="160"/>
  <c r="K40" i="155"/>
  <c r="L744" i="155"/>
  <c r="L31" i="49" s="1"/>
  <c r="G31" i="167"/>
  <c r="G32" i="167" s="1"/>
  <c r="J43" i="160"/>
  <c r="J44" i="160" s="1"/>
  <c r="J32" i="160"/>
  <c r="G745" i="161"/>
  <c r="J32" i="157"/>
  <c r="I40" i="165"/>
  <c r="H41" i="161"/>
  <c r="H42" i="161" s="1"/>
  <c r="I40" i="166"/>
  <c r="J40" i="166" s="1"/>
  <c r="I41" i="161"/>
  <c r="I42" i="161" s="1"/>
  <c r="H887" i="167"/>
  <c r="H896" i="167" s="1"/>
  <c r="H897" i="167" s="1"/>
  <c r="H899" i="167" s="1"/>
  <c r="H890" i="167"/>
  <c r="H892" i="167" s="1"/>
  <c r="G649" i="166"/>
  <c r="I651" i="160"/>
  <c r="G649" i="165"/>
  <c r="H651" i="160"/>
  <c r="G41" i="167"/>
  <c r="G42" i="167" s="1"/>
  <c r="F35" i="160"/>
  <c r="F37" i="160" s="1"/>
  <c r="K608" i="167"/>
  <c r="K610" i="167" s="1"/>
  <c r="K605" i="167"/>
  <c r="J653" i="155"/>
  <c r="J654" i="155" s="1"/>
  <c r="J34" i="155" s="1"/>
  <c r="J35" i="155" s="1"/>
  <c r="J37" i="155" s="1"/>
  <c r="L745" i="160"/>
  <c r="L649" i="160" s="1"/>
  <c r="L651" i="160" s="1"/>
  <c r="F653" i="161"/>
  <c r="F654" i="161" s="1"/>
  <c r="F34" i="161" s="1"/>
  <c r="J31" i="161"/>
  <c r="J649" i="161"/>
  <c r="J887" i="155"/>
  <c r="J896" i="155" s="1"/>
  <c r="J897" i="155" s="1"/>
  <c r="J899" i="155" s="1"/>
  <c r="J890" i="155"/>
  <c r="J892" i="155" s="1"/>
  <c r="F41" i="161"/>
  <c r="F42" i="161" s="1"/>
  <c r="J884" i="157"/>
  <c r="G890" i="157"/>
  <c r="G892" i="157" s="1"/>
  <c r="G887" i="157"/>
  <c r="G896" i="157" s="1"/>
  <c r="G897" i="157" s="1"/>
  <c r="G899" i="157" s="1"/>
  <c r="E18" i="24"/>
  <c r="F18" i="24" s="1"/>
  <c r="E18" i="7"/>
  <c r="F18" i="7" s="1"/>
  <c r="E18" i="8"/>
  <c r="F18" i="8" s="1"/>
  <c r="F18" i="6"/>
  <c r="J43" i="159"/>
  <c r="J44" i="159" s="1"/>
  <c r="K31" i="159"/>
  <c r="K43" i="159" s="1"/>
  <c r="J32" i="159"/>
  <c r="G869" i="160"/>
  <c r="G871" i="160"/>
  <c r="K871" i="160" s="1"/>
  <c r="G649" i="167"/>
  <c r="J651" i="160"/>
  <c r="J28" i="167"/>
  <c r="G31" i="165"/>
  <c r="H43" i="160"/>
  <c r="H44" i="160" s="1"/>
  <c r="H32" i="160"/>
  <c r="F646" i="165"/>
  <c r="K645" i="165"/>
  <c r="J887" i="160"/>
  <c r="J896" i="160" s="1"/>
  <c r="J897" i="160" s="1"/>
  <c r="J899" i="160" s="1"/>
  <c r="J890" i="160"/>
  <c r="J892" i="160" s="1"/>
  <c r="K30" i="160"/>
  <c r="L28" i="160"/>
  <c r="H890" i="165"/>
  <c r="H892" i="165" s="1"/>
  <c r="H887" i="165"/>
  <c r="H896" i="165" s="1"/>
  <c r="H897" i="165" s="1"/>
  <c r="H899" i="165" s="1"/>
  <c r="H872" i="162"/>
  <c r="K650" i="167"/>
  <c r="K867" i="167"/>
  <c r="G881" i="161"/>
  <c r="G882" i="161" s="1"/>
  <c r="G884" i="161" s="1"/>
  <c r="K877" i="161"/>
  <c r="K881" i="161" s="1"/>
  <c r="K882" i="161" s="1"/>
  <c r="H653" i="167"/>
  <c r="H654" i="167" s="1"/>
  <c r="H34" i="167" s="1"/>
  <c r="H35" i="167" s="1"/>
  <c r="H37" i="167" s="1"/>
  <c r="G31" i="164"/>
  <c r="J647" i="167"/>
  <c r="L895" i="161"/>
  <c r="L877" i="161"/>
  <c r="L881" i="161" s="1"/>
  <c r="L882" i="161" s="1"/>
  <c r="L884" i="161" s="1"/>
  <c r="I649" i="161"/>
  <c r="I31" i="161"/>
  <c r="F43" i="161"/>
  <c r="F44" i="161" s="1"/>
  <c r="F32" i="161"/>
  <c r="H43" i="167"/>
  <c r="H44" i="167" s="1"/>
  <c r="H32" i="167"/>
  <c r="K744" i="160"/>
  <c r="G40" i="160"/>
  <c r="G43" i="160" s="1"/>
  <c r="G744" i="161"/>
  <c r="J872" i="165" l="1"/>
  <c r="J895" i="165" s="1"/>
  <c r="G895" i="165"/>
  <c r="K31" i="160"/>
  <c r="L31" i="160" s="1"/>
  <c r="K34" i="159"/>
  <c r="K35" i="159" s="1"/>
  <c r="K37" i="159" s="1"/>
  <c r="I34" i="157"/>
  <c r="H43" i="164"/>
  <c r="K43" i="157"/>
  <c r="J762" i="157"/>
  <c r="K762" i="157" s="1"/>
  <c r="G872" i="167"/>
  <c r="G877" i="167" s="1"/>
  <c r="G872" i="160"/>
  <c r="G895" i="160" s="1"/>
  <c r="F35" i="161"/>
  <c r="F37" i="161" s="1"/>
  <c r="K40" i="160"/>
  <c r="L744" i="160"/>
  <c r="J30" i="167"/>
  <c r="K28" i="167"/>
  <c r="G31" i="161"/>
  <c r="K745" i="161"/>
  <c r="G649" i="161"/>
  <c r="L895" i="160"/>
  <c r="L877" i="160"/>
  <c r="L881" i="160" s="1"/>
  <c r="L882" i="160" s="1"/>
  <c r="L884" i="160" s="1"/>
  <c r="J653" i="160"/>
  <c r="J654" i="160" s="1"/>
  <c r="J34" i="160" s="1"/>
  <c r="J35" i="160" s="1"/>
  <c r="J37" i="160" s="1"/>
  <c r="H653" i="160"/>
  <c r="H654" i="160" s="1"/>
  <c r="H34" i="160" s="1"/>
  <c r="H35" i="160" s="1"/>
  <c r="H37" i="160" s="1"/>
  <c r="I41" i="165"/>
  <c r="I42" i="165" s="1"/>
  <c r="G40" i="165"/>
  <c r="L40" i="155"/>
  <c r="F895" i="167"/>
  <c r="F877" i="167"/>
  <c r="F881" i="167" s="1"/>
  <c r="F882" i="167" s="1"/>
  <c r="F884" i="167" s="1"/>
  <c r="E16" i="6"/>
  <c r="H35" i="49"/>
  <c r="H37" i="49" s="1"/>
  <c r="I41" i="167"/>
  <c r="I42" i="167" s="1"/>
  <c r="K28" i="165"/>
  <c r="F41" i="165"/>
  <c r="F42" i="165" s="1"/>
  <c r="I31" i="165"/>
  <c r="I43" i="165" s="1"/>
  <c r="I44" i="165" s="1"/>
  <c r="H31" i="162"/>
  <c r="H43" i="161"/>
  <c r="H44" i="161" s="1"/>
  <c r="H32" i="161"/>
  <c r="J35" i="157"/>
  <c r="J37" i="157" s="1"/>
  <c r="K34" i="157"/>
  <c r="K42" i="157"/>
  <c r="K44" i="157"/>
  <c r="K41" i="157"/>
  <c r="K884" i="161"/>
  <c r="G890" i="161"/>
  <c r="G892" i="161" s="1"/>
  <c r="G887" i="161"/>
  <c r="G896" i="161" s="1"/>
  <c r="G897" i="161" s="1"/>
  <c r="G899" i="161" s="1"/>
  <c r="K43" i="155"/>
  <c r="K44" i="155" s="1"/>
  <c r="L31" i="155"/>
  <c r="I31" i="166"/>
  <c r="I43" i="166" s="1"/>
  <c r="I44" i="166" s="1"/>
  <c r="I43" i="161"/>
  <c r="I44" i="161" s="1"/>
  <c r="I31" i="162"/>
  <c r="I32" i="161"/>
  <c r="J867" i="167"/>
  <c r="J869" i="167" s="1"/>
  <c r="J650" i="167"/>
  <c r="K871" i="167"/>
  <c r="K869" i="167"/>
  <c r="I649" i="167"/>
  <c r="I651" i="167" s="1"/>
  <c r="J649" i="162"/>
  <c r="J651" i="161"/>
  <c r="L653" i="160"/>
  <c r="L654" i="160" s="1"/>
  <c r="G651" i="165"/>
  <c r="I653" i="160"/>
  <c r="I654" i="160" s="1"/>
  <c r="I34" i="160" s="1"/>
  <c r="I35" i="160" s="1"/>
  <c r="I37" i="160" s="1"/>
  <c r="K651" i="160"/>
  <c r="G43" i="166"/>
  <c r="G44" i="166" s="1"/>
  <c r="I649" i="165"/>
  <c r="I651" i="165" s="1"/>
  <c r="H649" i="162"/>
  <c r="H651" i="161"/>
  <c r="J40" i="167"/>
  <c r="L887" i="161"/>
  <c r="L896" i="161" s="1"/>
  <c r="L897" i="161" s="1"/>
  <c r="L899" i="161" s="1"/>
  <c r="L890" i="161"/>
  <c r="L892" i="161" s="1"/>
  <c r="H895" i="162"/>
  <c r="H877" i="162"/>
  <c r="H881" i="162" s="1"/>
  <c r="H882" i="162" s="1"/>
  <c r="H884" i="162" s="1"/>
  <c r="K40" i="166"/>
  <c r="L43" i="49"/>
  <c r="G40" i="161"/>
  <c r="K744" i="161"/>
  <c r="G44" i="160"/>
  <c r="G41" i="160"/>
  <c r="G42" i="160" s="1"/>
  <c r="I649" i="162"/>
  <c r="F649" i="166" s="1"/>
  <c r="I649" i="166"/>
  <c r="J649" i="166" s="1"/>
  <c r="I651" i="161"/>
  <c r="K32" i="160"/>
  <c r="L30" i="160"/>
  <c r="K646" i="165"/>
  <c r="F647" i="165"/>
  <c r="J890" i="157"/>
  <c r="J892" i="157" s="1"/>
  <c r="J887" i="157"/>
  <c r="J896" i="157" s="1"/>
  <c r="J897" i="157" s="1"/>
  <c r="J899" i="157" s="1"/>
  <c r="I31" i="167"/>
  <c r="J31" i="167" s="1"/>
  <c r="J43" i="161"/>
  <c r="J44" i="161" s="1"/>
  <c r="J31" i="162"/>
  <c r="J32" i="161"/>
  <c r="G881" i="165"/>
  <c r="G882" i="165" s="1"/>
  <c r="G884" i="165" s="1"/>
  <c r="J877" i="165"/>
  <c r="J881" i="165" s="1"/>
  <c r="J882" i="165" s="1"/>
  <c r="G651" i="167"/>
  <c r="G43" i="167"/>
  <c r="G44" i="167" s="1"/>
  <c r="H44" i="164"/>
  <c r="K43" i="160" l="1"/>
  <c r="K44" i="160" s="1"/>
  <c r="G877" i="160"/>
  <c r="G881" i="160" s="1"/>
  <c r="G882" i="160" s="1"/>
  <c r="G884" i="160" s="1"/>
  <c r="K872" i="160"/>
  <c r="K895" i="160" s="1"/>
  <c r="J872" i="167"/>
  <c r="J895" i="167" s="1"/>
  <c r="J31" i="165"/>
  <c r="G895" i="167"/>
  <c r="L43" i="155"/>
  <c r="J43" i="167"/>
  <c r="J44" i="167" s="1"/>
  <c r="J649" i="167"/>
  <c r="J649" i="165"/>
  <c r="K649" i="166"/>
  <c r="F649" i="167"/>
  <c r="J651" i="162"/>
  <c r="J40" i="165"/>
  <c r="G41" i="165"/>
  <c r="G42" i="165" s="1"/>
  <c r="G881" i="167"/>
  <c r="G882" i="167" s="1"/>
  <c r="G884" i="167" s="1"/>
  <c r="J877" i="167"/>
  <c r="J881" i="167" s="1"/>
  <c r="J882" i="167" s="1"/>
  <c r="L32" i="160"/>
  <c r="K40" i="161"/>
  <c r="L744" i="161"/>
  <c r="H653" i="161"/>
  <c r="H654" i="161" s="1"/>
  <c r="H34" i="161" s="1"/>
  <c r="H35" i="161" s="1"/>
  <c r="H37" i="161" s="1"/>
  <c r="J31" i="166"/>
  <c r="J43" i="166" s="1"/>
  <c r="J44" i="166" s="1"/>
  <c r="I653" i="167"/>
  <c r="I654" i="167" s="1"/>
  <c r="I34" i="167" s="1"/>
  <c r="I35" i="167" s="1"/>
  <c r="I37" i="167" s="1"/>
  <c r="K872" i="167"/>
  <c r="K890" i="161"/>
  <c r="K892" i="161" s="1"/>
  <c r="K887" i="161"/>
  <c r="K896" i="161" s="1"/>
  <c r="K897" i="161" s="1"/>
  <c r="K899" i="161" s="1"/>
  <c r="F31" i="165"/>
  <c r="P31" i="162"/>
  <c r="H43" i="162"/>
  <c r="H44" i="162" s="1"/>
  <c r="H31" i="49"/>
  <c r="L42" i="155"/>
  <c r="L44" i="155"/>
  <c r="G649" i="162"/>
  <c r="I649" i="164"/>
  <c r="J649" i="164" s="1"/>
  <c r="G651" i="161"/>
  <c r="K30" i="167"/>
  <c r="L40" i="160"/>
  <c r="L43" i="160" s="1"/>
  <c r="K41" i="160"/>
  <c r="K42" i="160" s="1"/>
  <c r="K40" i="167"/>
  <c r="K41" i="167" s="1"/>
  <c r="F31" i="167"/>
  <c r="J43" i="162"/>
  <c r="J44" i="162" s="1"/>
  <c r="J31" i="49"/>
  <c r="I40" i="164"/>
  <c r="G41" i="161"/>
  <c r="G42" i="161" s="1"/>
  <c r="F649" i="165"/>
  <c r="H651" i="162"/>
  <c r="F31" i="166"/>
  <c r="I31" i="49"/>
  <c r="I43" i="162"/>
  <c r="I44" i="162" s="1"/>
  <c r="E16" i="24"/>
  <c r="F16" i="24" s="1"/>
  <c r="E16" i="7"/>
  <c r="F16" i="7" s="1"/>
  <c r="E16" i="8"/>
  <c r="F16" i="8" s="1"/>
  <c r="F16" i="6"/>
  <c r="K31" i="161"/>
  <c r="K649" i="161"/>
  <c r="L745" i="161"/>
  <c r="L649" i="161" s="1"/>
  <c r="L651" i="161" s="1"/>
  <c r="J32" i="167"/>
  <c r="I43" i="167"/>
  <c r="I44" i="167" s="1"/>
  <c r="I32" i="167"/>
  <c r="H890" i="162"/>
  <c r="H892" i="162" s="1"/>
  <c r="H887" i="162"/>
  <c r="H896" i="162" s="1"/>
  <c r="H897" i="162" s="1"/>
  <c r="H899" i="162" s="1"/>
  <c r="G890" i="165"/>
  <c r="G892" i="165" s="1"/>
  <c r="J884" i="165"/>
  <c r="G887" i="165"/>
  <c r="G896" i="165" s="1"/>
  <c r="G897" i="165" s="1"/>
  <c r="G899" i="165" s="1"/>
  <c r="I653" i="161"/>
  <c r="I654" i="161" s="1"/>
  <c r="I34" i="161" s="1"/>
  <c r="I35" i="161" s="1"/>
  <c r="I37" i="161" s="1"/>
  <c r="J651" i="167"/>
  <c r="F650" i="165"/>
  <c r="F867" i="165"/>
  <c r="K647" i="165"/>
  <c r="I653" i="165"/>
  <c r="I654" i="165" s="1"/>
  <c r="I34" i="165" s="1"/>
  <c r="I35" i="165" s="1"/>
  <c r="I37" i="165" s="1"/>
  <c r="J651" i="165"/>
  <c r="J653" i="161"/>
  <c r="J654" i="161" s="1"/>
  <c r="J34" i="161" s="1"/>
  <c r="J35" i="161" s="1"/>
  <c r="J37" i="161" s="1"/>
  <c r="G43" i="165"/>
  <c r="G44" i="165" s="1"/>
  <c r="F890" i="167"/>
  <c r="F892" i="167" s="1"/>
  <c r="F887" i="167"/>
  <c r="F896" i="167" s="1"/>
  <c r="F897" i="167" s="1"/>
  <c r="F899" i="167" s="1"/>
  <c r="G653" i="160"/>
  <c r="L890" i="160"/>
  <c r="L892" i="160" s="1"/>
  <c r="L887" i="160"/>
  <c r="L896" i="160" s="1"/>
  <c r="L897" i="160" s="1"/>
  <c r="L899" i="160" s="1"/>
  <c r="G31" i="162"/>
  <c r="G43" i="161"/>
  <c r="G44" i="161" s="1"/>
  <c r="I31" i="164"/>
  <c r="G32" i="161"/>
  <c r="J41" i="167"/>
  <c r="J42" i="167" s="1"/>
  <c r="K877" i="160" l="1"/>
  <c r="K881" i="160" s="1"/>
  <c r="K882" i="160" s="1"/>
  <c r="J43" i="165"/>
  <c r="K649" i="165"/>
  <c r="F869" i="165"/>
  <c r="F871" i="165"/>
  <c r="L653" i="161"/>
  <c r="L654" i="161" s="1"/>
  <c r="G40" i="164"/>
  <c r="K31" i="167"/>
  <c r="K43" i="167" s="1"/>
  <c r="K44" i="167" s="1"/>
  <c r="F43" i="167"/>
  <c r="F44" i="167" s="1"/>
  <c r="F32" i="167"/>
  <c r="F649" i="162"/>
  <c r="K649" i="162"/>
  <c r="F649" i="164"/>
  <c r="K649" i="164" s="1"/>
  <c r="K895" i="167"/>
  <c r="K877" i="167"/>
  <c r="K881" i="167" s="1"/>
  <c r="K882" i="167" s="1"/>
  <c r="K884" i="167" s="1"/>
  <c r="K884" i="160"/>
  <c r="G890" i="160"/>
  <c r="G892" i="160" s="1"/>
  <c r="G887" i="160"/>
  <c r="G896" i="160" s="1"/>
  <c r="G897" i="160" s="1"/>
  <c r="G899" i="160" s="1"/>
  <c r="I43" i="164"/>
  <c r="I44" i="164" s="1"/>
  <c r="J31" i="164"/>
  <c r="F651" i="165"/>
  <c r="I43" i="49"/>
  <c r="I44" i="49" s="1"/>
  <c r="L42" i="160"/>
  <c r="L44" i="160"/>
  <c r="L41" i="160"/>
  <c r="F43" i="165"/>
  <c r="F44" i="165" s="1"/>
  <c r="K31" i="165"/>
  <c r="J653" i="162"/>
  <c r="J654" i="162" s="1"/>
  <c r="J34" i="162" s="1"/>
  <c r="J35" i="162" s="1"/>
  <c r="J37" i="162" s="1"/>
  <c r="J887" i="165"/>
  <c r="J896" i="165" s="1"/>
  <c r="J897" i="165" s="1"/>
  <c r="J899" i="165" s="1"/>
  <c r="J890" i="165"/>
  <c r="J892" i="165" s="1"/>
  <c r="K653" i="160"/>
  <c r="G654" i="160"/>
  <c r="K43" i="161"/>
  <c r="K44" i="161" s="1"/>
  <c r="K32" i="161"/>
  <c r="L31" i="161"/>
  <c r="K31" i="166"/>
  <c r="K43" i="166" s="1"/>
  <c r="K44" i="166" s="1"/>
  <c r="F43" i="166"/>
  <c r="F44" i="166" s="1"/>
  <c r="J32" i="49"/>
  <c r="J43" i="49"/>
  <c r="J44" i="49" s="1"/>
  <c r="K42" i="167"/>
  <c r="G653" i="161"/>
  <c r="K653" i="161" s="1"/>
  <c r="K651" i="161"/>
  <c r="H32" i="49"/>
  <c r="H43" i="49"/>
  <c r="H44" i="49" s="1"/>
  <c r="K41" i="161"/>
  <c r="K42" i="161" s="1"/>
  <c r="L40" i="161"/>
  <c r="J884" i="167"/>
  <c r="G890" i="167"/>
  <c r="G892" i="167" s="1"/>
  <c r="G887" i="167"/>
  <c r="G896" i="167" s="1"/>
  <c r="G897" i="167" s="1"/>
  <c r="G899" i="167" s="1"/>
  <c r="J44" i="165"/>
  <c r="K40" i="165"/>
  <c r="J41" i="165"/>
  <c r="J42" i="165" s="1"/>
  <c r="K649" i="167"/>
  <c r="K651" i="167" s="1"/>
  <c r="F651" i="167"/>
  <c r="K31" i="162"/>
  <c r="K43" i="162" s="1"/>
  <c r="K44" i="162" s="1"/>
  <c r="G43" i="162"/>
  <c r="G44" i="162" s="1"/>
  <c r="F31" i="164"/>
  <c r="F31" i="162"/>
  <c r="G31" i="49"/>
  <c r="K867" i="165"/>
  <c r="K650" i="165"/>
  <c r="K651" i="165" s="1"/>
  <c r="H653" i="162"/>
  <c r="H654" i="162" s="1"/>
  <c r="H34" i="162" s="1"/>
  <c r="G654" i="161" l="1"/>
  <c r="K869" i="165"/>
  <c r="K871" i="165"/>
  <c r="H35" i="162"/>
  <c r="H37" i="162" s="1"/>
  <c r="G34" i="161"/>
  <c r="G35" i="161" s="1"/>
  <c r="G37" i="161" s="1"/>
  <c r="K654" i="161"/>
  <c r="K34" i="161" s="1"/>
  <c r="G34" i="160"/>
  <c r="G35" i="160" s="1"/>
  <c r="G37" i="160" s="1"/>
  <c r="K654" i="160"/>
  <c r="K34" i="160" s="1"/>
  <c r="K32" i="167"/>
  <c r="J40" i="164"/>
  <c r="G43" i="164"/>
  <c r="G44" i="164" s="1"/>
  <c r="L649" i="162"/>
  <c r="F651" i="162"/>
  <c r="G653" i="167"/>
  <c r="F653" i="167"/>
  <c r="J890" i="167"/>
  <c r="J892" i="167" s="1"/>
  <c r="J887" i="167"/>
  <c r="J896" i="167" s="1"/>
  <c r="J897" i="167" s="1"/>
  <c r="J899" i="167" s="1"/>
  <c r="L43" i="161"/>
  <c r="L32" i="161"/>
  <c r="F653" i="165"/>
  <c r="G653" i="165"/>
  <c r="K890" i="167"/>
  <c r="K892" i="167" s="1"/>
  <c r="K887" i="167"/>
  <c r="K896" i="167" s="1"/>
  <c r="K897" i="167" s="1"/>
  <c r="K899" i="167" s="1"/>
  <c r="K31" i="49"/>
  <c r="G43" i="49"/>
  <c r="G44" i="49" s="1"/>
  <c r="K42" i="165"/>
  <c r="K44" i="165"/>
  <c r="K41" i="165"/>
  <c r="F43" i="162"/>
  <c r="F44" i="162" s="1"/>
  <c r="L31" i="162"/>
  <c r="L43" i="162" s="1"/>
  <c r="F31" i="49"/>
  <c r="K31" i="164"/>
  <c r="F43" i="164"/>
  <c r="F44" i="164" s="1"/>
  <c r="L44" i="161"/>
  <c r="L42" i="161"/>
  <c r="L41" i="161"/>
  <c r="K43" i="165"/>
  <c r="J43" i="164"/>
  <c r="K890" i="160"/>
  <c r="K892" i="160" s="1"/>
  <c r="K887" i="160"/>
  <c r="K896" i="160" s="1"/>
  <c r="K897" i="160" s="1"/>
  <c r="K899" i="160" s="1"/>
  <c r="F872" i="165"/>
  <c r="J44" i="164" l="1"/>
  <c r="K40" i="164"/>
  <c r="F895" i="165"/>
  <c r="F877" i="165"/>
  <c r="F881" i="165" s="1"/>
  <c r="F882" i="165" s="1"/>
  <c r="F884" i="165" s="1"/>
  <c r="K43" i="164"/>
  <c r="J653" i="165"/>
  <c r="K653" i="165" s="1"/>
  <c r="G654" i="165"/>
  <c r="J653" i="167"/>
  <c r="K653" i="167" s="1"/>
  <c r="G654" i="167"/>
  <c r="K35" i="161"/>
  <c r="K37" i="161" s="1"/>
  <c r="L34" i="161"/>
  <c r="L35" i="161" s="1"/>
  <c r="L37" i="161" s="1"/>
  <c r="F653" i="162"/>
  <c r="K35" i="160"/>
  <c r="K37" i="160" s="1"/>
  <c r="L34" i="160"/>
  <c r="L35" i="160" s="1"/>
  <c r="L37" i="160" s="1"/>
  <c r="F32" i="49"/>
  <c r="F43" i="49"/>
  <c r="F44" i="49" s="1"/>
  <c r="K43" i="49"/>
  <c r="K44" i="49" s="1"/>
  <c r="F654" i="165"/>
  <c r="F654" i="167"/>
  <c r="K872" i="165"/>
  <c r="K895" i="165" l="1"/>
  <c r="K877" i="165"/>
  <c r="K881" i="165" s="1"/>
  <c r="K882" i="165" s="1"/>
  <c r="K884" i="165" s="1"/>
  <c r="F34" i="167"/>
  <c r="G34" i="167"/>
  <c r="G35" i="167" s="1"/>
  <c r="G37" i="167" s="1"/>
  <c r="J654" i="167"/>
  <c r="J34" i="167" s="1"/>
  <c r="J35" i="167" s="1"/>
  <c r="J37" i="167" s="1"/>
  <c r="F34" i="165"/>
  <c r="F654" i="162"/>
  <c r="F887" i="165"/>
  <c r="F896" i="165" s="1"/>
  <c r="F897" i="165" s="1"/>
  <c r="F899" i="165" s="1"/>
  <c r="F890" i="165"/>
  <c r="F892" i="165" s="1"/>
  <c r="J654" i="165"/>
  <c r="J34" i="165" s="1"/>
  <c r="J35" i="165" s="1"/>
  <c r="J37" i="165" s="1"/>
  <c r="G34" i="165"/>
  <c r="G35" i="165" s="1"/>
  <c r="G37" i="165" s="1"/>
  <c r="K42" i="164"/>
  <c r="K44" i="164"/>
  <c r="K34" i="167" l="1"/>
  <c r="K35" i="167" s="1"/>
  <c r="F35" i="167"/>
  <c r="F37" i="167" s="1"/>
  <c r="F34" i="162"/>
  <c r="K654" i="165"/>
  <c r="K890" i="165"/>
  <c r="K892" i="165" s="1"/>
  <c r="K887" i="165"/>
  <c r="K896" i="165" s="1"/>
  <c r="K897" i="165" s="1"/>
  <c r="K899" i="165" s="1"/>
  <c r="K654" i="167"/>
  <c r="K34" i="165"/>
  <c r="K35" i="165" s="1"/>
  <c r="F35" i="165"/>
  <c r="F37" i="165" s="1"/>
  <c r="K36" i="165" l="1"/>
  <c r="K38" i="165" s="1"/>
  <c r="K37" i="165"/>
  <c r="F35" i="162"/>
  <c r="F37" i="162" s="1"/>
  <c r="K37" i="167"/>
  <c r="K36" i="167"/>
  <c r="K38" i="167" s="1"/>
  <c r="K35" i="164" l="1"/>
  <c r="K36" i="164" s="1"/>
  <c r="K38" i="164" s="1"/>
  <c r="K899" i="164"/>
  <c r="K899" i="166"/>
  <c r="K35" i="166"/>
  <c r="K37" i="166" s="1"/>
  <c r="K37" i="164" l="1"/>
  <c r="K36" i="166"/>
  <c r="K38" i="166" s="1"/>
  <c r="L899" i="155"/>
  <c r="L35" i="155"/>
  <c r="L37" i="155" s="1"/>
  <c r="H552" i="155"/>
  <c r="H555" i="155" s="1"/>
  <c r="H561" i="155" l="1"/>
  <c r="H563" i="155" s="1"/>
  <c r="H557" i="155"/>
  <c r="H596" i="155" s="1"/>
  <c r="H600" i="155" s="1"/>
  <c r="H603" i="155" s="1"/>
  <c r="H605" i="155" s="1"/>
  <c r="H23" i="155" s="1"/>
  <c r="H635" i="155" l="1"/>
  <c r="H637" i="155" s="1"/>
  <c r="H645" i="155" s="1"/>
  <c r="H646" i="155" s="1"/>
  <c r="H647" i="155" s="1"/>
  <c r="H867" i="155" s="1"/>
  <c r="H22" i="155"/>
  <c r="H24" i="155" s="1"/>
  <c r="H28" i="155" s="1"/>
  <c r="H41" i="155" s="1"/>
  <c r="H42" i="155" s="1"/>
  <c r="H608" i="155"/>
  <c r="H610" i="155" s="1"/>
  <c r="H650" i="155" l="1"/>
  <c r="H651" i="155" s="1"/>
  <c r="H653" i="155" s="1"/>
  <c r="H654" i="155" s="1"/>
  <c r="H34" i="155" s="1"/>
  <c r="H35" i="155" s="1"/>
  <c r="H37" i="155" s="1"/>
  <c r="H844" i="155"/>
  <c r="H871" i="155"/>
  <c r="H869" i="155"/>
  <c r="H872" i="155" l="1"/>
  <c r="H895" i="155" s="1"/>
  <c r="H877" i="155" l="1"/>
  <c r="H881" i="155" s="1"/>
  <c r="H882" i="155" s="1"/>
  <c r="H884" i="155" s="1"/>
  <c r="H887" i="155" s="1"/>
  <c r="H896" i="155" s="1"/>
  <c r="H897" i="155" s="1"/>
  <c r="H899" i="155" s="1"/>
  <c r="H890" i="155" l="1"/>
  <c r="H892" i="155" s="1"/>
  <c r="K42" i="166" l="1"/>
  <c r="F29" i="9"/>
  <c r="G29" i="9"/>
  <c r="H29" i="9"/>
  <c r="I29" i="9"/>
  <c r="J29" i="9"/>
  <c r="K29" i="9"/>
  <c r="F30" i="9"/>
  <c r="G30" i="9"/>
  <c r="H30" i="9"/>
  <c r="I30" i="9"/>
  <c r="J30" i="9"/>
  <c r="K30" i="9"/>
  <c r="F32" i="9"/>
  <c r="G32" i="9"/>
  <c r="H32" i="9"/>
  <c r="I32" i="9"/>
  <c r="J32" i="9"/>
  <c r="K32" i="9"/>
  <c r="F29" i="165"/>
  <c r="G29" i="165"/>
  <c r="H29" i="165"/>
  <c r="I29" i="165"/>
  <c r="J29" i="165"/>
  <c r="K29" i="165"/>
  <c r="F30" i="165"/>
  <c r="G30" i="165"/>
  <c r="H30" i="165"/>
  <c r="I30" i="165"/>
  <c r="J30" i="165"/>
  <c r="K30" i="165"/>
  <c r="F32" i="165"/>
  <c r="G32" i="165"/>
  <c r="H32" i="165"/>
  <c r="I32" i="165"/>
  <c r="J32" i="165"/>
  <c r="K32" i="165"/>
  <c r="F22" i="166"/>
  <c r="G22" i="166"/>
  <c r="H22" i="166"/>
  <c r="I22" i="166"/>
  <c r="J22" i="166"/>
  <c r="K22" i="166"/>
  <c r="F23" i="166"/>
  <c r="G23" i="166"/>
  <c r="H23" i="166"/>
  <c r="I23" i="166"/>
  <c r="J23" i="166"/>
  <c r="K23" i="166"/>
  <c r="F24" i="166"/>
  <c r="G24" i="166"/>
  <c r="H24" i="166"/>
  <c r="I24" i="166"/>
  <c r="J24" i="166"/>
  <c r="K24" i="166"/>
  <c r="F28" i="166"/>
  <c r="G28" i="166"/>
  <c r="H28" i="166"/>
  <c r="I28" i="166"/>
  <c r="J28" i="166"/>
  <c r="K28" i="166"/>
  <c r="F30" i="166"/>
  <c r="G30" i="166"/>
  <c r="H30" i="166"/>
  <c r="I30" i="166"/>
  <c r="J30" i="166"/>
  <c r="K30" i="166"/>
  <c r="F32" i="166"/>
  <c r="G32" i="166"/>
  <c r="H32" i="166"/>
  <c r="I32" i="166"/>
  <c r="J32" i="166"/>
  <c r="K32" i="166"/>
  <c r="F34" i="166"/>
  <c r="G34" i="166"/>
  <c r="H34" i="166"/>
  <c r="I34" i="166"/>
  <c r="J34" i="166"/>
  <c r="K34" i="166"/>
  <c r="F35" i="166"/>
  <c r="G35" i="166"/>
  <c r="H35" i="166"/>
  <c r="I35" i="166"/>
  <c r="J35" i="166"/>
  <c r="F37" i="166"/>
  <c r="G37" i="166"/>
  <c r="H37" i="166"/>
  <c r="I37" i="166"/>
  <c r="J37" i="166"/>
  <c r="F41" i="166"/>
  <c r="G41" i="166"/>
  <c r="H41" i="166"/>
  <c r="I41" i="166"/>
  <c r="J41" i="166"/>
  <c r="K41" i="166"/>
  <c r="F42" i="166"/>
  <c r="G42" i="166"/>
  <c r="H42" i="166"/>
  <c r="I42" i="166"/>
  <c r="J42" i="166"/>
  <c r="F550" i="166"/>
  <c r="G550" i="166"/>
  <c r="H550" i="166"/>
  <c r="I550" i="166"/>
  <c r="J550" i="166"/>
  <c r="K550" i="166"/>
  <c r="F552" i="166"/>
  <c r="G552" i="166"/>
  <c r="H552" i="166"/>
  <c r="I552" i="166"/>
  <c r="J552" i="166"/>
  <c r="K552" i="166"/>
  <c r="F555" i="166"/>
  <c r="G555" i="166"/>
  <c r="H555" i="166"/>
  <c r="I555" i="166"/>
  <c r="J555" i="166"/>
  <c r="K555" i="166"/>
  <c r="F557" i="166"/>
  <c r="G557" i="166"/>
  <c r="H557" i="166"/>
  <c r="I557" i="166"/>
  <c r="J557" i="166"/>
  <c r="K557" i="166"/>
  <c r="F561" i="166"/>
  <c r="G561" i="166"/>
  <c r="H561" i="166"/>
  <c r="I561" i="166"/>
  <c r="J561" i="166"/>
  <c r="K561" i="166"/>
  <c r="F563" i="166"/>
  <c r="G563" i="166"/>
  <c r="H563" i="166"/>
  <c r="I563" i="166"/>
  <c r="J563" i="166"/>
  <c r="K563" i="166"/>
  <c r="F578" i="166"/>
  <c r="G578" i="166"/>
  <c r="H578" i="166"/>
  <c r="I578" i="166"/>
  <c r="J578" i="166"/>
  <c r="K578" i="166"/>
  <c r="F580" i="166"/>
  <c r="G580" i="166"/>
  <c r="H580" i="166"/>
  <c r="I580" i="166"/>
  <c r="J580" i="166"/>
  <c r="K580" i="166"/>
  <c r="F584" i="166"/>
  <c r="G584" i="166"/>
  <c r="H584" i="166"/>
  <c r="I584" i="166"/>
  <c r="J584" i="166"/>
  <c r="K584" i="166"/>
  <c r="F585" i="166"/>
  <c r="G585" i="166"/>
  <c r="H585" i="166"/>
  <c r="I585" i="166"/>
  <c r="J585" i="166"/>
  <c r="K585" i="166"/>
  <c r="F588" i="166"/>
  <c r="G588" i="166"/>
  <c r="H588" i="166"/>
  <c r="I588" i="166"/>
  <c r="J588" i="166"/>
  <c r="K588" i="166"/>
  <c r="F589" i="166"/>
  <c r="G589" i="166"/>
  <c r="H589" i="166"/>
  <c r="I589" i="166"/>
  <c r="J589" i="166"/>
  <c r="K589" i="166"/>
  <c r="F591" i="166"/>
  <c r="G591" i="166"/>
  <c r="H591" i="166"/>
  <c r="I591" i="166"/>
  <c r="J591" i="166"/>
  <c r="K591" i="166"/>
  <c r="F596" i="166"/>
  <c r="G596" i="166"/>
  <c r="H596" i="166"/>
  <c r="I596" i="166"/>
  <c r="J596" i="166"/>
  <c r="K596" i="166"/>
  <c r="F598" i="166"/>
  <c r="G598" i="166"/>
  <c r="H598" i="166"/>
  <c r="I598" i="166"/>
  <c r="J598" i="166"/>
  <c r="K598" i="166"/>
  <c r="F599" i="166"/>
  <c r="G599" i="166"/>
  <c r="H599" i="166"/>
  <c r="I599" i="166"/>
  <c r="J599" i="166"/>
  <c r="K599" i="166"/>
  <c r="F600" i="166"/>
  <c r="G600" i="166"/>
  <c r="H600" i="166"/>
  <c r="I600" i="166"/>
  <c r="J600" i="166"/>
  <c r="K600" i="166"/>
  <c r="F603" i="166"/>
  <c r="G603" i="166"/>
  <c r="H603" i="166"/>
  <c r="I603" i="166"/>
  <c r="J603" i="166"/>
  <c r="K603" i="166"/>
  <c r="F604" i="166"/>
  <c r="G604" i="166"/>
  <c r="H604" i="166"/>
  <c r="I604" i="166"/>
  <c r="J604" i="166"/>
  <c r="K604" i="166"/>
  <c r="F605" i="166"/>
  <c r="G605" i="166"/>
  <c r="H605" i="166"/>
  <c r="I605" i="166"/>
  <c r="J605" i="166"/>
  <c r="K605" i="166"/>
  <c r="F608" i="166"/>
  <c r="G608" i="166"/>
  <c r="H608" i="166"/>
  <c r="I608" i="166"/>
  <c r="J608" i="166"/>
  <c r="K608" i="166"/>
  <c r="F609" i="166"/>
  <c r="G609" i="166"/>
  <c r="H609" i="166"/>
  <c r="I609" i="166"/>
  <c r="J609" i="166"/>
  <c r="K609" i="166"/>
  <c r="F610" i="166"/>
  <c r="G610" i="166"/>
  <c r="H610" i="166"/>
  <c r="I610" i="166"/>
  <c r="J610" i="166"/>
  <c r="K610" i="166"/>
  <c r="F635" i="166"/>
  <c r="G635" i="166"/>
  <c r="H635" i="166"/>
  <c r="I635" i="166"/>
  <c r="J635" i="166"/>
  <c r="K635" i="166"/>
  <c r="F637" i="166"/>
  <c r="G637" i="166"/>
  <c r="H637" i="166"/>
  <c r="I637" i="166"/>
  <c r="J637" i="166"/>
  <c r="K637" i="166"/>
  <c r="F645" i="166"/>
  <c r="G645" i="166"/>
  <c r="H645" i="166"/>
  <c r="I645" i="166"/>
  <c r="J645" i="166"/>
  <c r="K645" i="166"/>
  <c r="F646" i="166"/>
  <c r="G646" i="166"/>
  <c r="H646" i="166"/>
  <c r="I646" i="166"/>
  <c r="J646" i="166"/>
  <c r="K646" i="166"/>
  <c r="F647" i="166"/>
  <c r="G647" i="166"/>
  <c r="H647" i="166"/>
  <c r="I647" i="166"/>
  <c r="J647" i="166"/>
  <c r="K647" i="166"/>
  <c r="F650" i="166"/>
  <c r="G650" i="166"/>
  <c r="H650" i="166"/>
  <c r="I650" i="166"/>
  <c r="J650" i="166"/>
  <c r="K650" i="166"/>
  <c r="F651" i="166"/>
  <c r="G651" i="166"/>
  <c r="H651" i="166"/>
  <c r="I651" i="166"/>
  <c r="J651" i="166"/>
  <c r="K651" i="166"/>
  <c r="F653" i="166"/>
  <c r="G653" i="166"/>
  <c r="H653" i="166"/>
  <c r="I653" i="166"/>
  <c r="J653" i="166"/>
  <c r="K653" i="166"/>
  <c r="F654" i="166"/>
  <c r="G654" i="166"/>
  <c r="H654" i="166"/>
  <c r="I654" i="166"/>
  <c r="J654" i="166"/>
  <c r="K654" i="166"/>
  <c r="F867" i="166"/>
  <c r="G867" i="166"/>
  <c r="H867" i="166"/>
  <c r="I867" i="166"/>
  <c r="J867" i="166"/>
  <c r="K867" i="166"/>
  <c r="F869" i="166"/>
  <c r="G869" i="166"/>
  <c r="H869" i="166"/>
  <c r="I869" i="166"/>
  <c r="J869" i="166"/>
  <c r="K869" i="166"/>
  <c r="F871" i="166"/>
  <c r="G871" i="166"/>
  <c r="H871" i="166"/>
  <c r="I871" i="166"/>
  <c r="J871" i="166"/>
  <c r="K871" i="166"/>
  <c r="F872" i="166"/>
  <c r="G872" i="166"/>
  <c r="H872" i="166"/>
  <c r="I872" i="166"/>
  <c r="J872" i="166"/>
  <c r="K872" i="166"/>
  <c r="F877" i="166"/>
  <c r="G877" i="166"/>
  <c r="H877" i="166"/>
  <c r="I877" i="166"/>
  <c r="J877" i="166"/>
  <c r="K877" i="166"/>
  <c r="F881" i="166"/>
  <c r="G881" i="166"/>
  <c r="H881" i="166"/>
  <c r="I881" i="166"/>
  <c r="J881" i="166"/>
  <c r="K881" i="166"/>
  <c r="F882" i="166"/>
  <c r="G882" i="166"/>
  <c r="H882" i="166"/>
  <c r="I882" i="166"/>
  <c r="J882" i="166"/>
  <c r="K882" i="166"/>
  <c r="F884" i="166"/>
  <c r="G884" i="166"/>
  <c r="H884" i="166"/>
  <c r="I884" i="166"/>
  <c r="J884" i="166"/>
  <c r="K884" i="166"/>
  <c r="F887" i="166"/>
  <c r="G887" i="166"/>
  <c r="H887" i="166"/>
  <c r="I887" i="166"/>
  <c r="J887" i="166"/>
  <c r="K887" i="166"/>
  <c r="F890" i="166"/>
  <c r="G890" i="166"/>
  <c r="H890" i="166"/>
  <c r="I890" i="166"/>
  <c r="J890" i="166"/>
  <c r="K890" i="166"/>
  <c r="F892" i="166"/>
  <c r="G892" i="166"/>
  <c r="H892" i="166"/>
  <c r="I892" i="166"/>
  <c r="J892" i="166"/>
  <c r="K892" i="166"/>
  <c r="F895" i="166"/>
  <c r="G895" i="166"/>
  <c r="H895" i="166"/>
  <c r="I895" i="166"/>
  <c r="J895" i="166"/>
  <c r="K895" i="166"/>
  <c r="F896" i="166"/>
  <c r="G896" i="166"/>
  <c r="H896" i="166"/>
  <c r="I896" i="166"/>
  <c r="J896" i="166"/>
  <c r="K896" i="166"/>
  <c r="F897" i="166"/>
  <c r="G897" i="166"/>
  <c r="H897" i="166"/>
  <c r="I897" i="166"/>
  <c r="J897" i="166"/>
  <c r="K897" i="166"/>
  <c r="F899" i="166"/>
  <c r="G899" i="166"/>
  <c r="H899" i="166"/>
  <c r="I899" i="166"/>
  <c r="J899" i="166"/>
  <c r="F29" i="157"/>
  <c r="K29" i="157"/>
  <c r="F30" i="157"/>
  <c r="K30" i="157"/>
  <c r="F32" i="157"/>
  <c r="K32" i="157"/>
  <c r="G22" i="155"/>
  <c r="I22" i="155"/>
  <c r="K22" i="155"/>
  <c r="L22" i="155"/>
  <c r="G23" i="155"/>
  <c r="I23" i="155"/>
  <c r="K23" i="155"/>
  <c r="L23" i="155"/>
  <c r="G24" i="155"/>
  <c r="I24" i="155"/>
  <c r="K24" i="155"/>
  <c r="L24" i="155"/>
  <c r="G28" i="155"/>
  <c r="I28" i="155"/>
  <c r="K28" i="155"/>
  <c r="L28" i="155"/>
  <c r="F29" i="155"/>
  <c r="G29" i="155"/>
  <c r="H29" i="155"/>
  <c r="I29" i="155"/>
  <c r="J29" i="155"/>
  <c r="K29" i="155"/>
  <c r="L29" i="155"/>
  <c r="F30" i="155"/>
  <c r="G30" i="155"/>
  <c r="H30" i="155"/>
  <c r="I30" i="155"/>
  <c r="J30" i="155"/>
  <c r="K30" i="155"/>
  <c r="L30" i="155"/>
  <c r="F32" i="155"/>
  <c r="G32" i="155"/>
  <c r="H32" i="155"/>
  <c r="I32" i="155"/>
  <c r="J32" i="155"/>
  <c r="K32" i="155"/>
  <c r="L32" i="155"/>
  <c r="G34" i="155"/>
  <c r="I34" i="155"/>
  <c r="K34" i="155"/>
  <c r="L34" i="155"/>
  <c r="G35" i="155"/>
  <c r="I35" i="155"/>
  <c r="K35" i="155"/>
  <c r="G37" i="155"/>
  <c r="I37" i="155"/>
  <c r="K37" i="155"/>
  <c r="G41" i="155"/>
  <c r="I41" i="155"/>
  <c r="K41" i="155"/>
  <c r="L41" i="155"/>
  <c r="G42" i="155"/>
  <c r="I42" i="155"/>
  <c r="K42" i="155"/>
  <c r="G550" i="155"/>
  <c r="I550" i="155"/>
  <c r="K550" i="155"/>
  <c r="L550" i="155"/>
  <c r="G552" i="155"/>
  <c r="I552" i="155"/>
  <c r="K552" i="155"/>
  <c r="L552" i="155"/>
  <c r="G555" i="155"/>
  <c r="I555" i="155"/>
  <c r="K555" i="155"/>
  <c r="L555" i="155"/>
  <c r="G557" i="155"/>
  <c r="I557" i="155"/>
  <c r="K557" i="155"/>
  <c r="L557" i="155"/>
  <c r="G561" i="155"/>
  <c r="I561" i="155"/>
  <c r="K561" i="155"/>
  <c r="L561" i="155"/>
  <c r="G563" i="155"/>
  <c r="I563" i="155"/>
  <c r="K563" i="155"/>
  <c r="L563" i="155"/>
  <c r="G578" i="155"/>
  <c r="I578" i="155"/>
  <c r="K578" i="155"/>
  <c r="L578" i="155"/>
  <c r="G580" i="155"/>
  <c r="I580" i="155"/>
  <c r="K580" i="155"/>
  <c r="L580" i="155"/>
  <c r="G584" i="155"/>
  <c r="I584" i="155"/>
  <c r="K584" i="155"/>
  <c r="L584" i="155"/>
  <c r="G585" i="155"/>
  <c r="I585" i="155"/>
  <c r="K585" i="155"/>
  <c r="L585" i="155"/>
  <c r="G588" i="155"/>
  <c r="I588" i="155"/>
  <c r="K588" i="155"/>
  <c r="L588" i="155"/>
  <c r="G589" i="155"/>
  <c r="I589" i="155"/>
  <c r="K589" i="155"/>
  <c r="L589" i="155"/>
  <c r="G591" i="155"/>
  <c r="I591" i="155"/>
  <c r="K591" i="155"/>
  <c r="L591" i="155"/>
  <c r="G596" i="155"/>
  <c r="I596" i="155"/>
  <c r="K596" i="155"/>
  <c r="L596" i="155"/>
  <c r="G598" i="155"/>
  <c r="I598" i="155"/>
  <c r="K598" i="155"/>
  <c r="L598" i="155"/>
  <c r="G599" i="155"/>
  <c r="I599" i="155"/>
  <c r="K599" i="155"/>
  <c r="L599" i="155"/>
  <c r="G600" i="155"/>
  <c r="I600" i="155"/>
  <c r="K600" i="155"/>
  <c r="L600" i="155"/>
  <c r="G603" i="155"/>
  <c r="I603" i="155"/>
  <c r="K603" i="155"/>
  <c r="L603" i="155"/>
  <c r="G604" i="155"/>
  <c r="I604" i="155"/>
  <c r="K604" i="155"/>
  <c r="L604" i="155"/>
  <c r="G605" i="155"/>
  <c r="I605" i="155"/>
  <c r="K605" i="155"/>
  <c r="L605" i="155"/>
  <c r="G608" i="155"/>
  <c r="I608" i="155"/>
  <c r="K608" i="155"/>
  <c r="L608" i="155"/>
  <c r="G609" i="155"/>
  <c r="I609" i="155"/>
  <c r="K609" i="155"/>
  <c r="L609" i="155"/>
  <c r="G610" i="155"/>
  <c r="I610" i="155"/>
  <c r="K610" i="155"/>
  <c r="L610" i="155"/>
  <c r="G635" i="155"/>
  <c r="I635" i="155"/>
  <c r="K635" i="155"/>
  <c r="L635" i="155"/>
  <c r="G637" i="155"/>
  <c r="I637" i="155"/>
  <c r="K637" i="155"/>
  <c r="L637" i="155"/>
  <c r="G645" i="155"/>
  <c r="I645" i="155"/>
  <c r="K645" i="155"/>
  <c r="L645" i="155"/>
  <c r="G646" i="155"/>
  <c r="I646" i="155"/>
  <c r="K646" i="155"/>
  <c r="L646" i="155"/>
  <c r="G647" i="155"/>
  <c r="I647" i="155"/>
  <c r="K647" i="155"/>
  <c r="L647" i="155"/>
  <c r="G650" i="155"/>
  <c r="I650" i="155"/>
  <c r="K650" i="155"/>
  <c r="L650" i="155"/>
  <c r="G651" i="155"/>
  <c r="I651" i="155"/>
  <c r="K651" i="155"/>
  <c r="L651" i="155"/>
  <c r="G653" i="155"/>
  <c r="I653" i="155"/>
  <c r="K653" i="155"/>
  <c r="L653" i="155"/>
  <c r="G654" i="155"/>
  <c r="I654" i="155"/>
  <c r="K654" i="155"/>
  <c r="L654" i="155"/>
  <c r="G844" i="155"/>
  <c r="I844" i="155"/>
  <c r="K844" i="155"/>
  <c r="L844" i="155"/>
  <c r="P844" i="155"/>
  <c r="G867" i="155"/>
  <c r="I867" i="155"/>
  <c r="K867" i="155"/>
  <c r="L867" i="155"/>
  <c r="G869" i="155"/>
  <c r="I869" i="155"/>
  <c r="K869" i="155"/>
  <c r="L869" i="155"/>
  <c r="G871" i="155"/>
  <c r="I871" i="155"/>
  <c r="K871" i="155"/>
  <c r="L871" i="155"/>
  <c r="G872" i="155"/>
  <c r="I872" i="155"/>
  <c r="K872" i="155"/>
  <c r="L872" i="155"/>
  <c r="G877" i="155"/>
  <c r="I877" i="155"/>
  <c r="K877" i="155"/>
  <c r="L877" i="155"/>
  <c r="G881" i="155"/>
  <c r="I881" i="155"/>
  <c r="K881" i="155"/>
  <c r="L881" i="155"/>
  <c r="G882" i="155"/>
  <c r="I882" i="155"/>
  <c r="K882" i="155"/>
  <c r="L882" i="155"/>
  <c r="G884" i="155"/>
  <c r="I884" i="155"/>
  <c r="K884" i="155"/>
  <c r="L884" i="155"/>
  <c r="G887" i="155"/>
  <c r="I887" i="155"/>
  <c r="K887" i="155"/>
  <c r="L887" i="155"/>
  <c r="G890" i="155"/>
  <c r="I890" i="155"/>
  <c r="K890" i="155"/>
  <c r="L890" i="155"/>
  <c r="G892" i="155"/>
  <c r="I892" i="155"/>
  <c r="K892" i="155"/>
  <c r="L892" i="155"/>
  <c r="G895" i="155"/>
  <c r="I895" i="155"/>
  <c r="K895" i="155"/>
  <c r="L895" i="155"/>
  <c r="G896" i="155"/>
  <c r="I896" i="155"/>
  <c r="K896" i="155"/>
  <c r="L896" i="155"/>
  <c r="G897" i="155"/>
  <c r="I897" i="155"/>
  <c r="K897" i="155"/>
  <c r="L897" i="155"/>
  <c r="G899" i="155"/>
  <c r="I899" i="155"/>
  <c r="K899" i="155"/>
  <c r="F29" i="159"/>
  <c r="K29" i="159"/>
  <c r="F30" i="159"/>
  <c r="K30" i="159"/>
  <c r="F32" i="159"/>
  <c r="K32" i="159"/>
  <c r="F29" i="158"/>
  <c r="F30" i="158"/>
  <c r="G31" i="158"/>
  <c r="H31" i="158"/>
  <c r="I31" i="158"/>
  <c r="J31" i="158"/>
  <c r="F32" i="158"/>
  <c r="G32" i="158"/>
  <c r="H32" i="158"/>
  <c r="I32" i="158"/>
  <c r="J32" i="158"/>
  <c r="G34" i="158"/>
  <c r="H34" i="158"/>
  <c r="I34" i="158"/>
  <c r="J34" i="158"/>
  <c r="G40" i="158"/>
  <c r="H40" i="158"/>
  <c r="I40" i="158"/>
  <c r="J40" i="158"/>
  <c r="G41" i="158"/>
  <c r="H41" i="158"/>
  <c r="I41" i="158"/>
  <c r="J41" i="158"/>
  <c r="G42" i="158"/>
  <c r="H42" i="158"/>
  <c r="I42" i="158"/>
  <c r="J42" i="158"/>
  <c r="G43" i="158"/>
  <c r="H43" i="158"/>
  <c r="I43" i="158"/>
  <c r="J43" i="158"/>
  <c r="G44" i="158"/>
  <c r="H44" i="158"/>
  <c r="I44" i="158"/>
  <c r="J44" i="158"/>
  <c r="G640" i="158"/>
  <c r="H640" i="158"/>
  <c r="I640" i="158"/>
  <c r="J640" i="158"/>
  <c r="G641" i="158"/>
  <c r="H641" i="158"/>
  <c r="I641" i="158"/>
  <c r="J641" i="158"/>
  <c r="G644" i="158"/>
  <c r="H644" i="158"/>
  <c r="I644" i="158"/>
  <c r="J644" i="158"/>
  <c r="G646" i="158"/>
  <c r="H646" i="158"/>
  <c r="I646" i="158"/>
  <c r="J646" i="158"/>
  <c r="G647" i="158"/>
  <c r="H647" i="158"/>
  <c r="I647" i="158"/>
  <c r="J647" i="158"/>
  <c r="G649" i="158"/>
  <c r="H649" i="158"/>
  <c r="I649" i="158"/>
  <c r="J649" i="158"/>
  <c r="G650" i="158"/>
  <c r="H650" i="158"/>
  <c r="I650" i="158"/>
  <c r="J650" i="158"/>
  <c r="G651" i="158"/>
  <c r="H651" i="158"/>
  <c r="I651" i="158"/>
  <c r="J651" i="158"/>
  <c r="G653" i="158"/>
  <c r="H653" i="158"/>
  <c r="I653" i="158"/>
  <c r="J653" i="158"/>
  <c r="G654" i="158"/>
  <c r="H654" i="158"/>
  <c r="I654" i="158"/>
  <c r="J654" i="158"/>
  <c r="G744" i="158"/>
  <c r="H744" i="158"/>
  <c r="I744" i="158"/>
  <c r="J744" i="158"/>
  <c r="K744" i="158"/>
  <c r="G745" i="158"/>
  <c r="H745" i="158"/>
  <c r="I745" i="158"/>
  <c r="J745" i="158"/>
  <c r="K745" i="158"/>
  <c r="G761" i="158"/>
  <c r="H761" i="158"/>
  <c r="I761" i="158"/>
  <c r="J761" i="158"/>
  <c r="K761" i="158"/>
  <c r="G762" i="158"/>
  <c r="H762" i="158"/>
  <c r="I762" i="158"/>
  <c r="J762" i="158"/>
  <c r="K762" i="158"/>
  <c r="O762" i="158"/>
  <c r="G763" i="158"/>
  <c r="H763" i="158"/>
  <c r="I763" i="158"/>
  <c r="J763" i="158"/>
  <c r="K763" i="158"/>
  <c r="G764" i="158"/>
  <c r="H764" i="158"/>
  <c r="I764" i="158"/>
  <c r="J764" i="158"/>
  <c r="K764" i="158"/>
  <c r="G844" i="158"/>
  <c r="H844" i="158"/>
  <c r="I844" i="158"/>
  <c r="J844" i="158"/>
  <c r="K844" i="158"/>
  <c r="O844" i="158"/>
  <c r="G850" i="158"/>
  <c r="H850" i="158"/>
  <c r="I850" i="158"/>
  <c r="J850" i="158"/>
  <c r="K850" i="158"/>
  <c r="G851" i="158"/>
  <c r="H851" i="158"/>
  <c r="I851" i="158"/>
  <c r="J851" i="158"/>
  <c r="K851" i="158"/>
  <c r="G855" i="158"/>
  <c r="H855" i="158"/>
  <c r="I855" i="158"/>
  <c r="J855" i="158"/>
  <c r="K855" i="158"/>
  <c r="G867" i="158"/>
  <c r="H867" i="158"/>
  <c r="I867" i="158"/>
  <c r="J867" i="158"/>
  <c r="G869" i="158"/>
  <c r="H869" i="158"/>
  <c r="I869" i="158"/>
  <c r="J869" i="158"/>
  <c r="G871" i="158"/>
  <c r="H871" i="158"/>
  <c r="I871" i="158"/>
  <c r="J871" i="158"/>
  <c r="G872" i="158"/>
  <c r="H872" i="158"/>
  <c r="I872" i="158"/>
  <c r="J872" i="158"/>
  <c r="G877" i="158"/>
  <c r="H877" i="158"/>
  <c r="I877" i="158"/>
  <c r="J877" i="158"/>
  <c r="G881" i="158"/>
  <c r="H881" i="158"/>
  <c r="I881" i="158"/>
  <c r="J881" i="158"/>
  <c r="G882" i="158"/>
  <c r="H882" i="158"/>
  <c r="I882" i="158"/>
  <c r="J882" i="158"/>
  <c r="G884" i="158"/>
  <c r="H884" i="158"/>
  <c r="I884" i="158"/>
  <c r="J884" i="158"/>
  <c r="G887" i="158"/>
  <c r="H887" i="158"/>
  <c r="I887" i="158"/>
  <c r="J887" i="158"/>
  <c r="G890" i="158"/>
  <c r="H890" i="158"/>
  <c r="I890" i="158"/>
  <c r="J890" i="158"/>
  <c r="G892" i="158"/>
  <c r="H892" i="158"/>
  <c r="I892" i="158"/>
  <c r="J892" i="158"/>
  <c r="G895" i="158"/>
  <c r="H895" i="158"/>
  <c r="I895" i="158"/>
  <c r="J895" i="158"/>
  <c r="G896" i="158"/>
  <c r="H896" i="158"/>
  <c r="I896" i="158"/>
  <c r="J896" i="158"/>
  <c r="G897" i="158"/>
  <c r="H897" i="158"/>
  <c r="I897" i="158"/>
  <c r="J897" i="158"/>
  <c r="G22" i="162"/>
  <c r="I22" i="162"/>
  <c r="K22" i="162"/>
  <c r="L22" i="162"/>
  <c r="P22" i="162"/>
  <c r="G23" i="162"/>
  <c r="I23" i="162"/>
  <c r="K23" i="162"/>
  <c r="L23" i="162"/>
  <c r="P23" i="162"/>
  <c r="G24" i="162"/>
  <c r="I24" i="162"/>
  <c r="K24" i="162"/>
  <c r="L24" i="162"/>
  <c r="P24" i="162"/>
  <c r="G28" i="162"/>
  <c r="I28" i="162"/>
  <c r="K28" i="162"/>
  <c r="L28" i="162"/>
  <c r="P28" i="162"/>
  <c r="F29" i="162"/>
  <c r="G29" i="162"/>
  <c r="H29" i="162"/>
  <c r="I29" i="162"/>
  <c r="J29" i="162"/>
  <c r="K29" i="162"/>
  <c r="L29" i="162"/>
  <c r="F30" i="162"/>
  <c r="G30" i="162"/>
  <c r="H30" i="162"/>
  <c r="I30" i="162"/>
  <c r="J30" i="162"/>
  <c r="K30" i="162"/>
  <c r="L30" i="162"/>
  <c r="F32" i="162"/>
  <c r="G32" i="162"/>
  <c r="H32" i="162"/>
  <c r="I32" i="162"/>
  <c r="J32" i="162"/>
  <c r="K32" i="162"/>
  <c r="L32" i="162"/>
  <c r="P32" i="162"/>
  <c r="G34" i="162"/>
  <c r="I34" i="162"/>
  <c r="K34" i="162"/>
  <c r="L34" i="162"/>
  <c r="P34" i="162"/>
  <c r="G35" i="162"/>
  <c r="I35" i="162"/>
  <c r="K35" i="162"/>
  <c r="L35" i="162"/>
  <c r="L36" i="162"/>
  <c r="G37" i="162"/>
  <c r="I37" i="162"/>
  <c r="K37" i="162"/>
  <c r="L37" i="162"/>
  <c r="L38" i="162"/>
  <c r="G41" i="162"/>
  <c r="I41" i="162"/>
  <c r="K41" i="162"/>
  <c r="L41" i="162"/>
  <c r="G42" i="162"/>
  <c r="I42" i="162"/>
  <c r="K42" i="162"/>
  <c r="G550" i="162"/>
  <c r="I550" i="162"/>
  <c r="K550" i="162"/>
  <c r="L550" i="162"/>
  <c r="G552" i="162"/>
  <c r="I552" i="162"/>
  <c r="K552" i="162"/>
  <c r="L552" i="162"/>
  <c r="G555" i="162"/>
  <c r="I555" i="162"/>
  <c r="K555" i="162"/>
  <c r="L555" i="162"/>
  <c r="G557" i="162"/>
  <c r="I557" i="162"/>
  <c r="K557" i="162"/>
  <c r="L557" i="162"/>
  <c r="G561" i="162"/>
  <c r="I561" i="162"/>
  <c r="K561" i="162"/>
  <c r="L561" i="162"/>
  <c r="G563" i="162"/>
  <c r="I563" i="162"/>
  <c r="K563" i="162"/>
  <c r="L563" i="162"/>
  <c r="G578" i="162"/>
  <c r="I578" i="162"/>
  <c r="K578" i="162"/>
  <c r="L578" i="162"/>
  <c r="G580" i="162"/>
  <c r="I580" i="162"/>
  <c r="K580" i="162"/>
  <c r="L580" i="162"/>
  <c r="G584" i="162"/>
  <c r="I584" i="162"/>
  <c r="K584" i="162"/>
  <c r="L584" i="162"/>
  <c r="G585" i="162"/>
  <c r="I585" i="162"/>
  <c r="K585" i="162"/>
  <c r="L585" i="162"/>
  <c r="G588" i="162"/>
  <c r="I588" i="162"/>
  <c r="K588" i="162"/>
  <c r="L588" i="162"/>
  <c r="G591" i="162"/>
  <c r="I591" i="162"/>
  <c r="K591" i="162"/>
  <c r="L591" i="162"/>
  <c r="G596" i="162"/>
  <c r="I596" i="162"/>
  <c r="K596" i="162"/>
  <c r="L596" i="162"/>
  <c r="G598" i="162"/>
  <c r="I598" i="162"/>
  <c r="K598" i="162"/>
  <c r="L598" i="162"/>
  <c r="G599" i="162"/>
  <c r="I599" i="162"/>
  <c r="K599" i="162"/>
  <c r="L599" i="162"/>
  <c r="G600" i="162"/>
  <c r="I600" i="162"/>
  <c r="K600" i="162"/>
  <c r="L600" i="162"/>
  <c r="G603" i="162"/>
  <c r="I603" i="162"/>
  <c r="K603" i="162"/>
  <c r="L603" i="162"/>
  <c r="G604" i="162"/>
  <c r="I604" i="162"/>
  <c r="K604" i="162"/>
  <c r="L604" i="162"/>
  <c r="G605" i="162"/>
  <c r="I605" i="162"/>
  <c r="K605" i="162"/>
  <c r="L605" i="162"/>
  <c r="G608" i="162"/>
  <c r="I608" i="162"/>
  <c r="K608" i="162"/>
  <c r="L608" i="162"/>
  <c r="G610" i="162"/>
  <c r="I610" i="162"/>
  <c r="K610" i="162"/>
  <c r="L610" i="162"/>
  <c r="G635" i="162"/>
  <c r="I635" i="162"/>
  <c r="K635" i="162"/>
  <c r="L635" i="162"/>
  <c r="G637" i="162"/>
  <c r="I637" i="162"/>
  <c r="K637" i="162"/>
  <c r="L637" i="162"/>
  <c r="G645" i="162"/>
  <c r="I645" i="162"/>
  <c r="K645" i="162"/>
  <c r="L645" i="162"/>
  <c r="G646" i="162"/>
  <c r="I646" i="162"/>
  <c r="K646" i="162"/>
  <c r="L646" i="162"/>
  <c r="G647" i="162"/>
  <c r="I647" i="162"/>
  <c r="K647" i="162"/>
  <c r="L647" i="162"/>
  <c r="G650" i="162"/>
  <c r="I650" i="162"/>
  <c r="K650" i="162"/>
  <c r="L650" i="162"/>
  <c r="G651" i="162"/>
  <c r="I651" i="162"/>
  <c r="K651" i="162"/>
  <c r="L651" i="162"/>
  <c r="G653" i="162"/>
  <c r="I653" i="162"/>
  <c r="K653" i="162"/>
  <c r="L653" i="162"/>
  <c r="G654" i="162"/>
  <c r="I654" i="162"/>
  <c r="K654" i="162"/>
  <c r="L654" i="162"/>
  <c r="G867" i="162"/>
  <c r="I867" i="162"/>
  <c r="K867" i="162"/>
  <c r="L867" i="162"/>
  <c r="G869" i="162"/>
  <c r="I869" i="162"/>
  <c r="K869" i="162"/>
  <c r="L869" i="162"/>
  <c r="G871" i="162"/>
  <c r="I871" i="162"/>
  <c r="K871" i="162"/>
  <c r="L871" i="162"/>
  <c r="G872" i="162"/>
  <c r="I872" i="162"/>
  <c r="K872" i="162"/>
  <c r="L872" i="162"/>
  <c r="G877" i="162"/>
  <c r="I877" i="162"/>
  <c r="K877" i="162"/>
  <c r="L877" i="162"/>
  <c r="G881" i="162"/>
  <c r="I881" i="162"/>
  <c r="K881" i="162"/>
  <c r="L881" i="162"/>
  <c r="G882" i="162"/>
  <c r="I882" i="162"/>
  <c r="K882" i="162"/>
  <c r="L882" i="162"/>
  <c r="G884" i="162"/>
  <c r="I884" i="162"/>
  <c r="K884" i="162"/>
  <c r="L884" i="162"/>
  <c r="G887" i="162"/>
  <c r="I887" i="162"/>
  <c r="K887" i="162"/>
  <c r="L887" i="162"/>
  <c r="G890" i="162"/>
  <c r="I890" i="162"/>
  <c r="K890" i="162"/>
  <c r="L890" i="162"/>
  <c r="G892" i="162"/>
  <c r="I892" i="162"/>
  <c r="K892" i="162"/>
  <c r="L892" i="162"/>
  <c r="G895" i="162"/>
  <c r="I895" i="162"/>
  <c r="K895" i="162"/>
  <c r="L895" i="162"/>
  <c r="G896" i="162"/>
  <c r="I896" i="162"/>
  <c r="K896" i="162"/>
  <c r="L896" i="162"/>
  <c r="G897" i="162"/>
  <c r="I897" i="162"/>
  <c r="K897" i="162"/>
  <c r="L897" i="162"/>
  <c r="G899" i="162"/>
  <c r="I899" i="162"/>
  <c r="K899" i="162"/>
  <c r="L899" i="162"/>
  <c r="F22" i="164"/>
  <c r="G22" i="164"/>
  <c r="H22" i="164"/>
  <c r="I22" i="164"/>
  <c r="J22" i="164"/>
  <c r="K22" i="164"/>
  <c r="F23" i="164"/>
  <c r="G23" i="164"/>
  <c r="H23" i="164"/>
  <c r="I23" i="164"/>
  <c r="J23" i="164"/>
  <c r="K23" i="164"/>
  <c r="F24" i="164"/>
  <c r="G24" i="164"/>
  <c r="H24" i="164"/>
  <c r="I24" i="164"/>
  <c r="J24" i="164"/>
  <c r="K24" i="164"/>
  <c r="F28" i="164"/>
  <c r="G28" i="164"/>
  <c r="H28" i="164"/>
  <c r="I28" i="164"/>
  <c r="J28" i="164"/>
  <c r="K28" i="164"/>
  <c r="F29" i="164"/>
  <c r="G29" i="164"/>
  <c r="H29" i="164"/>
  <c r="I29" i="164"/>
  <c r="J29" i="164"/>
  <c r="K29" i="164"/>
  <c r="F30" i="164"/>
  <c r="G30" i="164"/>
  <c r="H30" i="164"/>
  <c r="I30" i="164"/>
  <c r="J30" i="164"/>
  <c r="K30" i="164"/>
  <c r="F32" i="164"/>
  <c r="G32" i="164"/>
  <c r="H32" i="164"/>
  <c r="I32" i="164"/>
  <c r="J32" i="164"/>
  <c r="K32" i="164"/>
  <c r="F34" i="164"/>
  <c r="G34" i="164"/>
  <c r="H34" i="164"/>
  <c r="I34" i="164"/>
  <c r="J34" i="164"/>
  <c r="K34" i="164"/>
  <c r="F35" i="164"/>
  <c r="G35" i="164"/>
  <c r="H35" i="164"/>
  <c r="I35" i="164"/>
  <c r="J35" i="164"/>
  <c r="F37" i="164"/>
  <c r="G37" i="164"/>
  <c r="H37" i="164"/>
  <c r="I37" i="164"/>
  <c r="J37" i="164"/>
  <c r="F41" i="164"/>
  <c r="G41" i="164"/>
  <c r="H41" i="164"/>
  <c r="I41" i="164"/>
  <c r="J41" i="164"/>
  <c r="K41" i="164"/>
  <c r="F42" i="164"/>
  <c r="G42" i="164"/>
  <c r="H42" i="164"/>
  <c r="I42" i="164"/>
  <c r="J42" i="164"/>
  <c r="F550" i="164"/>
  <c r="G550" i="164"/>
  <c r="H550" i="164"/>
  <c r="I550" i="164"/>
  <c r="J550" i="164"/>
  <c r="K550" i="164"/>
  <c r="F552" i="164"/>
  <c r="G552" i="164"/>
  <c r="H552" i="164"/>
  <c r="I552" i="164"/>
  <c r="J552" i="164"/>
  <c r="K552" i="164"/>
  <c r="F555" i="164"/>
  <c r="G555" i="164"/>
  <c r="H555" i="164"/>
  <c r="I555" i="164"/>
  <c r="J555" i="164"/>
  <c r="K555" i="164"/>
  <c r="F557" i="164"/>
  <c r="G557" i="164"/>
  <c r="H557" i="164"/>
  <c r="I557" i="164"/>
  <c r="J557" i="164"/>
  <c r="K557" i="164"/>
  <c r="F561" i="164"/>
  <c r="G561" i="164"/>
  <c r="H561" i="164"/>
  <c r="I561" i="164"/>
  <c r="J561" i="164"/>
  <c r="K561" i="164"/>
  <c r="F563" i="164"/>
  <c r="G563" i="164"/>
  <c r="H563" i="164"/>
  <c r="I563" i="164"/>
  <c r="J563" i="164"/>
  <c r="K563" i="164"/>
  <c r="F578" i="164"/>
  <c r="G578" i="164"/>
  <c r="H578" i="164"/>
  <c r="I578" i="164"/>
  <c r="J578" i="164"/>
  <c r="K578" i="164"/>
  <c r="F580" i="164"/>
  <c r="G580" i="164"/>
  <c r="H580" i="164"/>
  <c r="I580" i="164"/>
  <c r="J580" i="164"/>
  <c r="K580" i="164"/>
  <c r="F584" i="164"/>
  <c r="G584" i="164"/>
  <c r="H584" i="164"/>
  <c r="I584" i="164"/>
  <c r="J584" i="164"/>
  <c r="K584" i="164"/>
  <c r="F585" i="164"/>
  <c r="G585" i="164"/>
  <c r="H585" i="164"/>
  <c r="I585" i="164"/>
  <c r="J585" i="164"/>
  <c r="K585" i="164"/>
  <c r="F588" i="164"/>
  <c r="G588" i="164"/>
  <c r="H588" i="164"/>
  <c r="I588" i="164"/>
  <c r="J588" i="164"/>
  <c r="K588" i="164"/>
  <c r="F589" i="164"/>
  <c r="G589" i="164"/>
  <c r="H589" i="164"/>
  <c r="I589" i="164"/>
  <c r="J589" i="164"/>
  <c r="K589" i="164"/>
  <c r="F591" i="164"/>
  <c r="G591" i="164"/>
  <c r="H591" i="164"/>
  <c r="I591" i="164"/>
  <c r="J591" i="164"/>
  <c r="K591" i="164"/>
  <c r="F596" i="164"/>
  <c r="G596" i="164"/>
  <c r="H596" i="164"/>
  <c r="I596" i="164"/>
  <c r="J596" i="164"/>
  <c r="K596" i="164"/>
  <c r="F598" i="164"/>
  <c r="G598" i="164"/>
  <c r="H598" i="164"/>
  <c r="I598" i="164"/>
  <c r="J598" i="164"/>
  <c r="K598" i="164"/>
  <c r="F599" i="164"/>
  <c r="G599" i="164"/>
  <c r="H599" i="164"/>
  <c r="I599" i="164"/>
  <c r="J599" i="164"/>
  <c r="K599" i="164"/>
  <c r="F600" i="164"/>
  <c r="G600" i="164"/>
  <c r="H600" i="164"/>
  <c r="I600" i="164"/>
  <c r="J600" i="164"/>
  <c r="K600" i="164"/>
  <c r="F603" i="164"/>
  <c r="G603" i="164"/>
  <c r="H603" i="164"/>
  <c r="I603" i="164"/>
  <c r="J603" i="164"/>
  <c r="K603" i="164"/>
  <c r="F604" i="164"/>
  <c r="G604" i="164"/>
  <c r="H604" i="164"/>
  <c r="I604" i="164"/>
  <c r="J604" i="164"/>
  <c r="K604" i="164"/>
  <c r="F605" i="164"/>
  <c r="G605" i="164"/>
  <c r="H605" i="164"/>
  <c r="I605" i="164"/>
  <c r="J605" i="164"/>
  <c r="K605" i="164"/>
  <c r="F608" i="164"/>
  <c r="G608" i="164"/>
  <c r="H608" i="164"/>
  <c r="I608" i="164"/>
  <c r="J608" i="164"/>
  <c r="K608" i="164"/>
  <c r="F609" i="164"/>
  <c r="G609" i="164"/>
  <c r="H609" i="164"/>
  <c r="I609" i="164"/>
  <c r="J609" i="164"/>
  <c r="K609" i="164"/>
  <c r="F610" i="164"/>
  <c r="G610" i="164"/>
  <c r="H610" i="164"/>
  <c r="I610" i="164"/>
  <c r="J610" i="164"/>
  <c r="K610" i="164"/>
  <c r="F635" i="164"/>
  <c r="G635" i="164"/>
  <c r="H635" i="164"/>
  <c r="I635" i="164"/>
  <c r="J635" i="164"/>
  <c r="K635" i="164"/>
  <c r="F637" i="164"/>
  <c r="G637" i="164"/>
  <c r="H637" i="164"/>
  <c r="I637" i="164"/>
  <c r="J637" i="164"/>
  <c r="K637" i="164"/>
  <c r="F645" i="164"/>
  <c r="G645" i="164"/>
  <c r="H645" i="164"/>
  <c r="I645" i="164"/>
  <c r="J645" i="164"/>
  <c r="K645" i="164"/>
  <c r="F646" i="164"/>
  <c r="G646" i="164"/>
  <c r="H646" i="164"/>
  <c r="I646" i="164"/>
  <c r="J646" i="164"/>
  <c r="K646" i="164"/>
  <c r="F647" i="164"/>
  <c r="G647" i="164"/>
  <c r="H647" i="164"/>
  <c r="I647" i="164"/>
  <c r="J647" i="164"/>
  <c r="K647" i="164"/>
  <c r="F650" i="164"/>
  <c r="G650" i="164"/>
  <c r="H650" i="164"/>
  <c r="I650" i="164"/>
  <c r="J650" i="164"/>
  <c r="K650" i="164"/>
  <c r="F651" i="164"/>
  <c r="G651" i="164"/>
  <c r="H651" i="164"/>
  <c r="I651" i="164"/>
  <c r="J651" i="164"/>
  <c r="K651" i="164"/>
  <c r="F653" i="164"/>
  <c r="G653" i="164"/>
  <c r="H653" i="164"/>
  <c r="I653" i="164"/>
  <c r="J653" i="164"/>
  <c r="K653" i="164"/>
  <c r="F654" i="164"/>
  <c r="G654" i="164"/>
  <c r="H654" i="164"/>
  <c r="I654" i="164"/>
  <c r="J654" i="164"/>
  <c r="K654" i="164"/>
  <c r="F867" i="164"/>
  <c r="G867" i="164"/>
  <c r="H867" i="164"/>
  <c r="I867" i="164"/>
  <c r="J867" i="164"/>
  <c r="K867" i="164"/>
  <c r="F869" i="164"/>
  <c r="G869" i="164"/>
  <c r="H869" i="164"/>
  <c r="I869" i="164"/>
  <c r="J869" i="164"/>
  <c r="K869" i="164"/>
  <c r="F871" i="164"/>
  <c r="G871" i="164"/>
  <c r="H871" i="164"/>
  <c r="I871" i="164"/>
  <c r="J871" i="164"/>
  <c r="K871" i="164"/>
  <c r="F872" i="164"/>
  <c r="G872" i="164"/>
  <c r="H872" i="164"/>
  <c r="I872" i="164"/>
  <c r="J872" i="164"/>
  <c r="K872" i="164"/>
  <c r="F877" i="164"/>
  <c r="G877" i="164"/>
  <c r="H877" i="164"/>
  <c r="I877" i="164"/>
  <c r="J877" i="164"/>
  <c r="K877" i="164"/>
  <c r="F881" i="164"/>
  <c r="G881" i="164"/>
  <c r="H881" i="164"/>
  <c r="I881" i="164"/>
  <c r="J881" i="164"/>
  <c r="K881" i="164"/>
  <c r="F882" i="164"/>
  <c r="G882" i="164"/>
  <c r="H882" i="164"/>
  <c r="I882" i="164"/>
  <c r="J882" i="164"/>
  <c r="K882" i="164"/>
  <c r="F884" i="164"/>
  <c r="G884" i="164"/>
  <c r="H884" i="164"/>
  <c r="I884" i="164"/>
  <c r="J884" i="164"/>
  <c r="K884" i="164"/>
  <c r="F887" i="164"/>
  <c r="G887" i="164"/>
  <c r="H887" i="164"/>
  <c r="I887" i="164"/>
  <c r="J887" i="164"/>
  <c r="K887" i="164"/>
  <c r="F890" i="164"/>
  <c r="G890" i="164"/>
  <c r="H890" i="164"/>
  <c r="I890" i="164"/>
  <c r="J890" i="164"/>
  <c r="K890" i="164"/>
  <c r="F892" i="164"/>
  <c r="G892" i="164"/>
  <c r="H892" i="164"/>
  <c r="I892" i="164"/>
  <c r="J892" i="164"/>
  <c r="K892" i="164"/>
  <c r="F895" i="164"/>
  <c r="G895" i="164"/>
  <c r="H895" i="164"/>
  <c r="I895" i="164"/>
  <c r="J895" i="164"/>
  <c r="K895" i="164"/>
  <c r="F896" i="164"/>
  <c r="G896" i="164"/>
  <c r="H896" i="164"/>
  <c r="I896" i="164"/>
  <c r="J896" i="164"/>
  <c r="K896" i="164"/>
  <c r="F897" i="164"/>
  <c r="G897" i="164"/>
  <c r="H897" i="164"/>
  <c r="I897" i="164"/>
  <c r="J897" i="164"/>
  <c r="K897" i="164"/>
  <c r="F899" i="164"/>
  <c r="G899" i="164"/>
  <c r="H899" i="164"/>
  <c r="I899" i="164"/>
  <c r="J899" i="164"/>
  <c r="G23" i="49"/>
  <c r="I23" i="49"/>
  <c r="K23" i="49"/>
  <c r="L23" i="49"/>
  <c r="G24" i="49"/>
  <c r="I24" i="49"/>
  <c r="K24" i="49"/>
  <c r="L24" i="49"/>
  <c r="G25" i="49"/>
  <c r="I25" i="49"/>
  <c r="K25" i="49"/>
  <c r="L25" i="49"/>
  <c r="G29" i="49"/>
  <c r="I29" i="49"/>
  <c r="K29" i="49"/>
  <c r="L29" i="49"/>
  <c r="G32" i="49"/>
  <c r="I32" i="49"/>
  <c r="K32" i="49"/>
  <c r="L32" i="49"/>
  <c r="F34" i="49"/>
  <c r="G34" i="49"/>
  <c r="I34" i="49"/>
  <c r="K34" i="49"/>
  <c r="L34" i="49"/>
  <c r="F35" i="49"/>
  <c r="G35" i="49"/>
  <c r="I35" i="49"/>
  <c r="K35" i="49"/>
  <c r="L35" i="49"/>
  <c r="F37" i="49"/>
  <c r="G37" i="49"/>
  <c r="I37" i="49"/>
  <c r="K37" i="49"/>
  <c r="L37" i="49"/>
  <c r="G41" i="49"/>
  <c r="I41" i="49"/>
  <c r="K41" i="49"/>
  <c r="L41" i="49"/>
  <c r="G42" i="49"/>
  <c r="I42" i="49"/>
  <c r="K42" i="49"/>
  <c r="G48" i="49"/>
  <c r="I48" i="49"/>
  <c r="K48" i="49"/>
  <c r="L48" i="49"/>
  <c r="G49" i="49"/>
  <c r="I49" i="49"/>
  <c r="K49" i="49"/>
  <c r="L49" i="49"/>
  <c r="G51" i="49"/>
  <c r="I51" i="49"/>
  <c r="K51" i="49"/>
  <c r="L51" i="49"/>
  <c r="F52" i="49"/>
  <c r="G52" i="49"/>
  <c r="I52" i="49"/>
  <c r="K52" i="49"/>
  <c r="L52" i="49"/>
  <c r="E15" i="8"/>
  <c r="F15" i="8"/>
  <c r="G15" i="8"/>
  <c r="H15" i="8"/>
  <c r="I15" i="8"/>
  <c r="K15" i="8"/>
  <c r="L15" i="8"/>
  <c r="M15" i="8"/>
  <c r="N15" i="8"/>
  <c r="G16" i="8"/>
  <c r="H16" i="8"/>
  <c r="I16" i="8"/>
  <c r="K16" i="8"/>
  <c r="L16" i="8"/>
  <c r="M16" i="8"/>
  <c r="N16" i="8"/>
  <c r="E17" i="8"/>
  <c r="F17" i="8"/>
  <c r="G17" i="8"/>
  <c r="H17" i="8"/>
  <c r="I17" i="8"/>
  <c r="K17" i="8"/>
  <c r="L17" i="8"/>
  <c r="M17" i="8"/>
  <c r="N17" i="8"/>
  <c r="G18" i="8"/>
  <c r="H18" i="8"/>
  <c r="I18" i="8"/>
  <c r="K18" i="8"/>
  <c r="L18" i="8"/>
  <c r="M18" i="8"/>
  <c r="N18" i="8"/>
  <c r="E20" i="8"/>
  <c r="F20" i="8"/>
  <c r="H20" i="8"/>
  <c r="I20" i="8"/>
  <c r="K20" i="8"/>
  <c r="L20" i="8"/>
  <c r="M20" i="8"/>
  <c r="N20" i="8"/>
  <c r="K35" i="8"/>
  <c r="L35" i="8"/>
  <c r="E15" i="6"/>
  <c r="F15" i="6"/>
  <c r="G15" i="6"/>
  <c r="H15" i="6"/>
  <c r="I15" i="6"/>
  <c r="K15" i="6"/>
  <c r="L15" i="6"/>
  <c r="M15" i="6"/>
  <c r="N15" i="6"/>
  <c r="P15" i="6"/>
  <c r="Q15" i="6"/>
  <c r="R15" i="6"/>
  <c r="S15" i="6"/>
  <c r="T15" i="6"/>
  <c r="U15" i="6"/>
  <c r="V15" i="6"/>
  <c r="G16" i="6"/>
  <c r="H16" i="6"/>
  <c r="I16" i="6"/>
  <c r="K16" i="6"/>
  <c r="L16" i="6"/>
  <c r="M16" i="6"/>
  <c r="N16" i="6"/>
  <c r="P16" i="6"/>
  <c r="Q16" i="6"/>
  <c r="R16" i="6"/>
  <c r="S16" i="6"/>
  <c r="T16" i="6"/>
  <c r="U16" i="6"/>
  <c r="V16" i="6"/>
  <c r="E17" i="6"/>
  <c r="F17" i="6"/>
  <c r="G17" i="6"/>
  <c r="H17" i="6"/>
  <c r="I17" i="6"/>
  <c r="K17" i="6"/>
  <c r="L17" i="6"/>
  <c r="M17" i="6"/>
  <c r="N17" i="6"/>
  <c r="P17" i="6"/>
  <c r="Q17" i="6"/>
  <c r="R17" i="6"/>
  <c r="S17" i="6"/>
  <c r="T17" i="6"/>
  <c r="U17" i="6"/>
  <c r="V17" i="6"/>
  <c r="G18" i="6"/>
  <c r="H18" i="6"/>
  <c r="I18" i="6"/>
  <c r="K18" i="6"/>
  <c r="L18" i="6"/>
  <c r="M18" i="6"/>
  <c r="N18" i="6"/>
  <c r="P18" i="6"/>
  <c r="Q18" i="6"/>
  <c r="R18" i="6"/>
  <c r="S18" i="6"/>
  <c r="T18" i="6"/>
  <c r="U18" i="6"/>
  <c r="V18" i="6"/>
  <c r="E20" i="6"/>
  <c r="F20" i="6"/>
  <c r="H20" i="6"/>
  <c r="I20" i="6"/>
  <c r="K20" i="6"/>
  <c r="L20" i="6"/>
  <c r="M20" i="6"/>
  <c r="N20" i="6"/>
  <c r="P20" i="6"/>
  <c r="Q20" i="6"/>
  <c r="R20" i="6"/>
  <c r="S20" i="6"/>
  <c r="T20" i="6"/>
  <c r="U20" i="6"/>
  <c r="V20" i="6"/>
  <c r="J26" i="6"/>
  <c r="K35" i="6"/>
  <c r="L35" i="6"/>
  <c r="E15" i="24"/>
  <c r="F15" i="24"/>
  <c r="G15" i="24"/>
  <c r="H15" i="24"/>
  <c r="I15" i="24"/>
  <c r="K15" i="24"/>
  <c r="L15" i="24"/>
  <c r="M15" i="24"/>
  <c r="N15" i="24"/>
  <c r="G16" i="24"/>
  <c r="H16" i="24"/>
  <c r="I16" i="24"/>
  <c r="K16" i="24"/>
  <c r="L16" i="24"/>
  <c r="M16" i="24"/>
  <c r="N16" i="24"/>
  <c r="E17" i="24"/>
  <c r="F17" i="24"/>
  <c r="G17" i="24"/>
  <c r="H17" i="24"/>
  <c r="I17" i="24"/>
  <c r="K17" i="24"/>
  <c r="L17" i="24"/>
  <c r="M17" i="24"/>
  <c r="N17" i="24"/>
  <c r="G18" i="24"/>
  <c r="H18" i="24"/>
  <c r="I18" i="24"/>
  <c r="K18" i="24"/>
  <c r="L18" i="24"/>
  <c r="M18" i="24"/>
  <c r="N18" i="24"/>
  <c r="E20" i="24"/>
  <c r="F20" i="24"/>
  <c r="H20" i="24"/>
  <c r="I20" i="24"/>
  <c r="K20" i="24"/>
  <c r="L20" i="24"/>
  <c r="M20" i="24"/>
  <c r="N20" i="24"/>
  <c r="K35" i="24"/>
  <c r="L35" i="24"/>
  <c r="E15" i="7"/>
  <c r="F15" i="7"/>
  <c r="G15" i="7"/>
  <c r="H15" i="7"/>
  <c r="I15" i="7"/>
  <c r="K15" i="7"/>
  <c r="L15" i="7"/>
  <c r="M15" i="7"/>
  <c r="N15" i="7"/>
  <c r="G16" i="7"/>
  <c r="H16" i="7"/>
  <c r="I16" i="7"/>
  <c r="K16" i="7"/>
  <c r="L16" i="7"/>
  <c r="M16" i="7"/>
  <c r="N16" i="7"/>
  <c r="E17" i="7"/>
  <c r="F17" i="7"/>
  <c r="G17" i="7"/>
  <c r="H17" i="7"/>
  <c r="I17" i="7"/>
  <c r="K17" i="7"/>
  <c r="L17" i="7"/>
  <c r="M17" i="7"/>
  <c r="N17" i="7"/>
  <c r="G18" i="7"/>
  <c r="H18" i="7"/>
  <c r="I18" i="7"/>
  <c r="K18" i="7"/>
  <c r="L18" i="7"/>
  <c r="M18" i="7"/>
  <c r="N18" i="7"/>
  <c r="E20" i="7"/>
  <c r="F20" i="7"/>
  <c r="H20" i="7"/>
  <c r="I20" i="7"/>
  <c r="K20" i="7"/>
  <c r="L20" i="7"/>
  <c r="M20" i="7"/>
  <c r="N20" i="7"/>
  <c r="K35" i="7"/>
  <c r="L35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  <author>t61190</author>
  </authors>
  <commentList>
    <comment ref="F24" authorId="0" shapeId="0" xr:uid="{00000000-0006-0000-0400-000001000000}">
      <text>
        <r>
          <rPr>
            <sz val="10"/>
            <color indexed="81"/>
            <rFont val="Tahoma"/>
            <family val="2"/>
          </rPr>
          <t xml:space="preserve">Needs to tie to Sch. C-1, Column (C), which reflects the requested rate increase.
</t>
        </r>
      </text>
    </comment>
    <comment ref="D225" authorId="0" shapeId="0" xr:uid="{00000000-0006-0000-0400-000002000000}">
      <text>
        <r>
          <rPr>
            <sz val="10"/>
            <color indexed="81"/>
            <rFont val="Tahoma"/>
            <family val="2"/>
          </rPr>
          <t xml:space="preserve">Used AG39 because geneeral plant is allocated using functional labor from Form 1
</t>
        </r>
      </text>
    </comment>
    <comment ref="F368" authorId="0" shapeId="0" xr:uid="{00000000-0006-0000-0400-000003000000}">
      <text>
        <r>
          <rPr>
            <sz val="10"/>
            <color indexed="81"/>
            <rFont val="Tahoma"/>
            <family val="2"/>
          </rPr>
          <t xml:space="preserve">Sch. C-3.24 - Additional camera work
</t>
        </r>
      </text>
    </comment>
    <comment ref="F377" authorId="0" shapeId="0" xr:uid="{00000000-0006-0000-0400-000004000000}">
      <text>
        <r>
          <rPr>
            <sz val="10"/>
            <color indexed="81"/>
            <rFont val="Tahoma"/>
            <family val="2"/>
          </rPr>
          <t xml:space="preserve">$50 adj is on C-3.14
</t>
        </r>
      </text>
    </comment>
    <comment ref="F385" authorId="0" shapeId="0" xr:uid="{00000000-0006-0000-0400-000005000000}">
      <text>
        <r>
          <rPr>
            <sz val="10"/>
            <color indexed="81"/>
            <rFont val="Tahoma"/>
            <family val="2"/>
          </rPr>
          <t xml:space="preserve">$578,533 - C-3.9, Synchronize PIPP Rev &amp; Exp
</t>
        </r>
      </text>
    </comment>
    <comment ref="F386" authorId="0" shapeId="0" xr:uid="{00000000-0006-0000-0400-000006000000}">
      <text>
        <r>
          <rPr>
            <sz val="10"/>
            <color indexed="81"/>
            <rFont val="Tahoma"/>
            <family val="2"/>
          </rPr>
          <t xml:space="preserve">$438,162 - C-3.16, Annualized Uncollectible Exp
</t>
        </r>
      </text>
    </comment>
    <comment ref="F387" authorId="0" shapeId="0" xr:uid="{00000000-0006-0000-0400-000007000000}">
      <text>
        <r>
          <rPr>
            <sz val="10"/>
            <color indexed="81"/>
            <rFont val="Tahoma"/>
            <family val="2"/>
          </rPr>
          <t xml:space="preserve">$255,457 - C-3.6, Cust Deposits
</t>
        </r>
      </text>
    </comment>
    <comment ref="F388" authorId="0" shapeId="0" xr:uid="{00000000-0006-0000-0400-000008000000}">
      <text>
        <r>
          <rPr>
            <sz val="10"/>
            <color indexed="81"/>
            <rFont val="Tahoma"/>
            <family val="2"/>
          </rPr>
          <t xml:space="preserve">Sch. C-1
</t>
        </r>
      </text>
    </comment>
    <comment ref="F491" authorId="0" shapeId="0" xr:uid="{00000000-0006-0000-0400-000009000000}">
      <text>
        <r>
          <rPr>
            <sz val="10"/>
            <color indexed="81"/>
            <rFont val="Tahoma"/>
            <family val="2"/>
          </rPr>
          <t xml:space="preserve">Sch. C-1
</t>
        </r>
      </text>
    </comment>
    <comment ref="F492" authorId="0" shapeId="0" xr:uid="{00000000-0006-0000-0400-00000A000000}">
      <text>
        <r>
          <rPr>
            <sz val="10"/>
            <color indexed="81"/>
            <rFont val="Tahoma"/>
            <family val="2"/>
          </rPr>
          <t xml:space="preserve">Sch. C-1
</t>
        </r>
      </text>
    </comment>
    <comment ref="F515" authorId="1" shapeId="0" xr:uid="{00000000-0006-0000-0400-00000B000000}">
      <text>
        <r>
          <rPr>
            <b/>
            <sz val="8"/>
            <color indexed="81"/>
            <rFont val="Tahoma"/>
            <family val="2"/>
          </rPr>
          <t>t61190:</t>
        </r>
        <r>
          <rPr>
            <sz val="8"/>
            <color indexed="81"/>
            <rFont val="Tahoma"/>
            <family val="2"/>
          </rPr>
          <t xml:space="preserve">
Source; SFR Schedule C-4 Reverse sign
 </t>
        </r>
      </text>
    </comment>
    <comment ref="F529" authorId="0" shapeId="0" xr:uid="{00000000-0006-0000-0400-00000C000000}">
      <text>
        <r>
          <rPr>
            <sz val="10"/>
            <color indexed="81"/>
            <rFont val="Tahoma"/>
            <family val="2"/>
          </rPr>
          <t xml:space="preserve">Excess of Tax over Book (Unadjusted - Cell H26) less Excess of Tax over Book (Deferred FIT) times FIT
</t>
        </r>
      </text>
    </comment>
    <comment ref="F625" authorId="0" shapeId="0" xr:uid="{68EBF19B-85C4-4DCE-9936-FF30D7D6C1F1}">
      <text>
        <r>
          <rPr>
            <sz val="10"/>
            <color indexed="81"/>
            <rFont val="Tahoma"/>
            <family val="2"/>
          </rPr>
          <t xml:space="preserve">Account 488000, Miscellaneous Service Revenue
</t>
        </r>
      </text>
    </comment>
    <comment ref="F626" authorId="0" shapeId="0" xr:uid="{E82481A2-B26F-44D0-854A-B867C2BC7FF6}">
      <text>
        <r>
          <rPr>
            <sz val="10"/>
            <color indexed="81"/>
            <rFont val="Tahoma"/>
            <family val="2"/>
          </rPr>
          <t xml:space="preserve">Base Revenue portion
</t>
        </r>
      </text>
    </comment>
    <comment ref="F627" authorId="0" shapeId="0" xr:uid="{05999183-F629-4B26-A575-9DB1614331F6}">
      <text>
        <r>
          <rPr>
            <sz val="10"/>
            <color indexed="81"/>
            <rFont val="Tahoma"/>
            <family val="2"/>
          </rPr>
          <t xml:space="preserve">Accounts 489010, 489200 &amp; 495031
</t>
        </r>
      </text>
    </comment>
    <comment ref="F628" authorId="0" shapeId="0" xr:uid="{95A2452B-2193-4E68-BEB6-F3C805D316B9}">
      <text>
        <r>
          <rPr>
            <sz val="10"/>
            <color indexed="81"/>
            <rFont val="Tahoma"/>
            <family val="2"/>
          </rPr>
          <t xml:space="preserve">Accounts 493000 &amp; 493010
</t>
        </r>
      </text>
    </comment>
    <comment ref="F744" authorId="0" shapeId="0" xr:uid="{00000000-0006-0000-0400-000011000000}">
      <text>
        <r>
          <rPr>
            <sz val="10"/>
            <color indexed="81"/>
            <rFont val="Tahoma"/>
            <family val="2"/>
          </rPr>
          <t xml:space="preserve">Present Revenue from Sch. E, less miscellaneous revenue
</t>
        </r>
      </text>
    </comment>
    <comment ref="F745" authorId="0" shapeId="0" xr:uid="{00000000-0006-0000-0400-000012000000}">
      <text>
        <r>
          <rPr>
            <sz val="10"/>
            <color indexed="81"/>
            <rFont val="Tahoma"/>
            <family val="2"/>
          </rPr>
          <t xml:space="preserve">Proposed Revenue from Sch. E, less miscellaneous revenue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E15" authorId="0" shapeId="0" xr:uid="{00000000-0006-0000-1F00-000001000000}">
      <text>
        <r>
          <rPr>
            <sz val="10"/>
            <color indexed="81"/>
            <rFont val="Tahoma"/>
            <family val="2"/>
          </rPr>
          <t xml:space="preserve">Source: WPE-3.2k Present NOI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E15" authorId="0" shapeId="0" xr:uid="{00000000-0006-0000-2000-000001000000}">
      <text>
        <r>
          <rPr>
            <sz val="10"/>
            <color indexed="81"/>
            <rFont val="Tahoma"/>
            <family val="2"/>
          </rPr>
          <t xml:space="preserve">Source: WPE-3.2k Present NOI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E15" authorId="0" shapeId="0" xr:uid="{00000000-0006-0000-2100-000001000000}">
      <text>
        <r>
          <rPr>
            <sz val="10"/>
            <color indexed="81"/>
            <rFont val="Tahoma"/>
            <family val="2"/>
          </rPr>
          <t xml:space="preserve">Source: WPE-3.2k Present NOI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F761" authorId="0" shapeId="0" xr:uid="{00000000-0006-0000-0600-000001000000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G761" authorId="0" shapeId="0" xr:uid="{00000000-0006-0000-0600-000002000000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H761" authorId="0" shapeId="0" xr:uid="{00000000-0006-0000-0600-000003000000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I761" authorId="0" shapeId="0" xr:uid="{00000000-0006-0000-0600-000004000000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J761" authorId="0" shapeId="0" xr:uid="{00000000-0006-0000-0600-000005000000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F763" authorId="0" shapeId="0" xr:uid="{65CD51FA-2D01-4A13-88E0-A37C0C9CCA27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G763" authorId="0" shapeId="0" xr:uid="{530F961C-0541-4701-B844-63092C494A9E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H763" authorId="0" shapeId="0" xr:uid="{6592FFF2-780E-4922-A9E6-D5D61FFC9DBD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I763" authorId="0" shapeId="0" xr:uid="{720F6200-45B8-41BB-B2FE-64E42367CB75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J763" authorId="0" shapeId="0" xr:uid="{3CB2FD48-8EFB-4644-952B-59101DB19207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G35" authorId="0" shapeId="0" xr:uid="{00000000-0006-0000-0B00-000001000000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H35" authorId="0" shapeId="0" xr:uid="{00000000-0006-0000-0B00-000002000000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I35" authorId="0" shapeId="0" xr:uid="{00000000-0006-0000-0B00-000003000000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J35" authorId="0" shapeId="0" xr:uid="{00000000-0006-0000-0B00-000004000000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G37" authorId="0" shapeId="0" xr:uid="{00000000-0006-0000-0B00-000005000000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H37" authorId="0" shapeId="0" xr:uid="{00000000-0006-0000-0B00-000006000000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I37" authorId="0" shapeId="0" xr:uid="{00000000-0006-0000-0B00-000007000000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J37" authorId="0" shapeId="0" xr:uid="{00000000-0006-0000-0B00-000008000000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D12" authorId="0" shapeId="0" xr:uid="{00000000-0006-0000-1000-000001000000}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13" authorId="0" shapeId="0" xr:uid="{00000000-0006-0000-1000-000002000000}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14" authorId="0" shapeId="0" xr:uid="{00000000-0006-0000-1000-000003000000}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33" authorId="0" shapeId="0" xr:uid="{00000000-0006-0000-1000-000004000000}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39" authorId="0" shapeId="0" xr:uid="{00000000-0006-0000-1000-000005000000}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40" authorId="0" shapeId="0" xr:uid="{00000000-0006-0000-1000-000006000000}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41" authorId="0" shapeId="0" xr:uid="{00000000-0006-0000-1000-000007000000}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K22" authorId="0" shapeId="0" xr:uid="{00000000-0006-0000-1100-000001000000}">
      <text>
        <r>
          <rPr>
            <sz val="10"/>
            <color indexed="81"/>
            <rFont val="Tahoma"/>
            <family val="2"/>
          </rPr>
          <t xml:space="preserve">Not assigned to IT because these customers are willing to be interrupted at times of extreme cold where system is short of capacity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E10" authorId="0" shapeId="0" xr:uid="{00000000-0006-0000-1200-000001000000}">
      <text>
        <r>
          <rPr>
            <sz val="10"/>
            <color indexed="81"/>
            <rFont val="Tahoma"/>
            <family val="2"/>
          </rPr>
          <t xml:space="preserve">Per Zinnia Hoying / Donna Hendrix the load factors are calculated using claendar month data.
</t>
        </r>
      </text>
    </comment>
    <comment ref="E12" authorId="0" shapeId="0" xr:uid="{00000000-0006-0000-1200-000002000000}">
      <text>
        <r>
          <rPr>
            <sz val="10"/>
            <color indexed="81"/>
            <rFont val="Tahoma"/>
            <family val="2"/>
          </rPr>
          <t xml:space="preserve">Source: financial statements.
</t>
        </r>
      </text>
    </comment>
    <comment ref="E29" authorId="0" shapeId="0" xr:uid="{00000000-0006-0000-1200-000003000000}">
      <text>
        <r>
          <rPr>
            <sz val="10"/>
            <color indexed="81"/>
            <rFont val="Tahoma"/>
            <family val="2"/>
          </rPr>
          <t xml:space="preserve">Per Zinnia Hoying / Donna Hendrix the load factors are calculated using claendar month data.
</t>
        </r>
      </text>
    </comment>
    <comment ref="E58" authorId="0" shapeId="0" xr:uid="{00000000-0006-0000-1200-000004000000}">
      <text>
        <r>
          <rPr>
            <sz val="10"/>
            <color indexed="81"/>
            <rFont val="Tahoma"/>
            <family val="2"/>
          </rPr>
          <t xml:space="preserve">Per Zinnia Hoying / Donna Hendrix the load factors are calculated using claendar month data.
</t>
        </r>
      </text>
    </comment>
    <comment ref="E78" authorId="0" shapeId="0" xr:uid="{00000000-0006-0000-1200-000005000000}">
      <text>
        <r>
          <rPr>
            <sz val="10"/>
            <color indexed="81"/>
            <rFont val="Tahoma"/>
            <family val="2"/>
          </rPr>
          <t xml:space="preserve">Per Zinnia Hoying / Donna Hendrix the load factors are calculated using claendar month data.
</t>
        </r>
      </text>
    </comment>
    <comment ref="E128" authorId="0" shapeId="0" xr:uid="{00000000-0006-0000-1200-000006000000}">
      <text>
        <r>
          <rPr>
            <sz val="10"/>
            <color indexed="81"/>
            <rFont val="Tahoma"/>
            <family val="2"/>
          </rPr>
          <t xml:space="preserve">Per Zinnia Hoying / Donna Hendrix the load factors are calculated using claendar month data.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K12" authorId="0" shapeId="0" xr:uid="{00000000-0006-0000-1A00-000001000000}">
      <text>
        <r>
          <rPr>
            <sz val="10"/>
            <color indexed="81"/>
            <rFont val="Tahoma"/>
            <family val="2"/>
          </rPr>
          <t xml:space="preserve">Allocated based on ratio of GS Small customers to the total GS class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t31505</author>
  </authors>
  <commentList>
    <comment ref="H9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t31505:</t>
        </r>
        <r>
          <rPr>
            <sz val="8"/>
            <color indexed="81"/>
            <rFont val="Tahoma"/>
            <family val="2"/>
          </rPr>
          <t xml:space="preserve">
GS AND FT SMALL HAVE IDENTICAL DELIVERY RATE PER JIM Z</t>
        </r>
      </text>
    </comment>
    <comment ref="I9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>t31505:</t>
        </r>
        <r>
          <rPr>
            <sz val="8"/>
            <color indexed="81"/>
            <rFont val="Tahoma"/>
            <family val="2"/>
          </rPr>
          <t xml:space="preserve">
GS AND FT LARGE HAVE IDENTICAL DELIVERY RATES PER JIM Z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E15" authorId="0" shapeId="0" xr:uid="{00000000-0006-0000-1E00-000001000000}">
      <text>
        <r>
          <rPr>
            <sz val="10"/>
            <color indexed="81"/>
            <rFont val="Tahoma"/>
            <family val="2"/>
          </rPr>
          <t xml:space="preserve">Source: WPE-3.2k Present NOI
</t>
        </r>
      </text>
    </comment>
    <comment ref="J20" authorId="0" shapeId="0" xr:uid="{00000000-0006-0000-1E00-000002000000}">
      <text>
        <r>
          <rPr>
            <sz val="10"/>
            <color indexed="81"/>
            <rFont val="Tahoma"/>
            <family val="2"/>
          </rPr>
          <t xml:space="preserve">Per revenue requirement model.
</t>
        </r>
      </text>
    </comment>
  </commentList>
</comments>
</file>

<file path=xl/sharedStrings.xml><?xml version="1.0" encoding="utf-8"?>
<sst xmlns="http://schemas.openxmlformats.org/spreadsheetml/2006/main" count="9938" uniqueCount="1560">
  <si>
    <t>Deficiency @ROR</t>
  </si>
  <si>
    <t>Incr Uncollectible Exp/Ucoll</t>
  </si>
  <si>
    <t>Misc. Expenses</t>
  </si>
  <si>
    <t>Difference</t>
  </si>
  <si>
    <t>Schedule 13</t>
  </si>
  <si>
    <t>case_name</t>
  </si>
  <si>
    <t>time_period</t>
  </si>
  <si>
    <t>header_name</t>
  </si>
  <si>
    <t>company_name</t>
  </si>
  <si>
    <t>data_filing</t>
  </si>
  <si>
    <t>Range name</t>
  </si>
  <si>
    <t>Schedule 3 - Accum Deprec</t>
  </si>
  <si>
    <t>Schedule 2 - Gross Plant</t>
  </si>
  <si>
    <t>Schedule 4 - Net Plant</t>
  </si>
  <si>
    <t>PRODUCTION PLANT</t>
  </si>
  <si>
    <t>TRANSMISSION PLANT</t>
  </si>
  <si>
    <t>TOTAL PROD &amp; TRANS PLANT</t>
  </si>
  <si>
    <t>DISTRIBUTION PLANT</t>
  </si>
  <si>
    <t>TOTAL TRANS &amp; DIST PLANT</t>
  </si>
  <si>
    <t>TOTAL GROSS PTD PLANT</t>
  </si>
  <si>
    <t>GENERAL &amp; INTANGIBLE PLANT</t>
  </si>
  <si>
    <t>COMMON &amp; OTHER PLANT</t>
  </si>
  <si>
    <t>DEPRECIATION RESERVE</t>
  </si>
  <si>
    <t>TOTAL DEPRECIATION RESERVE</t>
  </si>
  <si>
    <t>NET TRANS &amp; DIST PLANT</t>
  </si>
  <si>
    <t>RATE BASE</t>
  </si>
  <si>
    <t>RATE BASE ADJUSTMENTS</t>
  </si>
  <si>
    <t xml:space="preserve"> ACCUM DEF INC TAXES (282)</t>
  </si>
  <si>
    <t xml:space="preserve"> ACCUM DEF INC TAXES (283)</t>
  </si>
  <si>
    <t xml:space="preserve"> ACCUM DEF INC TAXES (190)</t>
  </si>
  <si>
    <t xml:space="preserve"> OTHER</t>
  </si>
  <si>
    <t>NET ORIGINAL COST RATE BASE</t>
  </si>
  <si>
    <t>WORKING CAPITAL</t>
  </si>
  <si>
    <t>PLANT MATERIALS &amp; SUPPLIES</t>
  </si>
  <si>
    <t>TOTAL MATERIALS &amp; SUPPLIES</t>
  </si>
  <si>
    <t>PREPAYMENTS</t>
  </si>
  <si>
    <t>AUTO CALC (O&amp;M-GAS COST)/8</t>
  </si>
  <si>
    <t xml:space="preserve">  TOTAL WORKING CASH</t>
  </si>
  <si>
    <t>MISCELLANEOUS WORKING CAPITAL</t>
  </si>
  <si>
    <t>TOTAL WORKING CAPITAL</t>
  </si>
  <si>
    <t>PRELIMINARY SUMMARY</t>
  </si>
  <si>
    <t>RATE BASE CALCULATION</t>
  </si>
  <si>
    <t>TOTAL RATE OF RETURN ALLOWABLE</t>
  </si>
  <si>
    <t>RETURN ON RATE BASE</t>
  </si>
  <si>
    <t>O&amp;M EXPENSES</t>
  </si>
  <si>
    <t>PRODUCTION O&amp;M</t>
  </si>
  <si>
    <t>COMMODITY RELATED O&amp;M</t>
  </si>
  <si>
    <t>DEMAND RELATED PROD O&amp;M</t>
  </si>
  <si>
    <t>TOTAL PRODUCTION O&amp;M</t>
  </si>
  <si>
    <t>TRANSMISSION O &amp; M</t>
  </si>
  <si>
    <t>DISTRIBUTION O &amp; M</t>
  </si>
  <si>
    <t>CUSTOMER ACCOUNTING</t>
  </si>
  <si>
    <t>CUSTOMER SERVICE &amp; INFORMATION</t>
  </si>
  <si>
    <t>SALES</t>
  </si>
  <si>
    <t xml:space="preserve">ADMINISTRATIVE &amp; GENERAL </t>
  </si>
  <si>
    <t>DEPRECIATION EXPENSE</t>
  </si>
  <si>
    <t>PRODUCTION DEPRECIATION</t>
  </si>
  <si>
    <t>TRANSMISSION DEPRECIATION</t>
  </si>
  <si>
    <t>DISTRIBUTION DEPRECIATION</t>
  </si>
  <si>
    <t>GENERAL DEPRECIATION</t>
  </si>
  <si>
    <t>COMMON AND OTHER DEPRECIATION</t>
  </si>
  <si>
    <t>TOTAL DEPRECIATION EXPENSE</t>
  </si>
  <si>
    <t>OTHER TAXES &amp; MISC EXPENSES</t>
  </si>
  <si>
    <t>TAXES OTHER THAN INC &amp; REV</t>
  </si>
  <si>
    <t xml:space="preserve"> REAL ESTATE &amp; PROPERTY TAX</t>
  </si>
  <si>
    <t xml:space="preserve"> MISCELLANEOUS TAXES</t>
  </si>
  <si>
    <t xml:space="preserve"> MISCELLANEOUS EXPENSES</t>
  </si>
  <si>
    <t>TOTAL OTHER TAX &amp; MISC EXPENSE</t>
  </si>
  <si>
    <t>INCOME TAX BASED ON RETURN</t>
  </si>
  <si>
    <t>FEDERAL INCOME TAX DEDUCTIONS</t>
  </si>
  <si>
    <t xml:space="preserve"> AUTOMATIC INTEREST CALCULATION</t>
  </si>
  <si>
    <t xml:space="preserve"> OTHER DEDUCTIONS</t>
  </si>
  <si>
    <t>NET DEDUCTIONS AND ADDITIONS</t>
  </si>
  <si>
    <t xml:space="preserve"> TEST YEAR INV TAX CREDIT</t>
  </si>
  <si>
    <t>FEDERAL INCOME TAX COMPUTATION</t>
  </si>
  <si>
    <t>FEDERAL INCOME TAX PAYABLE</t>
  </si>
  <si>
    <t>COMPOSITE TAX RATE</t>
  </si>
  <si>
    <t>COST OF SERVICE COMPUTATION</t>
  </si>
  <si>
    <t>OTHER OPERATING REVENUES</t>
  </si>
  <si>
    <t>TOTAL GAS COST OF SERVICE</t>
  </si>
  <si>
    <t>EXCESS REVENUES</t>
  </si>
  <si>
    <t>EXCESS TAX</t>
  </si>
  <si>
    <t>EXCESS RETURN</t>
  </si>
  <si>
    <t>ROR, TAX RATES &amp; SPEC FACTORS</t>
  </si>
  <si>
    <t>RATE OF RETURN</t>
  </si>
  <si>
    <t xml:space="preserve"> CAPITALIZATION AMOUNTS</t>
  </si>
  <si>
    <t xml:space="preserve"> COST OF CAPITAL</t>
  </si>
  <si>
    <t xml:space="preserve"> WEIGHTED COST OF CAPITAL</t>
  </si>
  <si>
    <t>TAX RATES AND SPECIAL FACTORS</t>
  </si>
  <si>
    <t>ALLOCATORS</t>
  </si>
  <si>
    <t>DEMAND ENERGY &amp; SPEC. ASSIGN</t>
  </si>
  <si>
    <t>REVENUE NOT TO BE INCLUDED IN REVENUE TAX CALC</t>
  </si>
  <si>
    <t>SPECIAL ALLOCATOR INFO FOR K667</t>
  </si>
  <si>
    <t>SPECIAL ALLOCATOR INFO FOR K697</t>
  </si>
  <si>
    <t>WEIGHTED RATIOS</t>
  </si>
  <si>
    <t>GROSS GAS PLANT IN SERVICE</t>
  </si>
  <si>
    <t>NET GAS PLANT</t>
  </si>
  <si>
    <t>DEPRECIATION EXPENSES</t>
  </si>
  <si>
    <t>OPERATING EXPENSES</t>
  </si>
  <si>
    <t>INCOME TAX BASED ON REVENUES</t>
  </si>
  <si>
    <t>NET INCOME COMPUTATION</t>
  </si>
  <si>
    <t>ADJUSTMENTS TO NET INCOME</t>
  </si>
  <si>
    <t>SUMMARY OF RESULTS</t>
  </si>
  <si>
    <t>TOTAL OTHER OPERATING REVENUES</t>
  </si>
  <si>
    <t>TOTAL RETURN EARNED</t>
  </si>
  <si>
    <t>RATE OF RETURN EARNED</t>
  </si>
  <si>
    <t>RETURN EARNED ON COMMON EQUITY</t>
  </si>
  <si>
    <t>ALLOWED RETURN ON COMMON EQUITY</t>
  </si>
  <si>
    <t>PRESENT REVENUES</t>
  </si>
  <si>
    <t>REVENUE INCREASE JUSTIFIED</t>
  </si>
  <si>
    <t>REVENUE INCREASE REQUESTED</t>
  </si>
  <si>
    <t xml:space="preserve">  PRODUCTION PLANT IN SERVICE</t>
  </si>
  <si>
    <t xml:space="preserve">  TRANSMISSION PLANT IN SERVICE</t>
  </si>
  <si>
    <t xml:space="preserve">  DISTRIBUTION PLANT IN SERVICE</t>
  </si>
  <si>
    <t xml:space="preserve">  GEN &amp; INTANG PLANT IN SERVICE</t>
  </si>
  <si>
    <t>GAS PRODUCTION -CPMPL NOT CLASS</t>
  </si>
  <si>
    <t xml:space="preserve">  TOTAL PROD DEPREC RESERVE</t>
  </si>
  <si>
    <t>TOTAL TRANS DEPREC RESERVE</t>
  </si>
  <si>
    <t xml:space="preserve">  TOTAL DIST DEPREC RESERVE</t>
  </si>
  <si>
    <t xml:space="preserve">  TOTAL GEN DEPREC RESERVE</t>
  </si>
  <si>
    <t xml:space="preserve">  TOTAL COM &amp; OTHER PLT RESERVE</t>
  </si>
  <si>
    <t>PRODUCTION PLANT IN SERVICE</t>
  </si>
  <si>
    <t>TOTAL PROD DEPRC RESERVE</t>
  </si>
  <si>
    <t xml:space="preserve">  NET PRODUCTION PLANT</t>
  </si>
  <si>
    <t>TRANSMISSION PLANT IN SERVICE</t>
  </si>
  <si>
    <t xml:space="preserve">    NET TRANSMISSION PLANT</t>
  </si>
  <si>
    <t>DISTRIBUTION PLANT IN SERVICE</t>
  </si>
  <si>
    <t>TOTAL DIST DEPREC RESERVE</t>
  </si>
  <si>
    <t xml:space="preserve">  NET DISTRIBUTION PLANT</t>
  </si>
  <si>
    <t>GEN &amp; INTANG PLANT IN SERVICE</t>
  </si>
  <si>
    <t>TOTAL GEN &amp; INTG DEPREC RESERVE</t>
  </si>
  <si>
    <t xml:space="preserve">  NET GENERAL &amp; INTANG PLANT</t>
  </si>
  <si>
    <t>COMMON &amp; OTH PLT IN SERVICE</t>
  </si>
  <si>
    <t>TOTAL COM &amp; OTH DEPREC RESERVE</t>
  </si>
  <si>
    <t xml:space="preserve">  NET COMMON &amp; OTHER PLANT</t>
  </si>
  <si>
    <t>LIBERALIZED DEPRECIATION</t>
  </si>
  <si>
    <t>CONTRIB AID CONSTR</t>
  </si>
  <si>
    <t>CAPITALIZED INTEREST</t>
  </si>
  <si>
    <t xml:space="preserve">  TOTAL ACCOUNT 282</t>
  </si>
  <si>
    <t xml:space="preserve">  TOTAL ACCOUNT 283</t>
  </si>
  <si>
    <t xml:space="preserve">  TOTAL OTHER SUBTRACTIVE ADJS</t>
  </si>
  <si>
    <t>UNCOLLECTIBLE ACCTS</t>
  </si>
  <si>
    <t>POST RETIREMENT BENEFITS</t>
  </si>
  <si>
    <t xml:space="preserve">  TOTAL ACCOUNT 190</t>
  </si>
  <si>
    <t xml:space="preserve">  OTHER</t>
  </si>
  <si>
    <t>GAS ENRICHER LIQUID</t>
  </si>
  <si>
    <t>OTHER SUPPLIES</t>
  </si>
  <si>
    <t xml:space="preserve">  TOTAL PLANT MATS. &amp; SUPPLIES</t>
  </si>
  <si>
    <t xml:space="preserve">  TOTAL PREPAYMENTS</t>
  </si>
  <si>
    <t>GAS STORED UNDERGROUND</t>
  </si>
  <si>
    <t xml:space="preserve">  TOTAL MISC WORK CAPITAL</t>
  </si>
  <si>
    <t xml:space="preserve">  TOTAL RATE BASE ADJUSTMENTS</t>
  </si>
  <si>
    <t>TOTAL RATE BASE ADJUSTMENTS</t>
  </si>
  <si>
    <t xml:space="preserve">  TOTAL RATE BASE</t>
  </si>
  <si>
    <t>ANNUALIZED GAS COST - DEMAND</t>
  </si>
  <si>
    <t xml:space="preserve">  TOTAL DEMAND RELATED</t>
  </si>
  <si>
    <t>PRODUCTION EXPENSES</t>
  </si>
  <si>
    <t xml:space="preserve">  TOTAL TRANSMISSION O &amp; M</t>
  </si>
  <si>
    <t>MAINS &amp; SERVICES OPER</t>
  </si>
  <si>
    <t>CUSTOMER INST &amp; OTHER</t>
  </si>
  <si>
    <t>METERS &amp; HOUSE REG</t>
  </si>
  <si>
    <t>MAINS</t>
  </si>
  <si>
    <t>SERVICES</t>
  </si>
  <si>
    <t xml:space="preserve">  TOTAL DISTRIBUTION O &amp; M</t>
  </si>
  <si>
    <t xml:space="preserve">  TOTAL CUSTOMER ACCT EXPENSE</t>
  </si>
  <si>
    <t>TOTAL CUST SERVICE &amp; INFO</t>
  </si>
  <si>
    <t xml:space="preserve">  TOTAL CUSTOMER SERV. &amp; INFO.</t>
  </si>
  <si>
    <t>SALES EXPENSE</t>
  </si>
  <si>
    <t xml:space="preserve">  TOTAL SALES EXPENSE</t>
  </si>
  <si>
    <t xml:space="preserve">  TOTAL ADMIN. &amp; GENERAL</t>
  </si>
  <si>
    <t>TOTAL O &amp; M EXPENSE</t>
  </si>
  <si>
    <t xml:space="preserve">  TOTAL PRODUCTION DEPREC EXP.</t>
  </si>
  <si>
    <t xml:space="preserve">  TOTAL TRANSMISSION DEP. EXP.</t>
  </si>
  <si>
    <t xml:space="preserve">  TOTAL DIST. DEPREC EXP.</t>
  </si>
  <si>
    <t xml:space="preserve">  TOTAL GENERAL DEPREC EXP.</t>
  </si>
  <si>
    <t>COMMON DEPRECIATION</t>
  </si>
  <si>
    <t xml:space="preserve">  TOTAL COM &amp; OTHER DEPREC EXP.</t>
  </si>
  <si>
    <t>REAL ESTATE &amp; PROPERTY TAX</t>
  </si>
  <si>
    <t>ANNUALIZE PROPERTY TAX</t>
  </si>
  <si>
    <t>PAYROLL &amp; HIGHWAY</t>
  </si>
  <si>
    <t xml:space="preserve">  TOTAL MISCELLANEOUS TAXES</t>
  </si>
  <si>
    <t xml:space="preserve">  TOTAL MISCELLANEOUS EXPENSES</t>
  </si>
  <si>
    <t>TOTAL O&amp;M EXPENSE</t>
  </si>
  <si>
    <t>AUTO PROC INTEREST DED</t>
  </si>
  <si>
    <t xml:space="preserve">  TOTAL INTEREST EXPENSE</t>
  </si>
  <si>
    <t>DEPREC EXCESS TAX-BOOK</t>
  </si>
  <si>
    <t xml:space="preserve">  TOTAL OTHER DEDUCTIONS</t>
  </si>
  <si>
    <t>AMORTIZE ITC</t>
  </si>
  <si>
    <t>PROV INVEST TAX CREDIT</t>
  </si>
  <si>
    <t xml:space="preserve">  TEST YEAR INV TAX CREDIT</t>
  </si>
  <si>
    <t xml:space="preserve">  TOTAL FEDERAL TAX ADJUSTMENTS</t>
  </si>
  <si>
    <t xml:space="preserve">  BASE FOR FIT COMPUATION</t>
  </si>
  <si>
    <t>FIT FACTOR K190/(1-K190)</t>
  </si>
  <si>
    <t>PRELIM FED INCOME TAX</t>
  </si>
  <si>
    <t>TOTAL FEDERAL TAX ADJUSTMENTS</t>
  </si>
  <si>
    <t xml:space="preserve">  NET FED INCOME TAX ALLOWABLE</t>
  </si>
  <si>
    <t>PRELIM FEDERAL INCOME TAX</t>
  </si>
  <si>
    <t>TEST YEAR INV TAX CREDIT</t>
  </si>
  <si>
    <t xml:space="preserve">  NET FED INCOME TAX PAYABLE</t>
  </si>
  <si>
    <t>NET FED INCOME TAX ALLOWABLE</t>
  </si>
  <si>
    <t>MISC SERVICE REVENUE</t>
  </si>
  <si>
    <t xml:space="preserve">  TOTAL OTHER OPERATING REVS</t>
  </si>
  <si>
    <t>TOTAL OP EXP EXC INC &amp; REV TAX</t>
  </si>
  <si>
    <t xml:space="preserve">  SUBTOTAL B</t>
  </si>
  <si>
    <t>LESS: REVS EXCL FROM REV TAX CALC</t>
  </si>
  <si>
    <t>OTHER OPERATING REVS TO BE TAXED</t>
  </si>
  <si>
    <t>REVENUE TAX FACTOR</t>
  </si>
  <si>
    <t>REVENUE TAX ON OTHER OPER. REVS</t>
  </si>
  <si>
    <t>REVENUE TAX ON COST OF SERVICE</t>
  </si>
  <si>
    <t>TOTAL REVENUE TAX</t>
  </si>
  <si>
    <t>LONG TERM DEBT</t>
  </si>
  <si>
    <t>PREFERRED STOCK</t>
  </si>
  <si>
    <t>COMMON STOCK</t>
  </si>
  <si>
    <t>SHORT TERM DEBT</t>
  </si>
  <si>
    <t>UNAMORTIZED DISCOUNT</t>
  </si>
  <si>
    <t xml:space="preserve">  TOTAL</t>
  </si>
  <si>
    <t xml:space="preserve">  TOT RATE OF RETURN ALLOWABLE</t>
  </si>
  <si>
    <t>SHORT TERM DEBT COST</t>
  </si>
  <si>
    <t>FEDERAL INCOME TAX RATE</t>
  </si>
  <si>
    <t>STATE INCOME TAX RATE</t>
  </si>
  <si>
    <t>REVENUE TAX RATE</t>
  </si>
  <si>
    <t>FIRM MCF SALES</t>
  </si>
  <si>
    <t>TOTAL CUSTOMERS</t>
  </si>
  <si>
    <t>W'TD CUSTOMERS - SERVICES</t>
  </si>
  <si>
    <t>METER COSTS</t>
  </si>
  <si>
    <t>ASSIGN 100% TO GS OTHER</t>
  </si>
  <si>
    <t>LARGE CUSTOMERS</t>
  </si>
  <si>
    <t>GOVERNMENTAL</t>
  </si>
  <si>
    <t>INTERDEPARTMENTAL</t>
  </si>
  <si>
    <t>TOTAL</t>
  </si>
  <si>
    <t>WTD GROSS PROD PLANT RATIOS</t>
  </si>
  <si>
    <t>WTD GROSS DIST PLANT RATIOS</t>
  </si>
  <si>
    <t>WTD GROSS PTD PLT RATIOS</t>
  </si>
  <si>
    <t>WTD GROSS G &amp; I PLT RATIOS</t>
  </si>
  <si>
    <t>WTD GROSS C &amp; O PLANT RATIOS</t>
  </si>
  <si>
    <t>WTD GROSS PLANT RATIOS</t>
  </si>
  <si>
    <t>WTD DISTR ACCUM RESERVE</t>
  </si>
  <si>
    <t>WTD TOTAL DEPRC RES RATIOS</t>
  </si>
  <si>
    <t>WTD NET PROD PLANT RATIOS</t>
  </si>
  <si>
    <t>WTD NET DIST PLANT RATIOS</t>
  </si>
  <si>
    <t>WTD NET G &amp; I PLT RATIOS</t>
  </si>
  <si>
    <t>WTD NET C &amp; O PLANT RATIOS</t>
  </si>
  <si>
    <t>WTD NET PLANT RATIOS</t>
  </si>
  <si>
    <t>WTD MATERIAL &amp; SUPPLY RATIOS</t>
  </si>
  <si>
    <t>WTD PREPAYMENTS RATIOS</t>
  </si>
  <si>
    <t>WTD TOTAL WORKING CASH RATIOS</t>
  </si>
  <si>
    <t>WTD TOTAL MISC WRKNG CAP RATIO</t>
  </si>
  <si>
    <t>WTD TOTAL WRKNG CAP RATIOS</t>
  </si>
  <si>
    <t>WTD NET OCRB RATIOS</t>
  </si>
  <si>
    <t>WTD TOTAL RATE BASE RATIOS</t>
  </si>
  <si>
    <t>WTD DIST O&amp;M EXP RATIOS</t>
  </si>
  <si>
    <t>WTD CUST ACCT EXP RATIOS</t>
  </si>
  <si>
    <t>WTD SALES EXP RATIOS</t>
  </si>
  <si>
    <t>WTD A&amp;G EXP RATIOS</t>
  </si>
  <si>
    <t>WTD O&amp;M EXP RATIOS</t>
  </si>
  <si>
    <t>WTD PRODUCTION DEPREC RATIOS</t>
  </si>
  <si>
    <t>WTD DIST DEPREC RATIOS</t>
  </si>
  <si>
    <t>WTD GENERAL DEPREC EXP RATIOS</t>
  </si>
  <si>
    <t>WTD COM &amp; OTHER DEP EXP RATIOS</t>
  </si>
  <si>
    <t>WTD TOT DEPREC EXP RATIOS</t>
  </si>
  <si>
    <t>WTD R. E. &amp; PROP TAX RATIOS</t>
  </si>
  <si>
    <t>WTD MISC TAX RATIOS</t>
  </si>
  <si>
    <t>WTD OTHER TAX RATIOS</t>
  </si>
  <si>
    <t>WTD OP EXP EX IT &amp; REV RATIOS</t>
  </si>
  <si>
    <t>WTD PROD O&amp;M EXP RATIOS</t>
  </si>
  <si>
    <t xml:space="preserve">  TOTAL GAS REVENUE</t>
  </si>
  <si>
    <t>TOTAL OP EXP EX INC &amp; REV TAX</t>
  </si>
  <si>
    <t>FIRM SERVICE REVENUE TAX</t>
  </si>
  <si>
    <t xml:space="preserve">  NET INCOME</t>
  </si>
  <si>
    <t>TOTAL INTEREST EXPENSE</t>
  </si>
  <si>
    <t>TOTAL OTHER DEDUCTIONS</t>
  </si>
  <si>
    <t xml:space="preserve">  PRELIMINARY TAXABLE INCOME</t>
  </si>
  <si>
    <t>PRELIMINARY TAXABLE INCOME</t>
  </si>
  <si>
    <t xml:space="preserve">  NET FEDERAL TAXABLE INCOME</t>
  </si>
  <si>
    <t xml:space="preserve">  FEDERAL INCOME TAX RATE</t>
  </si>
  <si>
    <t>PRELIMINARY FIT = FI01 * K190</t>
  </si>
  <si>
    <t xml:space="preserve">  NET FED INC TAX ALLOWABLE</t>
  </si>
  <si>
    <t>PRELIM FIT</t>
  </si>
  <si>
    <t xml:space="preserve">  FED INC TAX PAYABLE</t>
  </si>
  <si>
    <t>NET INCOME</t>
  </si>
  <si>
    <t>NET FED INC TAX ALLOWABLE</t>
  </si>
  <si>
    <t>REVENUE TAX</t>
  </si>
  <si>
    <t xml:space="preserve">  TOTAL OPERATING EXPENSE</t>
  </si>
  <si>
    <t>PER UNIT PRES REV</t>
  </si>
  <si>
    <t>GAS</t>
  </si>
  <si>
    <t>REXC</t>
  </si>
  <si>
    <t>R602</t>
  </si>
  <si>
    <t>K201</t>
  </si>
  <si>
    <t>K203</t>
  </si>
  <si>
    <t>K205</t>
  </si>
  <si>
    <t>K301</t>
  </si>
  <si>
    <t>K401</t>
  </si>
  <si>
    <t>K403</t>
  </si>
  <si>
    <t>K405</t>
  </si>
  <si>
    <t>K413</t>
  </si>
  <si>
    <t>K415</t>
  </si>
  <si>
    <t>K595</t>
  </si>
  <si>
    <t>K597</t>
  </si>
  <si>
    <t>K667</t>
  </si>
  <si>
    <t>K697</t>
  </si>
  <si>
    <t>K901</t>
  </si>
  <si>
    <t>K417</t>
  </si>
  <si>
    <t>R600</t>
  </si>
  <si>
    <t>P129</t>
  </si>
  <si>
    <t>D149</t>
  </si>
  <si>
    <t>PD29</t>
  </si>
  <si>
    <t>G129</t>
  </si>
  <si>
    <t>C129</t>
  </si>
  <si>
    <t>GP19</t>
  </si>
  <si>
    <t>D199</t>
  </si>
  <si>
    <t>DR19</t>
  </si>
  <si>
    <t>P229</t>
  </si>
  <si>
    <t>D249</t>
  </si>
  <si>
    <t>G229</t>
  </si>
  <si>
    <t>C229</t>
  </si>
  <si>
    <t>NP29</t>
  </si>
  <si>
    <t>W669</t>
  </si>
  <si>
    <t>W689</t>
  </si>
  <si>
    <t>W729</t>
  </si>
  <si>
    <t>W749</t>
  </si>
  <si>
    <t>WC79</t>
  </si>
  <si>
    <t>RB29</t>
  </si>
  <si>
    <t>RB99</t>
  </si>
  <si>
    <t>P349</t>
  </si>
  <si>
    <t>D349</t>
  </si>
  <si>
    <t>OM39</t>
  </si>
  <si>
    <t>P489</t>
  </si>
  <si>
    <t>D489</t>
  </si>
  <si>
    <t>G489</t>
  </si>
  <si>
    <t>C489</t>
  </si>
  <si>
    <t>DE49</t>
  </si>
  <si>
    <t>L529</t>
  </si>
  <si>
    <t>L589</t>
  </si>
  <si>
    <t>L599</t>
  </si>
  <si>
    <t>OP69</t>
  </si>
  <si>
    <t>CS09</t>
  </si>
  <si>
    <t>P459</t>
  </si>
  <si>
    <t>ALLO</t>
  </si>
  <si>
    <t>RESIDENTIAL</t>
  </si>
  <si>
    <t>RATIO</t>
  </si>
  <si>
    <t>OTHER</t>
  </si>
  <si>
    <t>AT ISSUE</t>
  </si>
  <si>
    <t>ALL</t>
  </si>
  <si>
    <t xml:space="preserve"> </t>
  </si>
  <si>
    <t>Schedule 2</t>
  </si>
  <si>
    <t>Schedule 3</t>
  </si>
  <si>
    <t>Schedule 4</t>
  </si>
  <si>
    <t>Schedule 5</t>
  </si>
  <si>
    <t>Schedule 6</t>
  </si>
  <si>
    <t>Schedule 7</t>
  </si>
  <si>
    <t>Schedule 8</t>
  </si>
  <si>
    <t>Schedule 9</t>
  </si>
  <si>
    <t>Schedule 10</t>
  </si>
  <si>
    <t>Schedule 11</t>
  </si>
  <si>
    <t>Schedule 1</t>
  </si>
  <si>
    <t>RATIO TO TOTAL GAS</t>
  </si>
  <si>
    <t>A&amp;G</t>
  </si>
  <si>
    <t>Prod Plant</t>
  </si>
  <si>
    <t>Trans Plant</t>
  </si>
  <si>
    <t>Dist Plant</t>
  </si>
  <si>
    <t>Customer Acctg</t>
  </si>
  <si>
    <t>Cust Service &amp; Info</t>
  </si>
  <si>
    <t>Sales</t>
  </si>
  <si>
    <t>Total O&amp;M excl A&amp;G</t>
  </si>
  <si>
    <t>Total O&amp;M</t>
  </si>
  <si>
    <t>Prod Plant Com Related</t>
  </si>
  <si>
    <t>PRODUCTION PLANT COMMODITY</t>
  </si>
  <si>
    <t>Function</t>
  </si>
  <si>
    <t xml:space="preserve"> TOT ADMIN &amp; GEN LESS REG EXP</t>
  </si>
  <si>
    <t>NET GAS PLANT IN SERVICE</t>
  </si>
  <si>
    <t>IT</t>
  </si>
  <si>
    <t>LOSS ON REACQUIRED DEBT</t>
  </si>
  <si>
    <t>METERS &amp; TRANSFORMERS</t>
  </si>
  <si>
    <t>UNCOLLECTIBLE EXP</t>
  </si>
  <si>
    <t>PROPERTY TAX</t>
  </si>
  <si>
    <t>PURCHASED MCF SALES</t>
  </si>
  <si>
    <t>WEIGHTED CUST - REGULATORS</t>
  </si>
  <si>
    <t>Functional Labor Ratio</t>
  </si>
  <si>
    <t>RENTS</t>
  </si>
  <si>
    <t>K300</t>
  </si>
  <si>
    <t>NET FED INCOME TAX EXP ALLOWABLE</t>
  </si>
  <si>
    <t>K431</t>
  </si>
  <si>
    <t>K406</t>
  </si>
  <si>
    <t>WTD CWIP RATIO</t>
  </si>
  <si>
    <t>CW29</t>
  </si>
  <si>
    <t>CUST ACCTG EXPENSE</t>
  </si>
  <si>
    <t>LOAD DISPATCHING</t>
  </si>
  <si>
    <t>M &amp; R STATION GENERAL</t>
  </si>
  <si>
    <t>SUPV &amp; ENG</t>
  </si>
  <si>
    <t>SUPERVISION &amp; ENGINEERING</t>
  </si>
  <si>
    <t>METER READING</t>
  </si>
  <si>
    <t>UNEMPLOYMENT COMPENSATION</t>
  </si>
  <si>
    <t>SYSTEM M&amp;R - (2780, 2781)</t>
  </si>
  <si>
    <t>LARGE IND M&amp;R - (2850, 2851)</t>
  </si>
  <si>
    <t>MAINS - (2761, 2762, 2763, 2765)</t>
  </si>
  <si>
    <t>SERVICES - (2801, 2802, 2803)</t>
  </si>
  <si>
    <t>MTRS &amp; MTR INST (2810, 2811, 2820, 2821)</t>
  </si>
  <si>
    <t>HOUSE REG &amp; INSTALL (2830, 2840)</t>
  </si>
  <si>
    <t>CUSTOMER ADVANCES FOR CONSTRUCTION</t>
  </si>
  <si>
    <t>INSURANCE GENERAL</t>
  </si>
  <si>
    <t>EXCISE TAX</t>
  </si>
  <si>
    <t>PIPP UNCOLLECTIBLES</t>
  </si>
  <si>
    <t>CUSTOMER SERVICE DEPOSITS</t>
  </si>
  <si>
    <t>GAS PURCHASE</t>
  </si>
  <si>
    <t>GEN SERV</t>
  </si>
  <si>
    <t>TOTAL ANNUAL MCF THROUGHPUT</t>
  </si>
  <si>
    <t>GS INDUST, FT  &amp; IT TRANSP</t>
  </si>
  <si>
    <t>IT TRANSPORT SPECIAL CONTRACTS</t>
  </si>
  <si>
    <t>MISC. REV. - SALE OF MATERIAL</t>
  </si>
  <si>
    <t xml:space="preserve">DIST REG EQUIP &amp; CITY GATE M&amp;R- (2782, 2790) </t>
  </si>
  <si>
    <t>LAND, R OF W, STRUCT &amp; IMPROV &amp; OTH</t>
  </si>
  <si>
    <t>TOTAL AMORTIZED ITC</t>
  </si>
  <si>
    <t xml:space="preserve">  TOTAL AMORTIZED ITC</t>
  </si>
  <si>
    <t>OTH MISC REVENUE</t>
  </si>
  <si>
    <t>CUSTOMER BILLING &amp; COLLECTIONS</t>
  </si>
  <si>
    <t>STREET LIGHTING EQUIPMENT &amp; OTH</t>
  </si>
  <si>
    <t>LAND, R OF W, STRUCT &amp; IMPROV</t>
  </si>
  <si>
    <t>RS/RFT</t>
  </si>
  <si>
    <t xml:space="preserve"> AMORT INV TAX CREDIT</t>
  </si>
  <si>
    <t>STATE REG COMMISSION EXPENSES</t>
  </si>
  <si>
    <t>STATE REG COM EXP ANN ADJ.</t>
  </si>
  <si>
    <t>AMORTIZATION RATE CASE EXPENSE</t>
  </si>
  <si>
    <t>OTHER PROD GAS ASSC COS  489050</t>
  </si>
  <si>
    <t>RENT ASSOC. COS  49302,04,05,06,07,08,11 &amp; 50</t>
  </si>
  <si>
    <t>PRODUCTION PLANT DEMAND</t>
  </si>
  <si>
    <t>ANNUALIZED GAS COST</t>
  </si>
  <si>
    <t xml:space="preserve">  TOTAL DEM REL &amp; OTH PROD O&amp;M </t>
  </si>
  <si>
    <t>UNCOLLECTIBLE EXPENSE</t>
  </si>
  <si>
    <t>ANNUALIZED UNCOLL EXP ON INCR</t>
  </si>
  <si>
    <t>NET PTD PLANT</t>
  </si>
  <si>
    <t xml:space="preserve">  TOTAL COMMODITY RELATED</t>
  </si>
  <si>
    <t>ASSIGN 100% TO RS/RFT</t>
  </si>
  <si>
    <t>K903</t>
  </si>
  <si>
    <t xml:space="preserve">  TOTAL GAS COST OF SERVICE</t>
  </si>
  <si>
    <t>Page 1 of 3</t>
  </si>
  <si>
    <t>WITNESS RESPONSIBLE:</t>
  </si>
  <si>
    <t>Net Plant</t>
  </si>
  <si>
    <t>COSS</t>
  </si>
  <si>
    <t>Rev Req Mod</t>
  </si>
  <si>
    <t>Tot WC</t>
  </si>
  <si>
    <t>Cash WC</t>
  </si>
  <si>
    <t>Mat &amp; Supp</t>
  </si>
  <si>
    <t>Acct 252</t>
  </si>
  <si>
    <t>Acct 271</t>
  </si>
  <si>
    <t>Acct 190</t>
  </si>
  <si>
    <t>Acct 282</t>
  </si>
  <si>
    <t>Acct 283</t>
  </si>
  <si>
    <t>Jurisdictional Rate Base</t>
  </si>
  <si>
    <t>O&amp;M Expenses</t>
  </si>
  <si>
    <t>Trans</t>
  </si>
  <si>
    <t>Dist</t>
  </si>
  <si>
    <t>Cust Acct</t>
  </si>
  <si>
    <t>Cust serv</t>
  </si>
  <si>
    <t>Total Deprec Exp</t>
  </si>
  <si>
    <t>Property Tax</t>
  </si>
  <si>
    <t>Misc taxes</t>
  </si>
  <si>
    <t>total prop &amp; misc taxes</t>
  </si>
  <si>
    <t>Total O&amp;M, Depr &amp; MISC TAX</t>
  </si>
  <si>
    <t>Depreciation</t>
  </si>
  <si>
    <t>Total FIT Adj</t>
  </si>
  <si>
    <t>CALCULATION PROPOSED REVENUE DISTRIBUTION</t>
  </si>
  <si>
    <t>REFLECTING A PROPOSED REVENUE SUBSIDY/EXCESS ELIMINATION COMPONENT</t>
  </si>
  <si>
    <t>Revenues</t>
  </si>
  <si>
    <t>Proposed</t>
  </si>
  <si>
    <t>ROR</t>
  </si>
  <si>
    <t>Proposed Increase</t>
  </si>
  <si>
    <t>Present</t>
  </si>
  <si>
    <t>Net Operating</t>
  </si>
  <si>
    <t>At Average</t>
  </si>
  <si>
    <t>Rate</t>
  </si>
  <si>
    <t>Percent</t>
  </si>
  <si>
    <t>At Proposed</t>
  </si>
  <si>
    <t>Line</t>
  </si>
  <si>
    <t>Income</t>
  </si>
  <si>
    <t>Increase</t>
  </si>
  <si>
    <t>Rates</t>
  </si>
  <si>
    <t>No.</t>
  </si>
  <si>
    <t>Rate Class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</si>
  <si>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</si>
  <si>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</si>
  <si>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</si>
  <si>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</si>
  <si>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</si>
  <si>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</si>
  <si>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</si>
  <si>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</si>
  <si>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</si>
  <si>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</si>
  <si>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</si>
  <si>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</si>
  <si>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(C) / (A)</t>
  </si>
  <si>
    <t>Rate IT</t>
  </si>
  <si>
    <t xml:space="preserve">     Total</t>
  </si>
  <si>
    <t>Rate Base</t>
  </si>
  <si>
    <t>Schedule 6 - O &amp; M Expenses</t>
  </si>
  <si>
    <t>Schedule 7 - Depreciation Exp</t>
  </si>
  <si>
    <t>Schedule 9 - Income Tax - Fed</t>
  </si>
  <si>
    <t>Schedule 8 - Oth Tax &amp; Misc Exp</t>
  </si>
  <si>
    <t xml:space="preserve">Schedule 10 - Oth Revenues COS Calc </t>
  </si>
  <si>
    <t xml:space="preserve">Schedule 11 - Rate of Return &amp; Tax Rates </t>
  </si>
  <si>
    <t>Schedule 1 - Summary</t>
  </si>
  <si>
    <t>Gas stock</t>
  </si>
  <si>
    <t>Customer Advances</t>
  </si>
  <si>
    <t>Total Rate Base Reductions</t>
  </si>
  <si>
    <t xml:space="preserve">Rate Base Additions </t>
  </si>
  <si>
    <t>Misc Taxes</t>
  </si>
  <si>
    <t>Total Prop &amp; Misc Taxes</t>
  </si>
  <si>
    <t>Total FIT</t>
  </si>
  <si>
    <t>Revenue Tax</t>
  </si>
  <si>
    <t>Customer Service Deposits</t>
  </si>
  <si>
    <t>Rate Base Deductions</t>
  </si>
  <si>
    <t>Total Rate Base Additions</t>
  </si>
  <si>
    <t>ITC</t>
  </si>
  <si>
    <t>Post Retirement Benefits</t>
  </si>
  <si>
    <t>Duke Energy Ohio</t>
  </si>
  <si>
    <t>GAS METERS</t>
  </si>
  <si>
    <t>NON-CASH OVERHEADS</t>
  </si>
  <si>
    <t>PLANT FAS 109</t>
  </si>
  <si>
    <t>POST IN-SERVICE CARRYING COSTS</t>
  </si>
  <si>
    <t>ARO CUMULATIVE EFFECT</t>
  </si>
  <si>
    <t>GAS SUPPLIER REFUND</t>
  </si>
  <si>
    <t>OFFSITE GAS STORAGE</t>
  </si>
  <si>
    <t>UNAMORTIZED DEBT PREMIUM</t>
  </si>
  <si>
    <t>PENSION EXPENSE</t>
  </si>
  <si>
    <t>POST RETIREMENT BENEFITS - LIFE INS</t>
  </si>
  <si>
    <t>POST RETIREMENT BENEFITS - HEALTH CARE</t>
  </si>
  <si>
    <t>POST EMPLOYMENT BENEFITS - SFAS 112</t>
  </si>
  <si>
    <t>PROPERTY TAX ON PROPANE</t>
  </si>
  <si>
    <t>401K INCENTIVE PLAN</t>
  </si>
  <si>
    <t>INCENTIVE PLAN</t>
  </si>
  <si>
    <t>VACATION PAY ACCRUALS</t>
  </si>
  <si>
    <t>ELIMINATE NON-JURISDICTIONAL EXPENSES</t>
  </si>
  <si>
    <t>Other Rate Base Adj.</t>
  </si>
  <si>
    <t>OHIO EXCISE TAX</t>
  </si>
  <si>
    <t>STATE TAX RIDER</t>
  </si>
  <si>
    <t>TEMPORARY DIFFERENCES</t>
  </si>
  <si>
    <t>PERMANENT DIFFERENCES</t>
  </si>
  <si>
    <t>DEFERRED INCOME TAXES - NET</t>
  </si>
  <si>
    <t>FIT prov Acct 410.1 &amp; 411.1 - Net</t>
  </si>
  <si>
    <t>DIT ADJUSTMENT - ARAM</t>
  </si>
  <si>
    <t>DIT ADJUSTMENT - S/L DEPRECIATION</t>
  </si>
  <si>
    <t xml:space="preserve"> FED DEFERRED INCOME TAX (410 &amp; 411)</t>
  </si>
  <si>
    <t>TOTAL FED DEF IT (410 &amp; 411)</t>
  </si>
  <si>
    <t xml:space="preserve">  TOTAL FED DEF IT (410 &amp; 411)</t>
  </si>
  <si>
    <t>CASE NO: 07-0589-GA-AIR</t>
  </si>
  <si>
    <t xml:space="preserve">MISCELLANEOUS REVENUES: </t>
  </si>
  <si>
    <t>INTERUPT</t>
  </si>
  <si>
    <t>TRANS</t>
  </si>
  <si>
    <t>Schedule 5 - Subtractive Adjustments</t>
  </si>
  <si>
    <t>Schedule 5.1 - Additive Adjustments</t>
  </si>
  <si>
    <t>Schedule 5.2 - Total Rate Base</t>
  </si>
  <si>
    <t>Schedule 6.1 - O &amp; M Expenses</t>
  </si>
  <si>
    <t>Schedule 12 - Allocation Factors</t>
  </si>
  <si>
    <t>Schedule 13 - Income Tax Calculation</t>
  </si>
  <si>
    <t>Schedule Name</t>
  </si>
  <si>
    <t>Schedule 5.1</t>
  </si>
  <si>
    <t>Schedule 5.2</t>
  </si>
  <si>
    <t>Schedule 6.1</t>
  </si>
  <si>
    <t>Schedule 12</t>
  </si>
  <si>
    <t>Schedule 12.1</t>
  </si>
  <si>
    <t>Allocation Factors For Cost of Sevice Study (E-3.2, Schedule12)</t>
  </si>
  <si>
    <t>MCF</t>
  </si>
  <si>
    <t>Ratio</t>
  </si>
  <si>
    <t>IT - Inter. Transportation</t>
  </si>
  <si>
    <t xml:space="preserve">Total </t>
  </si>
  <si>
    <t>(K203)</t>
  </si>
  <si>
    <t>(K205)</t>
  </si>
  <si>
    <t>Total Annual MCF Throughput (a)</t>
  </si>
  <si>
    <t>(K300)</t>
  </si>
  <si>
    <t>(K301)</t>
  </si>
  <si>
    <t>Source: (a) WPE-4a</t>
  </si>
  <si>
    <t>Page 2 of 3</t>
  </si>
  <si>
    <t>Customers</t>
  </si>
  <si>
    <t>(K401)</t>
  </si>
  <si>
    <t>Weighted Customers - Services (b)</t>
  </si>
  <si>
    <t>Weighted</t>
  </si>
  <si>
    <t>(K403)</t>
  </si>
  <si>
    <t>Acct 902</t>
  </si>
  <si>
    <t>Acct 903</t>
  </si>
  <si>
    <t>Total</t>
  </si>
  <si>
    <t>Acct 904</t>
  </si>
  <si>
    <t>Acct 908</t>
  </si>
  <si>
    <t>Acct 909</t>
  </si>
  <si>
    <t>Acct 913</t>
  </si>
  <si>
    <t>Page 3 of 3</t>
  </si>
  <si>
    <t>Meter Cost Allocator (a)</t>
  </si>
  <si>
    <t>Meter Cost</t>
  </si>
  <si>
    <t>Per Study</t>
  </si>
  <si>
    <t>(K413)</t>
  </si>
  <si>
    <t>House Regulators &amp; Installations (b)</t>
  </si>
  <si>
    <t>Wgt. Cust</t>
  </si>
  <si>
    <t>(K417)</t>
  </si>
  <si>
    <t>Large Industrial Measuring &amp; Regulating Stations (c)</t>
  </si>
  <si>
    <t>(K595)</t>
  </si>
  <si>
    <t>Combination of Weighted Customer &amp; Demand Allocation Factor (d)</t>
  </si>
  <si>
    <t>Peak &amp; Avg.</t>
  </si>
  <si>
    <t>Customer</t>
  </si>
  <si>
    <t>(Peak Day)</t>
  </si>
  <si>
    <t>Customer /</t>
  </si>
  <si>
    <t>Demand Ratio</t>
  </si>
  <si>
    <t>(K415)</t>
  </si>
  <si>
    <t>Page 1 of 1</t>
  </si>
  <si>
    <t>(1)</t>
  </si>
  <si>
    <t>(2)</t>
  </si>
  <si>
    <t>(3)</t>
  </si>
  <si>
    <t>(4)</t>
  </si>
  <si>
    <t>(6)</t>
  </si>
  <si>
    <t>Annual Usage</t>
  </si>
  <si>
    <t>Class of Service</t>
  </si>
  <si>
    <t>(Mcf)</t>
  </si>
  <si>
    <t>(Mcf / Day)</t>
  </si>
  <si>
    <t>(Ratio)</t>
  </si>
  <si>
    <t>Interruptible Transportation</t>
  </si>
  <si>
    <t>(7)</t>
  </si>
  <si>
    <t>(8)</t>
  </si>
  <si>
    <t>(9)</t>
  </si>
  <si>
    <t>(10)</t>
  </si>
  <si>
    <t xml:space="preserve">Peak &amp; Avg. Demand </t>
  </si>
  <si>
    <t>Non-weather normal</t>
  </si>
  <si>
    <t>Calendar Month</t>
  </si>
  <si>
    <t>Class Max.</t>
  </si>
  <si>
    <t>Monthly</t>
  </si>
  <si>
    <t>Diversified Class</t>
  </si>
  <si>
    <t>Non-Coin</t>
  </si>
  <si>
    <t>Non-Coin Class</t>
  </si>
  <si>
    <t>Month</t>
  </si>
  <si>
    <t>Days</t>
  </si>
  <si>
    <t>Peak Day</t>
  </si>
  <si>
    <t>Peak Day L. F.</t>
  </si>
  <si>
    <t>Day Demand</t>
  </si>
  <si>
    <t>Peak Day  L. F.</t>
  </si>
  <si>
    <t>Peak Day Dem</t>
  </si>
  <si>
    <t>Feb</t>
  </si>
  <si>
    <t>Mar</t>
  </si>
  <si>
    <t>May</t>
  </si>
  <si>
    <t>Jun</t>
  </si>
  <si>
    <t>Jul</t>
  </si>
  <si>
    <t>Aug</t>
  </si>
  <si>
    <t>Sept</t>
  </si>
  <si>
    <t xml:space="preserve">Oct </t>
  </si>
  <si>
    <t>Nov</t>
  </si>
  <si>
    <t>NCD</t>
  </si>
  <si>
    <t>Factor</t>
  </si>
  <si>
    <t>Total Mcf</t>
  </si>
  <si>
    <t>Work Paper WPE-3.2e</t>
  </si>
  <si>
    <t>Witness Responsible: Don Storck</t>
  </si>
  <si>
    <t>Determination of Customer / Demand of Component using Plastic Mains</t>
  </si>
  <si>
    <t>Page __ of __</t>
  </si>
  <si>
    <t>As of March 31, 2007</t>
  </si>
  <si>
    <t>AVG</t>
  </si>
  <si>
    <t>SIZE</t>
  </si>
  <si>
    <t>FEET</t>
  </si>
  <si>
    <t>COST</t>
  </si>
  <si>
    <t>COST/FT</t>
  </si>
  <si>
    <t>SUMMARY OUTPUT</t>
  </si>
  <si>
    <t>Regression Statistics</t>
  </si>
  <si>
    <t>3/4"</t>
  </si>
  <si>
    <t>R Square</t>
  </si>
  <si>
    <t>Adjusted R Square</t>
  </si>
  <si>
    <t>Standard Error</t>
  </si>
  <si>
    <t>Observations</t>
  </si>
  <si>
    <t>ANOVA</t>
  </si>
  <si>
    <t>df</t>
  </si>
  <si>
    <t>SS</t>
  </si>
  <si>
    <t>MS</t>
  </si>
  <si>
    <t>F</t>
  </si>
  <si>
    <t>Significance F</t>
  </si>
  <si>
    <t>Regression</t>
  </si>
  <si>
    <t>Residual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</si>
  <si>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</si>
  <si>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</si>
  <si>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</si>
  <si>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</si>
  <si>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</si>
  <si>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</si>
  <si>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</si>
  <si>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Intercept</t>
  </si>
  <si>
    <t>X Variable 1</t>
  </si>
  <si>
    <t xml:space="preserve">CUSTOMER COMPONENT FROM CURVE= </t>
  </si>
  <si>
    <t>/FEET</t>
  </si>
  <si>
    <t xml:space="preserve">TOTAL CUSTOMER COMPONENT= </t>
  </si>
  <si>
    <t>x</t>
  </si>
  <si>
    <t>=</t>
  </si>
  <si>
    <t xml:space="preserve">TOTAL COST OF PLASTIC PIPE = </t>
  </si>
  <si>
    <t>CUSTOMER COMPONENT RATIO=</t>
  </si>
  <si>
    <t>/</t>
  </si>
  <si>
    <t>DEMAND COMPONENT =</t>
  </si>
  <si>
    <t>-</t>
  </si>
  <si>
    <t>ESTIMATED</t>
  </si>
  <si>
    <t>Regression Output:</t>
  </si>
  <si>
    <t>Constant</t>
  </si>
  <si>
    <t>Std Err of Y Est</t>
  </si>
  <si>
    <t>R Squared</t>
  </si>
  <si>
    <t>No. of Observations</t>
  </si>
  <si>
    <t>Degrees of Freedom</t>
  </si>
  <si>
    <t>X Coefficient(s)</t>
  </si>
  <si>
    <t>Std Err of Coef.</t>
  </si>
  <si>
    <t>size</t>
  </si>
  <si>
    <t>accum_quantity</t>
  </si>
  <si>
    <t>accum_cost</t>
  </si>
  <si>
    <t>cost / foot</t>
  </si>
  <si>
    <t>1 1/4"</t>
  </si>
  <si>
    <t>1"</t>
  </si>
  <si>
    <t>12"</t>
  </si>
  <si>
    <t>2"</t>
  </si>
  <si>
    <t>3"</t>
  </si>
  <si>
    <t>4"</t>
  </si>
  <si>
    <t>6"</t>
  </si>
  <si>
    <t>8"</t>
  </si>
  <si>
    <t>Grand Total</t>
  </si>
  <si>
    <t>Minimum System Cost per Foot</t>
  </si>
  <si>
    <t>Total Feet</t>
  </si>
  <si>
    <t>X</t>
  </si>
  <si>
    <t>Total Minimum System Cost</t>
  </si>
  <si>
    <t>Total Cost</t>
  </si>
  <si>
    <t>÷</t>
  </si>
  <si>
    <t>Customer Component Percentage</t>
  </si>
  <si>
    <t>Page 1 of 4</t>
  </si>
  <si>
    <t>NUMBER</t>
  </si>
  <si>
    <t xml:space="preserve">     INDUSTRIAL</t>
  </si>
  <si>
    <t xml:space="preserve">OF </t>
  </si>
  <si>
    <t xml:space="preserve">    RESIDENTIAL</t>
  </si>
  <si>
    <t xml:space="preserve">  TRANSP / OFF PEAK</t>
  </si>
  <si>
    <t>KIND</t>
  </si>
  <si>
    <t>100% RESIDENTIAL</t>
  </si>
  <si>
    <t>CU</t>
  </si>
  <si>
    <t>3/8"</t>
  </si>
  <si>
    <t>1/2"</t>
  </si>
  <si>
    <t>P</t>
  </si>
  <si>
    <t>5/8"</t>
  </si>
  <si>
    <t>1/4"</t>
  </si>
  <si>
    <t>S</t>
  </si>
  <si>
    <t>1 1/2"</t>
  </si>
  <si>
    <t>2 1/2"</t>
  </si>
  <si>
    <t>Page 2 of 4</t>
  </si>
  <si>
    <t>C</t>
  </si>
  <si>
    <t>10"</t>
  </si>
  <si>
    <t>16"</t>
  </si>
  <si>
    <t>AVG COST / SERV.</t>
  </si>
  <si>
    <t>WEIGHTING FACTOR</t>
  </si>
  <si>
    <t>Page 3 of 4</t>
  </si>
  <si>
    <t>Weighted Customers</t>
  </si>
  <si>
    <t>Residential</t>
  </si>
  <si>
    <t>Page 4 of 4</t>
  </si>
  <si>
    <t>kind</t>
  </si>
  <si>
    <t>C Total</t>
  </si>
  <si>
    <t>CU Total</t>
  </si>
  <si>
    <t>P Total</t>
  </si>
  <si>
    <t>S Total</t>
  </si>
  <si>
    <t>Work Paper WPE-3.2g</t>
  </si>
  <si>
    <t>Page 1 of 2</t>
  </si>
  <si>
    <t>Account 2830</t>
  </si>
  <si>
    <t>1" or less (100% Res)</t>
  </si>
  <si>
    <t>All Other</t>
  </si>
  <si>
    <t>Units</t>
  </si>
  <si>
    <t>Cost per Unit</t>
  </si>
  <si>
    <t>Weighting</t>
  </si>
  <si>
    <t>Account 2840</t>
  </si>
  <si>
    <t>Regulator Stations</t>
  </si>
  <si>
    <t>Count</t>
  </si>
  <si>
    <t>Total Unit</t>
  </si>
  <si>
    <t>Cost Per Unit</t>
  </si>
  <si>
    <t>Weight Factor</t>
  </si>
  <si>
    <t>Customers(a)</t>
  </si>
  <si>
    <t>Weighted Factor</t>
  </si>
  <si>
    <t>Ratio Alloc (K417)</t>
  </si>
  <si>
    <t>RS</t>
  </si>
  <si>
    <t>Total Customers</t>
  </si>
  <si>
    <t>Class</t>
  </si>
  <si>
    <t>Page 2 of 2</t>
  </si>
  <si>
    <t>long_description</t>
  </si>
  <si>
    <t>Adjustment ru for gas regulator from old system</t>
  </si>
  <si>
    <t>Gas regulator:  Regulator, #1</t>
  </si>
  <si>
    <t>Gas regulator:  Regulator, 1 1/2"</t>
  </si>
  <si>
    <t>Gas regulator:  Regulator, 1 1/4"</t>
  </si>
  <si>
    <t>Gas regulator:  Regulator, 1" x 2"</t>
  </si>
  <si>
    <t>Gas regulator:  Regulator, 10"</t>
  </si>
  <si>
    <t>Gas regulator:  Regulator, 16"</t>
  </si>
  <si>
    <t>Gas regulator:  Regulator, 2"</t>
  </si>
  <si>
    <t>Gas regulator:  Regulator, 2" x 4"</t>
  </si>
  <si>
    <t>Gas regulator:  Regulator, 3"</t>
  </si>
  <si>
    <t>Gas regulator:  Regulator, 3/4"</t>
  </si>
  <si>
    <t>Gas regulator:  Regulator, 3/4" x 1"</t>
  </si>
  <si>
    <t>Gas regulator:  Regulator, 4"</t>
  </si>
  <si>
    <t>Gas regulator:  Regulator, 6"</t>
  </si>
  <si>
    <t>Gas regulator:  Regulator, 8"</t>
  </si>
  <si>
    <t>Gas regulator:  Regulator, Dummy code</t>
  </si>
  <si>
    <t>Gas regulator:  Regulator, Pilot loading</t>
  </si>
  <si>
    <t>Gas regulator:  Relief Valve, 1/4"</t>
  </si>
  <si>
    <t>Gas regulator:  Relief Valve, 2"</t>
  </si>
  <si>
    <t>Gas regulator:  Relief Valve, 3"</t>
  </si>
  <si>
    <t>Gas regulator:  Relief Valve, 3" x 2"</t>
  </si>
  <si>
    <t>Gas regulator:  Relief Valve, 3" x 4"</t>
  </si>
  <si>
    <t>Gas regulator:  Relief Valve, 3/4"</t>
  </si>
  <si>
    <t>Gas regulator:  Relief Valve, 3/4" x 1"</t>
  </si>
  <si>
    <t>Gas regulator:  Relief Valve, 4"</t>
  </si>
  <si>
    <t>Gas regulator:  Relief Valve, 6"</t>
  </si>
  <si>
    <t>Gas regulator:  Relief Valve, 6" x 8"</t>
  </si>
  <si>
    <t>Gas regulator:  Relief Valve, 8"</t>
  </si>
  <si>
    <t>Non-unitized</t>
  </si>
  <si>
    <t>Regulators</t>
  </si>
  <si>
    <t>Quantity</t>
  </si>
  <si>
    <t>Account</t>
  </si>
  <si>
    <t xml:space="preserve">Allocation </t>
  </si>
  <si>
    <t>Title</t>
  </si>
  <si>
    <t>Factors</t>
  </si>
  <si>
    <t>Purpose</t>
  </si>
  <si>
    <t>Data to be Requested</t>
  </si>
  <si>
    <t>To be requested from</t>
  </si>
  <si>
    <t>Date Requested; Needed</t>
  </si>
  <si>
    <t>None - pulls from other WPs</t>
  </si>
  <si>
    <t>NA</t>
  </si>
  <si>
    <t>K203, K205</t>
  </si>
  <si>
    <t>none</t>
  </si>
  <si>
    <t>Load Research data</t>
  </si>
  <si>
    <t>Kelly Berg</t>
  </si>
  <si>
    <t>ACCUMULATED DEFERRED INCOME TAXES</t>
  </si>
  <si>
    <t xml:space="preserve"> OTHER ACCUMULATED DEFERRED INCOME TAXES</t>
  </si>
  <si>
    <t>TOTAL OTHER ACCUMULATED DEFERRED INCOME TAXES</t>
  </si>
  <si>
    <t>OTHER ACCUMULATED DEFERRED INCOME TAXES</t>
  </si>
  <si>
    <t>TOTAL ACCUMULATED DEFERRED INCOME TAXES</t>
  </si>
  <si>
    <t>SUBTOTAL ACCUMULATED DEFERRED INC TAXES</t>
  </si>
  <si>
    <t>Load Research Data RS, GS and IT</t>
  </si>
  <si>
    <t>ALLOCATION FACTORS FOR COST OF SERVICE STUDY</t>
  </si>
  <si>
    <t>alloc_factors</t>
  </si>
  <si>
    <t xml:space="preserve">GAS COST OF SERVICE STUDY </t>
  </si>
  <si>
    <t>DAILY DEMAND ANALYSIS</t>
  </si>
  <si>
    <t>MONTHLY GAS STATISTICS</t>
  </si>
  <si>
    <t>ALLOCATION OF LARGE INDUSTRIAL MEASURING AND REGULATING STATIONS (ACCTS 2580 &amp; 2581)</t>
  </si>
  <si>
    <t>MINIMUM SYSTEM STUDY - PLASTIC MAINS</t>
  </si>
  <si>
    <t>MINIMUM INTERCEPT STUDY - PLASTIC MAINS</t>
  </si>
  <si>
    <t>MINIMUM SYSTEM STUDY - BACKUP DATA PLASTIC MAINS</t>
  </si>
  <si>
    <t xml:space="preserve">DERIVATION OF GAS SERVICES ALLOCATION FACTOR </t>
  </si>
  <si>
    <t>HOUSE REGULATORS AND INSTALLATIONS ( ACCOUNT 2830, 2840)</t>
  </si>
  <si>
    <t>METERS BACKUP</t>
  </si>
  <si>
    <t>GAS CUSTOMER ACCOUNTING EXPENSES BY ACCOUNT</t>
  </si>
  <si>
    <t>GENERAL &amp; COMMON PLANT, ACCUMULATED DEPRECIATION, A &amp; G EXPENSES</t>
  </si>
  <si>
    <t>ALLOCATION FACTORS SUMMARY</t>
  </si>
  <si>
    <t>PRODUCTION</t>
  </si>
  <si>
    <t>DISTRIBUTION</t>
  </si>
  <si>
    <t>DEMAND</t>
  </si>
  <si>
    <t>COMMODITY</t>
  </si>
  <si>
    <t>CUSTOMER</t>
  </si>
  <si>
    <t>PROPOSED REVENUES</t>
  </si>
  <si>
    <t xml:space="preserve">Coin Peak </t>
  </si>
  <si>
    <t>(a)</t>
  </si>
  <si>
    <t>(b)</t>
  </si>
  <si>
    <t>(c)</t>
  </si>
  <si>
    <t>Coincident Peak is the peak at the time of the system peak.</t>
  </si>
  <si>
    <t>Non-coincident peak is the sum of the individual customer maximum demands regardless of when it occurs during the month.</t>
  </si>
  <si>
    <t>Diversified Class Peak is the sum of the individual customer demands at the time of the rate class peak.</t>
  </si>
  <si>
    <t>Note:  Interruptible customers excluded from the system peak since theoretically they are off the system at the time of the peak.</t>
  </si>
  <si>
    <t>AVERAGE &amp; EXCESS</t>
  </si>
  <si>
    <t>Average &amp; Excess (K203)</t>
  </si>
  <si>
    <t>Average &amp; Excess (b)</t>
  </si>
  <si>
    <t>AVERAGE &amp; EXCESS INCL IT (PK &amp; AVG)</t>
  </si>
  <si>
    <t>AVERAGE &amp; EXCESS EXCL IT (PK &amp; AVG)</t>
  </si>
  <si>
    <t>GS/FT SMALL</t>
  </si>
  <si>
    <t>GS/FT LARGE</t>
  </si>
  <si>
    <t>RS/RFT/RSLI</t>
  </si>
  <si>
    <t>Energy and demand allocators, average customer allocator</t>
  </si>
  <si>
    <t>WPE 3.2a</t>
  </si>
  <si>
    <t>Shows how Peak and Average - Peak Day was calculated (K203 and K205)</t>
  </si>
  <si>
    <t xml:space="preserve">Peak &amp; Average - Peak Day </t>
  </si>
  <si>
    <t>WPE 3.2b</t>
  </si>
  <si>
    <t>WPE 3.2c</t>
  </si>
  <si>
    <t>Calculation of Diversified Class and Non-coincident peaks</t>
  </si>
  <si>
    <t>Pg 1 of 1</t>
  </si>
  <si>
    <t>Pg 1, 2, 3 of 3</t>
  </si>
  <si>
    <t>Monthly Gas Daily Statistics</t>
  </si>
  <si>
    <t>Load Research (William Baker's group)</t>
  </si>
  <si>
    <t>WPE 3.2d</t>
  </si>
  <si>
    <t>Allocate sales (MCF) among customer classes</t>
  </si>
  <si>
    <t>WPE 3.2e</t>
  </si>
  <si>
    <t>Results of minimum intercept study</t>
  </si>
  <si>
    <t>Results of minimum system study</t>
  </si>
  <si>
    <t>Backup data plastic mains</t>
  </si>
  <si>
    <t>To allocate services by size to customer class</t>
  </si>
  <si>
    <t>WPE 3.2f</t>
  </si>
  <si>
    <t>WPE 3.2g</t>
  </si>
  <si>
    <t>Pg 1 -4 of 4</t>
  </si>
  <si>
    <t>Pg 1 -2 of 2</t>
  </si>
  <si>
    <t>To develop a weighted allocator (based on cost and customers)</t>
  </si>
  <si>
    <t>WPE 3.2h</t>
  </si>
  <si>
    <t>Number of meters by GM code</t>
  </si>
  <si>
    <t>Allocate meter cost to rate class based on number of meters per GM code.</t>
  </si>
  <si>
    <t>WPE 3.2i</t>
  </si>
  <si>
    <t>Allocate accounts 901-913 by rate class based on avg customers by class</t>
  </si>
  <si>
    <t>Pg 1 of 2</t>
  </si>
  <si>
    <t>To allocate common and general plant and reserve to function</t>
  </si>
  <si>
    <t>Labor dollars from FERC Form 2 page 354</t>
  </si>
  <si>
    <t>Detail cost and quantity by size for plastic mains</t>
  </si>
  <si>
    <t>Detail cost and quantity by size for services</t>
  </si>
  <si>
    <t>Detail cost and quantity by size for house regulators</t>
  </si>
  <si>
    <t>FERC Form 2</t>
  </si>
  <si>
    <t>Cost</t>
  </si>
  <si>
    <t>18"</t>
  </si>
  <si>
    <t>20"</t>
  </si>
  <si>
    <t>24"</t>
  </si>
  <si>
    <t>30"</t>
  </si>
  <si>
    <t>JAMES E. ZIOLKOWSKI</t>
  </si>
  <si>
    <t>(K201)</t>
  </si>
  <si>
    <t>Average</t>
  </si>
  <si>
    <t xml:space="preserve">Daily Usage </t>
  </si>
  <si>
    <t xml:space="preserve">Customer </t>
  </si>
  <si>
    <t xml:space="preserve">Demand </t>
  </si>
  <si>
    <t>PROPOSED REVENUES = CURRENT REVENUES</t>
  </si>
  <si>
    <t>LINE</t>
  </si>
  <si>
    <t>NO.</t>
  </si>
  <si>
    <t xml:space="preserve">TYPE OF FILING: "X" ORIGINAL   UPDATED    REVISED  </t>
  </si>
  <si>
    <t>type</t>
  </si>
  <si>
    <t>Interdepartmental</t>
  </si>
  <si>
    <t>Bad Check Charges</t>
  </si>
  <si>
    <t>Reconnection Charges</t>
  </si>
  <si>
    <t>Rents</t>
  </si>
  <si>
    <t>Other Misc</t>
  </si>
  <si>
    <t xml:space="preserve">  Total Misc</t>
  </si>
  <si>
    <t/>
  </si>
  <si>
    <t xml:space="preserve">    Total Company</t>
  </si>
  <si>
    <t>Witness Responsible:</t>
  </si>
  <si>
    <t>SCH_E3.2_Alloc1</t>
  </si>
  <si>
    <t>SCH_E3.2_COS_Compute_10</t>
  </si>
  <si>
    <t>SCH_E3.2_Depreciation_Expense_7</t>
  </si>
  <si>
    <t>SCH_E3.2_Depreciation_Reserve_3</t>
  </si>
  <si>
    <t>SCH_E3.2_FIT_Return_9</t>
  </si>
  <si>
    <t>SCH_E3.2_FIT_Revenue_13</t>
  </si>
  <si>
    <t>SCH_E3.2_Gross_Plant_2</t>
  </si>
  <si>
    <t>SCH_E3.2_Net_Plant_4</t>
  </si>
  <si>
    <t>SCH_E3.2_OMEXP_6</t>
  </si>
  <si>
    <t>SCH_E3.2_OMEXP_6.1</t>
  </si>
  <si>
    <t>SCH_E3.2_RB_Additive_Adj_5.1</t>
  </si>
  <si>
    <t>SCH_E3.2_RB_Subtractive_Adj_5</t>
  </si>
  <si>
    <t>SCH_E3.2_RB_Total_5.2</t>
  </si>
  <si>
    <t>SCH_E3.2_RofR_11</t>
  </si>
  <si>
    <t>SCH_E3.2_Summary_1</t>
  </si>
  <si>
    <t>SCH_E3.2_Taxes_Other_Than_Income_8</t>
  </si>
  <si>
    <t>Average Demand</t>
  </si>
  <si>
    <t>(1) / 365</t>
  </si>
  <si>
    <t>(4) - (2)</t>
  </si>
  <si>
    <t>Excess Demand</t>
  </si>
  <si>
    <t>Weighted Avg. Demand</t>
  </si>
  <si>
    <t>Weighted Excess Demand</t>
  </si>
  <si>
    <t>Total Annual Usage (Mcf)</t>
  </si>
  <si>
    <t>Load Factor (Annual Usage Mcf / Peak Day Mcf)</t>
  </si>
  <si>
    <t xml:space="preserve">  OVERALL RETURN EARNED</t>
  </si>
  <si>
    <t xml:space="preserve">  RATE OF RETURN EARNED</t>
  </si>
  <si>
    <t>SUBTRACTIVE RATE BASE ADJUSTMENTS</t>
  </si>
  <si>
    <t>ADDITIVE RATE BASE ADJUSTMENTS</t>
  </si>
  <si>
    <t>WorkingCap</t>
  </si>
  <si>
    <t>Labor Dollars (a)</t>
  </si>
  <si>
    <t>utility account id</t>
  </si>
  <si>
    <t>accum quantity</t>
  </si>
  <si>
    <t>accum cost</t>
  </si>
  <si>
    <t>HOUSE REGULATORS AND INSTALLATIONS (ACCOUNT 2830, 2840)</t>
  </si>
  <si>
    <t>Size</t>
  </si>
  <si>
    <t>Dummy code</t>
  </si>
  <si>
    <t>Manual</t>
  </si>
  <si>
    <t>(a) Source: FERC Form 2 - p. 324-325.</t>
  </si>
  <si>
    <t>Total (a)</t>
  </si>
  <si>
    <t>Avg Customers (b)</t>
  </si>
  <si>
    <t>Source: Fixed Asset Accounting - Plant Account 2763.</t>
  </si>
  <si>
    <t>(b) Source: Schedule B-3.2</t>
  </si>
  <si>
    <t>Original Cost General Plant (b)</t>
  </si>
  <si>
    <t>Accumulated Depreciation General Plant (b)</t>
  </si>
  <si>
    <t>Original Cost Common Plant (b)</t>
  </si>
  <si>
    <t>Accumulated Depreciation Common Plant (b)</t>
  </si>
  <si>
    <t>Functional A &amp; G Expenses Less Reg Commission Exp. (c)</t>
  </si>
  <si>
    <t>(c) Source: Schedule C-2.1</t>
  </si>
  <si>
    <t>Total Rate Base</t>
  </si>
  <si>
    <t>(a) Source: FERC Form 2 - p. 354-355.</t>
  </si>
  <si>
    <t>STORAGE</t>
  </si>
  <si>
    <t>FUNCTIONAL</t>
  </si>
  <si>
    <t>Group</t>
  </si>
  <si>
    <t>RSLI</t>
  </si>
  <si>
    <t>FT-L</t>
  </si>
  <si>
    <t>FS10</t>
  </si>
  <si>
    <t>GS_Large</t>
  </si>
  <si>
    <t>GS_Large_Trans</t>
  </si>
  <si>
    <t>GS_Small</t>
  </si>
  <si>
    <t>GS_Small_Trans</t>
  </si>
  <si>
    <t>Interupt_Trans</t>
  </si>
  <si>
    <t>IS16</t>
  </si>
  <si>
    <t>IT09</t>
  </si>
  <si>
    <t>IT10</t>
  </si>
  <si>
    <t>RS_Trans</t>
  </si>
  <si>
    <t>RSLI_Trans</t>
  </si>
  <si>
    <t>RSPP</t>
  </si>
  <si>
    <t>Inter-Dept</t>
  </si>
  <si>
    <t>Other/ Rounding</t>
  </si>
  <si>
    <t>F/S</t>
  </si>
  <si>
    <t>RSFT</t>
  </si>
  <si>
    <t>Total Sales (Billed + Unbilled)</t>
  </si>
  <si>
    <t>Source: DE OH KY Revenue Stats 2007-2011.xlsx</t>
  </si>
  <si>
    <t>GSFT, Small</t>
  </si>
  <si>
    <t>GSFT, Large</t>
  </si>
  <si>
    <t>CLASSIFIED</t>
  </si>
  <si>
    <r>
      <t xml:space="preserve">PRESENT REVENUES - </t>
    </r>
    <r>
      <rPr>
        <b/>
        <sz val="10"/>
        <color rgb="FFFF0000"/>
        <rFont val="Arial"/>
        <family val="2"/>
      </rPr>
      <t>hard coded</t>
    </r>
  </si>
  <si>
    <r>
      <t xml:space="preserve">PROPOSED REVENUES - </t>
    </r>
    <r>
      <rPr>
        <b/>
        <sz val="10"/>
        <color rgb="FFFF0000"/>
        <rFont val="Arial"/>
        <family val="2"/>
      </rPr>
      <t>hard coded</t>
    </r>
  </si>
  <si>
    <t>CHECK</t>
  </si>
  <si>
    <t>RATE GRP</t>
  </si>
  <si>
    <t>DEMAND RELATED &amp; OTHER PROD O&amp;M</t>
  </si>
  <si>
    <t>SOURCE</t>
  </si>
  <si>
    <t>External</t>
  </si>
  <si>
    <t>Internal</t>
  </si>
  <si>
    <t>CUSTOMER / DEMAND</t>
  </si>
  <si>
    <t>AG39</t>
  </si>
  <si>
    <t>WTD PROD COMMODITY EXP RATIOS</t>
  </si>
  <si>
    <t>CA19</t>
  </si>
  <si>
    <t>SE19</t>
  </si>
  <si>
    <t>WTD CUST SERV &amp; INFO EXP RATIOS</t>
  </si>
  <si>
    <t>CS19</t>
  </si>
  <si>
    <t>WEIGHTED O &amp; M EXPENSE RATIOS</t>
  </si>
  <si>
    <t>COMBINATION MAINS &amp; SERVICES</t>
  </si>
  <si>
    <t>MAINS - (2761, 2762, 2763, 2765) - Accum Reserve</t>
  </si>
  <si>
    <t>SERVICES - (2801, 2802, 2803) - Accum Reserve</t>
  </si>
  <si>
    <t>MAINS - (2761, 2762, 2763, 2765) - Gross Plant</t>
  </si>
  <si>
    <t>SERVICES - (2801, 2802, 2803) - Gross Plant</t>
  </si>
  <si>
    <t>MTRS &amp; MTR INST (2810, 2811, 2820, 2821) - Gross Plant</t>
  </si>
  <si>
    <t>HOUSE REG &amp; INSTALL (2830, 2840) - Gross Plant</t>
  </si>
  <si>
    <t>MTRS &amp; MTR INST (2810, 2811, 2820, 2821) - Accum Reserve</t>
  </si>
  <si>
    <t>HOUSE REG &amp; INSTALL (2830, 2840) - Accum Reserve</t>
  </si>
  <si>
    <t>COMBINATION METERS &amp; HOUSE REGULATORS</t>
  </si>
  <si>
    <t xml:space="preserve">  TOTAL OPER EXP EXCL INCOME &amp; REV TAX</t>
  </si>
  <si>
    <t>TOTAL K667</t>
  </si>
  <si>
    <t>TOTAL K697</t>
  </si>
  <si>
    <t>CUST SERVICE &amp; INFORMATION  EXP</t>
  </si>
  <si>
    <t>CUSTOMER SALES EXPENSE</t>
  </si>
  <si>
    <t>K407</t>
  </si>
  <si>
    <t>K408</t>
  </si>
  <si>
    <t>CLASS</t>
  </si>
  <si>
    <t>ALLOCATED</t>
  </si>
  <si>
    <t>WTD TOTAL COST OF SERVICE</t>
  </si>
  <si>
    <t>PRESENT REVENUES (SCHEDULE E-4)</t>
  </si>
  <si>
    <t>Type</t>
  </si>
  <si>
    <t>100% Residential</t>
  </si>
  <si>
    <t>USE REGRESSION OR MINIMUM COST?</t>
  </si>
  <si>
    <t>Schedule 12.2</t>
  </si>
  <si>
    <t>Schedule E - Reference</t>
  </si>
  <si>
    <t>Functional</t>
  </si>
  <si>
    <t>Production</t>
  </si>
  <si>
    <t>Classified</t>
  </si>
  <si>
    <t>Allocated</t>
  </si>
  <si>
    <t>Distribution</t>
  </si>
  <si>
    <t>Commodity</t>
  </si>
  <si>
    <t>Demand</t>
  </si>
  <si>
    <t>Storage</t>
  </si>
  <si>
    <t>NOT USED</t>
  </si>
  <si>
    <t>Page 4 of 7</t>
  </si>
  <si>
    <t>Page 5 of 7</t>
  </si>
  <si>
    <t>Page 6 of 7</t>
  </si>
  <si>
    <t>Page 7 of 7</t>
  </si>
  <si>
    <t>Page 1 of 7</t>
  </si>
  <si>
    <t>Page 2 of 7</t>
  </si>
  <si>
    <t>Page 3 of 7</t>
  </si>
  <si>
    <t>Gas Statistics:  DAILY</t>
  </si>
  <si>
    <t>Rate Group:  RESIDENTIAL</t>
  </si>
  <si>
    <t>STAT 1</t>
  </si>
  <si>
    <t>STAT 2</t>
  </si>
  <si>
    <t>STAT 3</t>
  </si>
  <si>
    <t>STAT 4</t>
  </si>
  <si>
    <t>STAT 5</t>
  </si>
  <si>
    <t>STAT 6</t>
  </si>
  <si>
    <t>STAT 7</t>
  </si>
  <si>
    <t>STAT 8</t>
  </si>
  <si>
    <t>STAT 9</t>
  </si>
  <si>
    <t>STAT 10</t>
  </si>
  <si>
    <t>STAT 11</t>
  </si>
  <si>
    <t>STAT 12</t>
  </si>
  <si>
    <t>STAT 13</t>
  </si>
  <si>
    <t>STAT 14</t>
  </si>
  <si>
    <t>STAT 15</t>
  </si>
  <si>
    <t>STAT 16</t>
  </si>
  <si>
    <t>STAT 17</t>
  </si>
  <si>
    <t>Sample</t>
  </si>
  <si>
    <t>Population</t>
  </si>
  <si>
    <t>Noncoincident</t>
  </si>
  <si>
    <t>Coincident</t>
  </si>
  <si>
    <t>System</t>
  </si>
  <si>
    <t>Load Factor</t>
  </si>
  <si>
    <t>Coincidence</t>
  </si>
  <si>
    <t>Diversity</t>
  </si>
  <si>
    <t># of customers</t>
  </si>
  <si>
    <t>Average Usage</t>
  </si>
  <si>
    <t>Peak Date</t>
  </si>
  <si>
    <t>CD</t>
  </si>
  <si>
    <t>(sample)</t>
  </si>
  <si>
    <t>(per customer)</t>
  </si>
  <si>
    <t>@ Rate Class Peak</t>
  </si>
  <si>
    <t>@ System Peak</t>
  </si>
  <si>
    <t>Month/Year</t>
  </si>
  <si>
    <t>MCF / month</t>
  </si>
  <si>
    <t>MCF / day</t>
  </si>
  <si>
    <t>System Peak = State Peak</t>
  </si>
  <si>
    <t>Rate Group:  INTERRUPTIBLE TRANSPORTATION SERVICE</t>
  </si>
  <si>
    <t>N / A</t>
  </si>
  <si>
    <t>Apr</t>
  </si>
  <si>
    <t>Mcf</t>
  </si>
  <si>
    <t>Inter Class</t>
  </si>
  <si>
    <t>Subsidization</t>
  </si>
  <si>
    <t>Overcollected</t>
  </si>
  <si>
    <t>(Undercollected)</t>
  </si>
  <si>
    <t>Rate Increase</t>
  </si>
  <si>
    <t>(allocated to class</t>
  </si>
  <si>
    <t>based on Rate Base)</t>
  </si>
  <si>
    <t>times</t>
  </si>
  <si>
    <t>Proposed Revenues</t>
  </si>
  <si>
    <t>Less</t>
  </si>
  <si>
    <t>(Subsidy) Excess</t>
  </si>
  <si>
    <t>(H) - (G)</t>
  </si>
  <si>
    <t>(H) Line 27 * ((A) / (A) Line 9)</t>
  </si>
  <si>
    <t>(B) - (G) + (H)</t>
  </si>
  <si>
    <t>((H) - (G)) / (B)</t>
  </si>
  <si>
    <t>((((H) - (G))*(A) Line 14)+ (C)) / (A)</t>
  </si>
  <si>
    <t>((((A) * (D) Line 9) - (C)) / (A) Line 14) + (B)</t>
  </si>
  <si>
    <t>(B) - (E)</t>
  </si>
  <si>
    <t>WORK PAPER REFERENCE:</t>
  </si>
  <si>
    <t>PAGE 2 OF 4</t>
  </si>
  <si>
    <t>PAGE 3 OF 4</t>
  </si>
  <si>
    <t>PAGE 4 OF 4</t>
  </si>
  <si>
    <t>CUSTOMER CHARGE ANALYSIS / MINIMUM BILL RATIONALE</t>
  </si>
  <si>
    <t>DESCRIPTION</t>
  </si>
  <si>
    <t>Operating Expense</t>
  </si>
  <si>
    <t>Operating Expense Plus Return</t>
  </si>
  <si>
    <t>Less: Revenue Credits</t>
  </si>
  <si>
    <t>Customer Cost Component (Revenue Requirement)</t>
  </si>
  <si>
    <t>Annual Revenue / Customer</t>
  </si>
  <si>
    <t>Monthly Revenue / Customer</t>
  </si>
  <si>
    <t>WORK PAPER REFERENCE NO(S).: SCHEDULE E-3.2e, WPE-4d</t>
  </si>
  <si>
    <t>PAGE 1 of 1</t>
  </si>
  <si>
    <t>Original</t>
  </si>
  <si>
    <t xml:space="preserve">Cost </t>
  </si>
  <si>
    <t>GS INDUST, FT  &amp; IT TRANSP (MCF)</t>
  </si>
  <si>
    <t>Prod O&amp;M</t>
  </si>
  <si>
    <t>Average &amp; Excess (Excluding Interruptible) (K205)</t>
  </si>
  <si>
    <t>Gross Plant (Sch. B-1)</t>
  </si>
  <si>
    <t>Depreciation (Sch B-1)</t>
  </si>
  <si>
    <t>A&amp;G &amp; AMORT OF DEF EXP</t>
  </si>
  <si>
    <t>AMORTIZE CAMERA WORK</t>
  </si>
  <si>
    <t>ELIMINATE MERGER EXPENSE</t>
  </si>
  <si>
    <t xml:space="preserve">AMORTIZATION OF DEFERRED EXP </t>
  </si>
  <si>
    <t>AMORTIZATION OF MGP DEFERRED EXP</t>
  </si>
  <si>
    <t>CWIP DIFFERENCES</t>
  </si>
  <si>
    <t>MISCELLANEOUS</t>
  </si>
  <si>
    <t>VACATION PAY ACCRUAL</t>
  </si>
  <si>
    <t>ENVIRONMENTAL RESERVE</t>
  </si>
  <si>
    <t>SMART GRID</t>
  </si>
  <si>
    <t>PENSION</t>
  </si>
  <si>
    <t>SMART GRID AMORTIZATION ADJUSTMENT</t>
  </si>
  <si>
    <t>AMORTIZE 2011 SMART GRID DEFERRED O&amp;M</t>
  </si>
  <si>
    <t>INCREASED MEDICAL COSTS</t>
  </si>
  <si>
    <t>AMORTIZE GAS FURNACE PROGRAM</t>
  </si>
  <si>
    <t>AFUDC IN DEBT</t>
  </si>
  <si>
    <t>RESERVED FOR FUTURE USE</t>
  </si>
  <si>
    <t>Other Operating Revenues</t>
  </si>
  <si>
    <t>Present Revenue vs Sch-C2 Rev</t>
  </si>
  <si>
    <t>Total Jurisdictional MCF Sales (a)</t>
  </si>
  <si>
    <t>Total Fed Inc Tax Payable</t>
  </si>
  <si>
    <t>TOTAL COST OF SERVICE</t>
  </si>
  <si>
    <t xml:space="preserve">RENT ASSOC. CO. </t>
  </si>
  <si>
    <t>(K408)</t>
  </si>
  <si>
    <t>(K407)</t>
  </si>
  <si>
    <t>(K406)</t>
  </si>
  <si>
    <t>OTHER DISTRIBUTION EXPENSES</t>
  </si>
  <si>
    <t>INTEREST ON CUSTOMER SERVICE DEPOSITS</t>
  </si>
  <si>
    <t>Line 16 + Line 41</t>
  </si>
  <si>
    <t>RATE CASE EXPENSE AMORT</t>
  </si>
  <si>
    <t>FEDERAL DEFERRED TAX RECEIVEABLE</t>
  </si>
  <si>
    <t>LEASED METERS</t>
  </si>
  <si>
    <t>(H) Line 5 * ((A) / (A) Line 5)</t>
  </si>
  <si>
    <t>((((H) - (G))*(1-FIT)+ (C)) / (A)</t>
  </si>
  <si>
    <t>(B) + (((D) Line 5 * (C))/(1-FIT))</t>
  </si>
  <si>
    <t>(K405)</t>
  </si>
  <si>
    <t xml:space="preserve">PROPOSED REVENUES </t>
  </si>
  <si>
    <t>Juris</t>
  </si>
  <si>
    <t>Average Customers</t>
  </si>
  <si>
    <t>Non-Coin System Peak Day</t>
  </si>
  <si>
    <t>INTERRUPTIBLE</t>
  </si>
  <si>
    <t>Schedule C-1</t>
  </si>
  <si>
    <t>PAGE 1</t>
  </si>
  <si>
    <t>K902</t>
  </si>
  <si>
    <t>Inter Class Subsidization</t>
  </si>
  <si>
    <t>Allocation Factor</t>
  </si>
  <si>
    <t>Use allocator K901 in allocated studies</t>
  </si>
  <si>
    <t>Use allocator K902 in allocated studies</t>
  </si>
  <si>
    <t>ADJUSTMENT FOR INTERCLASS SUBSIDIZATION</t>
  </si>
  <si>
    <t>REQUESTED REVENUES</t>
  </si>
  <si>
    <t>DIFFERENCE (REQUESTED LESS PROPOSED)</t>
  </si>
  <si>
    <t>Functionalized</t>
  </si>
  <si>
    <t>Not Part of print range</t>
  </si>
  <si>
    <t>Not Filed</t>
  </si>
  <si>
    <t>100% Commodity</t>
  </si>
  <si>
    <t xml:space="preserve">  COMMON &amp; OTHER PLANT IN SERVICE</t>
  </si>
  <si>
    <t xml:space="preserve">  TOTAL OP EXP EXCLUDING INC &amp; REV TAX</t>
  </si>
  <si>
    <t>DO NOT FILE THIS PAGE</t>
  </si>
  <si>
    <t>witness</t>
  </si>
  <si>
    <t>FUNCTIONAL GAS COST OF SERVICE</t>
  </si>
  <si>
    <t>Pages</t>
  </si>
  <si>
    <t>Pages2</t>
  </si>
  <si>
    <t>PRODUCTION CLASSIFIED - GAS COST OF SERVICE</t>
  </si>
  <si>
    <t>PRODUCTION COMMODITY ALLOCATED - GAS COST OF SERVICE</t>
  </si>
  <si>
    <t>DISTRIBUTION CLASSIFIED - GAS COST OF SERVICE</t>
  </si>
  <si>
    <t>DISTRIBUTION DEMAND ALLOCATED - GAS COST OF SERVICE</t>
  </si>
  <si>
    <t>DISTRIBUTION CUSTOMER ALLOCATED - GAS COST OF SERVICE</t>
  </si>
  <si>
    <t>STORAGE CLASSIFIED -  GAS COST OF SERVICE</t>
  </si>
  <si>
    <t>TOTAL CLASS ALLOCATED - GAS COST OF SERVICE</t>
  </si>
  <si>
    <t>RESIDENTIAL CLASSIFIED - GAS COST OF SERVICE</t>
  </si>
  <si>
    <t>INTERRUPTIBLE TRANSPORTATION CLASSIFIED - GAS COST OF SERVICE</t>
  </si>
  <si>
    <t xml:space="preserve">ALLOCATION OF LARGE INDUSTRIAL MEASURING </t>
  </si>
  <si>
    <t>AND REGULATING STATIONS (ACCTS 2580 &amp; 2581)</t>
  </si>
  <si>
    <t>COMPUTATION OF PRESENT RETURN EARNED (PRESENT NOI)</t>
  </si>
  <si>
    <t>TOTAL RETURN EARNED (TO WPE-3.2k)</t>
  </si>
  <si>
    <t xml:space="preserve">  TOTAL OP EXP EXCL INC &amp; REV TAX</t>
  </si>
  <si>
    <t>Notes:</t>
  </si>
  <si>
    <t>Acct 911</t>
  </si>
  <si>
    <t>Acct 907</t>
  </si>
  <si>
    <t>Acct 901</t>
  </si>
  <si>
    <t>FIRM</t>
  </si>
  <si>
    <t>Total Annual</t>
  </si>
  <si>
    <t>Jurisdictional</t>
  </si>
  <si>
    <t>Total Annual Firm MCF Sales (a)</t>
  </si>
  <si>
    <t>Total Customers (a)</t>
  </si>
  <si>
    <t>Customer Accounting Expense Allocation Factor (c)</t>
  </si>
  <si>
    <t>Customer Service and Information Factor (c)</t>
  </si>
  <si>
    <t>Sales Expense Allocation Factor (c)</t>
  </si>
  <si>
    <t>Uncollectible Expense Allocation Factor (c)</t>
  </si>
  <si>
    <t>Rate RS - Residential</t>
  </si>
  <si>
    <t>Rate IT - Interruptibile Transportation</t>
  </si>
  <si>
    <t>Data is in Column E hidden by using white font color</t>
  </si>
  <si>
    <t>It is used in lookup tables</t>
  </si>
  <si>
    <t xml:space="preserve">  TOTAL REAL ESTATE &amp; PROPERTY TAX</t>
  </si>
  <si>
    <t>witness1</t>
  </si>
  <si>
    <t>K201, K203, K205, K300, K301, K401, K403, K405, K406, K407, K408, K413, K417, K595, K415</t>
  </si>
  <si>
    <t>Pg 1, 2, 3 of 7</t>
  </si>
  <si>
    <t>Pg 4-7 of 7</t>
  </si>
  <si>
    <t>Pg 1 of 3</t>
  </si>
  <si>
    <t>Pg 2 of 3</t>
  </si>
  <si>
    <t>Pg 3 of 3</t>
  </si>
  <si>
    <t>WPE 3.2j</t>
  </si>
  <si>
    <t>WPE 3.2k</t>
  </si>
  <si>
    <t>WPE 3.2l</t>
  </si>
  <si>
    <t>Computation Of The Rate Increase Amount By Rate Class</t>
  </si>
  <si>
    <t>Hard code total rate increase</t>
  </si>
  <si>
    <t>Lisa Steinkuhl</t>
  </si>
  <si>
    <t>Cost of Service Study - Computation of Present Total Return Earned (Present NOI)</t>
  </si>
  <si>
    <t>None - copy of COSS study used to determine present rev</t>
  </si>
  <si>
    <t>Work Paper Reference</t>
  </si>
  <si>
    <t>Number</t>
  </si>
  <si>
    <t>Page</t>
  </si>
  <si>
    <t>Sales comes from WPE-4a</t>
  </si>
  <si>
    <t>James A. Riddle</t>
  </si>
  <si>
    <t>None - source is WPE-3.2e, page 3</t>
  </si>
  <si>
    <t>Asset Accounting - Allison Coombs</t>
  </si>
  <si>
    <t>Cost by acct from FERC Form 2 page 324-325; avg customer from WPE-4a</t>
  </si>
  <si>
    <t>FERC Form 2, James A. Riddle</t>
  </si>
  <si>
    <t>Special Contracts</t>
  </si>
  <si>
    <t>DUKE ENERGY KENTUCKY, INC.</t>
  </si>
  <si>
    <t>GS</t>
  </si>
  <si>
    <t>FIRM TRANS</t>
  </si>
  <si>
    <t>GS CLASSIFIED - GAS COST OF SERVICE</t>
  </si>
  <si>
    <t>FT-L CLASSIFIED - GAS COST OF SERVICE</t>
  </si>
  <si>
    <t>Res -  RS</t>
  </si>
  <si>
    <t>Rate GS</t>
  </si>
  <si>
    <t>Rate FT-L</t>
  </si>
  <si>
    <t>Rate Group:  GENERAL SERVICE</t>
  </si>
  <si>
    <t>Rate RS</t>
  </si>
  <si>
    <t>Wes Needman (?)</t>
  </si>
  <si>
    <t>Linked To Sch. B-1</t>
  </si>
  <si>
    <t>Linked To Sch. B-6</t>
  </si>
  <si>
    <t>Linked To Sch. C-2</t>
  </si>
  <si>
    <t>ASSET RETIREMENT COST FOR DISTRIBUTION PLANT</t>
  </si>
  <si>
    <t>Linked To Sch. C2.1</t>
  </si>
  <si>
    <t>KYRS -- Sampled group</t>
  </si>
  <si>
    <t>KYRS</t>
  </si>
  <si>
    <t>Definition:  Gas Day = 10:01 to 10:00  (HourEnding11am to HourEnding10am)</t>
  </si>
  <si>
    <t>Census groups  (100% analysis used;  Entire population)</t>
  </si>
  <si>
    <t>Sampled groups  (Ratio analysis used;  Stratified sample of population)</t>
  </si>
  <si>
    <t>Report date:  7-1-18</t>
  </si>
  <si>
    <t>KYGS -- Sampled group</t>
  </si>
  <si>
    <t>KYGS</t>
  </si>
  <si>
    <t>Rate Group:  FIRM TRANSPORTATION SERVICE</t>
  </si>
  <si>
    <t>KYFT -- Census group</t>
  </si>
  <si>
    <t>KYFT</t>
  </si>
  <si>
    <t>KYIT -- Census group</t>
  </si>
  <si>
    <t>KYIT</t>
  </si>
  <si>
    <t>28300 - House Regulators</t>
  </si>
  <si>
    <t>Conductor UG:  AL, 2 Wire, = 477 MCM &lt; 795</t>
  </si>
  <si>
    <t>Gas regulator:  Regulator, 1"</t>
  </si>
  <si>
    <t>Gas regulator:  Regulator, 1/4"</t>
  </si>
  <si>
    <t>Gas regulator:  Regulator, Motor read</t>
  </si>
  <si>
    <t>Gas regulator:  Regulator, Valve cage unit</t>
  </si>
  <si>
    <t>Gas regulator:  Relief Valve, 1"</t>
  </si>
  <si>
    <t>Gas regulator:  Relief Valve, 1/2"</t>
  </si>
  <si>
    <t>Gas regulator: Regulator, 1 1/2"</t>
  </si>
  <si>
    <t>Gas regulator: Regulator, 1 1/4"</t>
  </si>
  <si>
    <t>Gas regulator: Regulator, 1"</t>
  </si>
  <si>
    <t>Gas regulator: Regulator, 2"</t>
  </si>
  <si>
    <t>Gas regulator: Regulator, 2" x 1"</t>
  </si>
  <si>
    <t>Gas regulator: Regulator, 3"</t>
  </si>
  <si>
    <t>Gas regulator: Regulator, 3/4" x 1"</t>
  </si>
  <si>
    <t>Gas regulator: Relief Valve, 2"</t>
  </si>
  <si>
    <t>PURCHASE NEW GAS     REGULATORS</t>
  </si>
  <si>
    <t>ULH&amp;P 2000 GAS REGULATORS  To Close Blanket Work Orders For Project G7PUINMR  WO 28063</t>
  </si>
  <si>
    <t>ULH&amp;P 2001 GAS REGULATORS  To Close Blanket Work Orders For Project G7PUINMR  WO 28063</t>
  </si>
  <si>
    <t>28301 - House Regulators Leased</t>
  </si>
  <si>
    <t>Gas regulator: Regulator, #1</t>
  </si>
  <si>
    <t>Gas regulator: Regulator, 2" x 4"</t>
  </si>
  <si>
    <t>Gas regulator: Regulator, 4"</t>
  </si>
  <si>
    <t>Gas regulator: Regulator, 6"</t>
  </si>
  <si>
    <t>Gas regulator: Regulator, 8"</t>
  </si>
  <si>
    <t>Gas regulator: Relief Valve, 1"</t>
  </si>
  <si>
    <t>Gas regulator: Relief Valve, 3"</t>
  </si>
  <si>
    <t>Gas regulator: Relief Valve, 4"</t>
  </si>
  <si>
    <t>ULH&amp;P 2002 GAS REGULATORS  To Close Blanket Work Orders For Project G7PUINMR  WO 28063</t>
  </si>
  <si>
    <t>ULH&amp;P 2003 GAS REGULATORS  To Close Blanket Work Orders For Project G7PUINMR  WO 28063</t>
  </si>
  <si>
    <t>28400 - House Regulator Installatio</t>
  </si>
  <si>
    <t>TO INCLUDE ALL LABOR MATERIALS AND OTHER COSTS FORTHE INSTALLATION OF GAS METERS</t>
  </si>
  <si>
    <t>Voltage regulators</t>
  </si>
  <si>
    <t>28401 - House Regulator Install Lsd</t>
  </si>
  <si>
    <t>28300 - House Regulators Total</t>
  </si>
  <si>
    <t>28301 - House Regulators Leased Total</t>
  </si>
  <si>
    <t>28400 - House Regulator Installatio Total</t>
  </si>
  <si>
    <t>28401 - House Regulator Install Lsd Total</t>
  </si>
  <si>
    <t>Old system</t>
  </si>
  <si>
    <t>Motor read</t>
  </si>
  <si>
    <t>Pilot loading</t>
  </si>
  <si>
    <t>Valve cage unit</t>
  </si>
  <si>
    <t>New gas regs</t>
  </si>
  <si>
    <t>To close work order</t>
  </si>
  <si>
    <t>Other</t>
  </si>
  <si>
    <t>Voltage regulator</t>
  </si>
  <si>
    <t>Grand total</t>
  </si>
  <si>
    <t>1 1/4" &amp; 1 1/2" (100% GS)</t>
  </si>
  <si>
    <t>GAS METERS AT DECEMBER 31, 2017</t>
  </si>
  <si>
    <t>2" &amp; 2" Relief Valves (98.7% GS &amp; 1.3% FT-L)</t>
  </si>
  <si>
    <t>Greater than 4"</t>
  </si>
  <si>
    <t>3" Relief Valves</t>
  </si>
  <si>
    <t>FT-L / IT</t>
  </si>
  <si>
    <t>75% RESIDENTIAL &amp; 12.5% GS &amp; 12.5% FT-L</t>
  </si>
  <si>
    <t>80% RESIDENTIAL &amp; 10% GS &amp; 10% FT-L</t>
  </si>
  <si>
    <t>50% GS &amp; 50% FT-L</t>
  </si>
  <si>
    <t>10% GS &amp; 90% FT-L</t>
  </si>
  <si>
    <t>Row Labels</t>
  </si>
  <si>
    <t>Sum of Quantity</t>
  </si>
  <si>
    <t>Sum of Net Book Value</t>
  </si>
  <si>
    <t>Mains:  Plastic, 1 1/4"</t>
  </si>
  <si>
    <t>Mains:  Plastic, 1"</t>
  </si>
  <si>
    <t>Mains:  Plastic, 12"</t>
  </si>
  <si>
    <t>Mains:  Plastic, 2"</t>
  </si>
  <si>
    <t>Mains:  Plastic, 3"</t>
  </si>
  <si>
    <t>Mains:  Plastic, 3/4"</t>
  </si>
  <si>
    <t>Mains:  Plastic, 4"</t>
  </si>
  <si>
    <t>Mains:  Plastic, 6"</t>
  </si>
  <si>
    <t>Mains:  Plastic, 8"</t>
  </si>
  <si>
    <t>Mains: Plastic, 1"</t>
  </si>
  <si>
    <t>Mains: Plastic, 12"</t>
  </si>
  <si>
    <t>Mains: Plastic, 2"</t>
  </si>
  <si>
    <t>Mains: Plastic, 3"</t>
  </si>
  <si>
    <t>Mains: Plastic, 4"</t>
  </si>
  <si>
    <t>Mains: Plastic, 6"</t>
  </si>
  <si>
    <t>Mains: Plastic, 8"</t>
  </si>
  <si>
    <t>UNRECOVERED PURCHASED GAS COST</t>
  </si>
  <si>
    <t>BLANK</t>
  </si>
  <si>
    <t>DSM DEFERRAL</t>
  </si>
  <si>
    <t>OPEB EXPENSE ACCRUAL</t>
  </si>
  <si>
    <t>UNBILLED REVENUE - FUEL &amp; RATE REFUNDS</t>
  </si>
  <si>
    <t>SALE OF A/R</t>
  </si>
  <si>
    <t>ELIMINATE MISCELLANEOUS EXPENSES</t>
  </si>
  <si>
    <t>EDIT</t>
  </si>
  <si>
    <t>ANNUALIZE DEPRECIATION</t>
  </si>
  <si>
    <t>ELIMINATE UNBILLED REVENUE AND GAS COSTS</t>
  </si>
  <si>
    <t>Ties to Sch. B-1</t>
  </si>
  <si>
    <t>INTEGRITY MANAGEMENT EXPENSES</t>
  </si>
  <si>
    <t>ELIMINATE NON-KY CUSTOMER</t>
  </si>
  <si>
    <t>ELIMINATE MISC EXPENSES</t>
  </si>
  <si>
    <t>INCENTIVE COMPENSATION</t>
  </si>
  <si>
    <t>FEDERAL INCOME TAX BASED ON RETURN</t>
  </si>
  <si>
    <t>STATE INCOME TAX BASED ON RETURN</t>
  </si>
  <si>
    <t>Allo</t>
  </si>
  <si>
    <t>Schedule 9.1</t>
  </si>
  <si>
    <t>DEDUCTIONS IN ADDITION TO Y871</t>
  </si>
  <si>
    <t>KY TAXABLE INCOME ADJUSTMENT</t>
  </si>
  <si>
    <t xml:space="preserve">  DEDUCTIONS IN ADD TO Y871</t>
  </si>
  <si>
    <t>STATE INCOME TAX ADJUSTMENTS</t>
  </si>
  <si>
    <t>STATE PROV DEF INC TAX (410 &amp; 411)</t>
  </si>
  <si>
    <t>OTHER DEFERRED INCOME TAXES - NET</t>
  </si>
  <si>
    <t>A357</t>
  </si>
  <si>
    <t xml:space="preserve">  TOT STATE PROV DEF IT (410 &amp; 411)</t>
  </si>
  <si>
    <t>OTHER SIT ADJUSTMENTS</t>
  </si>
  <si>
    <t>CURRENT YEAR PAYABLE ADJUSTMENT</t>
  </si>
  <si>
    <t xml:space="preserve">  OTHER SIT ADJUSMENTS</t>
  </si>
  <si>
    <t>TOTAL STATE INC TAX ADJUSTMENT</t>
  </si>
  <si>
    <t>SUMMARY OF SIT CALCULATION</t>
  </si>
  <si>
    <t>NET FED. DED. AND ADDITIONS</t>
  </si>
  <si>
    <t>DEDUCTIONS IN ADD TO Y871</t>
  </si>
  <si>
    <t>TOTAL STATE INC TAX ADJ</t>
  </si>
  <si>
    <t xml:space="preserve">  BASE FOR SIT COMPUTATION</t>
  </si>
  <si>
    <t>SIT FACTOR K192/(1-K192)</t>
  </si>
  <si>
    <t>PRELIMINARY STATE INCOME TAX</t>
  </si>
  <si>
    <t>Rounding added</t>
  </si>
  <si>
    <t>TOTAL STATE INCOME TAX ADJ.</t>
  </si>
  <si>
    <t xml:space="preserve">  NET STATE INC TAX ALLOWABLE</t>
  </si>
  <si>
    <t>STATE INCOME TAX PAYABLE</t>
  </si>
  <si>
    <t xml:space="preserve">  NET STATE INCOME TAX PAYABLE</t>
  </si>
  <si>
    <t>NET STATE INCOME TAX EXP ALLOWABLE</t>
  </si>
  <si>
    <t>Other Deductions</t>
  </si>
  <si>
    <t>Schedule E-1</t>
  </si>
  <si>
    <t>Schedule B-6</t>
  </si>
  <si>
    <t>Schedule B-5</t>
  </si>
  <si>
    <t>Schedule C-2</t>
  </si>
  <si>
    <t>Tax Calculation</t>
  </si>
  <si>
    <t>Interest Deduction</t>
  </si>
  <si>
    <t>State Tax Calc</t>
  </si>
  <si>
    <t>Total State Inc Tax Payable</t>
  </si>
  <si>
    <t>State prov Acct 410.1 &amp; 411.1 - Net</t>
  </si>
  <si>
    <t>Total SIT Adj</t>
  </si>
  <si>
    <t>Federal Tax Calc</t>
  </si>
  <si>
    <t>ITC Amort &amp; Other Credits</t>
  </si>
  <si>
    <t>PSC MAINT. EXP ON INCREASE</t>
  </si>
  <si>
    <t>DIT ADJUSTMENT - AMORT OF EXCESS DEF TAXES</t>
  </si>
  <si>
    <t>TOTAL STATE PROV DEF IT (410 &amp; 411)</t>
  </si>
  <si>
    <t>DEK System</t>
  </si>
  <si>
    <t>DEK Coin</t>
  </si>
  <si>
    <t>DEK</t>
  </si>
  <si>
    <t xml:space="preserve">GS  </t>
  </si>
  <si>
    <t>1000 2.4 AMI</t>
  </si>
  <si>
    <t>1000 40G/100G AMR</t>
  </si>
  <si>
    <t>1000 Badger AMI</t>
  </si>
  <si>
    <t>1000 P&amp;T 2#</t>
  </si>
  <si>
    <t>1000 TC</t>
  </si>
  <si>
    <t>11M</t>
  </si>
  <si>
    <t>15C</t>
  </si>
  <si>
    <t>16M</t>
  </si>
  <si>
    <t>250 2.4 AMI</t>
  </si>
  <si>
    <t>250 40G/100G AMR</t>
  </si>
  <si>
    <t>250 Badger AMI</t>
  </si>
  <si>
    <t>250 P &amp; T 2#</t>
  </si>
  <si>
    <t>250 TC</t>
  </si>
  <si>
    <t>38M</t>
  </si>
  <si>
    <t>3M</t>
  </si>
  <si>
    <t>4" 23M</t>
  </si>
  <si>
    <t>400/425 2.4 AMI</t>
  </si>
  <si>
    <t>400/425 40G/100G AMR</t>
  </si>
  <si>
    <t>400/425 Badger AMI</t>
  </si>
  <si>
    <t>400/425 TC</t>
  </si>
  <si>
    <t>56M</t>
  </si>
  <si>
    <t>5M</t>
  </si>
  <si>
    <t>7M</t>
  </si>
  <si>
    <t xml:space="preserve">IFT </t>
  </si>
  <si>
    <t>IFT3</t>
  </si>
  <si>
    <t>IT01</t>
  </si>
  <si>
    <t xml:space="preserve">RS  </t>
  </si>
  <si>
    <t>CUSTOMER CHARGE ANALYSIS</t>
  </si>
  <si>
    <t>FR-16(7)(v)-3</t>
  </si>
  <si>
    <t>FR-16(7)(v)-1</t>
  </si>
  <si>
    <t>FR-16(7)(v)-2</t>
  </si>
  <si>
    <t>FR-16(7)(v)-4</t>
  </si>
  <si>
    <t>FR-16(7)(v)-5</t>
  </si>
  <si>
    <t>FR-16(7)(v)-6</t>
  </si>
  <si>
    <t>FR-16(7)(v)-7</t>
  </si>
  <si>
    <t>FR-16(7)(v)-8</t>
  </si>
  <si>
    <t>FR-16(7)(v)-9</t>
  </si>
  <si>
    <t>FR-16(7)(v)-10</t>
  </si>
  <si>
    <t>FR-16(7)(v)-11</t>
  </si>
  <si>
    <t>FR-16(7)(v)-12</t>
  </si>
  <si>
    <t>Allocation Factors Summary</t>
  </si>
  <si>
    <t>WP FR-16(7)(v)</t>
  </si>
  <si>
    <t>WP FR-16(7)(v)-8</t>
  </si>
  <si>
    <t>Revenue Transp of Gas - Interco</t>
  </si>
  <si>
    <t>DATA: 12 MONTH FORECASTED PERIOD</t>
  </si>
  <si>
    <t>WP - Pres NOI</t>
  </si>
  <si>
    <t>(a) Company revenue reports</t>
  </si>
  <si>
    <t>(b) WP FR-16(7)(v)-Peak &amp; Avg</t>
  </si>
  <si>
    <t xml:space="preserve">             (c) WP FR-16(7)(v)-CustAcctg</t>
  </si>
  <si>
    <t xml:space="preserve">             (b) WP FR-16(7)(v)-Services </t>
  </si>
  <si>
    <t>Source: (a) Company revenue reports</t>
  </si>
  <si>
    <t>Source: (a) WP FR-16(7)(v)-METERS 2018</t>
  </si>
  <si>
    <t xml:space="preserve">             (b) WP FR-16(7)(v)-House Reg DEK</t>
  </si>
  <si>
    <t xml:space="preserve">             (c) WP FR-16(7)(v)-IndustrialM&amp;R</t>
  </si>
  <si>
    <t xml:space="preserve">             (d) Allocation Factors Summary page</t>
  </si>
  <si>
    <t>Source: Allocation Factors Summary</t>
  </si>
  <si>
    <t>(b) Source:  Allocation Factors Summary</t>
  </si>
  <si>
    <t>TWELVE MONTHS ENDING DECEMBER 31, 2022</t>
  </si>
  <si>
    <t>TWELVE MONTHS ENDING DECEMBER 31, 2020</t>
  </si>
  <si>
    <t>updated</t>
  </si>
  <si>
    <t>Jan 2020</t>
  </si>
  <si>
    <t>Dec 2020</t>
  </si>
  <si>
    <t>Updated</t>
  </si>
  <si>
    <t>Mains: Plastic, 1 1/4"</t>
  </si>
  <si>
    <t>Functionalized based on Functional Payroll Costs for the Twelve Months ended December 2020</t>
  </si>
  <si>
    <t>Sum of Price</t>
  </si>
  <si>
    <t>Count of Meter type</t>
  </si>
  <si>
    <t>Rate / Meter Type</t>
  </si>
  <si>
    <t>Count of meters with no</t>
  </si>
  <si>
    <t>meter stock number to find price</t>
  </si>
  <si>
    <t>no rate</t>
  </si>
  <si>
    <t>IFT</t>
  </si>
  <si>
    <t>Assumed Price</t>
  </si>
  <si>
    <t>OTHER ASSOCIATED COST INCL TRANSMISSION O&amp;M</t>
  </si>
  <si>
    <t>No</t>
  </si>
  <si>
    <t>Target</t>
  </si>
  <si>
    <t>AMORT OF DEFERRED OTHER COST</t>
  </si>
  <si>
    <t>JAN_20</t>
  </si>
  <si>
    <t>01/19/20</t>
  </si>
  <si>
    <t>FEB_20</t>
  </si>
  <si>
    <t>02/14/20</t>
  </si>
  <si>
    <t>MAR_20</t>
  </si>
  <si>
    <t>03/21/20</t>
  </si>
  <si>
    <t>03/06/20</t>
  </si>
  <si>
    <t>APR_20</t>
  </si>
  <si>
    <t>04/15/20</t>
  </si>
  <si>
    <t>MAY_20</t>
  </si>
  <si>
    <t>05/09/20</t>
  </si>
  <si>
    <t>05/11/20</t>
  </si>
  <si>
    <t>JUN_20</t>
  </si>
  <si>
    <t>06/01/20</t>
  </si>
  <si>
    <t>06/11/20</t>
  </si>
  <si>
    <t>JUL_20</t>
  </si>
  <si>
    <t>07/02/20</t>
  </si>
  <si>
    <t>07/01/20</t>
  </si>
  <si>
    <t>AUG_20</t>
  </si>
  <si>
    <t>08/19/20</t>
  </si>
  <si>
    <t>08/25/20</t>
  </si>
  <si>
    <t>SEP_20</t>
  </si>
  <si>
    <t>09/29/20</t>
  </si>
  <si>
    <t>OCT_20</t>
  </si>
  <si>
    <t>10/30/20</t>
  </si>
  <si>
    <t>NOV_20</t>
  </si>
  <si>
    <t>11/29/20</t>
  </si>
  <si>
    <t>11/30/20</t>
  </si>
  <si>
    <t>DEC_20</t>
  </si>
  <si>
    <t>12/25/20</t>
  </si>
  <si>
    <t>12/24/20</t>
  </si>
  <si>
    <t>01/20/20</t>
  </si>
  <si>
    <t>02/13/20</t>
  </si>
  <si>
    <t>04/14/20</t>
  </si>
  <si>
    <t>05/06/20</t>
  </si>
  <si>
    <t>06/24/20</t>
  </si>
  <si>
    <t>07/29/20</t>
  </si>
  <si>
    <t>08/11/20</t>
  </si>
  <si>
    <t>09/30/20</t>
  </si>
  <si>
    <t>11/18/20</t>
  </si>
  <si>
    <t>12/08/20</t>
  </si>
  <si>
    <t>Year:  2020</t>
  </si>
  <si>
    <t>Report date:  4-12-21</t>
  </si>
  <si>
    <t>07/30/20</t>
  </si>
  <si>
    <t>08/20/20</t>
  </si>
  <si>
    <t>06/02/20</t>
  </si>
  <si>
    <t>07/13/20</t>
  </si>
  <si>
    <t>08/18/20</t>
  </si>
  <si>
    <t>09/21/20</t>
  </si>
  <si>
    <t>10/29/20</t>
  </si>
  <si>
    <t>12/17/20</t>
  </si>
  <si>
    <t>Reduced by increase</t>
  </si>
  <si>
    <t>in reconnection charges</t>
  </si>
  <si>
    <t>Increase Including</t>
  </si>
  <si>
    <t>Incr to Recon Chg</t>
  </si>
  <si>
    <t>Interdepartmental (Incl in GS)</t>
  </si>
  <si>
    <t>Special Contracts (Rate FT-L)</t>
  </si>
  <si>
    <t>$67,567 decr in Spec Contract included in FT-L above</t>
  </si>
  <si>
    <t>CASE NO: 2021-00190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</si>
</sst>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00_);\(#,##0.00000\)"/>
    <numFmt numFmtId="165" formatCode="#,##0.0000_);\(#,##0.0000\)"/>
    <numFmt numFmtId="166" formatCode="_(* #,##0_);_(* \(#,##0\);_(* &quot;-&quot;??_);_(@_)"/>
    <numFmt numFmtId="167" formatCode="_(* #,##0.0_);_(* \(#,##0.0\);_(* &quot;-&quot;??_);_(@_)"/>
    <numFmt numFmtId="168" formatCode="#,##0.0_);\(#,##0.0\)"/>
    <numFmt numFmtId="169" formatCode="#,##0.000_);\(#,##0.000\)"/>
    <numFmt numFmtId="170" formatCode="#,##0.000000_);\(#,##0.000000\)"/>
    <numFmt numFmtId="171" formatCode="0.000%"/>
    <numFmt numFmtId="172" formatCode="#,##0.00000"/>
    <numFmt numFmtId="173" formatCode="0.00000"/>
    <numFmt numFmtId="174" formatCode="_(* #,##0.0000_);_(* \(#,##0.0000\);_(* &quot;-&quot;??_);_(@_)"/>
    <numFmt numFmtId="175" formatCode="_(* #,##0.00000_);_(* \(#,##0.00000\);_(* &quot;-&quot;??_);_(@_)"/>
    <numFmt numFmtId="176" formatCode="0.0000%"/>
    <numFmt numFmtId="177" formatCode="0.000"/>
    <numFmt numFmtId="178" formatCode="_(* #,##0.0000_);_(* \(#,##0.0000\);_(* &quot;-&quot;????_);_(@_)"/>
    <numFmt numFmtId="179" formatCode="#,##0.0"/>
    <numFmt numFmtId="180" formatCode="m/d/yyyy;@"/>
    <numFmt numFmtId="181" formatCode="mm/dd/yy"/>
    <numFmt numFmtId="182" formatCode="#\ ?/?&quot;''&quot;"/>
    <numFmt numFmtId="183" formatCode="&quot;$&quot;#,##0.000_);\(&quot;$&quot;#,##0.000\)"/>
    <numFmt numFmtId="184" formatCode="&quot;$&quot;#,##0.00"/>
    <numFmt numFmtId="185" formatCode="&quot;$&quot;#,##0"/>
    <numFmt numFmtId="186" formatCode="_(* #,##0.000000_);_(* \(#,##0.000000\);_(* &quot;-&quot;??_);_(@_)"/>
    <numFmt numFmtId="187" formatCode="mm/dd/yy;@"/>
    <numFmt numFmtId="188" formatCode="0.000_);\(0.000\)"/>
    <numFmt numFmtId="189" formatCode="0.00_);\(0.00\)"/>
    <numFmt numFmtId="190" formatCode="_(&quot;$&quot;* #,##0_);_(&quot;$&quot;* \(#,##0\);_(&quot;$&quot;* &quot;-&quot;??_);_(@_)"/>
    <numFmt numFmtId="191" formatCode="0.000000%"/>
    <numFmt numFmtId="192" formatCode="0_)"/>
    <numFmt numFmtId="193" formatCode="#,##0;[Red]\(#,##0\)"/>
    <numFmt numFmtId="194" formatCode="0.00000_);\(0.00000\)"/>
    <numFmt numFmtId="195" formatCode="General_)"/>
    <numFmt numFmtId="196" formatCode="0.00000000%"/>
    <numFmt numFmtId="197" formatCode="m/d/yyyy\ h:mm\ AM/PM"/>
    <numFmt numFmtId="198" formatCode="#,##0.00\ ;[Red]\(#,##0.00\)"/>
    <numFmt numFmtId="199" formatCode="&quot;$&quot;#,##0\ ;\(&quot;$&quot;#,##0\)"/>
    <numFmt numFmtId="200" formatCode="0.000000000%"/>
    <numFmt numFmtId="201" formatCode="#,##0.00&quot; $&quot;;\-#,##0.00&quot; $&quot;"/>
    <numFmt numFmtId="202" formatCode="0.000000_)"/>
    <numFmt numFmtId="203" formatCode="mm/dd/yy_)"/>
    <numFmt numFmtId="204" formatCode="0.00_)"/>
    <numFmt numFmtId="205" formatCode="[$-409]mmmm\ d\,\ yyyy;@"/>
    <numFmt numFmtId="206" formatCode="#,##0_ ;[Red]\(#,##0\)\ "/>
    <numFmt numFmtId="207" formatCode="_-* #,##0_-;\-* #,##0_-;_-* &quot;-&quot;_-;_-@_-"/>
    <numFmt numFmtId="208" formatCode="_-* #,##0.00_-;\-* #,##0.00_-;_-* &quot;-&quot;??_-;_-@_-"/>
    <numFmt numFmtId="209" formatCode="#,##0.00000000_);\(#,##0.00000000\)"/>
    <numFmt numFmtId="210" formatCode="0.0000000"/>
    <numFmt numFmtId="211" formatCode="#,##0.0000000_);\(#,##0.0000000\)"/>
  </numFmts>
  <fonts count="160"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name val="Arial"/>
      <family val="2"/>
    </font>
    <font>
      <sz val="12"/>
      <name val="Arial MT"/>
    </font>
    <font>
      <b/>
      <sz val="10"/>
      <color indexed="8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56"/>
      <name val="Arial"/>
      <family val="2"/>
    </font>
    <font>
      <b/>
      <sz val="10"/>
      <color indexed="12"/>
      <name val="Arial"/>
      <family val="2"/>
    </font>
    <font>
      <b/>
      <sz val="8"/>
      <name val="Arial"/>
      <family val="2"/>
    </font>
    <font>
      <sz val="10"/>
      <name val="System"/>
      <family val="2"/>
    </font>
    <font>
      <sz val="8"/>
      <color indexed="10"/>
      <name val="Arial"/>
      <family val="2"/>
    </font>
    <font>
      <b/>
      <sz val="11"/>
      <color indexed="9"/>
      <name val="Arial"/>
      <family val="2"/>
    </font>
    <font>
      <b/>
      <sz val="10"/>
      <color indexed="54"/>
      <name val="Arial"/>
      <family val="2"/>
    </font>
    <font>
      <u/>
      <sz val="10"/>
      <name val="Arial"/>
      <family val="2"/>
    </font>
    <font>
      <sz val="12"/>
      <name val="Courier"/>
      <family val="3"/>
    </font>
    <font>
      <b/>
      <sz val="10"/>
      <color rgb="FF0000FF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8"/>
      <color indexed="56"/>
      <name val="Cambria"/>
      <family val="2"/>
    </font>
    <font>
      <sz val="10"/>
      <color rgb="FF0000FF"/>
      <name val="Arial"/>
      <family val="2"/>
    </font>
    <font>
      <i/>
      <sz val="10"/>
      <name val="Arial"/>
      <family val="2"/>
    </font>
    <font>
      <u/>
      <sz val="10"/>
      <color indexed="12"/>
      <name val="Arial"/>
      <family val="2"/>
    </font>
    <font>
      <sz val="10"/>
      <color indexed="81"/>
      <name val="Tahoma"/>
      <family val="2"/>
    </font>
    <font>
      <b/>
      <sz val="10"/>
      <color rgb="FFFF0000"/>
      <name val="Arial"/>
      <family val="2"/>
    </font>
    <font>
      <i/>
      <sz val="12"/>
      <name val="Arial"/>
      <family val="2"/>
    </font>
    <font>
      <sz val="10"/>
      <color indexed="53"/>
      <name val="Arial"/>
      <family val="2"/>
    </font>
    <font>
      <sz val="10"/>
      <color rgb="FF00B0F0"/>
      <name val="Arial"/>
      <family val="2"/>
    </font>
    <font>
      <b/>
      <sz val="10"/>
      <color indexed="53"/>
      <name val="Arial"/>
      <family val="2"/>
    </font>
    <font>
      <b/>
      <u/>
      <sz val="10"/>
      <color rgb="FFFF0000"/>
      <name val="Arial"/>
      <family val="2"/>
    </font>
    <font>
      <b/>
      <u/>
      <sz val="10"/>
      <color indexed="10"/>
      <name val="Arial"/>
      <family val="2"/>
    </font>
    <font>
      <b/>
      <u/>
      <sz val="10"/>
      <color rgb="FF0000FF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1"/>
      <name val="Arial"/>
      <family val="2"/>
    </font>
    <font>
      <sz val="12"/>
      <color rgb="FF0000FF"/>
      <name val="Arial"/>
      <family val="2"/>
    </font>
    <font>
      <u/>
      <sz val="10"/>
      <color indexed="8"/>
      <name val="Arial"/>
      <family val="2"/>
    </font>
    <font>
      <u val="double"/>
      <sz val="10"/>
      <color indexed="8"/>
      <name val="Arial"/>
      <family val="2"/>
    </font>
    <font>
      <u val="double"/>
      <sz val="10"/>
      <name val="Arial"/>
      <family val="2"/>
    </font>
    <font>
      <b/>
      <sz val="16"/>
      <color rgb="FFFF0000"/>
      <name val="Arial"/>
      <family val="2"/>
    </font>
    <font>
      <b/>
      <sz val="12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Times New Roman"/>
      <family val="1"/>
    </font>
    <font>
      <sz val="8"/>
      <name val="MS Sans Serif"/>
      <family val="2"/>
    </font>
    <font>
      <u/>
      <sz val="12"/>
      <color indexed="12"/>
      <name val="Times New Roman"/>
      <family val="1"/>
    </font>
    <font>
      <u/>
      <sz val="12"/>
      <color indexed="12"/>
      <name val="Arial MT"/>
    </font>
    <font>
      <sz val="11"/>
      <color theme="1"/>
      <name val="Calibri"/>
      <family val="2"/>
    </font>
    <font>
      <sz val="11"/>
      <color theme="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indexed="8"/>
      <name val="Arial"/>
      <family val="2"/>
    </font>
    <font>
      <b/>
      <sz val="18"/>
      <name val="Arial"/>
      <family val="2"/>
    </font>
    <font>
      <sz val="10"/>
      <color theme="1"/>
      <name val="Goudy Old Style"/>
      <family val="2"/>
    </font>
    <font>
      <sz val="11"/>
      <color theme="1"/>
      <name val="Cambria"/>
      <family val="2"/>
    </font>
    <font>
      <sz val="11"/>
      <color theme="0"/>
      <name val="Cambria"/>
      <family val="2"/>
    </font>
    <font>
      <sz val="10"/>
      <color indexed="8"/>
      <name val="Book Antiqua"/>
      <family val="1"/>
    </font>
    <font>
      <sz val="11"/>
      <color indexed="8"/>
      <name val="Arial"/>
      <family val="2"/>
    </font>
    <font>
      <sz val="11"/>
      <color rgb="FF9C0006"/>
      <name val="Cambria"/>
      <family val="2"/>
    </font>
    <font>
      <b/>
      <sz val="12"/>
      <color indexed="9"/>
      <name val="Times New Roman"/>
      <family val="1"/>
    </font>
    <font>
      <b/>
      <sz val="11"/>
      <color rgb="FFFA7D00"/>
      <name val="Cambria"/>
      <family val="2"/>
    </font>
    <font>
      <sz val="10"/>
      <name val="Courier"/>
      <family val="3"/>
    </font>
    <font>
      <b/>
      <sz val="11"/>
      <color theme="0"/>
      <name val="Cambria"/>
      <family val="2"/>
    </font>
    <font>
      <sz val="11"/>
      <name val="Tms Rmn"/>
      <family val="1"/>
    </font>
    <font>
      <sz val="11"/>
      <color theme="1"/>
      <name val="Arial"/>
      <family val="2"/>
    </font>
    <font>
      <sz val="11"/>
      <name val="Times New Roman"/>
      <family val="1"/>
    </font>
    <font>
      <sz val="10"/>
      <color indexed="24"/>
      <name val="Times New Roman"/>
      <family val="1"/>
    </font>
    <font>
      <i/>
      <sz val="11"/>
      <color rgb="FF7F7F7F"/>
      <name val="Cambria"/>
      <family val="2"/>
    </font>
    <font>
      <sz val="12"/>
      <color indexed="12"/>
      <name val="SWISS"/>
      <family val="2"/>
    </font>
    <font>
      <sz val="11"/>
      <color rgb="FF006100"/>
      <name val="Cambria"/>
      <family val="2"/>
    </font>
    <font>
      <b/>
      <u/>
      <sz val="11"/>
      <color indexed="37"/>
      <name val="Arial"/>
      <family val="2"/>
    </font>
    <font>
      <b/>
      <sz val="15"/>
      <color theme="3"/>
      <name val="Cambria"/>
      <family val="2"/>
    </font>
    <font>
      <b/>
      <sz val="13"/>
      <color theme="3"/>
      <name val="Cambria"/>
      <family val="2"/>
    </font>
    <font>
      <b/>
      <sz val="11"/>
      <color theme="3"/>
      <name val="Cambria"/>
      <family val="2"/>
    </font>
    <font>
      <b/>
      <i/>
      <sz val="12"/>
      <color indexed="57"/>
      <name val="Swiss"/>
      <family val="2"/>
    </font>
    <font>
      <sz val="11"/>
      <color rgb="FF3F3F76"/>
      <name val="Cambria"/>
      <family val="2"/>
    </font>
    <font>
      <sz val="11"/>
      <color indexed="32"/>
      <name val="Arial"/>
      <family val="2"/>
    </font>
    <font>
      <b/>
      <sz val="12"/>
      <name val="Swiss"/>
      <family val="2"/>
    </font>
    <font>
      <sz val="11"/>
      <color rgb="FFFA7D00"/>
      <name val="Cambria"/>
      <family val="2"/>
    </font>
    <font>
      <b/>
      <sz val="11"/>
      <color indexed="18"/>
      <name val="Arial"/>
      <family val="2"/>
    </font>
    <font>
      <sz val="10"/>
      <color indexed="56"/>
      <name val="Courier"/>
      <family val="3"/>
    </font>
    <font>
      <sz val="11"/>
      <color indexed="16"/>
      <name val="Arial"/>
      <family val="2"/>
    </font>
    <font>
      <i/>
      <sz val="12"/>
      <color indexed="38"/>
      <name val="Swiss"/>
      <family val="2"/>
    </font>
    <font>
      <sz val="11"/>
      <color rgb="FF9C6500"/>
      <name val="Cambria"/>
      <family val="2"/>
    </font>
    <font>
      <sz val="7"/>
      <name val="Small Fonts"/>
      <family val="2"/>
    </font>
    <font>
      <b/>
      <i/>
      <sz val="16"/>
      <name val="Helv"/>
    </font>
    <font>
      <b/>
      <sz val="11"/>
      <color rgb="FF3F3F3F"/>
      <name val="Cambria"/>
      <family val="2"/>
    </font>
    <font>
      <b/>
      <sz val="11"/>
      <color indexed="16"/>
      <name val="Times New Roman"/>
      <family val="1"/>
    </font>
    <font>
      <b/>
      <sz val="10"/>
      <name val="Book Antiqua"/>
      <family val="1"/>
    </font>
    <font>
      <sz val="10"/>
      <color indexed="18"/>
      <name val="Times New Roman"/>
      <family val="1"/>
    </font>
    <font>
      <b/>
      <i/>
      <sz val="10"/>
      <color indexed="38"/>
      <name val="Arial"/>
      <family val="2"/>
    </font>
    <font>
      <b/>
      <sz val="12"/>
      <color indexed="38"/>
      <name val="Swiss"/>
      <family val="2"/>
    </font>
    <font>
      <i/>
      <sz val="10"/>
      <name val="MS Sans Serif"/>
      <family val="2"/>
    </font>
    <font>
      <b/>
      <sz val="14"/>
      <color indexed="8"/>
      <name val="Helv"/>
    </font>
    <font>
      <b/>
      <sz val="12"/>
      <color indexed="18"/>
      <name val="Arial"/>
      <family val="2"/>
    </font>
    <font>
      <sz val="11"/>
      <name val="Book Antiqua"/>
      <family val="1"/>
    </font>
    <font>
      <b/>
      <sz val="11"/>
      <color theme="1"/>
      <name val="Cambria"/>
      <family val="2"/>
    </font>
    <font>
      <i/>
      <sz val="12"/>
      <color indexed="50"/>
      <name val="Arial"/>
      <family val="2"/>
    </font>
    <font>
      <sz val="12"/>
      <color indexed="8"/>
      <name val="Arial MT"/>
    </font>
    <font>
      <sz val="8"/>
      <color indexed="12"/>
      <name val="Arial"/>
      <family val="2"/>
    </font>
    <font>
      <sz val="11"/>
      <color rgb="FFFF0000"/>
      <name val="Cambria"/>
      <family val="2"/>
    </font>
    <font>
      <u/>
      <sz val="8.4"/>
      <color indexed="12"/>
      <name val="Arial"/>
      <family val="2"/>
    </font>
    <font>
      <b/>
      <sz val="10"/>
      <color rgb="FF000000"/>
      <name val="Courier"/>
    </font>
    <font>
      <u val="singleAccounting"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9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55"/>
      </patternFill>
    </fill>
    <fill>
      <patternFill patternType="solid">
        <fgColor indexed="5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indexed="14"/>
        <bgColor indexed="14"/>
      </patternFill>
    </fill>
    <fill>
      <patternFill patternType="solid">
        <fgColor indexed="10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indexed="15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1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7" tint="0.59999389629810485"/>
        <bgColor indexed="64"/>
      </patternFill>
    </fill>
  </fills>
  <borders count="15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tted">
        <color indexed="23"/>
      </left>
      <right style="dotted">
        <color indexed="23"/>
      </right>
      <top style="dotted">
        <color indexed="23"/>
      </top>
      <bottom style="dotted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dotted">
        <color indexed="50"/>
      </left>
      <right/>
      <top style="dotted">
        <color indexed="50"/>
      </top>
      <bottom/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dotted">
        <color indexed="16"/>
      </left>
      <right style="dotted">
        <color indexed="16"/>
      </right>
      <top style="dotted">
        <color indexed="16"/>
      </top>
      <bottom style="dotted">
        <color indexed="1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/>
      <top/>
      <bottom style="thin">
        <color auto="1"/>
      </bottom>
      <diagonal/>
    </border>
  </borders>
  <cellStyleXfs count="20271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/>
    <xf numFmtId="0" fontId="4" fillId="0" borderId="0"/>
    <xf numFmtId="0" fontId="6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23" fillId="0" borderId="0"/>
    <xf numFmtId="9" fontId="4" fillId="0" borderId="0" applyFont="0" applyFill="0" applyBorder="0" applyAlignment="0" applyProtection="0"/>
    <xf numFmtId="0" fontId="28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9" borderId="0" applyNumberFormat="0" applyBorder="0" applyAlignment="0" applyProtection="0"/>
    <xf numFmtId="0" fontId="19" fillId="12" borderId="0" applyNumberFormat="0" applyBorder="0" applyAlignment="0" applyProtection="0"/>
    <xf numFmtId="0" fontId="19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3" borderId="0" applyNumberFormat="0" applyBorder="0" applyAlignment="0" applyProtection="0"/>
    <xf numFmtId="0" fontId="30" fillId="7" borderId="0" applyNumberFormat="0" applyBorder="0" applyAlignment="0" applyProtection="0"/>
    <xf numFmtId="0" fontId="31" fillId="24" borderId="10" applyNumberFormat="0" applyAlignment="0" applyProtection="0"/>
    <xf numFmtId="0" fontId="14" fillId="25" borderId="11" applyNumberFormat="0" applyAlignment="0" applyProtection="0"/>
    <xf numFmtId="3" fontId="4" fillId="26" borderId="0" applyFont="0" applyFill="0" applyBorder="0" applyAlignment="0" applyProtection="0"/>
    <xf numFmtId="5" fontId="4" fillId="26" borderId="0" applyFont="0" applyFill="0" applyBorder="0" applyAlignment="0" applyProtection="0"/>
    <xf numFmtId="0" fontId="4" fillId="26" borderId="0" applyFont="0" applyFill="0" applyBorder="0" applyAlignment="0" applyProtection="0"/>
    <xf numFmtId="0" fontId="32" fillId="0" borderId="0" applyNumberFormat="0" applyFill="0" applyBorder="0" applyAlignment="0" applyProtection="0"/>
    <xf numFmtId="2" fontId="4" fillId="26" borderId="0" applyFont="0" applyFill="0" applyBorder="0" applyAlignment="0" applyProtection="0"/>
    <xf numFmtId="0" fontId="33" fillId="8" borderId="0" applyNumberFormat="0" applyBorder="0" applyAlignment="0" applyProtection="0"/>
    <xf numFmtId="0" fontId="34" fillId="0" borderId="12" applyNumberFormat="0" applyFill="0" applyAlignment="0" applyProtection="0"/>
    <xf numFmtId="0" fontId="35" fillId="0" borderId="13" applyNumberFormat="0" applyFill="0" applyAlignment="0" applyProtection="0"/>
    <xf numFmtId="0" fontId="36" fillId="0" borderId="14" applyNumberFormat="0" applyFill="0" applyAlignment="0" applyProtection="0"/>
    <xf numFmtId="0" fontId="36" fillId="0" borderId="0" applyNumberFormat="0" applyFill="0" applyBorder="0" applyAlignment="0" applyProtection="0"/>
    <xf numFmtId="0" fontId="37" fillId="11" borderId="10" applyNumberFormat="0" applyAlignment="0" applyProtection="0"/>
    <xf numFmtId="0" fontId="38" fillId="0" borderId="15" applyNumberFormat="0" applyFill="0" applyAlignment="0" applyProtection="0"/>
    <xf numFmtId="0" fontId="39" fillId="27" borderId="0" applyNumberFormat="0" applyBorder="0" applyAlignment="0" applyProtection="0"/>
    <xf numFmtId="0" fontId="4" fillId="28" borderId="16" applyNumberFormat="0" applyFont="0" applyAlignment="0" applyProtection="0"/>
    <xf numFmtId="0" fontId="40" fillId="24" borderId="17" applyNumberFormat="0" applyAlignment="0" applyProtection="0"/>
    <xf numFmtId="0" fontId="41" fillId="0" borderId="0" applyNumberFormat="0" applyFont="0" applyFill="0" applyBorder="0" applyAlignment="0" applyProtection="0">
      <alignment horizontal="left"/>
    </xf>
    <xf numFmtId="4" fontId="41" fillId="0" borderId="0" applyFont="0" applyFill="0" applyBorder="0" applyAlignment="0" applyProtection="0"/>
    <xf numFmtId="0" fontId="42" fillId="0" borderId="7">
      <alignment horizontal="center"/>
    </xf>
    <xf numFmtId="0" fontId="43" fillId="0" borderId="0" applyNumberFormat="0" applyFill="0" applyBorder="0" applyAlignment="0" applyProtection="0"/>
    <xf numFmtId="0" fontId="11" fillId="0" borderId="18" applyNumberFormat="0" applyFill="0" applyAlignment="0" applyProtection="0"/>
    <xf numFmtId="0" fontId="15" fillId="0" borderId="0" applyNumberFormat="0" applyFill="0" applyBorder="0" applyAlignment="0" applyProtection="0"/>
    <xf numFmtId="0" fontId="10" fillId="0" borderId="0"/>
    <xf numFmtId="0" fontId="41" fillId="0" borderId="0" applyNumberFormat="0" applyFont="0" applyFill="0" applyBorder="0" applyAlignment="0" applyProtection="0">
      <alignment horizontal="left"/>
    </xf>
    <xf numFmtId="4" fontId="41" fillId="0" borderId="0" applyFont="0" applyFill="0" applyBorder="0" applyAlignment="0" applyProtection="0"/>
    <xf numFmtId="0" fontId="42" fillId="0" borderId="7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0" fillId="0" borderId="0"/>
    <xf numFmtId="0" fontId="28" fillId="0" borderId="0"/>
    <xf numFmtId="0" fontId="41" fillId="0" borderId="0" applyNumberFormat="0" applyFont="0" applyFill="0" applyBorder="0" applyAlignment="0" applyProtection="0">
      <alignment horizontal="left"/>
    </xf>
    <xf numFmtId="4" fontId="41" fillId="0" borderId="0" applyFont="0" applyFill="0" applyBorder="0" applyAlignment="0" applyProtection="0"/>
    <xf numFmtId="0" fontId="42" fillId="0" borderId="7">
      <alignment horizontal="center"/>
    </xf>
    <xf numFmtId="0" fontId="4" fillId="0" borderId="0"/>
    <xf numFmtId="0" fontId="4" fillId="0" borderId="0"/>
    <xf numFmtId="0" fontId="4" fillId="0" borderId="0"/>
    <xf numFmtId="0" fontId="58" fillId="0" borderId="0"/>
    <xf numFmtId="44" fontId="4" fillId="0" borderId="0" applyFont="0" applyFill="0" applyBorder="0" applyAlignment="0" applyProtection="0"/>
    <xf numFmtId="0" fontId="6" fillId="0" borderId="0"/>
    <xf numFmtId="0" fontId="69" fillId="0" borderId="0" applyNumberFormat="0" applyFill="0" applyBorder="0" applyAlignment="0" applyProtection="0"/>
    <xf numFmtId="0" fontId="70" fillId="0" borderId="64" applyNumberFormat="0" applyFill="0" applyAlignment="0" applyProtection="0"/>
    <xf numFmtId="0" fontId="71" fillId="0" borderId="65" applyNumberFormat="0" applyFill="0" applyAlignment="0" applyProtection="0"/>
    <xf numFmtId="0" fontId="72" fillId="0" borderId="66" applyNumberFormat="0" applyFill="0" applyAlignment="0" applyProtection="0"/>
    <xf numFmtId="0" fontId="72" fillId="0" borderId="0" applyNumberFormat="0" applyFill="0" applyBorder="0" applyAlignment="0" applyProtection="0"/>
    <xf numFmtId="0" fontId="73" fillId="48" borderId="0" applyNumberFormat="0" applyBorder="0" applyAlignment="0" applyProtection="0"/>
    <xf numFmtId="0" fontId="74" fillId="49" borderId="0" applyNumberFormat="0" applyBorder="0" applyAlignment="0" applyProtection="0"/>
    <xf numFmtId="0" fontId="75" fillId="50" borderId="0" applyNumberFormat="0" applyBorder="0" applyAlignment="0" applyProtection="0"/>
    <xf numFmtId="0" fontId="76" fillId="51" borderId="67" applyNumberFormat="0" applyAlignment="0" applyProtection="0"/>
    <xf numFmtId="0" fontId="77" fillId="52" borderId="68" applyNumberFormat="0" applyAlignment="0" applyProtection="0"/>
    <xf numFmtId="0" fontId="78" fillId="52" borderId="67" applyNumberFormat="0" applyAlignment="0" applyProtection="0"/>
    <xf numFmtId="0" fontId="79" fillId="0" borderId="69" applyNumberFormat="0" applyFill="0" applyAlignment="0" applyProtection="0"/>
    <xf numFmtId="0" fontId="80" fillId="53" borderId="70" applyNumberFormat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72" applyNumberFormat="0" applyFill="0" applyAlignment="0" applyProtection="0"/>
    <xf numFmtId="0" fontId="84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84" fillId="58" borderId="0" applyNumberFormat="0" applyBorder="0" applyAlignment="0" applyProtection="0"/>
    <xf numFmtId="0" fontId="84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84" fillId="62" borderId="0" applyNumberFormat="0" applyBorder="0" applyAlignment="0" applyProtection="0"/>
    <xf numFmtId="0" fontId="84" fillId="63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84" fillId="66" borderId="0" applyNumberFormat="0" applyBorder="0" applyAlignment="0" applyProtection="0"/>
    <xf numFmtId="0" fontId="84" fillId="67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84" fillId="70" borderId="0" applyNumberFormat="0" applyBorder="0" applyAlignment="0" applyProtection="0"/>
    <xf numFmtId="0" fontId="84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84" fillId="74" borderId="0" applyNumberFormat="0" applyBorder="0" applyAlignment="0" applyProtection="0"/>
    <xf numFmtId="0" fontId="84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84" fillId="78" borderId="0" applyNumberFormat="0" applyBorder="0" applyAlignment="0" applyProtection="0"/>
    <xf numFmtId="0" fontId="115" fillId="0" borderId="137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12" applyNumberFormat="0" applyFon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31" fillId="24" borderId="73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12" applyNumberFormat="0" applyFont="0" applyAlignment="0" applyProtection="0"/>
    <xf numFmtId="0" fontId="37" fillId="11" borderId="73" applyNumberFormat="0" applyAlignment="0" applyProtection="0"/>
    <xf numFmtId="0" fontId="4" fillId="28" borderId="74" applyNumberFormat="0" applyFont="0" applyAlignment="0" applyProtection="0"/>
    <xf numFmtId="0" fontId="40" fillId="24" borderId="75" applyNumberFormat="0" applyAlignment="0" applyProtection="0"/>
    <xf numFmtId="0" fontId="115" fillId="85" borderId="117"/>
    <xf numFmtId="0" fontId="11" fillId="0" borderId="76" applyNumberFormat="0" applyFill="0" applyAlignment="0" applyProtection="0"/>
    <xf numFmtId="0" fontId="40" fillId="24" borderId="133" applyNumberFormat="0" applyAlignment="0" applyProtection="0"/>
    <xf numFmtId="0" fontId="115" fillId="85" borderId="127"/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11" fillId="0" borderId="134" applyNumberFormat="0" applyFill="0" applyAlignment="0" applyProtection="0"/>
    <xf numFmtId="0" fontId="4" fillId="28" borderId="142" applyNumberFormat="0" applyFont="0" applyAlignment="0" applyProtection="0"/>
    <xf numFmtId="0" fontId="2" fillId="0" borderId="0"/>
    <xf numFmtId="0" fontId="6" fillId="0" borderId="0"/>
    <xf numFmtId="195" fontId="85" fillId="0" borderId="0"/>
    <xf numFmtId="0" fontId="86" fillId="0" borderId="0"/>
    <xf numFmtId="0" fontId="87" fillId="0" borderId="0" applyNumberFormat="0" applyFill="0" applyBorder="0" applyAlignment="0" applyProtection="0">
      <alignment vertical="top"/>
      <protection locked="0"/>
    </xf>
    <xf numFmtId="9" fontId="10" fillId="0" borderId="0" applyFont="0" applyFill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14" fillId="25" borderId="11" applyNumberFormat="0" applyAlignment="0" applyProtection="0"/>
    <xf numFmtId="0" fontId="14" fillId="25" borderId="11" applyNumberFormat="0" applyAlignment="0" applyProtection="0"/>
    <xf numFmtId="0" fontId="14" fillId="25" borderId="11" applyNumberFormat="0" applyAlignment="0" applyProtection="0"/>
    <xf numFmtId="0" fontId="14" fillId="25" borderId="11" applyNumberFormat="0" applyAlignment="0" applyProtection="0"/>
    <xf numFmtId="0" fontId="14" fillId="25" borderId="11" applyNumberFormat="0" applyAlignment="0" applyProtection="0"/>
    <xf numFmtId="0" fontId="14" fillId="25" borderId="11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89" fillId="54" borderId="71" applyNumberFormat="0" applyFont="0" applyAlignment="0" applyProtection="0"/>
    <xf numFmtId="195" fontId="85" fillId="0" borderId="0"/>
    <xf numFmtId="195" fontId="85" fillId="0" borderId="0"/>
    <xf numFmtId="0" fontId="86" fillId="0" borderId="0"/>
    <xf numFmtId="0" fontId="28" fillId="0" borderId="0"/>
    <xf numFmtId="0" fontId="31" fillId="24" borderId="77" applyNumberFormat="0" applyAlignment="0" applyProtection="0"/>
    <xf numFmtId="0" fontId="37" fillId="11" borderId="77" applyNumberFormat="0" applyAlignment="0" applyProtection="0"/>
    <xf numFmtId="0" fontId="4" fillId="28" borderId="78" applyNumberFormat="0" applyFont="0" applyAlignment="0" applyProtection="0"/>
    <xf numFmtId="0" fontId="40" fillId="24" borderId="79" applyNumberFormat="0" applyAlignment="0" applyProtection="0"/>
    <xf numFmtId="0" fontId="28" fillId="0" borderId="0"/>
    <xf numFmtId="0" fontId="11" fillId="0" borderId="80" applyNumberFormat="0" applyFill="0" applyAlignment="0" applyProtection="0"/>
    <xf numFmtId="0" fontId="10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84" fillId="55" borderId="0" applyNumberFormat="0" applyBorder="0" applyAlignment="0" applyProtection="0"/>
    <xf numFmtId="0" fontId="82" fillId="0" borderId="0" applyNumberFormat="0" applyFill="0" applyBorder="0" applyAlignment="0" applyProtection="0"/>
    <xf numFmtId="0" fontId="75" fillId="50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12" fillId="0" borderId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1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1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1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84" fillId="78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84" fillId="75" borderId="0" applyNumberFormat="0" applyBorder="0" applyAlignment="0" applyProtection="0"/>
    <xf numFmtId="0" fontId="2" fillId="73" borderId="0" applyNumberFormat="0" applyBorder="0" applyAlignment="0" applyProtection="0"/>
    <xf numFmtId="0" fontId="84" fillId="71" borderId="0" applyNumberFormat="0" applyBorder="0" applyAlignment="0" applyProtection="0"/>
    <xf numFmtId="0" fontId="84" fillId="70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84" fillId="6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84" fillId="59" borderId="0" applyNumberFormat="0" applyBorder="0" applyAlignment="0" applyProtection="0"/>
    <xf numFmtId="0" fontId="84" fillId="58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83" fillId="0" borderId="72" applyNumberFormat="0" applyFill="0" applyAlignment="0" applyProtection="0"/>
    <xf numFmtId="0" fontId="81" fillId="0" borderId="0" applyNumberFormat="0" applyFill="0" applyBorder="0" applyAlignment="0" applyProtection="0"/>
    <xf numFmtId="0" fontId="79" fillId="0" borderId="69" applyNumberFormat="0" applyFill="0" applyAlignment="0" applyProtection="0"/>
    <xf numFmtId="0" fontId="77" fillId="52" borderId="68" applyNumberFormat="0" applyAlignment="0" applyProtection="0"/>
    <xf numFmtId="0" fontId="76" fillId="51" borderId="67" applyNumberFormat="0" applyAlignment="0" applyProtection="0"/>
    <xf numFmtId="0" fontId="74" fillId="49" borderId="0" applyNumberFormat="0" applyBorder="0" applyAlignment="0" applyProtection="0"/>
    <xf numFmtId="0" fontId="72" fillId="0" borderId="0" applyNumberFormat="0" applyFill="0" applyBorder="0" applyAlignment="0" applyProtection="0"/>
    <xf numFmtId="0" fontId="72" fillId="0" borderId="66" applyNumberFormat="0" applyFill="0" applyAlignment="0" applyProtection="0"/>
    <xf numFmtId="0" fontId="71" fillId="0" borderId="65" applyNumberFormat="0" applyFill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12" fillId="0" borderId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84" fillId="66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73" fillId="4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12" fillId="0" borderId="0"/>
    <xf numFmtId="0" fontId="84" fillId="74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9" fontId="3" fillId="0" borderId="0" applyFont="0" applyFill="0" applyBorder="0" applyAlignment="0" applyProtection="0"/>
    <xf numFmtId="0" fontId="89" fillId="76" borderId="0" applyNumberFormat="0" applyBorder="0" applyAlignment="0" applyProtection="0"/>
    <xf numFmtId="0" fontId="89" fillId="56" borderId="0" applyNumberFormat="0" applyBorder="0" applyAlignment="0" applyProtection="0"/>
    <xf numFmtId="0" fontId="89" fillId="56" borderId="0" applyNumberFormat="0" applyBorder="0" applyAlignment="0" applyProtection="0"/>
    <xf numFmtId="0" fontId="89" fillId="60" borderId="0" applyNumberFormat="0" applyBorder="0" applyAlignment="0" applyProtection="0"/>
    <xf numFmtId="0" fontId="89" fillId="60" borderId="0" applyNumberFormat="0" applyBorder="0" applyAlignment="0" applyProtection="0"/>
    <xf numFmtId="0" fontId="89" fillId="64" borderId="0" applyNumberFormat="0" applyBorder="0" applyAlignment="0" applyProtection="0"/>
    <xf numFmtId="0" fontId="89" fillId="64" borderId="0" applyNumberFormat="0" applyBorder="0" applyAlignment="0" applyProtection="0"/>
    <xf numFmtId="0" fontId="89" fillId="68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6" borderId="0" applyNumberFormat="0" applyBorder="0" applyAlignment="0" applyProtection="0"/>
    <xf numFmtId="0" fontId="89" fillId="57" borderId="0" applyNumberFormat="0" applyBorder="0" applyAlignment="0" applyProtection="0"/>
    <xf numFmtId="0" fontId="89" fillId="57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9" fillId="65" borderId="0" applyNumberFormat="0" applyBorder="0" applyAlignment="0" applyProtection="0"/>
    <xf numFmtId="0" fontId="89" fillId="65" borderId="0" applyNumberFormat="0" applyBorder="0" applyAlignment="0" applyProtection="0"/>
    <xf numFmtId="0" fontId="89" fillId="69" borderId="0" applyNumberFormat="0" applyBorder="0" applyAlignment="0" applyProtection="0"/>
    <xf numFmtId="0" fontId="89" fillId="69" borderId="0" applyNumberFormat="0" applyBorder="0" applyAlignment="0" applyProtection="0"/>
    <xf numFmtId="0" fontId="89" fillId="73" borderId="0" applyNumberFormat="0" applyBorder="0" applyAlignment="0" applyProtection="0"/>
    <xf numFmtId="0" fontId="89" fillId="73" borderId="0" applyNumberFormat="0" applyBorder="0" applyAlignment="0" applyProtection="0"/>
    <xf numFmtId="0" fontId="89" fillId="77" borderId="0" applyNumberFormat="0" applyBorder="0" applyAlignment="0" applyProtection="0"/>
    <xf numFmtId="0" fontId="89" fillId="77" borderId="0" applyNumberFormat="0" applyBorder="0" applyAlignment="0" applyProtection="0"/>
    <xf numFmtId="0" fontId="90" fillId="58" borderId="0" applyNumberFormat="0" applyBorder="0" applyAlignment="0" applyProtection="0"/>
    <xf numFmtId="0" fontId="90" fillId="58" borderId="0" applyNumberFormat="0" applyBorder="0" applyAlignment="0" applyProtection="0"/>
    <xf numFmtId="0" fontId="90" fillId="62" borderId="0" applyNumberFormat="0" applyBorder="0" applyAlignment="0" applyProtection="0"/>
    <xf numFmtId="0" fontId="90" fillId="62" borderId="0" applyNumberFormat="0" applyBorder="0" applyAlignment="0" applyProtection="0"/>
    <xf numFmtId="0" fontId="90" fillId="66" borderId="0" applyNumberFormat="0" applyBorder="0" applyAlignment="0" applyProtection="0"/>
    <xf numFmtId="0" fontId="90" fillId="66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4" borderId="0" applyNumberFormat="0" applyBorder="0" applyAlignment="0" applyProtection="0"/>
    <xf numFmtId="0" fontId="90" fillId="74" borderId="0" applyNumberFormat="0" applyBorder="0" applyAlignment="0" applyProtection="0"/>
    <xf numFmtId="0" fontId="90" fillId="78" borderId="0" applyNumberFormat="0" applyBorder="0" applyAlignment="0" applyProtection="0"/>
    <xf numFmtId="0" fontId="90" fillId="78" borderId="0" applyNumberFormat="0" applyBorder="0" applyAlignment="0" applyProtection="0"/>
    <xf numFmtId="0" fontId="90" fillId="55" borderId="0" applyNumberFormat="0" applyBorder="0" applyAlignment="0" applyProtection="0"/>
    <xf numFmtId="0" fontId="90" fillId="55" borderId="0" applyNumberFormat="0" applyBorder="0" applyAlignment="0" applyProtection="0"/>
    <xf numFmtId="0" fontId="90" fillId="59" borderId="0" applyNumberFormat="0" applyBorder="0" applyAlignment="0" applyProtection="0"/>
    <xf numFmtId="0" fontId="90" fillId="59" borderId="0" applyNumberFormat="0" applyBorder="0" applyAlignment="0" applyProtection="0"/>
    <xf numFmtId="0" fontId="90" fillId="63" borderId="0" applyNumberFormat="0" applyBorder="0" applyAlignment="0" applyProtection="0"/>
    <xf numFmtId="0" fontId="90" fillId="63" borderId="0" applyNumberFormat="0" applyBorder="0" applyAlignment="0" applyProtection="0"/>
    <xf numFmtId="0" fontId="90" fillId="67" borderId="0" applyNumberFormat="0" applyBorder="0" applyAlignment="0" applyProtection="0"/>
    <xf numFmtId="0" fontId="90" fillId="67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5" borderId="0" applyNumberFormat="0" applyBorder="0" applyAlignment="0" applyProtection="0"/>
    <xf numFmtId="0" fontId="90" fillId="75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2" fillId="52" borderId="67" applyNumberFormat="0" applyAlignment="0" applyProtection="0"/>
    <xf numFmtId="0" fontId="92" fillId="52" borderId="67" applyNumberFormat="0" applyAlignment="0" applyProtection="0"/>
    <xf numFmtId="0" fontId="93" fillId="53" borderId="70" applyNumberFormat="0" applyAlignment="0" applyProtection="0"/>
    <xf numFmtId="0" fontId="93" fillId="53" borderId="70" applyNumberFormat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48" borderId="0" applyNumberFormat="0" applyBorder="0" applyAlignment="0" applyProtection="0"/>
    <xf numFmtId="0" fontId="95" fillId="48" borderId="0" applyNumberFormat="0" applyBorder="0" applyAlignment="0" applyProtection="0"/>
    <xf numFmtId="0" fontId="96" fillId="0" borderId="64" applyNumberFormat="0" applyFill="0" applyAlignment="0" applyProtection="0"/>
    <xf numFmtId="0" fontId="96" fillId="0" borderId="64" applyNumberFormat="0" applyFill="0" applyAlignment="0" applyProtection="0"/>
    <xf numFmtId="0" fontId="97" fillId="0" borderId="65" applyNumberFormat="0" applyFill="0" applyAlignment="0" applyProtection="0"/>
    <xf numFmtId="0" fontId="97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51" borderId="67" applyNumberFormat="0" applyAlignment="0" applyProtection="0"/>
    <xf numFmtId="0" fontId="99" fillId="51" borderId="67" applyNumberFormat="0" applyAlignment="0" applyProtection="0"/>
    <xf numFmtId="0" fontId="100" fillId="0" borderId="69" applyNumberFormat="0" applyFill="0" applyAlignment="0" applyProtection="0"/>
    <xf numFmtId="0" fontId="100" fillId="0" borderId="69" applyNumberFormat="0" applyFill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2" fillId="52" borderId="68" applyNumberFormat="0" applyAlignment="0" applyProtection="0"/>
    <xf numFmtId="0" fontId="102" fillId="52" borderId="68" applyNumberFormat="0" applyAlignment="0" applyProtection="0"/>
    <xf numFmtId="0" fontId="103" fillId="0" borderId="72" applyNumberFormat="0" applyFill="0" applyAlignment="0" applyProtection="0"/>
    <xf numFmtId="0" fontId="103" fillId="0" borderId="72" applyNumberFormat="0" applyFill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89" fillId="68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70" fillId="0" borderId="64" applyNumberFormat="0" applyFill="0" applyAlignment="0" applyProtection="0"/>
    <xf numFmtId="0" fontId="78" fillId="52" borderId="67" applyNumberFormat="0" applyAlignment="0" applyProtection="0"/>
    <xf numFmtId="0" fontId="80" fillId="53" borderId="70" applyNumberFormat="0" applyAlignment="0" applyProtection="0"/>
    <xf numFmtId="0" fontId="2" fillId="60" borderId="0" applyNumberFormat="0" applyBorder="0" applyAlignment="0" applyProtection="0"/>
    <xf numFmtId="0" fontId="84" fillId="63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12" fillId="0" borderId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12" fillId="0" borderId="0"/>
    <xf numFmtId="0" fontId="2" fillId="54" borderId="71" applyNumberFormat="0" applyFont="0" applyAlignment="0" applyProtection="0"/>
    <xf numFmtId="0" fontId="84" fillId="62" borderId="0" applyNumberFormat="0" applyBorder="0" applyAlignment="0" applyProtection="0"/>
    <xf numFmtId="0" fontId="4" fillId="0" borderId="0">
      <alignment vertical="top"/>
    </xf>
    <xf numFmtId="0" fontId="3" fillId="0" borderId="0"/>
    <xf numFmtId="4" fontId="4" fillId="26" borderId="0" applyFont="0" applyFill="0" applyBorder="0" applyAlignment="0" applyProtection="0"/>
    <xf numFmtId="0" fontId="10" fillId="0" borderId="0"/>
    <xf numFmtId="0" fontId="4" fillId="0" borderId="0"/>
    <xf numFmtId="195" fontId="85" fillId="0" borderId="0"/>
    <xf numFmtId="0" fontId="86" fillId="0" borderId="0"/>
    <xf numFmtId="0" fontId="4" fillId="0" borderId="0"/>
    <xf numFmtId="0" fontId="3" fillId="0" borderId="0"/>
    <xf numFmtId="0" fontId="12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4" fillId="0" borderId="0"/>
    <xf numFmtId="0" fontId="3" fillId="0" borderId="0"/>
    <xf numFmtId="0" fontId="4" fillId="0" borderId="0"/>
    <xf numFmtId="195" fontId="8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106" fillId="26" borderId="0" applyNumberFormat="0" applyFill="0" applyBorder="0" applyAlignment="0" applyProtection="0"/>
    <xf numFmtId="0" fontId="5" fillId="26" borderId="0" applyNumberFormat="0" applyFill="0" applyBorder="0" applyAlignment="0" applyProtection="0"/>
    <xf numFmtId="0" fontId="4" fillId="26" borderId="81" applyNumberFormat="0" applyFon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86" fillId="0" borderId="0"/>
    <xf numFmtId="195" fontId="85" fillId="0" borderId="0"/>
    <xf numFmtId="0" fontId="28" fillId="0" borderId="0"/>
    <xf numFmtId="0" fontId="4" fillId="0" borderId="0"/>
    <xf numFmtId="0" fontId="70" fillId="0" borderId="64" applyNumberFormat="0" applyFill="0" applyAlignment="0" applyProtection="0"/>
    <xf numFmtId="0" fontId="71" fillId="0" borderId="65" applyNumberFormat="0" applyFill="0" applyAlignment="0" applyProtection="0"/>
    <xf numFmtId="0" fontId="2" fillId="54" borderId="71" applyNumberFormat="0" applyFont="0" applyAlignment="0" applyProtection="0"/>
    <xf numFmtId="0" fontId="83" fillId="0" borderId="72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107" fillId="0" borderId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12" fillId="0" borderId="0"/>
    <xf numFmtId="0" fontId="4" fillId="0" borderId="0"/>
    <xf numFmtId="0" fontId="3" fillId="0" borderId="0"/>
    <xf numFmtId="0" fontId="3" fillId="0" borderId="0"/>
    <xf numFmtId="0" fontId="10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43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37" fillId="11" borderId="131" applyNumberFormat="0" applyAlignment="0" applyProtection="0"/>
    <xf numFmtId="2" fontId="4" fillId="0" borderId="136" applyNumberFormat="0" applyFont="0" applyFill="0" applyAlignment="0"/>
    <xf numFmtId="0" fontId="40" fillId="24" borderId="143" applyNumberFormat="0" applyAlignment="0" applyProtection="0"/>
    <xf numFmtId="0" fontId="122" fillId="83" borderId="147"/>
    <xf numFmtId="0" fontId="115" fillId="85" borderId="127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10" fontId="130" fillId="0" borderId="139" applyFont="0" applyAlignment="0">
      <protection locked="0"/>
    </xf>
    <xf numFmtId="0" fontId="4" fillId="28" borderId="122" applyNumberFormat="0" applyFont="0" applyAlignment="0" applyProtection="0"/>
    <xf numFmtId="0" fontId="40" fillId="24" borderId="113" applyNumberFormat="0" applyAlignment="0" applyProtection="0"/>
    <xf numFmtId="0" fontId="115" fillId="92" borderId="117"/>
    <xf numFmtId="0" fontId="31" fillId="24" borderId="131" applyNumberForma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4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108" fillId="56" borderId="0" applyNumberFormat="0" applyBorder="0" applyAlignment="0" applyProtection="0"/>
    <xf numFmtId="0" fontId="2" fillId="56" borderId="0" applyNumberFormat="0" applyBorder="0" applyAlignment="0" applyProtection="0"/>
    <xf numFmtId="0" fontId="108" fillId="56" borderId="0" applyNumberFormat="0" applyBorder="0" applyAlignment="0" applyProtection="0"/>
    <xf numFmtId="0" fontId="108" fillId="56" borderId="0" applyNumberFormat="0" applyBorder="0" applyAlignment="0" applyProtection="0"/>
    <xf numFmtId="0" fontId="108" fillId="56" borderId="0" applyNumberFormat="0" applyBorder="0" applyAlignment="0" applyProtection="0"/>
    <xf numFmtId="0" fontId="108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108" fillId="60" borderId="0" applyNumberFormat="0" applyBorder="0" applyAlignment="0" applyProtection="0"/>
    <xf numFmtId="0" fontId="2" fillId="60" borderId="0" applyNumberFormat="0" applyBorder="0" applyAlignment="0" applyProtection="0"/>
    <xf numFmtId="0" fontId="108" fillId="60" borderId="0" applyNumberFormat="0" applyBorder="0" applyAlignment="0" applyProtection="0"/>
    <xf numFmtId="0" fontId="108" fillId="60" borderId="0" applyNumberFormat="0" applyBorder="0" applyAlignment="0" applyProtection="0"/>
    <xf numFmtId="0" fontId="108" fillId="60" borderId="0" applyNumberFormat="0" applyBorder="0" applyAlignment="0" applyProtection="0"/>
    <xf numFmtId="0" fontId="108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108" fillId="64" borderId="0" applyNumberFormat="0" applyBorder="0" applyAlignment="0" applyProtection="0"/>
    <xf numFmtId="0" fontId="2" fillId="64" borderId="0" applyNumberFormat="0" applyBorder="0" applyAlignment="0" applyProtection="0"/>
    <xf numFmtId="0" fontId="108" fillId="64" borderId="0" applyNumberFormat="0" applyBorder="0" applyAlignment="0" applyProtection="0"/>
    <xf numFmtId="0" fontId="108" fillId="64" borderId="0" applyNumberFormat="0" applyBorder="0" applyAlignment="0" applyProtection="0"/>
    <xf numFmtId="0" fontId="108" fillId="64" borderId="0" applyNumberFormat="0" applyBorder="0" applyAlignment="0" applyProtection="0"/>
    <xf numFmtId="0" fontId="108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108" fillId="68" borderId="0" applyNumberFormat="0" applyBorder="0" applyAlignment="0" applyProtection="0"/>
    <xf numFmtId="0" fontId="2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108" fillId="72" borderId="0" applyNumberFormat="0" applyBorder="0" applyAlignment="0" applyProtection="0"/>
    <xf numFmtId="0" fontId="2" fillId="72" borderId="0" applyNumberFormat="0" applyBorder="0" applyAlignment="0" applyProtection="0"/>
    <xf numFmtId="0" fontId="108" fillId="72" borderId="0" applyNumberFormat="0" applyBorder="0" applyAlignment="0" applyProtection="0"/>
    <xf numFmtId="0" fontId="108" fillId="72" borderId="0" applyNumberFormat="0" applyBorder="0" applyAlignment="0" applyProtection="0"/>
    <xf numFmtId="0" fontId="108" fillId="72" borderId="0" applyNumberFormat="0" applyBorder="0" applyAlignment="0" applyProtection="0"/>
    <xf numFmtId="0" fontId="108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108" fillId="76" borderId="0" applyNumberFormat="0" applyBorder="0" applyAlignment="0" applyProtection="0"/>
    <xf numFmtId="0" fontId="2" fillId="76" borderId="0" applyNumberFormat="0" applyBorder="0" applyAlignment="0" applyProtection="0"/>
    <xf numFmtId="0" fontId="108" fillId="76" borderId="0" applyNumberFormat="0" applyBorder="0" applyAlignment="0" applyProtection="0"/>
    <xf numFmtId="0" fontId="108" fillId="76" borderId="0" applyNumberFormat="0" applyBorder="0" applyAlignment="0" applyProtection="0"/>
    <xf numFmtId="0" fontId="108" fillId="76" borderId="0" applyNumberFormat="0" applyBorder="0" applyAlignment="0" applyProtection="0"/>
    <xf numFmtId="0" fontId="108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108" fillId="57" borderId="0" applyNumberFormat="0" applyBorder="0" applyAlignment="0" applyProtection="0"/>
    <xf numFmtId="0" fontId="2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108" fillId="61" borderId="0" applyNumberFormat="0" applyBorder="0" applyAlignment="0" applyProtection="0"/>
    <xf numFmtId="0" fontId="2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108" fillId="65" borderId="0" applyNumberFormat="0" applyBorder="0" applyAlignment="0" applyProtection="0"/>
    <xf numFmtId="0" fontId="2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108" fillId="69" borderId="0" applyNumberFormat="0" applyBorder="0" applyAlignment="0" applyProtection="0"/>
    <xf numFmtId="0" fontId="2" fillId="69" borderId="0" applyNumberFormat="0" applyBorder="0" applyAlignment="0" applyProtection="0"/>
    <xf numFmtId="0" fontId="108" fillId="69" borderId="0" applyNumberFormat="0" applyBorder="0" applyAlignment="0" applyProtection="0"/>
    <xf numFmtId="0" fontId="108" fillId="69" borderId="0" applyNumberFormat="0" applyBorder="0" applyAlignment="0" applyProtection="0"/>
    <xf numFmtId="0" fontId="108" fillId="69" borderId="0" applyNumberFormat="0" applyBorder="0" applyAlignment="0" applyProtection="0"/>
    <xf numFmtId="0" fontId="108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108" fillId="73" borderId="0" applyNumberFormat="0" applyBorder="0" applyAlignment="0" applyProtection="0"/>
    <xf numFmtId="0" fontId="2" fillId="73" borderId="0" applyNumberFormat="0" applyBorder="0" applyAlignment="0" applyProtection="0"/>
    <xf numFmtId="0" fontId="108" fillId="73" borderId="0" applyNumberFormat="0" applyBorder="0" applyAlignment="0" applyProtection="0"/>
    <xf numFmtId="0" fontId="108" fillId="73" borderId="0" applyNumberFormat="0" applyBorder="0" applyAlignment="0" applyProtection="0"/>
    <xf numFmtId="0" fontId="108" fillId="73" borderId="0" applyNumberFormat="0" applyBorder="0" applyAlignment="0" applyProtection="0"/>
    <xf numFmtId="0" fontId="108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108" fillId="77" borderId="0" applyNumberFormat="0" applyBorder="0" applyAlignment="0" applyProtection="0"/>
    <xf numFmtId="0" fontId="2" fillId="77" borderId="0" applyNumberFormat="0" applyBorder="0" applyAlignment="0" applyProtection="0"/>
    <xf numFmtId="0" fontId="108" fillId="77" borderId="0" applyNumberFormat="0" applyBorder="0" applyAlignment="0" applyProtection="0"/>
    <xf numFmtId="0" fontId="108" fillId="77" borderId="0" applyNumberFormat="0" applyBorder="0" applyAlignment="0" applyProtection="0"/>
    <xf numFmtId="0" fontId="108" fillId="77" borderId="0" applyNumberFormat="0" applyBorder="0" applyAlignment="0" applyProtection="0"/>
    <xf numFmtId="0" fontId="108" fillId="77" borderId="0" applyNumberFormat="0" applyBorder="0" applyAlignment="0" applyProtection="0"/>
    <xf numFmtId="0" fontId="109" fillId="58" borderId="0" applyNumberFormat="0" applyBorder="0" applyAlignment="0" applyProtection="0"/>
    <xf numFmtId="0" fontId="109" fillId="62" borderId="0" applyNumberFormat="0" applyBorder="0" applyAlignment="0" applyProtection="0"/>
    <xf numFmtId="0" fontId="109" fillId="66" borderId="0" applyNumberFormat="0" applyBorder="0" applyAlignment="0" applyProtection="0"/>
    <xf numFmtId="0" fontId="109" fillId="70" borderId="0" applyNumberFormat="0" applyBorder="0" applyAlignment="0" applyProtection="0"/>
    <xf numFmtId="0" fontId="109" fillId="74" borderId="0" applyNumberFormat="0" applyBorder="0" applyAlignment="0" applyProtection="0"/>
    <xf numFmtId="0" fontId="109" fillId="78" borderId="0" applyNumberFormat="0" applyBorder="0" applyAlignment="0" applyProtection="0"/>
    <xf numFmtId="2" fontId="4" fillId="0" borderId="87" applyNumberFormat="0" applyFont="0" applyFill="0" applyAlignment="0"/>
    <xf numFmtId="0" fontId="109" fillId="55" borderId="0" applyNumberFormat="0" applyBorder="0" applyAlignment="0" applyProtection="0"/>
    <xf numFmtId="0" fontId="109" fillId="59" borderId="0" applyNumberFormat="0" applyBorder="0" applyAlignment="0" applyProtection="0"/>
    <xf numFmtId="0" fontId="109" fillId="63" borderId="0" applyNumberFormat="0" applyBorder="0" applyAlignment="0" applyProtection="0"/>
    <xf numFmtId="0" fontId="109" fillId="67" borderId="0" applyNumberFormat="0" applyBorder="0" applyAlignment="0" applyProtection="0"/>
    <xf numFmtId="0" fontId="109" fillId="71" borderId="0" applyNumberFormat="0" applyBorder="0" applyAlignment="0" applyProtection="0"/>
    <xf numFmtId="0" fontId="109" fillId="75" borderId="0" applyNumberFormat="0" applyBorder="0" applyAlignment="0" applyProtection="0"/>
    <xf numFmtId="0" fontId="110" fillId="0" borderId="87"/>
    <xf numFmtId="198" fontId="4" fillId="79" borderId="88">
      <alignment horizontal="center" vertical="center"/>
    </xf>
    <xf numFmtId="171" fontId="111" fillId="80" borderId="89" applyNumberFormat="0"/>
    <xf numFmtId="0" fontId="112" fillId="49" borderId="0" applyNumberFormat="0" applyBorder="0" applyAlignment="0" applyProtection="0"/>
    <xf numFmtId="37" fontId="111" fillId="0" borderId="90">
      <protection locked="0"/>
    </xf>
    <xf numFmtId="0" fontId="113" fillId="81" borderId="91" applyNumberFormat="0" applyFont="0" applyFill="0" applyAlignment="0"/>
    <xf numFmtId="0" fontId="114" fillId="52" borderId="67" applyNumberFormat="0" applyAlignment="0" applyProtection="0"/>
    <xf numFmtId="0" fontId="115" fillId="0" borderId="92"/>
    <xf numFmtId="0" fontId="116" fillId="53" borderId="70" applyNumberFormat="0" applyAlignment="0" applyProtection="0"/>
    <xf numFmtId="0" fontId="42" fillId="0" borderId="0" applyNumberFormat="0" applyFill="0" applyBorder="0" applyAlignment="0" applyProtection="0"/>
    <xf numFmtId="0" fontId="12" fillId="0" borderId="0" applyBorder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120" fillId="0" borderId="0" applyFont="0" applyFill="0" applyBorder="0" applyAlignment="0" applyProtection="0"/>
    <xf numFmtId="37" fontId="111" fillId="24" borderId="93"/>
    <xf numFmtId="44" fontId="3" fillId="0" borderId="0" applyFont="0" applyFill="0" applyBorder="0" applyAlignment="0" applyProtection="0"/>
    <xf numFmtId="199" fontId="120" fillId="0" borderId="0" applyFont="0" applyFill="0" applyBorder="0" applyAlignment="0" applyProtection="0"/>
    <xf numFmtId="43" fontId="4" fillId="0" borderId="0" applyBorder="0"/>
    <xf numFmtId="0" fontId="120" fillId="0" borderId="0" applyFont="0" applyFill="0" applyBorder="0" applyAlignment="0" applyProtection="0"/>
    <xf numFmtId="20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16" fillId="82" borderId="0">
      <alignment horizontal="left"/>
    </xf>
    <xf numFmtId="37" fontId="111" fillId="0" borderId="0"/>
    <xf numFmtId="0" fontId="121" fillId="0" borderId="0" applyNumberFormat="0" applyFill="0" applyBorder="0" applyAlignment="0" applyProtection="0"/>
    <xf numFmtId="190" fontId="4" fillId="0" borderId="0"/>
    <xf numFmtId="190" fontId="4" fillId="0" borderId="0"/>
    <xf numFmtId="3" fontId="115" fillId="82" borderId="94">
      <protection locked="0"/>
    </xf>
    <xf numFmtId="2" fontId="120" fillId="0" borderId="0" applyFont="0" applyFill="0" applyBorder="0" applyAlignment="0" applyProtection="0"/>
    <xf numFmtId="0" fontId="122" fillId="83" borderId="92"/>
    <xf numFmtId="0" fontId="123" fillId="48" borderId="0" applyNumberFormat="0" applyBorder="0" applyAlignment="0" applyProtection="0"/>
    <xf numFmtId="38" fontId="12" fillId="82" borderId="0" applyNumberFormat="0" applyBorder="0" applyAlignment="0" applyProtection="0"/>
    <xf numFmtId="0" fontId="124" fillId="0" borderId="0" applyNumberFormat="0" applyFill="0" applyBorder="0" applyAlignment="0" applyProtection="0"/>
    <xf numFmtId="0" fontId="5" fillId="0" borderId="62" applyNumberFormat="0" applyAlignment="0" applyProtection="0">
      <alignment horizontal="left" vertical="center"/>
    </xf>
    <xf numFmtId="0" fontId="5" fillId="0" borderId="87">
      <alignment horizontal="left" vertical="center"/>
    </xf>
    <xf numFmtId="0" fontId="125" fillId="0" borderId="64" applyNumberFormat="0" applyFill="0" applyAlignment="0" applyProtection="0"/>
    <xf numFmtId="0" fontId="126" fillId="0" borderId="65" applyNumberFormat="0" applyFill="0" applyAlignment="0" applyProtection="0"/>
    <xf numFmtId="0" fontId="127" fillId="0" borderId="66" applyNumberFormat="0" applyFill="0" applyAlignment="0" applyProtection="0"/>
    <xf numFmtId="0" fontId="127" fillId="0" borderId="0" applyNumberFormat="0" applyFill="0" applyBorder="0" applyAlignment="0" applyProtection="0"/>
    <xf numFmtId="201" fontId="4" fillId="0" borderId="0">
      <protection locked="0"/>
    </xf>
    <xf numFmtId="201" fontId="4" fillId="0" borderId="0">
      <protection locked="0"/>
    </xf>
    <xf numFmtId="0" fontId="18" fillId="0" borderId="95" applyNumberFormat="0" applyFill="0" applyAlignment="0" applyProtection="0"/>
    <xf numFmtId="0" fontId="115" fillId="84" borderId="90"/>
    <xf numFmtId="0" fontId="115" fillId="85" borderId="92"/>
    <xf numFmtId="0" fontId="115" fillId="83" borderId="92"/>
    <xf numFmtId="0" fontId="105" fillId="86" borderId="0"/>
    <xf numFmtId="202" fontId="128" fillId="87" borderId="96" applyAlignment="0"/>
    <xf numFmtId="10" fontId="12" fillId="88" borderId="86" applyNumberFormat="0" applyBorder="0" applyAlignment="0" applyProtection="0"/>
    <xf numFmtId="0" fontId="129" fillId="51" borderId="67" applyNumberFormat="0" applyAlignment="0" applyProtection="0"/>
    <xf numFmtId="0" fontId="129" fillId="51" borderId="67" applyNumberFormat="0" applyAlignment="0" applyProtection="0"/>
    <xf numFmtId="0" fontId="129" fillId="51" borderId="67" applyNumberFormat="0" applyAlignment="0" applyProtection="0"/>
    <xf numFmtId="0" fontId="129" fillId="51" borderId="67" applyNumberFormat="0" applyAlignment="0" applyProtection="0"/>
    <xf numFmtId="0" fontId="129" fillId="51" borderId="67" applyNumberFormat="0" applyAlignment="0" applyProtection="0"/>
    <xf numFmtId="10" fontId="130" fillId="0" borderId="97" applyFont="0" applyAlignment="0">
      <protection locked="0"/>
    </xf>
    <xf numFmtId="38" fontId="131" fillId="87" borderId="98" applyNumberFormat="0" applyFont="0" applyBorder="0" applyAlignment="0" applyProtection="0"/>
    <xf numFmtId="0" fontId="12" fillId="82" borderId="0"/>
    <xf numFmtId="0" fontId="132" fillId="0" borderId="69" applyNumberFormat="0" applyFill="0" applyAlignment="0" applyProtection="0"/>
    <xf numFmtId="203" fontId="133" fillId="82" borderId="90" applyNumberFormat="0"/>
    <xf numFmtId="0" fontId="134" fillId="79" borderId="99"/>
    <xf numFmtId="0" fontId="131" fillId="0" borderId="92"/>
    <xf numFmtId="0" fontId="115" fillId="87" borderId="96"/>
    <xf numFmtId="37" fontId="135" fillId="0" borderId="100"/>
    <xf numFmtId="38" fontId="136" fillId="0" borderId="0"/>
    <xf numFmtId="0" fontId="137" fillId="50" borderId="0" applyNumberFormat="0" applyBorder="0" applyAlignment="0" applyProtection="0"/>
    <xf numFmtId="37" fontId="138" fillId="0" borderId="0"/>
    <xf numFmtId="204" fontId="1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4" fillId="0" borderId="0"/>
    <xf numFmtId="0" fontId="6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120" fillId="0" borderId="0"/>
    <xf numFmtId="0" fontId="4" fillId="0" borderId="0"/>
    <xf numFmtId="0" fontId="1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20" fillId="0" borderId="0"/>
    <xf numFmtId="0" fontId="120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5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108" fillId="0" borderId="0"/>
    <xf numFmtId="0" fontId="4" fillId="0" borderId="0"/>
    <xf numFmtId="0" fontId="108" fillId="0" borderId="0"/>
    <xf numFmtId="0" fontId="4" fillId="0" borderId="0"/>
    <xf numFmtId="0" fontId="108" fillId="0" borderId="0"/>
    <xf numFmtId="0" fontId="4" fillId="0" borderId="0"/>
    <xf numFmtId="0" fontId="108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108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108" fillId="54" borderId="71" applyNumberFormat="0" applyFont="0" applyAlignment="0" applyProtection="0"/>
    <xf numFmtId="0" fontId="2" fillId="54" borderId="71" applyNumberFormat="0" applyFont="0" applyAlignment="0" applyProtection="0"/>
    <xf numFmtId="0" fontId="108" fillId="54" borderId="71" applyNumberFormat="0" applyFont="0" applyAlignment="0" applyProtection="0"/>
    <xf numFmtId="0" fontId="108" fillId="54" borderId="71" applyNumberFormat="0" applyFont="0" applyAlignment="0" applyProtection="0"/>
    <xf numFmtId="0" fontId="108" fillId="54" borderId="71" applyNumberFormat="0" applyFont="0" applyAlignment="0" applyProtection="0"/>
    <xf numFmtId="0" fontId="140" fillId="52" borderId="68" applyNumberFormat="0" applyAlignment="0" applyProtection="0"/>
    <xf numFmtId="0" fontId="141" fillId="0" borderId="0" applyBorder="0">
      <alignment horizontal="centerContinuous"/>
    </xf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88" borderId="0" applyNumberFormat="0" applyBorder="0" applyAlignment="0" applyProtection="0"/>
    <xf numFmtId="15" fontId="41" fillId="0" borderId="0" applyFont="0" applyFill="0" applyBorder="0" applyAlignment="0" applyProtection="0"/>
    <xf numFmtId="206" fontId="143" fillId="0" borderId="44"/>
    <xf numFmtId="3" fontId="41" fillId="0" borderId="0" applyFont="0" applyFill="0" applyBorder="0" applyAlignment="0" applyProtection="0"/>
    <xf numFmtId="0" fontId="41" fillId="89" borderId="0" applyNumberFormat="0" applyFont="0" applyBorder="0" applyAlignment="0" applyProtection="0"/>
    <xf numFmtId="3" fontId="144" fillId="0" borderId="0" applyNumberFormat="0"/>
    <xf numFmtId="3" fontId="145" fillId="0" borderId="0" applyNumberFormat="0" applyFill="0" applyBorder="0" applyAlignment="0"/>
    <xf numFmtId="0" fontId="122" fillId="0" borderId="0"/>
    <xf numFmtId="0" fontId="146" fillId="0" borderId="0" applyNumberFormat="0" applyFill="0" applyBorder="0" applyAlignment="0" applyProtection="0"/>
    <xf numFmtId="37" fontId="147" fillId="0" borderId="0"/>
    <xf numFmtId="37" fontId="147" fillId="90" borderId="90"/>
    <xf numFmtId="0" fontId="148" fillId="82" borderId="90">
      <alignment horizontal="center"/>
    </xf>
    <xf numFmtId="0" fontId="149" fillId="0" borderId="0"/>
    <xf numFmtId="9" fontId="4" fillId="0" borderId="0" applyFont="0" applyFill="0" applyBorder="0" applyAlignment="0" applyProtection="0"/>
    <xf numFmtId="0" fontId="122" fillId="0" borderId="0"/>
    <xf numFmtId="0" fontId="150" fillId="0" borderId="72" applyNumberFormat="0" applyFill="0" applyAlignment="0" applyProtection="0"/>
    <xf numFmtId="37" fontId="151" fillId="0" borderId="0" applyNumberFormat="0"/>
    <xf numFmtId="195" fontId="152" fillId="0" borderId="0"/>
    <xf numFmtId="37" fontId="12" fillId="91" borderId="0" applyNumberFormat="0" applyBorder="0" applyAlignment="0" applyProtection="0"/>
    <xf numFmtId="37" fontId="12" fillId="0" borderId="0"/>
    <xf numFmtId="3" fontId="153" fillId="0" borderId="95" applyProtection="0"/>
    <xf numFmtId="0" fontId="115" fillId="92" borderId="92"/>
    <xf numFmtId="196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154" fillId="0" borderId="0" applyNumberFormat="0" applyFill="0" applyBorder="0" applyAlignment="0" applyProtection="0"/>
    <xf numFmtId="207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0" fontId="155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5" fillId="92" borderId="92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9" fontId="2" fillId="0" borderId="0" applyFont="0" applyFill="0" applyBorder="0" applyAlignment="0" applyProtection="0"/>
    <xf numFmtId="0" fontId="115" fillId="83" borderId="92"/>
    <xf numFmtId="0" fontId="115" fillId="85" borderId="92"/>
    <xf numFmtId="0" fontId="122" fillId="83" borderId="92"/>
    <xf numFmtId="37" fontId="111" fillId="24" borderId="58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5" fillId="0" borderId="92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2" fillId="0" borderId="0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9" fontId="3" fillId="0" borderId="0" applyFont="0" applyFill="0" applyBorder="0" applyAlignment="0" applyProtection="0"/>
    <xf numFmtId="37" fontId="111" fillId="24" borderId="93"/>
    <xf numFmtId="0" fontId="115" fillId="0" borderId="92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115" fillId="85" borderId="92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2" fontId="4" fillId="0" borderId="4" applyNumberFormat="0" applyFont="0" applyFill="0" applyAlignment="0"/>
    <xf numFmtId="0" fontId="110" fillId="0" borderId="4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4" fillId="79" borderId="99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5" fillId="92" borderId="92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87" applyNumberFormat="0" applyFont="0" applyFill="0" applyAlignment="0"/>
    <xf numFmtId="0" fontId="110" fillId="0" borderId="87"/>
    <xf numFmtId="0" fontId="5" fillId="0" borderId="87">
      <alignment horizontal="left" vertical="center"/>
    </xf>
    <xf numFmtId="10" fontId="12" fillId="88" borderId="86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6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0" borderId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9" fontId="4" fillId="0" borderId="0" applyFont="0" applyFill="0" applyBorder="0" applyAlignment="0" applyProtection="0"/>
    <xf numFmtId="0" fontId="6" fillId="0" borderId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2" fontId="4" fillId="0" borderId="4" applyNumberFormat="0" applyFont="0" applyFill="0" applyAlignment="0"/>
    <xf numFmtId="0" fontId="110" fillId="0" borderId="4"/>
    <xf numFmtId="0" fontId="115" fillId="0" borderId="92"/>
    <xf numFmtId="37" fontId="111" fillId="24" borderId="93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115" fillId="92" borderId="92"/>
    <xf numFmtId="0" fontId="115" fillId="92" borderId="92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0" fontId="115" fillId="83" borderId="92"/>
    <xf numFmtId="0" fontId="115" fillId="85" borderId="92"/>
    <xf numFmtId="0" fontId="122" fillId="83" borderId="92"/>
    <xf numFmtId="0" fontId="115" fillId="0" borderId="92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37" fontId="111" fillId="24" borderId="93"/>
    <xf numFmtId="0" fontId="115" fillId="0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5" fillId="85" borderId="92"/>
    <xf numFmtId="2" fontId="4" fillId="0" borderId="4" applyNumberFormat="0" applyFont="0" applyFill="0" applyAlignment="0"/>
    <xf numFmtId="0" fontId="110" fillId="0" borderId="4"/>
    <xf numFmtId="0" fontId="134" fillId="79" borderId="99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115" fillId="92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2" fillId="0" borderId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5" fillId="0" borderId="4">
      <alignment horizontal="left" vertical="center"/>
    </xf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5" fillId="0" borderId="4">
      <alignment horizontal="left" vertical="center"/>
    </xf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37" fillId="11" borderId="82" applyNumberFormat="0" applyAlignment="0" applyProtection="0"/>
    <xf numFmtId="0" fontId="2" fillId="54" borderId="71" applyNumberFormat="0" applyFon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40" fillId="24" borderId="84" applyNumberFormat="0" applyAlignment="0" applyProtection="0"/>
    <xf numFmtId="0" fontId="2" fillId="69" borderId="0" applyNumberFormat="0" applyBorder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37" fillId="11" borderId="82" applyNumberFormat="0" applyAlignment="0" applyProtection="0"/>
    <xf numFmtId="0" fontId="2" fillId="73" borderId="0" applyNumberFormat="0" applyBorder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2" fontId="4" fillId="0" borderId="4" applyNumberFormat="0" applyFont="0" applyFill="0" applyAlignment="0"/>
    <xf numFmtId="0" fontId="110" fillId="0" borderId="4"/>
    <xf numFmtId="0" fontId="115" fillId="0" borderId="92"/>
    <xf numFmtId="0" fontId="4" fillId="28" borderId="83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85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7" fontId="111" fillId="24" borderId="93"/>
    <xf numFmtId="0" fontId="37" fillId="11" borderId="82" applyNumberFormat="0" applyAlignment="0" applyProtection="0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24" borderId="84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0" borderId="0"/>
    <xf numFmtId="0" fontId="11" fillId="0" borderId="8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5" fillId="92" borderId="92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5" fillId="92" borderId="92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9" fontId="2" fillId="0" borderId="0" applyFont="0" applyFill="0" applyBorder="0" applyAlignment="0" applyProtection="0"/>
    <xf numFmtId="0" fontId="115" fillId="83" borderId="92"/>
    <xf numFmtId="0" fontId="115" fillId="85" borderId="92"/>
    <xf numFmtId="0" fontId="122" fillId="83" borderId="92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5" fillId="0" borderId="92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2" fillId="0" borderId="0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37" fontId="111" fillId="24" borderId="93"/>
    <xf numFmtId="0" fontId="115" fillId="0" borderId="92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115" fillId="85" borderId="92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2" fontId="4" fillId="0" borderId="4" applyNumberFormat="0" applyFont="0" applyFill="0" applyAlignment="0"/>
    <xf numFmtId="0" fontId="110" fillId="0" borderId="4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4" fillId="79" borderId="99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5" fillId="92" borderId="92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2" fontId="4" fillId="0" borderId="4" applyNumberFormat="0" applyFont="0" applyFill="0" applyAlignment="0"/>
    <xf numFmtId="0" fontId="110" fillId="0" borderId="4"/>
    <xf numFmtId="0" fontId="115" fillId="0" borderId="92"/>
    <xf numFmtId="37" fontId="111" fillId="24" borderId="93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115" fillId="92" borderId="92"/>
    <xf numFmtId="0" fontId="115" fillId="92" borderId="92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0" fontId="115" fillId="83" borderId="92"/>
    <xf numFmtId="0" fontId="115" fillId="85" borderId="92"/>
    <xf numFmtId="0" fontId="122" fillId="83" borderId="92"/>
    <xf numFmtId="0" fontId="115" fillId="0" borderId="92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37" fontId="111" fillId="24" borderId="93"/>
    <xf numFmtId="0" fontId="115" fillId="0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5" fillId="85" borderId="92"/>
    <xf numFmtId="2" fontId="4" fillId="0" borderId="4" applyNumberFormat="0" applyFont="0" applyFill="0" applyAlignment="0"/>
    <xf numFmtId="0" fontId="110" fillId="0" borderId="4"/>
    <xf numFmtId="0" fontId="134" fillId="79" borderId="99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115" fillId="92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40" fillId="24" borderId="84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2" fontId="4" fillId="0" borderId="4" applyNumberFormat="0" applyFont="0" applyFill="0" applyAlignment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110" fillId="0" borderId="4"/>
    <xf numFmtId="0" fontId="115" fillId="0" borderId="92"/>
    <xf numFmtId="0" fontId="31" fillId="24" borderId="82" applyNumberFormat="0" applyAlignment="0" applyProtection="0"/>
    <xf numFmtId="0" fontId="115" fillId="85" borderId="92"/>
    <xf numFmtId="0" fontId="115" fillId="92" borderId="92"/>
    <xf numFmtId="37" fontId="111" fillId="24" borderId="93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4" fillId="28" borderId="83" applyNumberFormat="0" applyFon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115" fillId="83" borderId="92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134" fillId="79" borderId="99"/>
    <xf numFmtId="0" fontId="131" fillId="0" borderId="92"/>
    <xf numFmtId="0" fontId="115" fillId="0" borderId="92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134" fillId="79" borderId="99"/>
    <xf numFmtId="0" fontId="131" fillId="0" borderId="92"/>
    <xf numFmtId="0" fontId="115" fillId="85" borderId="92"/>
    <xf numFmtId="10" fontId="12" fillId="88" borderId="30" applyNumberFormat="0" applyBorder="0" applyAlignment="0" applyProtection="0"/>
    <xf numFmtId="0" fontId="5" fillId="0" borderId="4">
      <alignment horizontal="left" vertical="center"/>
    </xf>
    <xf numFmtId="0" fontId="115" fillId="0" borderId="92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115" fillId="92" borderId="92"/>
    <xf numFmtId="0" fontId="115" fillId="92" borderId="92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0" fontId="115" fillId="83" borderId="92"/>
    <xf numFmtId="0" fontId="115" fillId="85" borderId="92"/>
    <xf numFmtId="0" fontId="122" fillId="83" borderId="92"/>
    <xf numFmtId="0" fontId="115" fillId="0" borderId="92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22" fillId="83" borderId="92"/>
    <xf numFmtId="0" fontId="110" fillId="0" borderId="4"/>
    <xf numFmtId="0" fontId="11" fillId="0" borderId="85" applyNumberFormat="0" applyFill="0" applyAlignment="0" applyProtection="0"/>
    <xf numFmtId="0" fontId="37" fillId="11" borderId="82" applyNumberFormat="0" applyAlignment="0" applyProtection="0"/>
    <xf numFmtId="37" fontId="111" fillId="24" borderId="93"/>
    <xf numFmtId="0" fontId="115" fillId="0" borderId="92"/>
    <xf numFmtId="0" fontId="40" fillId="24" borderId="84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115" fillId="85" borderId="92"/>
    <xf numFmtId="2" fontId="4" fillId="0" borderId="4" applyNumberFormat="0" applyFont="0" applyFill="0" applyAlignment="0"/>
    <xf numFmtId="0" fontId="110" fillId="0" borderId="4"/>
    <xf numFmtId="0" fontId="134" fillId="79" borderId="99"/>
    <xf numFmtId="0" fontId="11" fillId="0" borderId="85" applyNumberFormat="0" applyFill="0" applyAlignment="0" applyProtection="0"/>
    <xf numFmtId="0" fontId="115" fillId="0" borderId="92"/>
    <xf numFmtId="0" fontId="5" fillId="0" borderId="4">
      <alignment horizontal="left" vertical="center"/>
    </xf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134" fillId="79" borderId="99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131" fillId="0" borderId="92"/>
    <xf numFmtId="10" fontId="130" fillId="0" borderId="97" applyFont="0" applyAlignment="0">
      <protection locked="0"/>
    </xf>
    <xf numFmtId="0" fontId="115" fillId="85" borderId="92"/>
    <xf numFmtId="37" fontId="111" fillId="24" borderId="93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115" fillId="92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115" fillId="85" borderId="92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37" fontId="111" fillId="24" borderId="93"/>
    <xf numFmtId="0" fontId="40" fillId="24" borderId="84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10" fontId="12" fillId="88" borderId="30" applyNumberFormat="0" applyBorder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11" fillId="0" borderId="85" applyNumberFormat="0" applyFill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11" fillId="0" borderId="85" applyNumberFormat="0" applyFill="0" applyAlignment="0" applyProtection="0"/>
    <xf numFmtId="0" fontId="37" fillId="11" borderId="82" applyNumberFormat="0" applyAlignment="0" applyProtection="0"/>
    <xf numFmtId="10" fontId="130" fillId="0" borderId="97" applyFont="0" applyAlignment="0">
      <protection locked="0"/>
    </xf>
    <xf numFmtId="37" fontId="111" fillId="24" borderId="93"/>
    <xf numFmtId="2" fontId="4" fillId="0" borderId="4" applyNumberFormat="0" applyFont="0" applyFill="0" applyAlignment="0"/>
    <xf numFmtId="10" fontId="12" fillId="88" borderId="30" applyNumberFormat="0" applyBorder="0" applyAlignment="0" applyProtection="0"/>
    <xf numFmtId="2" fontId="4" fillId="0" borderId="4" applyNumberFormat="0" applyFont="0" applyFill="0" applyAlignment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37" fontId="111" fillId="24" borderId="93"/>
    <xf numFmtId="0" fontId="122" fillId="83" borderId="92"/>
    <xf numFmtId="0" fontId="40" fillId="24" borderId="84" applyNumberFormat="0" applyAlignment="0" applyProtection="0"/>
    <xf numFmtId="0" fontId="122" fillId="83" borderId="92"/>
    <xf numFmtId="0" fontId="115" fillId="92" borderId="92"/>
    <xf numFmtId="0" fontId="115" fillId="83" borderId="92"/>
    <xf numFmtId="0" fontId="110" fillId="0" borderId="4"/>
    <xf numFmtId="2" fontId="4" fillId="0" borderId="4" applyNumberFormat="0" applyFont="0" applyFill="0" applyAlignment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2" fontId="4" fillId="0" borderId="4" applyNumberFormat="0" applyFont="0" applyFill="0" applyAlignment="0"/>
    <xf numFmtId="0" fontId="11" fillId="0" borderId="85" applyNumberFormat="0" applyFill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11" fillId="0" borderId="85" applyNumberFormat="0" applyFill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40" fillId="24" borderId="84" applyNumberFormat="0" applyAlignment="0" applyProtection="0"/>
    <xf numFmtId="0" fontId="115" fillId="92" borderId="92"/>
    <xf numFmtId="0" fontId="110" fillId="0" borderId="4"/>
    <xf numFmtId="0" fontId="110" fillId="0" borderId="4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115" fillId="0" borderId="92"/>
    <xf numFmtId="0" fontId="31" fillId="24" borderId="82" applyNumberFormat="0" applyAlignment="0" applyProtection="0"/>
    <xf numFmtId="0" fontId="11" fillId="0" borderId="85" applyNumberFormat="0" applyFill="0" applyAlignment="0" applyProtection="0"/>
    <xf numFmtId="0" fontId="115" fillId="83" borderId="92"/>
    <xf numFmtId="0" fontId="122" fillId="83" borderId="92"/>
    <xf numFmtId="0" fontId="115" fillId="83" borderId="92"/>
    <xf numFmtId="0" fontId="115" fillId="92" borderId="92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2" fontId="4" fillId="0" borderId="4" applyNumberFormat="0" applyFont="0" applyFill="0" applyAlignment="0"/>
    <xf numFmtId="0" fontId="110" fillId="0" borderId="4"/>
    <xf numFmtId="0" fontId="115" fillId="0" borderId="92"/>
    <xf numFmtId="37" fontId="111" fillId="24" borderId="93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115" fillId="92" borderId="92"/>
    <xf numFmtId="0" fontId="115" fillId="92" borderId="92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0" fontId="115" fillId="83" borderId="92"/>
    <xf numFmtId="0" fontId="115" fillId="85" borderId="92"/>
    <xf numFmtId="0" fontId="122" fillId="83" borderId="92"/>
    <xf numFmtId="0" fontId="115" fillId="0" borderId="92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37" fontId="111" fillId="24" borderId="93"/>
    <xf numFmtId="0" fontId="115" fillId="0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5" fillId="85" borderId="92"/>
    <xf numFmtId="2" fontId="4" fillId="0" borderId="4" applyNumberFormat="0" applyFont="0" applyFill="0" applyAlignment="0"/>
    <xf numFmtId="0" fontId="110" fillId="0" borderId="4"/>
    <xf numFmtId="0" fontId="134" fillId="79" borderId="99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115" fillId="92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2" fontId="4" fillId="0" borderId="4" applyNumberFormat="0" applyFont="0" applyFill="0" applyAlignment="0"/>
    <xf numFmtId="0" fontId="110" fillId="0" borderId="4"/>
    <xf numFmtId="0" fontId="115" fillId="0" borderId="92"/>
    <xf numFmtId="37" fontId="111" fillId="24" borderId="93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115" fillId="92" borderId="92"/>
    <xf numFmtId="0" fontId="115" fillId="92" borderId="92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0" fontId="115" fillId="83" borderId="92"/>
    <xf numFmtId="0" fontId="115" fillId="85" borderId="92"/>
    <xf numFmtId="0" fontId="122" fillId="83" borderId="92"/>
    <xf numFmtId="0" fontId="115" fillId="0" borderId="92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37" fontId="111" fillId="24" borderId="93"/>
    <xf numFmtId="0" fontId="115" fillId="0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5" fillId="85" borderId="92"/>
    <xf numFmtId="2" fontId="4" fillId="0" borderId="4" applyNumberFormat="0" applyFont="0" applyFill="0" applyAlignment="0"/>
    <xf numFmtId="0" fontId="110" fillId="0" borderId="4"/>
    <xf numFmtId="0" fontId="134" fillId="79" borderId="99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115" fillId="92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40" fillId="24" borderId="143" applyNumberFormat="0" applyAlignment="0" applyProtection="0"/>
    <xf numFmtId="0" fontId="37" fillId="11" borderId="121" applyNumberFormat="0" applyAlignment="0" applyProtection="0"/>
    <xf numFmtId="0" fontId="11" fillId="0" borderId="144" applyNumberFormat="0" applyFill="0" applyAlignment="0" applyProtection="0"/>
    <xf numFmtId="0" fontId="110" fillId="0" borderId="136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0" fontId="40" fillId="24" borderId="123" applyNumberFormat="0" applyAlignment="0" applyProtection="0"/>
    <xf numFmtId="0" fontId="115" fillId="0" borderId="137"/>
    <xf numFmtId="0" fontId="31" fillId="24" borderId="131" applyNumberFormat="0" applyAlignment="0" applyProtection="0"/>
    <xf numFmtId="0" fontId="4" fillId="28" borderId="132" applyNumberFormat="0" applyFont="0" applyAlignment="0" applyProtection="0"/>
    <xf numFmtId="0" fontId="37" fillId="11" borderId="111" applyNumberFormat="0" applyAlignment="0" applyProtection="0"/>
    <xf numFmtId="0" fontId="115" fillId="83" borderId="127"/>
    <xf numFmtId="0" fontId="31" fillId="24" borderId="121" applyNumberFormat="0" applyAlignment="0" applyProtection="0"/>
    <xf numFmtId="0" fontId="37" fillId="11" borderId="141" applyNumberFormat="0" applyAlignment="0" applyProtection="0"/>
    <xf numFmtId="0" fontId="37" fillId="11" borderId="12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31" fillId="24" borderId="141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131" fillId="0" borderId="137"/>
    <xf numFmtId="0" fontId="37" fillId="11" borderId="131" applyNumberFormat="0" applyAlignment="0" applyProtection="0"/>
    <xf numFmtId="0" fontId="5" fillId="0" borderId="126">
      <alignment horizontal="left" vertical="center"/>
    </xf>
    <xf numFmtId="0" fontId="122" fillId="83" borderId="147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2" fontId="4" fillId="0" borderId="136" applyNumberFormat="0" applyFont="0" applyFill="0" applyAlignment="0"/>
    <xf numFmtId="0" fontId="31" fillId="24" borderId="131" applyNumberForma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115" fillId="0" borderId="127"/>
    <xf numFmtId="0" fontId="40" fillId="24" borderId="143" applyNumberFormat="0" applyAlignment="0" applyProtection="0"/>
    <xf numFmtId="0" fontId="40" fillId="24" borderId="123" applyNumberFormat="0" applyAlignment="0" applyProtection="0"/>
    <xf numFmtId="0" fontId="40" fillId="24" borderId="143" applyNumberFormat="0" applyAlignment="0" applyProtection="0"/>
    <xf numFmtId="0" fontId="40" fillId="24" borderId="123" applyNumberFormat="0" applyAlignment="0" applyProtection="0"/>
    <xf numFmtId="0" fontId="122" fillId="83" borderId="127"/>
    <xf numFmtId="0" fontId="40" fillId="24" borderId="143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0" fillId="24" borderId="133" applyNumberFormat="0" applyAlignment="0" applyProtection="0"/>
    <xf numFmtId="0" fontId="115" fillId="92" borderId="117"/>
    <xf numFmtId="0" fontId="110" fillId="0" borderId="146"/>
    <xf numFmtId="0" fontId="4" fillId="28" borderId="122" applyNumberFormat="0" applyFont="0" applyAlignment="0" applyProtection="0"/>
    <xf numFmtId="0" fontId="131" fillId="0" borderId="147"/>
    <xf numFmtId="0" fontId="40" fillId="24" borderId="143" applyNumberForma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37" fillId="11" borderId="141" applyNumberFormat="0" applyAlignment="0" applyProtection="0"/>
    <xf numFmtId="0" fontId="4" fillId="28" borderId="132" applyNumberFormat="0" applyFont="0" applyAlignment="0" applyProtection="0"/>
    <xf numFmtId="0" fontId="31" fillId="24" borderId="141" applyNumberFormat="0" applyAlignment="0" applyProtection="0"/>
    <xf numFmtId="0" fontId="37" fillId="11" borderId="111" applyNumberFormat="0" applyAlignment="0" applyProtection="0"/>
    <xf numFmtId="0" fontId="37" fillId="11" borderId="141" applyNumberFormat="0" applyAlignment="0" applyProtection="0"/>
    <xf numFmtId="0" fontId="122" fillId="83" borderId="127"/>
    <xf numFmtId="0" fontId="4" fillId="28" borderId="112" applyNumberFormat="0" applyFont="0" applyAlignment="0" applyProtection="0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41" applyNumberFormat="0" applyAlignment="0" applyProtection="0"/>
    <xf numFmtId="0" fontId="11" fillId="0" borderId="114" applyNumberFormat="0" applyFill="0" applyAlignment="0" applyProtection="0"/>
    <xf numFmtId="37" fontId="111" fillId="24" borderId="138"/>
    <xf numFmtId="0" fontId="37" fillId="11" borderId="141" applyNumberFormat="0" applyAlignment="0" applyProtection="0"/>
    <xf numFmtId="0" fontId="134" fillId="79" borderId="14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0" fillId="24" borderId="123" applyNumberFormat="0" applyAlignment="0" applyProtection="0"/>
    <xf numFmtId="0" fontId="37" fillId="11" borderId="121" applyNumberFormat="0" applyAlignment="0" applyProtection="0"/>
    <xf numFmtId="0" fontId="115" fillId="92" borderId="127"/>
    <xf numFmtId="0" fontId="40" fillId="24" borderId="123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7" fillId="11" borderId="121" applyNumberFormat="0" applyAlignment="0" applyProtection="0"/>
    <xf numFmtId="0" fontId="37" fillId="11" borderId="111" applyNumberFormat="0" applyAlignment="0" applyProtection="0"/>
    <xf numFmtId="0" fontId="37" fillId="11" borderId="131" applyNumberFormat="0" applyAlignment="0" applyProtection="0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0" fontId="40" fillId="24" borderId="123" applyNumberFormat="0" applyAlignment="0" applyProtection="0"/>
    <xf numFmtId="10" fontId="12" fillId="88" borderId="115" applyNumberFormat="0" applyBorder="0" applyAlignment="0" applyProtection="0"/>
    <xf numFmtId="0" fontId="37" fillId="11" borderId="111" applyNumberFormat="0" applyAlignment="0" applyProtection="0"/>
    <xf numFmtId="0" fontId="4" fillId="28" borderId="142" applyNumberFormat="0" applyFont="0" applyAlignment="0" applyProtection="0"/>
    <xf numFmtId="0" fontId="11" fillId="0" borderId="114" applyNumberFormat="0" applyFill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115" fillId="0" borderId="117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31" fillId="24" borderId="141" applyNumberFormat="0" applyAlignment="0" applyProtection="0"/>
    <xf numFmtId="0" fontId="11" fillId="0" borderId="124" applyNumberFormat="0" applyFill="0" applyAlignment="0" applyProtection="0"/>
    <xf numFmtId="0" fontId="31" fillId="24" borderId="11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22" applyNumberFormat="0" applyFont="0" applyAlignment="0" applyProtection="0"/>
    <xf numFmtId="0" fontId="115" fillId="85" borderId="127"/>
    <xf numFmtId="0" fontId="40" fillId="24" borderId="123" applyNumberFormat="0" applyAlignment="0" applyProtection="0"/>
    <xf numFmtId="0" fontId="11" fillId="0" borderId="114" applyNumberFormat="0" applyFill="0" applyAlignment="0" applyProtection="0"/>
    <xf numFmtId="0" fontId="4" fillId="28" borderId="122" applyNumberFormat="0" applyFont="0" applyAlignment="0" applyProtection="0"/>
    <xf numFmtId="0" fontId="122" fillId="83" borderId="117"/>
    <xf numFmtId="0" fontId="115" fillId="85" borderId="137"/>
    <xf numFmtId="0" fontId="4" fillId="28" borderId="132" applyNumberFormat="0" applyFont="0" applyAlignment="0" applyProtection="0"/>
    <xf numFmtId="0" fontId="4" fillId="28" borderId="112" applyNumberFormat="0" applyFont="0" applyAlignment="0" applyProtection="0"/>
    <xf numFmtId="0" fontId="115" fillId="0" borderId="117"/>
    <xf numFmtId="0" fontId="4" fillId="28" borderId="122" applyNumberFormat="0" applyFont="0" applyAlignment="0" applyProtection="0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10" fontId="130" fillId="0" borderId="119" applyFont="0" applyAlignment="0">
      <protection locked="0"/>
    </xf>
    <xf numFmtId="0" fontId="31" fillId="24" borderId="121" applyNumberFormat="0" applyAlignment="0" applyProtection="0"/>
    <xf numFmtId="2" fontId="4" fillId="0" borderId="146" applyNumberFormat="0" applyFont="0" applyFill="0" applyAlignment="0"/>
    <xf numFmtId="0" fontId="115" fillId="85" borderId="117"/>
    <xf numFmtId="0" fontId="4" fillId="28" borderId="132" applyNumberFormat="0" applyFon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7" fillId="11" borderId="121" applyNumberForma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134" fillId="79" borderId="150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11" fillId="0" borderId="114" applyNumberFormat="0" applyFill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4" fillId="28" borderId="112" applyNumberFormat="0" applyFont="0" applyAlignment="0" applyProtection="0"/>
    <xf numFmtId="0" fontId="11" fillId="0" borderId="134" applyNumberFormat="0" applyFill="0" applyAlignment="0" applyProtection="0"/>
    <xf numFmtId="0" fontId="110" fillId="0" borderId="116"/>
    <xf numFmtId="0" fontId="115" fillId="85" borderId="127"/>
    <xf numFmtId="0" fontId="40" fillId="24" borderId="123" applyNumberFormat="0" applyAlignment="0" applyProtection="0"/>
    <xf numFmtId="0" fontId="37" fillId="11" borderId="111" applyNumberFormat="0" applyAlignment="0" applyProtection="0"/>
    <xf numFmtId="0" fontId="115" fillId="92" borderId="117"/>
    <xf numFmtId="0" fontId="134" fillId="79" borderId="150"/>
    <xf numFmtId="0" fontId="40" fillId="24" borderId="113" applyNumberFormat="0" applyAlignment="0" applyProtection="0"/>
    <xf numFmtId="0" fontId="5" fillId="0" borderId="136">
      <alignment horizontal="left" vertical="center"/>
    </xf>
    <xf numFmtId="0" fontId="110" fillId="0" borderId="136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31" fillId="24" borderId="131" applyNumberFormat="0" applyAlignment="0" applyProtection="0"/>
    <xf numFmtId="2" fontId="4" fillId="0" borderId="146" applyNumberFormat="0" applyFont="0" applyFill="0" applyAlignment="0"/>
    <xf numFmtId="0" fontId="31" fillId="24" borderId="141" applyNumberFormat="0" applyAlignment="0" applyProtection="0"/>
    <xf numFmtId="0" fontId="31" fillId="24" borderId="111" applyNumberFormat="0" applyAlignment="0" applyProtection="0"/>
    <xf numFmtId="0" fontId="40" fillId="24" borderId="133" applyNumberFormat="0" applyAlignment="0" applyProtection="0"/>
    <xf numFmtId="0" fontId="37" fillId="11" borderId="111" applyNumberFormat="0" applyAlignment="0" applyProtection="0"/>
    <xf numFmtId="0" fontId="37" fillId="11" borderId="141" applyNumberFormat="0" applyAlignment="0" applyProtection="0"/>
    <xf numFmtId="0" fontId="40" fillId="24" borderId="113" applyNumberFormat="0" applyAlignment="0" applyProtection="0"/>
    <xf numFmtId="0" fontId="4" fillId="28" borderId="122" applyNumberFormat="0" applyFont="0" applyAlignment="0" applyProtection="0"/>
    <xf numFmtId="10" fontId="130" fillId="0" borderId="139" applyFont="0" applyAlignment="0">
      <protection locked="0"/>
    </xf>
    <xf numFmtId="0" fontId="4" fillId="28" borderId="132" applyNumberFormat="0" applyFont="0" applyAlignment="0" applyProtection="0"/>
    <xf numFmtId="0" fontId="37" fillId="11" borderId="111" applyNumberFormat="0" applyAlignment="0" applyProtection="0"/>
    <xf numFmtId="0" fontId="131" fillId="0" borderId="137"/>
    <xf numFmtId="2" fontId="4" fillId="0" borderId="116" applyNumberFormat="0" applyFont="0" applyFill="0" applyAlignment="0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4" fillId="28" borderId="112" applyNumberFormat="0" applyFont="0" applyAlignment="0" applyProtection="0"/>
    <xf numFmtId="0" fontId="4" fillId="28" borderId="132" applyNumberFormat="0" applyFont="0" applyAlignment="0" applyProtection="0"/>
    <xf numFmtId="0" fontId="40" fillId="24" borderId="143" applyNumberFormat="0" applyAlignment="0" applyProtection="0"/>
    <xf numFmtId="0" fontId="115" fillId="85" borderId="127"/>
    <xf numFmtId="0" fontId="37" fillId="11" borderId="141" applyNumberFormat="0" applyAlignment="0" applyProtection="0"/>
    <xf numFmtId="0" fontId="37" fillId="11" borderId="121" applyNumberFormat="0" applyAlignment="0" applyProtection="0"/>
    <xf numFmtId="0" fontId="115" fillId="83" borderId="137"/>
    <xf numFmtId="0" fontId="31" fillId="24" borderId="131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115" fillId="0" borderId="117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115" fillId="85" borderId="147"/>
    <xf numFmtId="0" fontId="40" fillId="24" borderId="123" applyNumberFormat="0" applyAlignment="0" applyProtection="0"/>
    <xf numFmtId="0" fontId="11" fillId="0" borderId="144" applyNumberFormat="0" applyFill="0" applyAlignment="0" applyProtection="0"/>
    <xf numFmtId="0" fontId="31" fillId="24" borderId="121" applyNumberFormat="0" applyAlignment="0" applyProtection="0"/>
    <xf numFmtId="0" fontId="40" fillId="24" borderId="143" applyNumberFormat="0" applyAlignment="0" applyProtection="0"/>
    <xf numFmtId="0" fontId="134" fillId="79" borderId="12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115" fillId="85" borderId="117"/>
    <xf numFmtId="0" fontId="11" fillId="0" borderId="124" applyNumberFormat="0" applyFill="0" applyAlignment="0" applyProtection="0"/>
    <xf numFmtId="0" fontId="5" fillId="0" borderId="116">
      <alignment horizontal="left" vertical="center"/>
    </xf>
    <xf numFmtId="0" fontId="31" fillId="24" borderId="121" applyNumberFormat="0" applyAlignment="0" applyProtection="0"/>
    <xf numFmtId="0" fontId="4" fillId="28" borderId="112" applyNumberFormat="0" applyFont="0" applyAlignment="0" applyProtection="0"/>
    <xf numFmtId="0" fontId="115" fillId="85" borderId="117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37" fillId="11" borderId="141" applyNumberFormat="0" applyAlignment="0" applyProtection="0"/>
    <xf numFmtId="0" fontId="110" fillId="0" borderId="146"/>
    <xf numFmtId="0" fontId="11" fillId="0" borderId="144" applyNumberFormat="0" applyFill="0" applyAlignment="0" applyProtection="0"/>
    <xf numFmtId="0" fontId="37" fillId="11" borderId="121" applyNumberFormat="0" applyAlignment="0" applyProtection="0"/>
    <xf numFmtId="0" fontId="11" fillId="0" borderId="114" applyNumberFormat="0" applyFill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31" fillId="24" borderId="111" applyNumberFormat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115" fillId="83" borderId="127"/>
    <xf numFmtId="0" fontId="11" fillId="0" borderId="114" applyNumberFormat="0" applyFill="0" applyAlignment="0" applyProtection="0"/>
    <xf numFmtId="0" fontId="40" fillId="24" borderId="143" applyNumberFormat="0" applyAlignment="0" applyProtection="0"/>
    <xf numFmtId="0" fontId="31" fillId="24" borderId="111" applyNumberFormat="0" applyAlignment="0" applyProtection="0"/>
    <xf numFmtId="0" fontId="115" fillId="92" borderId="12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2" fontId="4" fillId="0" borderId="146" applyNumberFormat="0" applyFont="0" applyFill="0" applyAlignment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22" applyNumberFormat="0" applyFont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33" applyNumberFormat="0" applyAlignment="0" applyProtection="0"/>
    <xf numFmtId="0" fontId="115" fillId="92" borderId="127"/>
    <xf numFmtId="0" fontId="110" fillId="0" borderId="146"/>
    <xf numFmtId="37" fontId="111" fillId="24" borderId="148"/>
    <xf numFmtId="0" fontId="37" fillId="11" borderId="131" applyNumberFormat="0" applyAlignment="0" applyProtection="0"/>
    <xf numFmtId="0" fontId="37" fillId="11" borderId="141" applyNumberFormat="0" applyAlignment="0" applyProtection="0"/>
    <xf numFmtId="0" fontId="31" fillId="24" borderId="121" applyNumberFormat="0" applyAlignment="0" applyProtection="0"/>
    <xf numFmtId="0" fontId="37" fillId="11" borderId="141" applyNumberForma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40" fillId="24" borderId="123" applyNumberFormat="0" applyAlignment="0" applyProtection="0"/>
    <xf numFmtId="0" fontId="40" fillId="24" borderId="133" applyNumberFormat="0" applyAlignment="0" applyProtection="0"/>
    <xf numFmtId="0" fontId="31" fillId="24" borderId="111" applyNumberFormat="0" applyAlignment="0" applyProtection="0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37" fontId="111" fillId="24" borderId="118"/>
    <xf numFmtId="0" fontId="110" fillId="0" borderId="116"/>
    <xf numFmtId="0" fontId="134" fillId="79" borderId="140"/>
    <xf numFmtId="2" fontId="4" fillId="0" borderId="146" applyNumberFormat="0" applyFont="0" applyFill="0" applyAlignment="0"/>
    <xf numFmtId="0" fontId="4" fillId="28" borderId="142" applyNumberFormat="0" applyFont="0" applyAlignment="0" applyProtection="0"/>
    <xf numFmtId="0" fontId="40" fillId="24" borderId="123" applyNumberForma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13" applyNumberFormat="0" applyAlignment="0" applyProtection="0"/>
    <xf numFmtId="0" fontId="40" fillId="24" borderId="143" applyNumberForma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10" fontId="12" fillId="88" borderId="115" applyNumberFormat="0" applyBorder="0" applyAlignment="0" applyProtection="0"/>
    <xf numFmtId="0" fontId="31" fillId="24" borderId="131" applyNumberFormat="0" applyAlignment="0" applyProtection="0"/>
    <xf numFmtId="0" fontId="11" fillId="0" borderId="144" applyNumberFormat="0" applyFill="0" applyAlignment="0" applyProtection="0"/>
    <xf numFmtId="0" fontId="40" fillId="24" borderId="123" applyNumberFormat="0" applyAlignment="0" applyProtection="0"/>
    <xf numFmtId="0" fontId="11" fillId="0" borderId="134" applyNumberFormat="0" applyFill="0" applyAlignment="0" applyProtection="0"/>
    <xf numFmtId="0" fontId="37" fillId="11" borderId="141" applyNumberFormat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2" fontId="4" fillId="0" borderId="116" applyNumberFormat="0" applyFont="0" applyFill="0" applyAlignment="0"/>
    <xf numFmtId="0" fontId="4" fillId="28" borderId="112" applyNumberFormat="0" applyFont="0" applyAlignment="0" applyProtection="0"/>
    <xf numFmtId="0" fontId="11" fillId="0" borderId="124" applyNumberFormat="0" applyFill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31" fillId="24" borderId="12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11" applyNumberFormat="0" applyAlignment="0" applyProtection="0"/>
    <xf numFmtId="0" fontId="11" fillId="0" borderId="124" applyNumberFormat="0" applyFill="0" applyAlignment="0" applyProtection="0"/>
    <xf numFmtId="10" fontId="130" fillId="0" borderId="129" applyFont="0" applyAlignment="0">
      <protection locked="0"/>
    </xf>
    <xf numFmtId="0" fontId="40" fillId="24" borderId="143" applyNumberForma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0" fontId="40" fillId="24" borderId="123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40" fillId="24" borderId="123" applyNumberFormat="0" applyAlignment="0" applyProtection="0"/>
    <xf numFmtId="0" fontId="115" fillId="0" borderId="107"/>
    <xf numFmtId="0" fontId="37" fillId="11" borderId="141" applyNumberFormat="0" applyAlignment="0" applyProtection="0"/>
    <xf numFmtId="0" fontId="131" fillId="0" borderId="117"/>
    <xf numFmtId="0" fontId="134" fillId="79" borderId="120"/>
    <xf numFmtId="10" fontId="130" fillId="0" borderId="119" applyFont="0" applyAlignment="0">
      <protection locked="0"/>
    </xf>
    <xf numFmtId="10" fontId="130" fillId="0" borderId="119" applyFont="0" applyAlignment="0">
      <protection locked="0"/>
    </xf>
    <xf numFmtId="10" fontId="12" fillId="88" borderId="115" applyNumberFormat="0" applyBorder="0" applyAlignment="0" applyProtection="0"/>
    <xf numFmtId="0" fontId="115" fillId="83" borderId="117"/>
    <xf numFmtId="0" fontId="115" fillId="85" borderId="117"/>
    <xf numFmtId="0" fontId="5" fillId="0" borderId="116">
      <alignment horizontal="left" vertical="center"/>
    </xf>
    <xf numFmtId="0" fontId="115" fillId="83" borderId="147"/>
    <xf numFmtId="0" fontId="40" fillId="24" borderId="133" applyNumberFormat="0" applyAlignment="0" applyProtection="0"/>
    <xf numFmtId="0" fontId="131" fillId="0" borderId="147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110" fillId="0" borderId="126"/>
    <xf numFmtId="2" fontId="4" fillId="0" borderId="126" applyNumberFormat="0" applyFont="0" applyFill="0" applyAlignment="0"/>
    <xf numFmtId="0" fontId="4" fillId="28" borderId="122" applyNumberFormat="0" applyFont="0" applyAlignment="0" applyProtection="0"/>
    <xf numFmtId="0" fontId="11" fillId="0" borderId="114" applyNumberFormat="0" applyFill="0" applyAlignment="0" applyProtection="0"/>
    <xf numFmtId="0" fontId="110" fillId="0" borderId="116"/>
    <xf numFmtId="2" fontId="4" fillId="0" borderId="116" applyNumberFormat="0" applyFont="0" applyFill="0" applyAlignment="0"/>
    <xf numFmtId="0" fontId="37" fillId="11" borderId="111" applyNumberForma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40" fillId="24" borderId="113" applyNumberFormat="0" applyAlignment="0" applyProtection="0"/>
    <xf numFmtId="0" fontId="31" fillId="24" borderId="131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" fillId="28" borderId="132" applyNumberFormat="0" applyFon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115" fillId="0" borderId="117"/>
    <xf numFmtId="0" fontId="115" fillId="85" borderId="117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10" fontId="12" fillId="88" borderId="125" applyNumberFormat="0" applyBorder="0" applyAlignment="0" applyProtection="0"/>
    <xf numFmtId="0" fontId="5" fillId="0" borderId="136">
      <alignment horizontal="left" vertical="center"/>
    </xf>
    <xf numFmtId="0" fontId="40" fillId="24" borderId="143" applyNumberFormat="0" applyAlignment="0" applyProtection="0"/>
    <xf numFmtId="37" fontId="111" fillId="24" borderId="108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40" fillId="24" borderId="143" applyNumberFormat="0" applyAlignment="0" applyProtection="0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0" fontId="11" fillId="0" borderId="144" applyNumberFormat="0" applyFill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40" fillId="24" borderId="123" applyNumberFormat="0" applyAlignment="0" applyProtection="0"/>
    <xf numFmtId="0" fontId="40" fillId="24" borderId="143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0" fillId="24" borderId="143" applyNumberFormat="0" applyAlignment="0" applyProtection="0"/>
    <xf numFmtId="0" fontId="37" fillId="11" borderId="121" applyNumberFormat="0" applyAlignment="0" applyProtection="0"/>
    <xf numFmtId="10" fontId="130" fillId="0" borderId="149" applyFont="0" applyAlignment="0">
      <protection locked="0"/>
    </xf>
    <xf numFmtId="0" fontId="40" fillId="24" borderId="123" applyNumberFormat="0" applyAlignment="0" applyProtection="0"/>
    <xf numFmtId="0" fontId="115" fillId="83" borderId="137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1" fillId="24" borderId="131" applyNumberFormat="0" applyAlignment="0" applyProtection="0"/>
    <xf numFmtId="0" fontId="122" fillId="83" borderId="137"/>
    <xf numFmtId="0" fontId="37" fillId="11" borderId="131" applyNumberFormat="0" applyAlignment="0" applyProtection="0"/>
    <xf numFmtId="0" fontId="40" fillId="24" borderId="14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" fillId="0" borderId="124" applyNumberFormat="0" applyFill="0" applyAlignment="0" applyProtection="0"/>
    <xf numFmtId="0" fontId="37" fillId="11" borderId="141" applyNumberFormat="0" applyAlignment="0" applyProtection="0"/>
    <xf numFmtId="0" fontId="115" fillId="85" borderId="127"/>
    <xf numFmtId="0" fontId="37" fillId="11" borderId="121" applyNumberFormat="0" applyAlignment="0" applyProtection="0"/>
    <xf numFmtId="0" fontId="110" fillId="0" borderId="116"/>
    <xf numFmtId="0" fontId="40" fillId="24" borderId="143" applyNumberForma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115" fillId="92" borderId="137"/>
    <xf numFmtId="0" fontId="4" fillId="28" borderId="142" applyNumberFormat="0" applyFont="0" applyAlignment="0" applyProtection="0"/>
    <xf numFmtId="0" fontId="134" fillId="79" borderId="13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11" fillId="0" borderId="134" applyNumberFormat="0" applyFill="0" applyAlignment="0" applyProtection="0"/>
    <xf numFmtId="0" fontId="11" fillId="0" borderId="124" applyNumberFormat="0" applyFill="0" applyAlignment="0" applyProtection="0"/>
    <xf numFmtId="0" fontId="4" fillId="28" borderId="132" applyNumberFormat="0" applyFont="0" applyAlignment="0" applyProtection="0"/>
    <xf numFmtId="0" fontId="31" fillId="24" borderId="121" applyNumberFormat="0" applyAlignment="0" applyProtection="0"/>
    <xf numFmtId="0" fontId="31" fillId="24" borderId="141" applyNumberFormat="0" applyAlignment="0" applyProtection="0"/>
    <xf numFmtId="0" fontId="134" fillId="79" borderId="14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21" applyNumberFormat="0" applyAlignment="0" applyProtection="0"/>
    <xf numFmtId="0" fontId="31" fillId="24" borderId="131" applyNumberFormat="0" applyAlignment="0" applyProtection="0"/>
    <xf numFmtId="0" fontId="31" fillId="24" borderId="121" applyNumberFormat="0" applyAlignment="0" applyProtection="0"/>
    <xf numFmtId="0" fontId="40" fillId="24" borderId="143" applyNumberFormat="0" applyAlignment="0" applyProtection="0"/>
    <xf numFmtId="0" fontId="37" fillId="11" borderId="131" applyNumberFormat="0" applyAlignment="0" applyProtection="0"/>
    <xf numFmtId="0" fontId="131" fillId="0" borderId="147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115" fillId="85" borderId="137"/>
    <xf numFmtId="0" fontId="40" fillId="24" borderId="123" applyNumberFormat="0" applyAlignment="0" applyProtection="0"/>
    <xf numFmtId="10" fontId="12" fillId="88" borderId="145" applyNumberFormat="0" applyBorder="0" applyAlignment="0" applyProtection="0"/>
    <xf numFmtId="0" fontId="115" fillId="92" borderId="147"/>
    <xf numFmtId="0" fontId="11" fillId="0" borderId="144" applyNumberFormat="0" applyFill="0" applyAlignment="0" applyProtection="0"/>
    <xf numFmtId="0" fontId="115" fillId="0" borderId="137"/>
    <xf numFmtId="0" fontId="31" fillId="24" borderId="141" applyNumberFormat="0" applyAlignment="0" applyProtection="0"/>
    <xf numFmtId="0" fontId="40" fillId="24" borderId="133" applyNumberFormat="0" applyAlignment="0" applyProtection="0"/>
    <xf numFmtId="2" fontId="4" fillId="0" borderId="126" applyNumberFormat="0" applyFont="0" applyFill="0" applyAlignment="0"/>
    <xf numFmtId="0" fontId="110" fillId="0" borderId="146"/>
    <xf numFmtId="0" fontId="134" fillId="79" borderId="120"/>
    <xf numFmtId="0" fontId="4" fillId="28" borderId="132" applyNumberFormat="0" applyFont="0" applyAlignment="0" applyProtection="0"/>
    <xf numFmtId="0" fontId="110" fillId="0" borderId="116"/>
    <xf numFmtId="2" fontId="4" fillId="0" borderId="116" applyNumberFormat="0" applyFont="0" applyFill="0" applyAlignment="0"/>
    <xf numFmtId="37" fontId="111" fillId="24" borderId="138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" fillId="28" borderId="112" applyNumberFormat="0" applyFont="0" applyAlignment="0" applyProtection="0"/>
    <xf numFmtId="0" fontId="115" fillId="85" borderId="147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1" fillId="24" borderId="141" applyNumberFormat="0" applyAlignment="0" applyProtection="0"/>
    <xf numFmtId="0" fontId="11" fillId="0" borderId="134" applyNumberFormat="0" applyFill="0" applyAlignment="0" applyProtection="0"/>
    <xf numFmtId="0" fontId="115" fillId="0" borderId="117"/>
    <xf numFmtId="0" fontId="37" fillId="11" borderId="12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34" applyNumberFormat="0" applyFill="0" applyAlignment="0" applyProtection="0"/>
    <xf numFmtId="0" fontId="115" fillId="92" borderId="127"/>
    <xf numFmtId="0" fontId="131" fillId="0" borderId="117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122" fillId="83" borderId="137"/>
    <xf numFmtId="2" fontId="4" fillId="0" borderId="126" applyNumberFormat="0" applyFont="0" applyFill="0" applyAlignment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37" fontId="111" fillId="24" borderId="128"/>
    <xf numFmtId="0" fontId="11" fillId="0" borderId="134" applyNumberFormat="0" applyFill="0" applyAlignment="0" applyProtection="0"/>
    <xf numFmtId="0" fontId="31" fillId="24" borderId="141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5" fillId="85" borderId="147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110" fillId="0" borderId="136"/>
    <xf numFmtId="0" fontId="4" fillId="28" borderId="142" applyNumberFormat="0" applyFont="0" applyAlignment="0" applyProtection="0"/>
    <xf numFmtId="0" fontId="115" fillId="85" borderId="127"/>
    <xf numFmtId="0" fontId="40" fillId="24" borderId="133" applyNumberFormat="0" applyAlignment="0" applyProtection="0"/>
    <xf numFmtId="0" fontId="37" fillId="11" borderId="121" applyNumberFormat="0" applyAlignment="0" applyProtection="0"/>
    <xf numFmtId="0" fontId="40" fillId="24" borderId="133" applyNumberFormat="0" applyAlignment="0" applyProtection="0"/>
    <xf numFmtId="0" fontId="115" fillId="92" borderId="147"/>
    <xf numFmtId="37" fontId="111" fillId="24" borderId="118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37" fillId="11" borderId="131" applyNumberFormat="0" applyAlignment="0" applyProtection="0"/>
    <xf numFmtId="2" fontId="4" fillId="0" borderId="116" applyNumberFormat="0" applyFont="0" applyFill="0" applyAlignment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5" fillId="0" borderId="136">
      <alignment horizontal="left" vertical="center"/>
    </xf>
    <xf numFmtId="37" fontId="111" fillId="24" borderId="128"/>
    <xf numFmtId="0" fontId="11" fillId="0" borderId="134" applyNumberFormat="0" applyFill="0" applyAlignment="0" applyProtection="0"/>
    <xf numFmtId="0" fontId="4" fillId="28" borderId="112" applyNumberFormat="0" applyFon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" fillId="0" borderId="114" applyNumberFormat="0" applyFill="0" applyAlignment="0" applyProtection="0"/>
    <xf numFmtId="0" fontId="37" fillId="11" borderId="131" applyNumberFormat="0" applyAlignment="0" applyProtection="0"/>
    <xf numFmtId="0" fontId="11" fillId="0" borderId="134" applyNumberFormat="0" applyFill="0" applyAlignment="0" applyProtection="0"/>
    <xf numFmtId="10" fontId="130" fillId="0" borderId="129" applyFont="0" applyAlignment="0">
      <protection locked="0"/>
    </xf>
    <xf numFmtId="0" fontId="31" fillId="24" borderId="131" applyNumberFormat="0" applyAlignment="0" applyProtection="0"/>
    <xf numFmtId="10" fontId="130" fillId="0" borderId="149" applyFont="0" applyAlignment="0">
      <protection locked="0"/>
    </xf>
    <xf numFmtId="0" fontId="37" fillId="11" borderId="141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115" fillId="83" borderId="147"/>
    <xf numFmtId="0" fontId="115" fillId="0" borderId="137"/>
    <xf numFmtId="0" fontId="115" fillId="92" borderId="137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115" fillId="92" borderId="107"/>
    <xf numFmtId="0" fontId="4" fillId="28" borderId="122" applyNumberFormat="0" applyFont="0" applyAlignment="0" applyProtection="0"/>
    <xf numFmtId="0" fontId="115" fillId="92" borderId="107"/>
    <xf numFmtId="0" fontId="4" fillId="28" borderId="132" applyNumberFormat="0" applyFont="0" applyAlignment="0" applyProtection="0"/>
    <xf numFmtId="0" fontId="40" fillId="24" borderId="143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115" fillId="0" borderId="107"/>
    <xf numFmtId="0" fontId="131" fillId="0" borderId="117"/>
    <xf numFmtId="0" fontId="131" fillId="0" borderId="137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37" fillId="11" borderId="121" applyNumberFormat="0" applyAlignment="0" applyProtection="0"/>
    <xf numFmtId="0" fontId="134" fillId="79" borderId="12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31" fillId="24" borderId="131" applyNumberFormat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115" fillId="83" borderId="117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5" fillId="0" borderId="136">
      <alignment horizontal="left" vertical="center"/>
    </xf>
    <xf numFmtId="0" fontId="11" fillId="0" borderId="144" applyNumberFormat="0" applyFill="0" applyAlignment="0" applyProtection="0"/>
    <xf numFmtId="0" fontId="115" fillId="92" borderId="147"/>
    <xf numFmtId="0" fontId="122" fillId="83" borderId="13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4" fillId="28" borderId="132" applyNumberFormat="0" applyFont="0" applyAlignment="0" applyProtection="0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134" fillId="79" borderId="140"/>
    <xf numFmtId="0" fontId="134" fillId="79" borderId="150"/>
    <xf numFmtId="0" fontId="4" fillId="28" borderId="142" applyNumberFormat="0" applyFon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" fillId="28" borderId="142" applyNumberFormat="0" applyFont="0" applyAlignment="0" applyProtection="0"/>
    <xf numFmtId="0" fontId="37" fillId="11" borderId="131" applyNumberFormat="0" applyAlignment="0" applyProtection="0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0" fontId="110" fillId="0" borderId="136"/>
    <xf numFmtId="37" fontId="111" fillId="24" borderId="148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31" fillId="24" borderId="121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115" fillId="92" borderId="117"/>
    <xf numFmtId="0" fontId="40" fillId="24" borderId="143" applyNumberFormat="0" applyAlignment="0" applyProtection="0"/>
    <xf numFmtId="0" fontId="37" fillId="11" borderId="141" applyNumberFormat="0" applyAlignment="0" applyProtection="0"/>
    <xf numFmtId="0" fontId="40" fillId="24" borderId="123" applyNumberFormat="0" applyAlignment="0" applyProtection="0"/>
    <xf numFmtId="0" fontId="37" fillId="11" borderId="141" applyNumberFormat="0" applyAlignment="0" applyProtection="0"/>
    <xf numFmtId="0" fontId="115" fillId="83" borderId="117"/>
    <xf numFmtId="0" fontId="40" fillId="24" borderId="143" applyNumberFormat="0" applyAlignment="0" applyProtection="0"/>
    <xf numFmtId="0" fontId="31" fillId="24" borderId="131" applyNumberFormat="0" applyAlignment="0" applyProtection="0"/>
    <xf numFmtId="0" fontId="40" fillId="24" borderId="113" applyNumberFormat="0" applyAlignment="0" applyProtection="0"/>
    <xf numFmtId="0" fontId="4" fillId="28" borderId="142" applyNumberFormat="0" applyFont="0" applyAlignment="0" applyProtection="0"/>
    <xf numFmtId="0" fontId="40" fillId="24" borderId="113" applyNumberFormat="0" applyAlignment="0" applyProtection="0"/>
    <xf numFmtId="0" fontId="11" fillId="0" borderId="144" applyNumberFormat="0" applyFill="0" applyAlignment="0" applyProtection="0"/>
    <xf numFmtId="37" fontId="111" fillId="24" borderId="118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110" fillId="0" borderId="126"/>
    <xf numFmtId="0" fontId="31" fillId="24" borderId="141" applyNumberFormat="0" applyAlignment="0" applyProtection="0"/>
    <xf numFmtId="0" fontId="31" fillId="24" borderId="111" applyNumberFormat="0" applyAlignment="0" applyProtection="0"/>
    <xf numFmtId="0" fontId="37" fillId="11" borderId="141" applyNumberFormat="0" applyAlignment="0" applyProtection="0"/>
    <xf numFmtId="0" fontId="40" fillId="24" borderId="133" applyNumberFormat="0" applyAlignment="0" applyProtection="0"/>
    <xf numFmtId="0" fontId="11" fillId="0" borderId="114" applyNumberFormat="0" applyFill="0" applyAlignment="0" applyProtection="0"/>
    <xf numFmtId="0" fontId="11" fillId="0" borderId="134" applyNumberFormat="0" applyFill="0" applyAlignment="0" applyProtection="0"/>
    <xf numFmtId="0" fontId="40" fillId="24" borderId="123" applyNumberFormat="0" applyAlignment="0" applyProtection="0"/>
    <xf numFmtId="0" fontId="115" fillId="83" borderId="117"/>
    <xf numFmtId="0" fontId="11" fillId="0" borderId="134" applyNumberFormat="0" applyFill="0" applyAlignment="0" applyProtection="0"/>
    <xf numFmtId="0" fontId="40" fillId="24" borderId="123" applyNumberFormat="0" applyAlignment="0" applyProtection="0"/>
    <xf numFmtId="0" fontId="37" fillId="11" borderId="111" applyNumberFormat="0" applyAlignment="0" applyProtection="0"/>
    <xf numFmtId="0" fontId="11" fillId="0" borderId="134" applyNumberFormat="0" applyFill="0" applyAlignment="0" applyProtection="0"/>
    <xf numFmtId="0" fontId="115" fillId="0" borderId="137"/>
    <xf numFmtId="0" fontId="31" fillId="24" borderId="131" applyNumberForma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115" fillId="92" borderId="137"/>
    <xf numFmtId="0" fontId="11" fillId="0" borderId="114" applyNumberFormat="0" applyFill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37" fontId="111" fillId="24" borderId="138"/>
    <xf numFmtId="0" fontId="134" fillId="79" borderId="150"/>
    <xf numFmtId="0" fontId="40" fillId="24" borderId="113" applyNumberFormat="0" applyAlignment="0" applyProtection="0"/>
    <xf numFmtId="0" fontId="11" fillId="0" borderId="124" applyNumberFormat="0" applyFill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37" fontId="111" fillId="24" borderId="108"/>
    <xf numFmtId="0" fontId="115" fillId="0" borderId="107"/>
    <xf numFmtId="0" fontId="31" fillId="24" borderId="111" applyNumberFormat="0" applyAlignment="0" applyProtection="0"/>
    <xf numFmtId="0" fontId="40" fillId="24" borderId="123" applyNumberFormat="0" applyAlignment="0" applyProtection="0"/>
    <xf numFmtId="0" fontId="31" fillId="24" borderId="111" applyNumberFormat="0" applyAlignment="0" applyProtection="0"/>
    <xf numFmtId="0" fontId="37" fillId="11" borderId="121" applyNumberFormat="0" applyAlignment="0" applyProtection="0"/>
    <xf numFmtId="0" fontId="40" fillId="24" borderId="113" applyNumberFormat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0" fontId="122" fillId="83" borderId="117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22" fillId="83" borderId="147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7" fillId="11" borderId="111" applyNumberFormat="0" applyAlignment="0" applyProtection="0"/>
    <xf numFmtId="0" fontId="37" fillId="11" borderId="14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37" fillId="11" borderId="131" applyNumberFormat="0" applyAlignment="0" applyProtection="0"/>
    <xf numFmtId="0" fontId="40" fillId="24" borderId="143" applyNumberFormat="0" applyAlignment="0" applyProtection="0"/>
    <xf numFmtId="0" fontId="40" fillId="24" borderId="113" applyNumberFormat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1" fillId="24" borderId="131" applyNumberFormat="0" applyAlignment="0" applyProtection="0"/>
    <xf numFmtId="2" fontId="4" fillId="0" borderId="136" applyNumberFormat="0" applyFont="0" applyFill="0" applyAlignment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37" fillId="11" borderId="131" applyNumberFormat="0" applyAlignment="0" applyProtection="0"/>
    <xf numFmtId="0" fontId="40" fillId="24" borderId="113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0" fontId="37" fillId="11" borderId="121" applyNumberFormat="0" applyAlignment="0" applyProtection="0"/>
    <xf numFmtId="0" fontId="5" fillId="0" borderId="116">
      <alignment horizontal="left" vertical="center"/>
    </xf>
    <xf numFmtId="0" fontId="122" fillId="83" borderId="127"/>
    <xf numFmtId="0" fontId="31" fillId="24" borderId="121" applyNumberFormat="0" applyAlignment="0" applyProtection="0"/>
    <xf numFmtId="0" fontId="115" fillId="85" borderId="107"/>
    <xf numFmtId="0" fontId="11" fillId="0" borderId="124" applyNumberFormat="0" applyFill="0" applyAlignment="0" applyProtection="0"/>
    <xf numFmtId="0" fontId="4" fillId="28" borderId="142" applyNumberFormat="0" applyFont="0" applyAlignment="0" applyProtection="0"/>
    <xf numFmtId="0" fontId="37" fillId="11" borderId="131" applyNumberFormat="0" applyAlignment="0" applyProtection="0"/>
    <xf numFmtId="0" fontId="40" fillId="24" borderId="123" applyNumberFormat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34" fillId="79" borderId="130"/>
    <xf numFmtId="0" fontId="31" fillId="24" borderId="131" applyNumberFormat="0" applyAlignment="0" applyProtection="0"/>
    <xf numFmtId="0" fontId="122" fillId="83" borderId="117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122" fillId="83" borderId="117"/>
    <xf numFmtId="0" fontId="134" fillId="79" borderId="11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10" fontId="130" fillId="0" borderId="129" applyFont="0" applyAlignment="0">
      <protection locked="0"/>
    </xf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2" fontId="4" fillId="0" borderId="116" applyNumberFormat="0" applyFont="0" applyFill="0" applyAlignment="0"/>
    <xf numFmtId="0" fontId="115" fillId="92" borderId="11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37" fillId="11" borderId="141" applyNumberFormat="0" applyAlignment="0" applyProtection="0"/>
    <xf numFmtId="0" fontId="31" fillId="24" borderId="111" applyNumberFormat="0" applyAlignment="0" applyProtection="0"/>
    <xf numFmtId="0" fontId="5" fillId="0" borderId="126">
      <alignment horizontal="left" vertical="center"/>
    </xf>
    <xf numFmtId="0" fontId="11" fillId="0" borderId="144" applyNumberFormat="0" applyFill="0" applyAlignment="0" applyProtection="0"/>
    <xf numFmtId="0" fontId="5" fillId="0" borderId="146">
      <alignment horizontal="left" vertical="center"/>
    </xf>
    <xf numFmtId="0" fontId="110" fillId="0" borderId="146"/>
    <xf numFmtId="0" fontId="11" fillId="0" borderId="144" applyNumberFormat="0" applyFill="0" applyAlignment="0" applyProtection="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37" fillId="11" borderId="141" applyNumberFormat="0" applyAlignment="0" applyProtection="0"/>
    <xf numFmtId="0" fontId="40" fillId="24" borderId="123" applyNumberFormat="0" applyAlignment="0" applyProtection="0"/>
    <xf numFmtId="0" fontId="115" fillId="83" borderId="127"/>
    <xf numFmtId="2" fontId="4" fillId="0" borderId="136" applyNumberFormat="0" applyFont="0" applyFill="0" applyAlignment="0"/>
    <xf numFmtId="0" fontId="131" fillId="0" borderId="147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" fillId="28" borderId="132" applyNumberFormat="0" applyFon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134" fillId="79" borderId="130"/>
    <xf numFmtId="0" fontId="31" fillId="24" borderId="131" applyNumberFormat="0" applyAlignment="0" applyProtection="0"/>
    <xf numFmtId="0" fontId="31" fillId="24" borderId="121" applyNumberFormat="0" applyAlignment="0" applyProtection="0"/>
    <xf numFmtId="2" fontId="4" fillId="0" borderId="116" applyNumberFormat="0" applyFont="0" applyFill="0" applyAlignment="0"/>
    <xf numFmtId="0" fontId="40" fillId="24" borderId="123" applyNumberFormat="0" applyAlignment="0" applyProtection="0"/>
    <xf numFmtId="0" fontId="40" fillId="24" borderId="123" applyNumberFormat="0" applyAlignment="0" applyProtection="0"/>
    <xf numFmtId="10" fontId="130" fillId="0" borderId="139" applyFont="0" applyAlignment="0">
      <protection locked="0"/>
    </xf>
    <xf numFmtId="0" fontId="40" fillId="24" borderId="123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31" fillId="0" borderId="147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4" fillId="28" borderId="142" applyNumberFormat="0" applyFont="0" applyAlignment="0" applyProtection="0"/>
    <xf numFmtId="0" fontId="4" fillId="28" borderId="112" applyNumberFormat="0" applyFont="0" applyAlignment="0" applyProtection="0"/>
    <xf numFmtId="0" fontId="4" fillId="28" borderId="142" applyNumberFormat="0" applyFon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44" applyNumberFormat="0" applyFill="0" applyAlignment="0" applyProtection="0"/>
    <xf numFmtId="0" fontId="37" fillId="11" borderId="131" applyNumberFormat="0" applyAlignment="0" applyProtection="0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11" fillId="0" borderId="144" applyNumberFormat="0" applyFill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115" fillId="85" borderId="137"/>
    <xf numFmtId="0" fontId="4" fillId="28" borderId="142" applyNumberFormat="0" applyFont="0" applyAlignment="0" applyProtection="0"/>
    <xf numFmtId="0" fontId="11" fillId="0" borderId="124" applyNumberFormat="0" applyFill="0" applyAlignment="0" applyProtection="0"/>
    <xf numFmtId="37" fontId="111" fillId="24" borderId="148"/>
    <xf numFmtId="0" fontId="4" fillId="28" borderId="132" applyNumberFormat="0" applyFont="0" applyAlignment="0" applyProtection="0"/>
    <xf numFmtId="0" fontId="5" fillId="0" borderId="146">
      <alignment horizontal="left" vertical="center"/>
    </xf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22" fillId="83" borderId="147"/>
    <xf numFmtId="0" fontId="31" fillId="24" borderId="131" applyNumberFormat="0" applyAlignment="0" applyProtection="0"/>
    <xf numFmtId="37" fontId="111" fillId="24" borderId="118"/>
    <xf numFmtId="0" fontId="37" fillId="11" borderId="131" applyNumberForma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5" fillId="83" borderId="117"/>
    <xf numFmtId="0" fontId="4" fillId="28" borderId="122" applyNumberFormat="0" applyFont="0" applyAlignment="0" applyProtection="0"/>
    <xf numFmtId="0" fontId="115" fillId="83" borderId="127"/>
    <xf numFmtId="0" fontId="115" fillId="83" borderId="147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2" fontId="4" fillId="0" borderId="126" applyNumberFormat="0" applyFont="0" applyFill="0" applyAlignment="0"/>
    <xf numFmtId="0" fontId="11" fillId="0" borderId="134" applyNumberFormat="0" applyFill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37" fontId="111" fillId="24" borderId="148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37" fillId="11" borderId="121" applyNumberFormat="0" applyAlignment="0" applyProtection="0"/>
    <xf numFmtId="0" fontId="115" fillId="0" borderId="127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4" fillId="28" borderId="132" applyNumberFormat="0" applyFon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11" fillId="0" borderId="134" applyNumberFormat="0" applyFill="0" applyAlignment="0" applyProtection="0"/>
    <xf numFmtId="0" fontId="40" fillId="24" borderId="143" applyNumberFormat="0" applyAlignment="0" applyProtection="0"/>
    <xf numFmtId="0" fontId="4" fillId="28" borderId="132" applyNumberFormat="0" applyFont="0" applyAlignment="0" applyProtection="0"/>
    <xf numFmtId="10" fontId="130" fillId="0" borderId="129" applyFont="0" applyAlignment="0">
      <protection locked="0"/>
    </xf>
    <xf numFmtId="0" fontId="110" fillId="0" borderId="116"/>
    <xf numFmtId="0" fontId="115" fillId="0" borderId="117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0" fontId="115" fillId="92" borderId="107"/>
    <xf numFmtId="0" fontId="11" fillId="0" borderId="114" applyNumberFormat="0" applyFill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5" fillId="0" borderId="147"/>
    <xf numFmtId="0" fontId="11" fillId="0" borderId="134" applyNumberFormat="0" applyFill="0" applyAlignment="0" applyProtection="0"/>
    <xf numFmtId="0" fontId="131" fillId="0" borderId="14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10" fontId="12" fillId="88" borderId="135" applyNumberFormat="0" applyBorder="0" applyAlignment="0" applyProtection="0"/>
    <xf numFmtId="37" fontId="111" fillId="24" borderId="108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10" fontId="130" fillId="0" borderId="119" applyFont="0" applyAlignment="0">
      <protection locked="0"/>
    </xf>
    <xf numFmtId="0" fontId="37" fillId="11" borderId="111" applyNumberFormat="0" applyAlignment="0" applyProtection="0"/>
    <xf numFmtId="0" fontId="40" fillId="24" borderId="113" applyNumberFormat="0" applyAlignment="0" applyProtection="0"/>
    <xf numFmtId="0" fontId="4" fillId="28" borderId="132" applyNumberFormat="0" applyFont="0" applyAlignment="0" applyProtection="0"/>
    <xf numFmtId="0" fontId="131" fillId="0" borderId="117"/>
    <xf numFmtId="0" fontId="31" fillId="24" borderId="141" applyNumberForma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122" fillId="83" borderId="137"/>
    <xf numFmtId="0" fontId="110" fillId="0" borderId="136"/>
    <xf numFmtId="0" fontId="31" fillId="24" borderId="131" applyNumberFormat="0" applyAlignment="0" applyProtection="0"/>
    <xf numFmtId="0" fontId="40" fillId="24" borderId="143" applyNumberFormat="0" applyAlignment="0" applyProtection="0"/>
    <xf numFmtId="0" fontId="115" fillId="85" borderId="11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0" fillId="24" borderId="143" applyNumberFormat="0" applyAlignment="0" applyProtection="0"/>
    <xf numFmtId="2" fontId="4" fillId="0" borderId="136" applyNumberFormat="0" applyFont="0" applyFill="0" applyAlignment="0"/>
    <xf numFmtId="0" fontId="31" fillId="24" borderId="131" applyNumberFormat="0" applyAlignment="0" applyProtection="0"/>
    <xf numFmtId="0" fontId="110" fillId="0" borderId="136"/>
    <xf numFmtId="0" fontId="31" fillId="24" borderId="141" applyNumberFormat="0" applyAlignment="0" applyProtection="0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115" fillId="0" borderId="117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115" fillId="92" borderId="117"/>
    <xf numFmtId="0" fontId="37" fillId="11" borderId="14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31" fillId="24" borderId="131" applyNumberFormat="0" applyAlignment="0" applyProtection="0"/>
    <xf numFmtId="0" fontId="134" fillId="79" borderId="130"/>
    <xf numFmtId="0" fontId="31" fillId="24" borderId="111" applyNumberFormat="0" applyAlignment="0" applyProtection="0"/>
    <xf numFmtId="0" fontId="37" fillId="11" borderId="121" applyNumberFormat="0" applyAlignment="0" applyProtection="0"/>
    <xf numFmtId="0" fontId="115" fillId="83" borderId="147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122" fillId="83" borderId="147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40" fillId="24" borderId="143" applyNumberForma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40" fillId="24" borderId="143" applyNumberFormat="0" applyAlignment="0" applyProtection="0"/>
    <xf numFmtId="0" fontId="11" fillId="0" borderId="114" applyNumberFormat="0" applyFill="0" applyAlignment="0" applyProtection="0"/>
    <xf numFmtId="0" fontId="40" fillId="24" borderId="143" applyNumberFormat="0" applyAlignment="0" applyProtection="0"/>
    <xf numFmtId="0" fontId="11" fillId="0" borderId="114" applyNumberFormat="0" applyFill="0" applyAlignment="0" applyProtection="0"/>
    <xf numFmtId="37" fontId="111" fillId="24" borderId="148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40" fillId="24" borderId="113" applyNumberFormat="0" applyAlignment="0" applyProtection="0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44" applyNumberFormat="0" applyFill="0" applyAlignment="0" applyProtection="0"/>
    <xf numFmtId="0" fontId="115" fillId="83" borderId="147"/>
    <xf numFmtId="0" fontId="11" fillId="0" borderId="134" applyNumberFormat="0" applyFill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31" fillId="24" borderId="111" applyNumberFormat="0" applyAlignment="0" applyProtection="0"/>
    <xf numFmtId="0" fontId="4" fillId="28" borderId="132" applyNumberFormat="0" applyFont="0" applyAlignment="0" applyProtection="0"/>
    <xf numFmtId="0" fontId="40" fillId="24" borderId="113" applyNumberFormat="0" applyAlignment="0" applyProtection="0"/>
    <xf numFmtId="0" fontId="110" fillId="0" borderId="126"/>
    <xf numFmtId="0" fontId="131" fillId="0" borderId="117"/>
    <xf numFmtId="0" fontId="31" fillId="24" borderId="121" applyNumberFormat="0" applyAlignment="0" applyProtection="0"/>
    <xf numFmtId="0" fontId="37" fillId="11" borderId="111" applyNumberFormat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15" fillId="0" borderId="147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0" fontId="31" fillId="24" borderId="141" applyNumberFormat="0" applyAlignment="0" applyProtection="0"/>
    <xf numFmtId="0" fontId="37" fillId="11" borderId="121" applyNumberFormat="0" applyAlignment="0" applyProtection="0"/>
    <xf numFmtId="0" fontId="37" fillId="11" borderId="111" applyNumberFormat="0" applyAlignment="0" applyProtection="0"/>
    <xf numFmtId="0" fontId="37" fillId="11" borderId="121" applyNumberFormat="0" applyAlignment="0" applyProtection="0"/>
    <xf numFmtId="0" fontId="40" fillId="24" borderId="113" applyNumberFormat="0" applyAlignment="0" applyProtection="0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4" fillId="28" borderId="112" applyNumberFormat="0" applyFont="0" applyAlignment="0" applyProtection="0"/>
    <xf numFmtId="0" fontId="4" fillId="28" borderId="14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0" fillId="24" borderId="123" applyNumberFormat="0" applyAlignment="0" applyProtection="0"/>
    <xf numFmtId="0" fontId="31" fillId="24" borderId="111" applyNumberFormat="0" applyAlignment="0" applyProtection="0"/>
    <xf numFmtId="0" fontId="37" fillId="11" borderId="131" applyNumberFormat="0" applyAlignment="0" applyProtection="0"/>
    <xf numFmtId="0" fontId="40" fillId="24" borderId="113" applyNumberFormat="0" applyAlignment="0" applyProtection="0"/>
    <xf numFmtId="0" fontId="31" fillId="24" borderId="131" applyNumberFormat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0" fontId="37" fillId="11" borderId="111" applyNumberFormat="0" applyAlignment="0" applyProtection="0"/>
    <xf numFmtId="0" fontId="40" fillId="24" borderId="143" applyNumberFormat="0" applyAlignment="0" applyProtection="0"/>
    <xf numFmtId="0" fontId="40" fillId="24" borderId="123" applyNumberFormat="0" applyAlignment="0" applyProtection="0"/>
    <xf numFmtId="0" fontId="37" fillId="11" borderId="131" applyNumberFormat="0" applyAlignment="0" applyProtection="0"/>
    <xf numFmtId="0" fontId="11" fillId="0" borderId="144" applyNumberFormat="0" applyFill="0" applyAlignment="0" applyProtection="0"/>
    <xf numFmtId="0" fontId="134" fillId="79" borderId="130"/>
    <xf numFmtId="10" fontId="130" fillId="0" borderId="149" applyFont="0" applyAlignment="0">
      <protection locked="0"/>
    </xf>
    <xf numFmtId="0" fontId="122" fillId="83" borderId="117"/>
    <xf numFmtId="0" fontId="11" fillId="0" borderId="144" applyNumberFormat="0" applyFill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115" fillId="0" borderId="127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31" fillId="24" borderId="121" applyNumberFormat="0" applyAlignment="0" applyProtection="0"/>
    <xf numFmtId="0" fontId="11" fillId="0" borderId="144" applyNumberFormat="0" applyFill="0" applyAlignment="0" applyProtection="0"/>
    <xf numFmtId="0" fontId="4" fillId="28" borderId="132" applyNumberFormat="0" applyFont="0" applyAlignment="0" applyProtection="0"/>
    <xf numFmtId="0" fontId="115" fillId="92" borderId="127"/>
    <xf numFmtId="0" fontId="11" fillId="0" borderId="124" applyNumberFormat="0" applyFill="0" applyAlignment="0" applyProtection="0"/>
    <xf numFmtId="0" fontId="37" fillId="11" borderId="141" applyNumberFormat="0" applyAlignment="0" applyProtection="0"/>
    <xf numFmtId="10" fontId="130" fillId="0" borderId="139" applyFont="0" applyAlignment="0">
      <protection locked="0"/>
    </xf>
    <xf numFmtId="0" fontId="115" fillId="83" borderId="137"/>
    <xf numFmtId="0" fontId="134" fillId="79" borderId="140"/>
    <xf numFmtId="0" fontId="4" fillId="28" borderId="132" applyNumberFormat="0" applyFont="0" applyAlignment="0" applyProtection="0"/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42" applyNumberFormat="0" applyFont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110" fillId="0" borderId="126"/>
    <xf numFmtId="0" fontId="31" fillId="24" borderId="141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5" fillId="0" borderId="126">
      <alignment horizontal="left" vertical="center"/>
    </xf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15" fillId="92" borderId="147"/>
    <xf numFmtId="0" fontId="37" fillId="11" borderId="121" applyNumberFormat="0" applyAlignment="0" applyProtection="0"/>
    <xf numFmtId="0" fontId="115" fillId="0" borderId="147"/>
    <xf numFmtId="37" fontId="111" fillId="24" borderId="148"/>
    <xf numFmtId="0" fontId="131" fillId="0" borderId="127"/>
    <xf numFmtId="0" fontId="11" fillId="0" borderId="134" applyNumberFormat="0" applyFill="0" applyAlignment="0" applyProtection="0"/>
    <xf numFmtId="0" fontId="37" fillId="11" borderId="111" applyNumberForma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0" fontId="31" fillId="24" borderId="111" applyNumberFormat="0" applyAlignment="0" applyProtection="0"/>
    <xf numFmtId="0" fontId="11" fillId="0" borderId="124" applyNumberFormat="0" applyFill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7" fillId="11" borderId="141" applyNumberFormat="0" applyAlignment="0" applyProtection="0"/>
    <xf numFmtId="0" fontId="115" fillId="83" borderId="127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" fillId="0" borderId="134" applyNumberFormat="0" applyFill="0" applyAlignment="0" applyProtection="0"/>
    <xf numFmtId="0" fontId="11" fillId="0" borderId="124" applyNumberFormat="0" applyFill="0" applyAlignment="0" applyProtection="0"/>
    <xf numFmtId="0" fontId="4" fillId="28" borderId="112" applyNumberFormat="0" applyFont="0" applyAlignment="0" applyProtection="0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134" fillId="79" borderId="120"/>
    <xf numFmtId="10" fontId="12" fillId="88" borderId="115" applyNumberFormat="0" applyBorder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115" fillId="92" borderId="127"/>
    <xf numFmtId="0" fontId="134" fillId="79" borderId="140"/>
    <xf numFmtId="0" fontId="122" fillId="83" borderId="137"/>
    <xf numFmtId="0" fontId="31" fillId="24" borderId="121" applyNumberFormat="0" applyAlignment="0" applyProtection="0"/>
    <xf numFmtId="2" fontId="4" fillId="0" borderId="116" applyNumberFormat="0" applyFont="0" applyFill="0" applyAlignment="0"/>
    <xf numFmtId="0" fontId="134" fillId="79" borderId="140"/>
    <xf numFmtId="0" fontId="31" fillId="24" borderId="141" applyNumberFormat="0" applyAlignment="0" applyProtection="0"/>
    <xf numFmtId="0" fontId="31" fillId="24" borderId="121" applyNumberFormat="0" applyAlignment="0" applyProtection="0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5" fillId="92" borderId="137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115" fillId="83" borderId="137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37" fontId="111" fillId="24" borderId="118"/>
    <xf numFmtId="0" fontId="40" fillId="24" borderId="133" applyNumberFormat="0" applyAlignment="0" applyProtection="0"/>
    <xf numFmtId="10" fontId="130" fillId="0" borderId="149" applyFont="0" applyAlignment="0">
      <protection locked="0"/>
    </xf>
    <xf numFmtId="0" fontId="122" fillId="83" borderId="127"/>
    <xf numFmtId="0" fontId="5" fillId="0" borderId="146">
      <alignment horizontal="left" vertical="center"/>
    </xf>
    <xf numFmtId="0" fontId="37" fillId="11" borderId="121" applyNumberForma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0" fontId="4" fillId="28" borderId="122" applyNumberFormat="0" applyFont="0" applyAlignment="0" applyProtection="0"/>
    <xf numFmtId="37" fontId="111" fillId="24" borderId="138"/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115" fillId="92" borderId="137"/>
    <xf numFmtId="0" fontId="110" fillId="0" borderId="146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41" applyNumberFormat="0" applyAlignment="0" applyProtection="0"/>
    <xf numFmtId="0" fontId="31" fillId="24" borderId="111" applyNumberForma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2" fontId="4" fillId="0" borderId="146" applyNumberFormat="0" applyFont="0" applyFill="0" applyAlignment="0"/>
    <xf numFmtId="10" fontId="130" fillId="0" borderId="129" applyFont="0" applyAlignment="0">
      <protection locked="0"/>
    </xf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31" fillId="0" borderId="127"/>
    <xf numFmtId="0" fontId="11" fillId="0" borderId="134" applyNumberFormat="0" applyFill="0" applyAlignment="0" applyProtection="0"/>
    <xf numFmtId="2" fontId="4" fillId="0" borderId="116" applyNumberFormat="0" applyFont="0" applyFill="0" applyAlignment="0"/>
    <xf numFmtId="0" fontId="115" fillId="92" borderId="117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131" fillId="0" borderId="137"/>
    <xf numFmtId="0" fontId="122" fillId="83" borderId="147"/>
    <xf numFmtId="0" fontId="40" fillId="24" borderId="123" applyNumberForma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11" fillId="0" borderId="134" applyNumberFormat="0" applyFill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11" fillId="0" borderId="134" applyNumberFormat="0" applyFill="0" applyAlignment="0" applyProtection="0"/>
    <xf numFmtId="0" fontId="40" fillId="24" borderId="143" applyNumberFormat="0" applyAlignment="0" applyProtection="0"/>
    <xf numFmtId="0" fontId="31" fillId="24" borderId="131" applyNumberFormat="0" applyAlignment="0" applyProtection="0"/>
    <xf numFmtId="37" fontId="111" fillId="24" borderId="128"/>
    <xf numFmtId="0" fontId="31" fillId="24" borderId="141" applyNumberFormat="0" applyAlignment="0" applyProtection="0"/>
    <xf numFmtId="0" fontId="31" fillId="24" borderId="121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1" fillId="24" borderId="111" applyNumberFormat="0" applyAlignment="0" applyProtection="0"/>
    <xf numFmtId="0" fontId="31" fillId="24" borderId="121" applyNumberFormat="0" applyAlignment="0" applyProtection="0"/>
    <xf numFmtId="0" fontId="122" fillId="83" borderId="117"/>
    <xf numFmtId="0" fontId="31" fillId="24" borderId="131" applyNumberFormat="0" applyAlignment="0" applyProtection="0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11" fillId="0" borderId="13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131" fillId="0" borderId="127"/>
    <xf numFmtId="0" fontId="37" fillId="11" borderId="14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110" fillId="0" borderId="126"/>
    <xf numFmtId="0" fontId="31" fillId="24" borderId="141" applyNumberFormat="0" applyAlignment="0" applyProtection="0"/>
    <xf numFmtId="0" fontId="4" fillId="28" borderId="132" applyNumberFormat="0" applyFont="0" applyAlignment="0" applyProtection="0"/>
    <xf numFmtId="0" fontId="115" fillId="83" borderId="117"/>
    <xf numFmtId="0" fontId="40" fillId="24" borderId="143" applyNumberFormat="0" applyAlignment="0" applyProtection="0"/>
    <xf numFmtId="0" fontId="37" fillId="11" borderId="131" applyNumberForma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2" fontId="4" fillId="0" borderId="126" applyNumberFormat="0" applyFont="0" applyFill="0" applyAlignment="0"/>
    <xf numFmtId="0" fontId="31" fillId="24" borderId="131" applyNumberFormat="0" applyAlignment="0" applyProtection="0"/>
    <xf numFmtId="0" fontId="31" fillId="24" borderId="141" applyNumberFormat="0" applyAlignment="0" applyProtection="0"/>
    <xf numFmtId="2" fontId="4" fillId="0" borderId="126" applyNumberFormat="0" applyFont="0" applyFill="0" applyAlignment="0"/>
    <xf numFmtId="0" fontId="40" fillId="24" borderId="133" applyNumberFormat="0" applyAlignment="0" applyProtection="0"/>
    <xf numFmtId="0" fontId="40" fillId="24" borderId="113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5" fillId="0" borderId="146">
      <alignment horizontal="left" vertical="center"/>
    </xf>
    <xf numFmtId="0" fontId="37" fillId="11" borderId="121" applyNumberFormat="0" applyAlignment="0" applyProtection="0"/>
    <xf numFmtId="0" fontId="115" fillId="85" borderId="137"/>
    <xf numFmtId="0" fontId="40" fillId="24" borderId="143" applyNumberFormat="0" applyAlignment="0" applyProtection="0"/>
    <xf numFmtId="0" fontId="11" fillId="0" borderId="134" applyNumberFormat="0" applyFill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5" fillId="85" borderId="117"/>
    <xf numFmtId="0" fontId="37" fillId="11" borderId="111" applyNumberFormat="0" applyAlignment="0" applyProtection="0"/>
    <xf numFmtId="0" fontId="134" fillId="79" borderId="120"/>
    <xf numFmtId="0" fontId="134" fillId="79" borderId="120"/>
    <xf numFmtId="0" fontId="4" fillId="28" borderId="14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22" applyNumberFormat="0" applyFont="0" applyAlignment="0" applyProtection="0"/>
    <xf numFmtId="0" fontId="37" fillId="11" borderId="141" applyNumberFormat="0" applyAlignment="0" applyProtection="0"/>
    <xf numFmtId="0" fontId="110" fillId="0" borderId="136"/>
    <xf numFmtId="0" fontId="115" fillId="0" borderId="117"/>
    <xf numFmtId="0" fontId="4" fillId="28" borderId="112" applyNumberFormat="0" applyFont="0" applyAlignment="0" applyProtection="0"/>
    <xf numFmtId="0" fontId="115" fillId="83" borderId="127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1" fillId="24" borderId="141" applyNumberFormat="0" applyAlignment="0" applyProtection="0"/>
    <xf numFmtId="0" fontId="37" fillId="11" borderId="111" applyNumberFormat="0" applyAlignment="0" applyProtection="0"/>
    <xf numFmtId="37" fontId="111" fillId="24" borderId="148"/>
    <xf numFmtId="0" fontId="4" fillId="28" borderId="142" applyNumberFormat="0" applyFont="0" applyAlignment="0" applyProtection="0"/>
    <xf numFmtId="0" fontId="40" fillId="24" borderId="123" applyNumberFormat="0" applyAlignment="0" applyProtection="0"/>
    <xf numFmtId="0" fontId="11" fillId="0" borderId="144" applyNumberFormat="0" applyFill="0" applyAlignment="0" applyProtection="0"/>
    <xf numFmtId="0" fontId="122" fillId="83" borderId="137"/>
    <xf numFmtId="0" fontId="11" fillId="0" borderId="134" applyNumberFormat="0" applyFill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31" applyNumberFormat="0" applyAlignment="0" applyProtection="0"/>
    <xf numFmtId="0" fontId="37" fillId="11" borderId="121" applyNumberFormat="0" applyAlignment="0" applyProtection="0"/>
    <xf numFmtId="0" fontId="37" fillId="11" borderId="131" applyNumberFormat="0" applyAlignment="0" applyProtection="0"/>
    <xf numFmtId="0" fontId="115" fillId="83" borderId="127"/>
    <xf numFmtId="0" fontId="37" fillId="11" borderId="131" applyNumberFormat="0" applyAlignment="0" applyProtection="0"/>
    <xf numFmtId="0" fontId="40" fillId="24" borderId="123" applyNumberFormat="0" applyAlignment="0" applyProtection="0"/>
    <xf numFmtId="0" fontId="115" fillId="83" borderId="127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41" applyNumberFormat="0" applyAlignment="0" applyProtection="0"/>
    <xf numFmtId="2" fontId="4" fillId="0" borderId="136" applyNumberFormat="0" applyFont="0" applyFill="0" applyAlignment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4" fillId="28" borderId="132" applyNumberFormat="0" applyFont="0" applyAlignment="0" applyProtection="0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0" fontId="115" fillId="83" borderId="127"/>
    <xf numFmtId="0" fontId="4" fillId="28" borderId="142" applyNumberFormat="0" applyFont="0" applyAlignment="0" applyProtection="0"/>
    <xf numFmtId="37" fontId="111" fillId="24" borderId="128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5" fillId="0" borderId="137"/>
    <xf numFmtId="0" fontId="31" fillId="24" borderId="131" applyNumberFormat="0" applyAlignment="0" applyProtection="0"/>
    <xf numFmtId="0" fontId="11" fillId="0" borderId="124" applyNumberFormat="0" applyFill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31" fillId="24" borderId="111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10" fontId="130" fillId="0" borderId="119" applyFont="0" applyAlignment="0">
      <protection locked="0"/>
    </xf>
    <xf numFmtId="0" fontId="37" fillId="11" borderId="131" applyNumberFormat="0" applyAlignment="0" applyProtection="0"/>
    <xf numFmtId="0" fontId="31" fillId="24" borderId="121" applyNumberFormat="0" applyAlignment="0" applyProtection="0"/>
    <xf numFmtId="0" fontId="115" fillId="0" borderId="137"/>
    <xf numFmtId="37" fontId="111" fillId="24" borderId="128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7" fillId="11" borderId="131" applyNumberFormat="0" applyAlignment="0" applyProtection="0"/>
    <xf numFmtId="0" fontId="11" fillId="0" borderId="114" applyNumberFormat="0" applyFill="0" applyAlignment="0" applyProtection="0"/>
    <xf numFmtId="0" fontId="4" fillId="28" borderId="122" applyNumberFormat="0" applyFont="0" applyAlignment="0" applyProtection="0"/>
    <xf numFmtId="0" fontId="37" fillId="11" borderId="141" applyNumberFormat="0" applyAlignment="0" applyProtection="0"/>
    <xf numFmtId="0" fontId="40" fillId="24" borderId="113" applyNumberFormat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11" fillId="0" borderId="114" applyNumberFormat="0" applyFill="0" applyAlignment="0" applyProtection="0"/>
    <xf numFmtId="0" fontId="115" fillId="83" borderId="137"/>
    <xf numFmtId="0" fontId="4" fillId="28" borderId="122" applyNumberFormat="0" applyFont="0" applyAlignment="0" applyProtection="0"/>
    <xf numFmtId="0" fontId="37" fillId="11" borderId="111" applyNumberFormat="0" applyAlignment="0" applyProtection="0"/>
    <xf numFmtId="0" fontId="37" fillId="11" borderId="121" applyNumberFormat="0" applyAlignment="0" applyProtection="0"/>
    <xf numFmtId="0" fontId="11" fillId="0" borderId="134" applyNumberFormat="0" applyFill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0" fillId="24" borderId="133" applyNumberFormat="0" applyAlignment="0" applyProtection="0"/>
    <xf numFmtId="0" fontId="11" fillId="0" borderId="124" applyNumberFormat="0" applyFill="0" applyAlignment="0" applyProtection="0"/>
    <xf numFmtId="0" fontId="40" fillId="24" borderId="113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37" fillId="11" borderId="111" applyNumberFormat="0" applyAlignment="0" applyProtection="0"/>
    <xf numFmtId="0" fontId="11" fillId="0" borderId="144" applyNumberFormat="0" applyFill="0" applyAlignment="0" applyProtection="0"/>
    <xf numFmtId="0" fontId="115" fillId="0" borderId="137"/>
    <xf numFmtId="0" fontId="110" fillId="0" borderId="126"/>
    <xf numFmtId="0" fontId="40" fillId="24" borderId="123" applyNumberFormat="0" applyAlignment="0" applyProtection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37" fillId="11" borderId="111" applyNumberFormat="0" applyAlignment="0" applyProtection="0"/>
    <xf numFmtId="0" fontId="4" fillId="28" borderId="142" applyNumberFormat="0" applyFon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37" fillId="11" borderId="121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115" fillId="0" borderId="137"/>
    <xf numFmtId="0" fontId="4" fillId="28" borderId="132" applyNumberFormat="0" applyFont="0" applyAlignment="0" applyProtection="0"/>
    <xf numFmtId="0" fontId="40" fillId="24" borderId="143" applyNumberFormat="0" applyAlignment="0" applyProtection="0"/>
    <xf numFmtId="0" fontId="110" fillId="0" borderId="146"/>
    <xf numFmtId="0" fontId="122" fillId="83" borderId="127"/>
    <xf numFmtId="0" fontId="4" fillId="28" borderId="132" applyNumberFormat="0" applyFont="0" applyAlignment="0" applyProtection="0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11" fillId="0" borderId="134" applyNumberFormat="0" applyFill="0" applyAlignment="0" applyProtection="0"/>
    <xf numFmtId="0" fontId="40" fillId="24" borderId="113" applyNumberFormat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110" fillId="0" borderId="116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37" fillId="11" borderId="121" applyNumberFormat="0" applyAlignment="0" applyProtection="0"/>
    <xf numFmtId="0" fontId="31" fillId="24" borderId="141" applyNumberFormat="0" applyAlignment="0" applyProtection="0"/>
    <xf numFmtId="0" fontId="11" fillId="0" borderId="12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0" fillId="24" borderId="123" applyNumberFormat="0" applyAlignment="0" applyProtection="0"/>
    <xf numFmtId="0" fontId="134" fillId="79" borderId="120"/>
    <xf numFmtId="0" fontId="37" fillId="11" borderId="111" applyNumberFormat="0" applyAlignment="0" applyProtection="0"/>
    <xf numFmtId="0" fontId="110" fillId="0" borderId="146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37" fillId="11" borderId="131" applyNumberFormat="0" applyAlignment="0" applyProtection="0"/>
    <xf numFmtId="0" fontId="115" fillId="0" borderId="127"/>
    <xf numFmtId="0" fontId="40" fillId="24" borderId="113" applyNumberFormat="0" applyAlignment="0" applyProtection="0"/>
    <xf numFmtId="0" fontId="37" fillId="11" borderId="111" applyNumberFormat="0" applyAlignment="0" applyProtection="0"/>
    <xf numFmtId="10" fontId="130" fillId="0" borderId="139" applyFont="0" applyAlignment="0">
      <protection locked="0"/>
    </xf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7" fillId="11" borderId="121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0" fillId="24" borderId="123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5" fillId="92" borderId="117"/>
    <xf numFmtId="10" fontId="130" fillId="0" borderId="119" applyFont="0" applyAlignment="0">
      <protection locked="0"/>
    </xf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115" fillId="83" borderId="117"/>
    <xf numFmtId="0" fontId="40" fillId="24" borderId="113" applyNumberFormat="0" applyAlignment="0" applyProtection="0"/>
    <xf numFmtId="0" fontId="11" fillId="0" borderId="134" applyNumberFormat="0" applyFill="0" applyAlignment="0" applyProtection="0"/>
    <xf numFmtId="0" fontId="4" fillId="28" borderId="122" applyNumberFormat="0" applyFont="0" applyAlignment="0" applyProtection="0"/>
    <xf numFmtId="0" fontId="31" fillId="24" borderId="111" applyNumberFormat="0" applyAlignment="0" applyProtection="0"/>
    <xf numFmtId="0" fontId="40" fillId="24" borderId="133" applyNumberFormat="0" applyAlignment="0" applyProtection="0"/>
    <xf numFmtId="37" fontId="111" fillId="24" borderId="118"/>
    <xf numFmtId="10" fontId="12" fillId="88" borderId="115" applyNumberFormat="0" applyBorder="0" applyAlignment="0" applyProtection="0"/>
    <xf numFmtId="0" fontId="40" fillId="24" borderId="133" applyNumberFormat="0" applyAlignment="0" applyProtection="0"/>
    <xf numFmtId="0" fontId="11" fillId="0" borderId="124" applyNumberFormat="0" applyFill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115" fillId="85" borderId="137"/>
    <xf numFmtId="0" fontId="115" fillId="83" borderId="137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11" fillId="0" borderId="134" applyNumberFormat="0" applyFill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10" fontId="130" fillId="0" borderId="129" applyFont="0" applyAlignment="0">
      <protection locked="0"/>
    </xf>
    <xf numFmtId="0" fontId="37" fillId="11" borderId="121" applyNumberFormat="0" applyAlignment="0" applyProtection="0"/>
    <xf numFmtId="0" fontId="37" fillId="11" borderId="121" applyNumberFormat="0" applyAlignment="0" applyProtection="0"/>
    <xf numFmtId="10" fontId="130" fillId="0" borderId="139" applyFont="0" applyAlignment="0">
      <protection locked="0"/>
    </xf>
    <xf numFmtId="0" fontId="40" fillId="24" borderId="133" applyNumberFormat="0" applyAlignment="0" applyProtection="0"/>
    <xf numFmtId="10" fontId="130" fillId="0" borderId="149" applyFont="0" applyAlignment="0">
      <protection locked="0"/>
    </xf>
    <xf numFmtId="0" fontId="40" fillId="24" borderId="143" applyNumberFormat="0" applyAlignment="0" applyProtection="0"/>
    <xf numFmtId="0" fontId="31" fillId="24" borderId="121" applyNumberFormat="0" applyAlignment="0" applyProtection="0"/>
    <xf numFmtId="0" fontId="40" fillId="24" borderId="143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115" fillId="85" borderId="137"/>
    <xf numFmtId="0" fontId="11" fillId="0" borderId="124" applyNumberFormat="0" applyFill="0" applyAlignment="0" applyProtection="0"/>
    <xf numFmtId="0" fontId="40" fillId="24" borderId="133" applyNumberFormat="0" applyAlignment="0" applyProtection="0"/>
    <xf numFmtId="2" fontId="4" fillId="0" borderId="126" applyNumberFormat="0" applyFont="0" applyFill="0" applyAlignment="0"/>
    <xf numFmtId="0" fontId="11" fillId="0" borderId="124" applyNumberFormat="0" applyFill="0" applyAlignment="0" applyProtection="0"/>
    <xf numFmtId="0" fontId="5" fillId="0" borderId="136">
      <alignment horizontal="left" vertical="center"/>
    </xf>
    <xf numFmtId="0" fontId="37" fillId="11" borderId="131" applyNumberFormat="0" applyAlignment="0" applyProtection="0"/>
    <xf numFmtId="2" fontId="4" fillId="0" borderId="126" applyNumberFormat="0" applyFont="0" applyFill="0" applyAlignment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0" fontId="131" fillId="0" borderId="147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0" fontId="110" fillId="0" borderId="136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10" fontId="12" fillId="88" borderId="115" applyNumberFormat="0" applyBorder="0" applyAlignment="0" applyProtection="0"/>
    <xf numFmtId="0" fontId="11" fillId="0" borderId="144" applyNumberFormat="0" applyFill="0" applyAlignment="0" applyProtection="0"/>
    <xf numFmtId="0" fontId="115" fillId="0" borderId="127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5" fillId="0" borderId="147"/>
    <xf numFmtId="0" fontId="37" fillId="11" borderId="121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24" applyNumberFormat="0" applyFill="0" applyAlignment="0" applyProtection="0"/>
    <xf numFmtId="0" fontId="37" fillId="11" borderId="141" applyNumberFormat="0" applyAlignment="0" applyProtection="0"/>
    <xf numFmtId="0" fontId="4" fillId="28" borderId="132" applyNumberFormat="0" applyFont="0" applyAlignment="0" applyProtection="0"/>
    <xf numFmtId="0" fontId="122" fillId="83" borderId="127"/>
    <xf numFmtId="0" fontId="31" fillId="24" borderId="141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37" fillId="11" borderId="141" applyNumberFormat="0" applyAlignment="0" applyProtection="0"/>
    <xf numFmtId="0" fontId="131" fillId="0" borderId="147"/>
    <xf numFmtId="0" fontId="11" fillId="0" borderId="114" applyNumberFormat="0" applyFill="0" applyAlignment="0" applyProtection="0"/>
    <xf numFmtId="0" fontId="134" fillId="79" borderId="130"/>
    <xf numFmtId="0" fontId="40" fillId="24" borderId="133" applyNumberFormat="0" applyAlignment="0" applyProtection="0"/>
    <xf numFmtId="0" fontId="5" fillId="0" borderId="136">
      <alignment horizontal="left" vertical="center"/>
    </xf>
    <xf numFmtId="0" fontId="37" fillId="11" borderId="131" applyNumberFormat="0" applyAlignment="0" applyProtection="0"/>
    <xf numFmtId="0" fontId="110" fillId="0" borderId="126"/>
    <xf numFmtId="0" fontId="40" fillId="24" borderId="123" applyNumberFormat="0" applyAlignment="0" applyProtection="0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0" fontId="115" fillId="85" borderId="147"/>
    <xf numFmtId="0" fontId="11" fillId="0" borderId="124" applyNumberFormat="0" applyFill="0" applyAlignment="0" applyProtection="0"/>
    <xf numFmtId="10" fontId="12" fillId="88" borderId="115" applyNumberFormat="0" applyBorder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0" fillId="24" borderId="133" applyNumberFormat="0" applyAlignment="0" applyProtection="0"/>
    <xf numFmtId="10" fontId="130" fillId="0" borderId="129" applyFont="0" applyAlignment="0">
      <protection locked="0"/>
    </xf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11" fillId="0" borderId="114" applyNumberFormat="0" applyFill="0" applyAlignment="0" applyProtection="0"/>
    <xf numFmtId="0" fontId="37" fillId="11" borderId="141" applyNumberFormat="0" applyAlignment="0" applyProtection="0"/>
    <xf numFmtId="0" fontId="115" fillId="92" borderId="127"/>
    <xf numFmtId="0" fontId="11" fillId="0" borderId="134" applyNumberFormat="0" applyFill="0" applyAlignment="0" applyProtection="0"/>
    <xf numFmtId="2" fontId="4" fillId="0" borderId="146" applyNumberFormat="0" applyFont="0" applyFill="0" applyAlignment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24" applyNumberFormat="0" applyFill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37" fontId="111" fillId="24" borderId="108"/>
    <xf numFmtId="0" fontId="40" fillId="24" borderId="133" applyNumberFormat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122" fillId="83" borderId="117"/>
    <xf numFmtId="0" fontId="37" fillId="11" borderId="111" applyNumberFormat="0" applyAlignment="0" applyProtection="0"/>
    <xf numFmtId="0" fontId="37" fillId="11" borderId="111" applyNumberFormat="0" applyAlignment="0" applyProtection="0"/>
    <xf numFmtId="0" fontId="115" fillId="92" borderId="117"/>
    <xf numFmtId="0" fontId="31" fillId="24" borderId="121" applyNumberForma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115" fillId="92" borderId="147"/>
    <xf numFmtId="0" fontId="122" fillId="83" borderId="147"/>
    <xf numFmtId="0" fontId="5" fillId="0" borderId="116">
      <alignment horizontal="left" vertical="center"/>
    </xf>
    <xf numFmtId="0" fontId="37" fillId="11" borderId="121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2" fontId="4" fillId="0" borderId="106" applyNumberFormat="0" applyFont="0" applyFill="0" applyAlignment="0"/>
    <xf numFmtId="0" fontId="110" fillId="0" borderId="106"/>
    <xf numFmtId="0" fontId="115" fillId="0" borderId="107"/>
    <xf numFmtId="37" fontId="111" fillId="24" borderId="108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115" fillId="92" borderId="107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115" fillId="0" borderId="10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37" fontId="111" fillId="24" borderId="108"/>
    <xf numFmtId="0" fontId="115" fillId="0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5" fillId="85" borderId="107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15" fillId="92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5" fillId="0" borderId="106">
      <alignment horizontal="left" vertical="center"/>
    </xf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1" fillId="24" borderId="111" applyNumberFormat="0" applyAlignment="0" applyProtection="0"/>
    <xf numFmtId="0" fontId="40" fillId="24" borderId="143" applyNumberFormat="0" applyAlignment="0" applyProtection="0"/>
    <xf numFmtId="0" fontId="110" fillId="0" borderId="126"/>
    <xf numFmtId="0" fontId="5" fillId="0" borderId="116">
      <alignment horizontal="left" vertical="center"/>
    </xf>
    <xf numFmtId="0" fontId="31" fillId="24" borderId="14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13" applyNumberFormat="0" applyAlignment="0" applyProtection="0"/>
    <xf numFmtId="0" fontId="37" fillId="11" borderId="121" applyNumberFormat="0" applyAlignment="0" applyProtection="0"/>
    <xf numFmtId="0" fontId="11" fillId="0" borderId="114" applyNumberFormat="0" applyFill="0" applyAlignment="0" applyProtection="0"/>
    <xf numFmtId="0" fontId="11" fillId="0" borderId="134" applyNumberFormat="0" applyFill="0" applyAlignment="0" applyProtection="0"/>
    <xf numFmtId="0" fontId="40" fillId="24" borderId="11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0" fillId="0" borderId="146"/>
    <xf numFmtId="0" fontId="40" fillId="24" borderId="113" applyNumberFormat="0" applyAlignment="0" applyProtection="0"/>
    <xf numFmtId="0" fontId="40" fillId="24" borderId="133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15" fillId="85" borderId="127"/>
    <xf numFmtId="0" fontId="40" fillId="24" borderId="113" applyNumberForma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0" fontId="11" fillId="0" borderId="144" applyNumberFormat="0" applyFill="0" applyAlignment="0" applyProtection="0"/>
    <xf numFmtId="0" fontId="4" fillId="28" borderId="132" applyNumberFormat="0" applyFont="0" applyAlignment="0" applyProtection="0"/>
    <xf numFmtId="0" fontId="40" fillId="24" borderId="123" applyNumberFormat="0" applyAlignment="0" applyProtection="0"/>
    <xf numFmtId="0" fontId="37" fillId="11" borderId="111" applyNumberForma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131" fillId="0" borderId="127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" fillId="28" borderId="122" applyNumberFormat="0" applyFont="0" applyAlignment="0" applyProtection="0"/>
    <xf numFmtId="0" fontId="37" fillId="11" borderId="111" applyNumberFormat="0" applyAlignment="0" applyProtection="0"/>
    <xf numFmtId="0" fontId="31" fillId="24" borderId="121" applyNumberFormat="0" applyAlignment="0" applyProtection="0"/>
    <xf numFmtId="0" fontId="40" fillId="24" borderId="113" applyNumberFormat="0" applyAlignment="0" applyProtection="0"/>
    <xf numFmtId="37" fontId="111" fillId="24" borderId="138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4" fillId="28" borderId="112" applyNumberFormat="0" applyFont="0" applyAlignment="0" applyProtection="0"/>
    <xf numFmtId="0" fontId="40" fillId="24" borderId="143" applyNumberFormat="0" applyAlignment="0" applyProtection="0"/>
    <xf numFmtId="0" fontId="11" fillId="0" borderId="124" applyNumberFormat="0" applyFill="0" applyAlignment="0" applyProtection="0"/>
    <xf numFmtId="0" fontId="40" fillId="24" borderId="133" applyNumberFormat="0" applyAlignment="0" applyProtection="0"/>
    <xf numFmtId="0" fontId="11" fillId="0" borderId="114" applyNumberFormat="0" applyFill="0" applyAlignment="0" applyProtection="0"/>
    <xf numFmtId="10" fontId="130" fillId="0" borderId="139" applyFont="0" applyAlignment="0">
      <protection locked="0"/>
    </xf>
    <xf numFmtId="0" fontId="31" fillId="24" borderId="111" applyNumberFormat="0" applyAlignment="0" applyProtection="0"/>
    <xf numFmtId="0" fontId="31" fillId="24" borderId="131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5" fillId="0" borderId="106">
      <alignment horizontal="left" vertical="center"/>
    </xf>
    <xf numFmtId="0" fontId="37" fillId="11" borderId="131" applyNumberFormat="0" applyAlignment="0" applyProtection="0"/>
    <xf numFmtId="0" fontId="31" fillId="24" borderId="121" applyNumberFormat="0" applyAlignment="0" applyProtection="0"/>
    <xf numFmtId="0" fontId="131" fillId="0" borderId="127"/>
    <xf numFmtId="0" fontId="4" fillId="28" borderId="112" applyNumberFormat="0" applyFont="0" applyAlignment="0" applyProtection="0"/>
    <xf numFmtId="0" fontId="122" fillId="83" borderId="127"/>
    <xf numFmtId="0" fontId="115" fillId="0" borderId="127"/>
    <xf numFmtId="0" fontId="115" fillId="0" borderId="127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1" fillId="24" borderId="131" applyNumberFormat="0" applyAlignment="0" applyProtection="0"/>
    <xf numFmtId="0" fontId="37" fillId="11" borderId="111" applyNumberFormat="0" applyAlignment="0" applyProtection="0"/>
    <xf numFmtId="0" fontId="11" fillId="0" borderId="144" applyNumberFormat="0" applyFill="0" applyAlignment="0" applyProtection="0"/>
    <xf numFmtId="0" fontId="37" fillId="11" borderId="101" applyNumberFormat="0" applyAlignment="0" applyProtection="0"/>
    <xf numFmtId="0" fontId="11" fillId="0" borderId="134" applyNumberFormat="0" applyFill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5" fillId="0" borderId="146">
      <alignment horizontal="left" vertical="center"/>
    </xf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34" fillId="79" borderId="140"/>
    <xf numFmtId="0" fontId="4" fillId="28" borderId="132" applyNumberFormat="0" applyFont="0" applyAlignment="0" applyProtection="0"/>
    <xf numFmtId="0" fontId="115" fillId="83" borderId="117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10" fontId="130" fillId="0" borderId="119" applyFont="0" applyAlignment="0">
      <protection locked="0"/>
    </xf>
    <xf numFmtId="0" fontId="37" fillId="11" borderId="121" applyNumberFormat="0" applyAlignment="0" applyProtection="0"/>
    <xf numFmtId="0" fontId="115" fillId="0" borderId="127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7" fillId="11" borderId="121" applyNumberFormat="0" applyAlignment="0" applyProtection="0"/>
    <xf numFmtId="37" fontId="111" fillId="24" borderId="128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11" fillId="0" borderId="134" applyNumberFormat="0" applyFill="0" applyAlignment="0" applyProtection="0"/>
    <xf numFmtId="0" fontId="40" fillId="24" borderId="143" applyNumberFormat="0" applyAlignment="0" applyProtection="0"/>
    <xf numFmtId="10" fontId="130" fillId="0" borderId="129" applyFont="0" applyAlignment="0">
      <protection locked="0"/>
    </xf>
    <xf numFmtId="0" fontId="11" fillId="0" borderId="114" applyNumberFormat="0" applyFill="0" applyAlignment="0" applyProtection="0"/>
    <xf numFmtId="0" fontId="40" fillId="24" borderId="13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37" fontId="111" fillId="24" borderId="118"/>
    <xf numFmtId="0" fontId="4" fillId="28" borderId="132" applyNumberFormat="0" applyFont="0" applyAlignment="0" applyProtection="0"/>
    <xf numFmtId="0" fontId="5" fillId="0" borderId="126">
      <alignment horizontal="left" vertical="center"/>
    </xf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37" fillId="11" borderId="111" applyNumberFormat="0" applyAlignment="0" applyProtection="0"/>
    <xf numFmtId="0" fontId="37" fillId="11" borderId="141" applyNumberFormat="0" applyAlignment="0" applyProtection="0"/>
    <xf numFmtId="0" fontId="4" fillId="28" borderId="13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" fillId="0" borderId="124" applyNumberFormat="0" applyFill="0" applyAlignment="0" applyProtection="0"/>
    <xf numFmtId="10" fontId="130" fillId="0" borderId="149" applyFont="0" applyAlignment="0">
      <protection locked="0"/>
    </xf>
    <xf numFmtId="0" fontId="31" fillId="24" borderId="121" applyNumberFormat="0" applyAlignment="0" applyProtection="0"/>
    <xf numFmtId="0" fontId="4" fillId="28" borderId="122" applyNumberFormat="0" applyFont="0" applyAlignment="0" applyProtection="0"/>
    <xf numFmtId="0" fontId="37" fillId="11" borderId="101" applyNumberFormat="0" applyAlignment="0" applyProtection="0"/>
    <xf numFmtId="10" fontId="130" fillId="0" borderId="119" applyFont="0" applyAlignment="0">
      <protection locked="0"/>
    </xf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115" fillId="83" borderId="147"/>
    <xf numFmtId="2" fontId="4" fillId="0" borderId="106" applyNumberFormat="0" applyFont="0" applyFill="0" applyAlignment="0"/>
    <xf numFmtId="0" fontId="110" fillId="0" borderId="106"/>
    <xf numFmtId="0" fontId="115" fillId="0" borderId="107"/>
    <xf numFmtId="0" fontId="4" fillId="28" borderId="102" applyNumberFormat="0" applyFont="0" applyAlignment="0" applyProtection="0"/>
    <xf numFmtId="0" fontId="11" fillId="0" borderId="114" applyNumberFormat="0" applyFill="0" applyAlignment="0" applyProtection="0"/>
    <xf numFmtId="0" fontId="4" fillId="28" borderId="122" applyNumberFormat="0" applyFont="0" applyAlignment="0" applyProtection="0"/>
    <xf numFmtId="0" fontId="115" fillId="0" borderId="117"/>
    <xf numFmtId="0" fontId="11" fillId="0" borderId="124" applyNumberFormat="0" applyFill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11" fillId="0" borderId="104" applyNumberFormat="0" applyFill="0" applyAlignment="0" applyProtection="0"/>
    <xf numFmtId="0" fontId="4" fillId="28" borderId="142" applyNumberFormat="0" applyFont="0" applyAlignment="0" applyProtection="0"/>
    <xf numFmtId="0" fontId="115" fillId="92" borderId="147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10" fontId="130" fillId="0" borderId="129" applyFont="0" applyAlignment="0">
      <protection locked="0"/>
    </xf>
    <xf numFmtId="0" fontId="37" fillId="11" borderId="131" applyNumberForma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1" fillId="24" borderId="121" applyNumberFormat="0" applyAlignment="0" applyProtection="0"/>
    <xf numFmtId="0" fontId="4" fillId="28" borderId="112" applyNumberFormat="0" applyFont="0" applyAlignment="0" applyProtection="0"/>
    <xf numFmtId="0" fontId="4" fillId="28" borderId="132" applyNumberFormat="0" applyFont="0" applyAlignment="0" applyProtection="0"/>
    <xf numFmtId="0" fontId="11" fillId="0" borderId="114" applyNumberFormat="0" applyFill="0" applyAlignment="0" applyProtection="0"/>
    <xf numFmtId="0" fontId="5" fillId="0" borderId="126">
      <alignment horizontal="left" vertical="center"/>
    </xf>
    <xf numFmtId="0" fontId="31" fillId="24" borderId="111" applyNumberForma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2" fontId="4" fillId="0" borderId="116" applyNumberFormat="0" applyFont="0" applyFill="0" applyAlignment="0"/>
    <xf numFmtId="0" fontId="110" fillId="0" borderId="116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40" fillId="24" borderId="123" applyNumberFormat="0" applyAlignment="0" applyProtection="0"/>
    <xf numFmtId="0" fontId="31" fillId="24" borderId="14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37" fontId="111" fillId="24" borderId="108"/>
    <xf numFmtId="0" fontId="37" fillId="11" borderId="101" applyNumberFormat="0" applyAlignment="0" applyProtection="0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40" fillId="24" borderId="133" applyNumberFormat="0" applyAlignment="0" applyProtection="0"/>
    <xf numFmtId="0" fontId="115" fillId="92" borderId="127"/>
    <xf numFmtId="0" fontId="31" fillId="24" borderId="121" applyNumberFormat="0" applyAlignment="0" applyProtection="0"/>
    <xf numFmtId="0" fontId="11" fillId="0" borderId="144" applyNumberFormat="0" applyFill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115" fillId="0" borderId="127"/>
    <xf numFmtId="0" fontId="40" fillId="24" borderId="113" applyNumberFormat="0" applyAlignment="0" applyProtection="0"/>
    <xf numFmtId="0" fontId="5" fillId="0" borderId="116">
      <alignment horizontal="left" vertical="center"/>
    </xf>
    <xf numFmtId="0" fontId="4" fillId="28" borderId="132" applyNumberFormat="0" applyFont="0" applyAlignment="0" applyProtection="0"/>
    <xf numFmtId="0" fontId="115" fillId="83" borderId="147"/>
    <xf numFmtId="0" fontId="31" fillId="24" borderId="121" applyNumberFormat="0" applyAlignment="0" applyProtection="0"/>
    <xf numFmtId="37" fontId="111" fillId="24" borderId="128"/>
    <xf numFmtId="0" fontId="40" fillId="24" borderId="103" applyNumberForma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44" applyNumberFormat="0" applyFill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131" fillId="0" borderId="127"/>
    <xf numFmtId="0" fontId="5" fillId="0" borderId="136">
      <alignment horizontal="left" vertical="center"/>
    </xf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44" applyNumberFormat="0" applyFill="0" applyAlignment="0" applyProtection="0"/>
    <xf numFmtId="0" fontId="40" fillId="24" borderId="123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5" fillId="0" borderId="136">
      <alignment horizontal="left" vertical="center"/>
    </xf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2" fontId="4" fillId="0" borderId="146" applyNumberFormat="0" applyFont="0" applyFill="0" applyAlignment="0"/>
    <xf numFmtId="0" fontId="37" fillId="11" borderId="121" applyNumberFormat="0" applyAlignment="0" applyProtection="0"/>
    <xf numFmtId="0" fontId="31" fillId="24" borderId="121" applyNumberFormat="0" applyAlignment="0" applyProtection="0"/>
    <xf numFmtId="37" fontId="111" fillId="24" borderId="148"/>
    <xf numFmtId="0" fontId="37" fillId="11" borderId="101" applyNumberFormat="0" applyAlignment="0" applyProtection="0"/>
    <xf numFmtId="0" fontId="37" fillId="11" borderId="101" applyNumberFormat="0" applyAlignment="0" applyProtection="0"/>
    <xf numFmtId="2" fontId="4" fillId="0" borderId="146" applyNumberFormat="0" applyFont="0" applyFill="0" applyAlignment="0"/>
    <xf numFmtId="0" fontId="134" fillId="79" borderId="12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37" fillId="11" borderId="121" applyNumberFormat="0" applyAlignment="0" applyProtection="0"/>
    <xf numFmtId="0" fontId="11" fillId="0" borderId="10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41" applyNumberFormat="0" applyAlignment="0" applyProtection="0"/>
    <xf numFmtId="0" fontId="4" fillId="28" borderId="132" applyNumberFormat="0" applyFont="0" applyAlignment="0" applyProtection="0"/>
    <xf numFmtId="0" fontId="31" fillId="24" borderId="141" applyNumberFormat="0" applyAlignment="0" applyProtection="0"/>
    <xf numFmtId="0" fontId="134" fillId="79" borderId="130"/>
    <xf numFmtId="0" fontId="40" fillId="24" borderId="123" applyNumberFormat="0" applyAlignment="0" applyProtection="0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131" fillId="0" borderId="117"/>
    <xf numFmtId="0" fontId="31" fillId="24" borderId="141" applyNumberFormat="0" applyAlignment="0" applyProtection="0"/>
    <xf numFmtId="0" fontId="5" fillId="0" borderId="116">
      <alignment horizontal="left" vertical="center"/>
    </xf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37" fillId="11" borderId="131" applyNumberFormat="0" applyAlignment="0" applyProtection="0"/>
    <xf numFmtId="0" fontId="11" fillId="0" borderId="134" applyNumberFormat="0" applyFill="0" applyAlignment="0" applyProtection="0"/>
    <xf numFmtId="0" fontId="115" fillId="92" borderId="137"/>
    <xf numFmtId="0" fontId="110" fillId="0" borderId="126"/>
    <xf numFmtId="0" fontId="11" fillId="0" borderId="124" applyNumberFormat="0" applyFill="0" applyAlignment="0" applyProtection="0"/>
    <xf numFmtId="0" fontId="40" fillId="24" borderId="113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21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122" fillId="83" borderId="147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37" fillId="11" borderId="131" applyNumberFormat="0" applyAlignment="0" applyProtection="0"/>
    <xf numFmtId="0" fontId="115" fillId="92" borderId="107"/>
    <xf numFmtId="0" fontId="40" fillId="24" borderId="133" applyNumberFormat="0" applyAlignment="0" applyProtection="0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5" fillId="0" borderId="107"/>
    <xf numFmtId="10" fontId="130" fillId="0" borderId="119" applyFont="0" applyAlignment="0">
      <protection locked="0"/>
    </xf>
    <xf numFmtId="0" fontId="115" fillId="0" borderId="127"/>
    <xf numFmtId="0" fontId="31" fillId="24" borderId="111" applyNumberFormat="0" applyAlignment="0" applyProtection="0"/>
    <xf numFmtId="0" fontId="115" fillId="83" borderId="117"/>
    <xf numFmtId="10" fontId="12" fillId="88" borderId="115" applyNumberFormat="0" applyBorder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0" fillId="24" borderId="133" applyNumberFormat="0" applyAlignment="0" applyProtection="0"/>
    <xf numFmtId="37" fontId="111" fillId="24" borderId="118"/>
    <xf numFmtId="0" fontId="40" fillId="24" borderId="113" applyNumberFormat="0" applyAlignment="0" applyProtection="0"/>
    <xf numFmtId="0" fontId="134" fillId="79" borderId="150"/>
    <xf numFmtId="0" fontId="31" fillId="24" borderId="141" applyNumberFormat="0" applyAlignment="0" applyProtection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21" applyNumberFormat="0" applyAlignment="0" applyProtection="0"/>
    <xf numFmtId="2" fontId="4" fillId="0" borderId="116" applyNumberFormat="0" applyFont="0" applyFill="0" applyAlignment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40" fillId="24" borderId="143" applyNumberFormat="0" applyAlignment="0" applyProtection="0"/>
    <xf numFmtId="0" fontId="115" fillId="83" borderId="147"/>
    <xf numFmtId="0" fontId="31" fillId="24" borderId="141" applyNumberFormat="0" applyAlignment="0" applyProtection="0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10" fontId="130" fillId="0" borderId="129" applyFont="0" applyAlignment="0">
      <protection locked="0"/>
    </xf>
    <xf numFmtId="0" fontId="11" fillId="0" borderId="134" applyNumberFormat="0" applyFill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0" fillId="24" borderId="123" applyNumberForma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134" fillId="79" borderId="13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4" fillId="28" borderId="142" applyNumberFormat="0" applyFont="0" applyAlignment="0" applyProtection="0"/>
    <xf numFmtId="0" fontId="40" fillId="24" borderId="113" applyNumberFormat="0" applyAlignment="0" applyProtection="0"/>
    <xf numFmtId="0" fontId="37" fillId="11" borderId="131" applyNumberFormat="0" applyAlignment="0" applyProtection="0"/>
    <xf numFmtId="2" fontId="4" fillId="0" borderId="126" applyNumberFormat="0" applyFont="0" applyFill="0" applyAlignment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11" fillId="0" borderId="124" applyNumberFormat="0" applyFill="0" applyAlignment="0" applyProtection="0"/>
    <xf numFmtId="0" fontId="115" fillId="83" borderId="127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14" applyNumberFormat="0" applyFill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134" fillId="79" borderId="120"/>
    <xf numFmtId="0" fontId="31" fillId="24" borderId="121" applyNumberFormat="0" applyAlignment="0" applyProtection="0"/>
    <xf numFmtId="0" fontId="122" fillId="83" borderId="137"/>
    <xf numFmtId="0" fontId="37" fillId="11" borderId="131" applyNumberFormat="0" applyAlignment="0" applyProtection="0"/>
    <xf numFmtId="0" fontId="11" fillId="0" borderId="124" applyNumberFormat="0" applyFill="0" applyAlignment="0" applyProtection="0"/>
    <xf numFmtId="0" fontId="37" fillId="11" borderId="111" applyNumberFormat="0" applyAlignment="0" applyProtection="0"/>
    <xf numFmtId="0" fontId="31" fillId="24" borderId="121" applyNumberFormat="0" applyAlignment="0" applyProtection="0"/>
    <xf numFmtId="0" fontId="110" fillId="0" borderId="146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31" fillId="0" borderId="117"/>
    <xf numFmtId="0" fontId="40" fillId="24" borderId="123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37" fontId="111" fillId="24" borderId="118"/>
    <xf numFmtId="37" fontId="111" fillId="24" borderId="148"/>
    <xf numFmtId="0" fontId="31" fillId="24" borderId="141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1" fillId="24" borderId="141" applyNumberFormat="0" applyAlignment="0" applyProtection="0"/>
    <xf numFmtId="0" fontId="40" fillId="24" borderId="113" applyNumberFormat="0" applyAlignment="0" applyProtection="0"/>
    <xf numFmtId="0" fontId="5" fillId="0" borderId="126">
      <alignment horizontal="left" vertical="center"/>
    </xf>
    <xf numFmtId="0" fontId="4" fillId="28" borderId="112" applyNumberFormat="0" applyFont="0" applyAlignment="0" applyProtection="0"/>
    <xf numFmtId="0" fontId="11" fillId="0" borderId="144" applyNumberFormat="0" applyFill="0" applyAlignment="0" applyProtection="0"/>
    <xf numFmtId="0" fontId="11" fillId="0" borderId="114" applyNumberFormat="0" applyFill="0" applyAlignment="0" applyProtection="0"/>
    <xf numFmtId="0" fontId="5" fillId="0" borderId="146">
      <alignment horizontal="left" vertical="center"/>
    </xf>
    <xf numFmtId="0" fontId="37" fillId="11" borderId="131" applyNumberFormat="0" applyAlignment="0" applyProtection="0"/>
    <xf numFmtId="0" fontId="5" fillId="0" borderId="146">
      <alignment horizontal="left" vertical="center"/>
    </xf>
    <xf numFmtId="0" fontId="37" fillId="11" borderId="111" applyNumberFormat="0" applyAlignment="0" applyProtection="0"/>
    <xf numFmtId="37" fontId="111" fillId="24" borderId="108"/>
    <xf numFmtId="0" fontId="115" fillId="0" borderId="107"/>
    <xf numFmtId="0" fontId="115" fillId="83" borderId="117"/>
    <xf numFmtId="0" fontId="31" fillId="24" borderId="111" applyNumberFormat="0" applyAlignment="0" applyProtection="0"/>
    <xf numFmtId="0" fontId="31" fillId="24" borderId="131" applyNumberFormat="0" applyAlignment="0" applyProtection="0"/>
    <xf numFmtId="0" fontId="40" fillId="24" borderId="113" applyNumberFormat="0" applyAlignment="0" applyProtection="0"/>
    <xf numFmtId="37" fontId="111" fillId="24" borderId="148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7" fillId="11" borderId="111" applyNumberFormat="0" applyAlignment="0" applyProtection="0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0" fontId="115" fillId="85" borderId="12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2" fontId="4" fillId="0" borderId="136" applyNumberFormat="0" applyFont="0" applyFill="0" applyAlignment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" fillId="0" borderId="144" applyNumberFormat="0" applyFill="0" applyAlignment="0" applyProtection="0"/>
    <xf numFmtId="0" fontId="131" fillId="0" borderId="137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10" fontId="130" fillId="0" borderId="149" applyFont="0" applyAlignment="0">
      <protection locked="0"/>
    </xf>
    <xf numFmtId="0" fontId="4" fillId="28" borderId="142" applyNumberFormat="0" applyFon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0" fillId="24" borderId="143" applyNumberFormat="0" applyAlignment="0" applyProtection="0"/>
    <xf numFmtId="0" fontId="37" fillId="11" borderId="131" applyNumberFormat="0" applyAlignment="0" applyProtection="0"/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40" fillId="24" borderId="143" applyNumberFormat="0" applyAlignment="0" applyProtection="0"/>
    <xf numFmtId="0" fontId="131" fillId="0" borderId="127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5" fillId="0" borderId="147"/>
    <xf numFmtId="0" fontId="115" fillId="85" borderId="107"/>
    <xf numFmtId="0" fontId="11" fillId="0" borderId="124" applyNumberFormat="0" applyFill="0" applyAlignment="0" applyProtection="0"/>
    <xf numFmtId="0" fontId="5" fillId="0" borderId="116">
      <alignment horizontal="left" vertical="center"/>
    </xf>
    <xf numFmtId="0" fontId="134" fillId="79" borderId="120"/>
    <xf numFmtId="0" fontId="31" fillId="24" borderId="121" applyNumberFormat="0" applyAlignment="0" applyProtection="0"/>
    <xf numFmtId="0" fontId="115" fillId="83" borderId="127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1" fillId="0" borderId="134" applyNumberFormat="0" applyFill="0" applyAlignment="0" applyProtection="0"/>
    <xf numFmtId="0" fontId="122" fillId="83" borderId="137"/>
    <xf numFmtId="0" fontId="115" fillId="83" borderId="117"/>
    <xf numFmtId="0" fontId="4" fillId="28" borderId="132" applyNumberFormat="0" applyFont="0" applyAlignment="0" applyProtection="0"/>
    <xf numFmtId="0" fontId="37" fillId="11" borderId="111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5" fillId="0" borderId="146">
      <alignment horizontal="left" vertical="center"/>
    </xf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31" applyNumberFormat="0" applyAlignment="0" applyProtection="0"/>
    <xf numFmtId="0" fontId="40" fillId="24" borderId="113" applyNumberFormat="0" applyAlignment="0" applyProtection="0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115" fillId="0" borderId="13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5" fillId="85" borderId="137"/>
    <xf numFmtId="0" fontId="4" fillId="28" borderId="112" applyNumberFormat="0" applyFont="0" applyAlignment="0" applyProtection="0"/>
    <xf numFmtId="37" fontId="111" fillId="24" borderId="148"/>
    <xf numFmtId="0" fontId="4" fillId="28" borderId="132" applyNumberFormat="0" applyFon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5" fillId="0" borderId="116">
      <alignment horizontal="left" vertical="center"/>
    </xf>
    <xf numFmtId="37" fontId="111" fillId="24" borderId="118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0" fillId="24" borderId="123" applyNumberFormat="0" applyAlignment="0" applyProtection="0"/>
    <xf numFmtId="0" fontId="31" fillId="24" borderId="111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0" fillId="0" borderId="116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1" fillId="24" borderId="131" applyNumberFormat="0" applyAlignment="0" applyProtection="0"/>
    <xf numFmtId="0" fontId="11" fillId="0" borderId="134" applyNumberFormat="0" applyFill="0" applyAlignment="0" applyProtection="0"/>
    <xf numFmtId="0" fontId="110" fillId="0" borderId="126"/>
    <xf numFmtId="0" fontId="11" fillId="0" borderId="144" applyNumberFormat="0" applyFill="0" applyAlignment="0" applyProtection="0"/>
    <xf numFmtId="0" fontId="31" fillId="24" borderId="121" applyNumberFormat="0" applyAlignment="0" applyProtection="0"/>
    <xf numFmtId="0" fontId="4" fillId="28" borderId="122" applyNumberFormat="0" applyFont="0" applyAlignment="0" applyProtection="0"/>
    <xf numFmtId="0" fontId="31" fillId="24" borderId="141" applyNumberFormat="0" applyAlignment="0" applyProtection="0"/>
    <xf numFmtId="2" fontId="4" fillId="0" borderId="146" applyNumberFormat="0" applyFont="0" applyFill="0" applyAlignment="0"/>
    <xf numFmtId="0" fontId="31" fillId="24" borderId="141" applyNumberFormat="0" applyAlignment="0" applyProtection="0"/>
    <xf numFmtId="10" fontId="130" fillId="0" borderId="149" applyFont="0" applyAlignment="0">
      <protection locked="0"/>
    </xf>
    <xf numFmtId="0" fontId="40" fillId="24" borderId="143" applyNumberForma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5" fillId="0" borderId="136">
      <alignment horizontal="left" vertical="center"/>
    </xf>
    <xf numFmtId="0" fontId="131" fillId="0" borderId="147"/>
    <xf numFmtId="0" fontId="31" fillId="24" borderId="131" applyNumberFormat="0" applyAlignment="0" applyProtection="0"/>
    <xf numFmtId="0" fontId="11" fillId="0" borderId="134" applyNumberFormat="0" applyFill="0" applyAlignment="0" applyProtection="0"/>
    <xf numFmtId="0" fontId="115" fillId="83" borderId="137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37" fillId="11" borderId="141" applyNumberFormat="0" applyAlignment="0" applyProtection="0"/>
    <xf numFmtId="0" fontId="31" fillId="24" borderId="121" applyNumberFormat="0" applyAlignment="0" applyProtection="0"/>
    <xf numFmtId="0" fontId="131" fillId="0" borderId="137"/>
    <xf numFmtId="0" fontId="4" fillId="28" borderId="122" applyNumberFormat="0" applyFont="0" applyAlignment="0" applyProtection="0"/>
    <xf numFmtId="0" fontId="115" fillId="92" borderId="147"/>
    <xf numFmtId="0" fontId="131" fillId="0" borderId="137"/>
    <xf numFmtId="0" fontId="11" fillId="0" borderId="134" applyNumberFormat="0" applyFill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41" applyNumberFormat="0" applyAlignment="0" applyProtection="0"/>
    <xf numFmtId="0" fontId="11" fillId="0" borderId="134" applyNumberFormat="0" applyFill="0" applyAlignment="0" applyProtection="0"/>
    <xf numFmtId="0" fontId="31" fillId="24" borderId="121" applyNumberFormat="0" applyAlignment="0" applyProtection="0"/>
    <xf numFmtId="0" fontId="115" fillId="85" borderId="147"/>
    <xf numFmtId="0" fontId="37" fillId="11" borderId="141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10" fillId="0" borderId="116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110" fillId="0" borderId="136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4" fillId="28" borderId="14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37" fillId="11" borderId="111" applyNumberFormat="0" applyAlignment="0" applyProtection="0"/>
    <xf numFmtId="10" fontId="130" fillId="0" borderId="119" applyFont="0" applyAlignment="0">
      <protection locked="0"/>
    </xf>
    <xf numFmtId="0" fontId="31" fillId="24" borderId="141" applyNumberFormat="0" applyAlignment="0" applyProtection="0"/>
    <xf numFmtId="0" fontId="115" fillId="0" borderId="117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115" fillId="0" borderId="127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115" fillId="92" borderId="137"/>
    <xf numFmtId="0" fontId="4" fillId="28" borderId="142" applyNumberFormat="0" applyFont="0" applyAlignment="0" applyProtection="0"/>
    <xf numFmtId="2" fontId="4" fillId="0" borderId="136" applyNumberFormat="0" applyFont="0" applyFill="0" applyAlignment="0"/>
    <xf numFmtId="0" fontId="4" fillId="28" borderId="12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1" fillId="24" borderId="131" applyNumberFormat="0" applyAlignment="0" applyProtection="0"/>
    <xf numFmtId="0" fontId="122" fillId="83" borderId="117"/>
    <xf numFmtId="0" fontId="11" fillId="0" borderId="124" applyNumberFormat="0" applyFill="0" applyAlignment="0" applyProtection="0"/>
    <xf numFmtId="0" fontId="115" fillId="83" borderId="137"/>
    <xf numFmtId="0" fontId="11" fillId="0" borderId="124" applyNumberFormat="0" applyFill="0" applyAlignment="0" applyProtection="0"/>
    <xf numFmtId="0" fontId="131" fillId="0" borderId="127"/>
    <xf numFmtId="0" fontId="31" fillId="24" borderId="121" applyNumberFormat="0" applyAlignment="0" applyProtection="0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0" fontId="115" fillId="92" borderId="107"/>
    <xf numFmtId="0" fontId="11" fillId="0" borderId="124" applyNumberFormat="0" applyFill="0" applyAlignment="0" applyProtection="0"/>
    <xf numFmtId="0" fontId="37" fillId="11" borderId="141" applyNumberFormat="0" applyAlignment="0" applyProtection="0"/>
    <xf numFmtId="0" fontId="40" fillId="24" borderId="113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37" fontId="111" fillId="24" borderId="138"/>
    <xf numFmtId="0" fontId="37" fillId="11" borderId="131" applyNumberFormat="0" applyAlignment="0" applyProtection="0"/>
    <xf numFmtId="0" fontId="115" fillId="92" borderId="127"/>
    <xf numFmtId="10" fontId="130" fillId="0" borderId="149" applyFont="0" applyAlignment="0">
      <protection locked="0"/>
    </xf>
    <xf numFmtId="10" fontId="130" fillId="0" borderId="139" applyFont="0" applyAlignment="0">
      <protection locked="0"/>
    </xf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34" fillId="79" borderId="15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37" fontId="111" fillId="24" borderId="108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22" fillId="83" borderId="117"/>
    <xf numFmtId="0" fontId="37" fillId="11" borderId="111" applyNumberFormat="0" applyAlignment="0" applyProtection="0"/>
    <xf numFmtId="0" fontId="122" fillId="83" borderId="117"/>
    <xf numFmtId="0" fontId="4" fillId="28" borderId="142" applyNumberFormat="0" applyFont="0" applyAlignment="0" applyProtection="0"/>
    <xf numFmtId="0" fontId="131" fillId="0" borderId="117"/>
    <xf numFmtId="0" fontId="37" fillId="11" borderId="131" applyNumberFormat="0" applyAlignment="0" applyProtection="0"/>
    <xf numFmtId="0" fontId="122" fillId="83" borderId="127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115" fillId="83" borderId="147"/>
    <xf numFmtId="0" fontId="11" fillId="0" borderId="144" applyNumberFormat="0" applyFill="0" applyAlignment="0" applyProtection="0"/>
    <xf numFmtId="37" fontId="111" fillId="24" borderId="118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10" fontId="130" fillId="0" borderId="139" applyFont="0" applyAlignment="0">
      <protection locked="0"/>
    </xf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40" fillId="24" borderId="133" applyNumberFormat="0" applyAlignment="0" applyProtection="0"/>
    <xf numFmtId="0" fontId="115" fillId="92" borderId="117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31" fillId="0" borderId="127"/>
    <xf numFmtId="0" fontId="31" fillId="24" borderId="111" applyNumberFormat="0" applyAlignment="0" applyProtection="0"/>
    <xf numFmtId="0" fontId="31" fillId="24" borderId="141" applyNumberFormat="0" applyAlignment="0" applyProtection="0"/>
    <xf numFmtId="0" fontId="4" fillId="28" borderId="132" applyNumberFormat="0" applyFont="0" applyAlignment="0" applyProtection="0"/>
    <xf numFmtId="0" fontId="40" fillId="24" borderId="123" applyNumberFormat="0" applyAlignment="0" applyProtection="0"/>
    <xf numFmtId="0" fontId="115" fillId="85" borderId="147"/>
    <xf numFmtId="0" fontId="5" fillId="0" borderId="126">
      <alignment horizontal="left" vertical="center"/>
    </xf>
    <xf numFmtId="0" fontId="11" fillId="0" borderId="144" applyNumberFormat="0" applyFill="0" applyAlignment="0" applyProtection="0"/>
    <xf numFmtId="0" fontId="37" fillId="11" borderId="141" applyNumberFormat="0" applyAlignment="0" applyProtection="0"/>
    <xf numFmtId="10" fontId="12" fillId="88" borderId="115" applyNumberFormat="0" applyBorder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11" fillId="0" borderId="114" applyNumberFormat="0" applyFill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5" fillId="0" borderId="126">
      <alignment horizontal="left" vertical="center"/>
    </xf>
    <xf numFmtId="0" fontId="115" fillId="92" borderId="147"/>
    <xf numFmtId="0" fontId="37" fillId="11" borderId="13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40" fillId="24" borderId="113" applyNumberFormat="0" applyAlignment="0" applyProtection="0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37" fontId="111" fillId="24" borderId="138"/>
    <xf numFmtId="0" fontId="11" fillId="0" borderId="134" applyNumberFormat="0" applyFill="0" applyAlignment="0" applyProtection="0"/>
    <xf numFmtId="0" fontId="11" fillId="0" borderId="114" applyNumberFormat="0" applyFill="0" applyAlignment="0" applyProtection="0"/>
    <xf numFmtId="0" fontId="115" fillId="92" borderId="137"/>
    <xf numFmtId="0" fontId="4" fillId="28" borderId="132" applyNumberFormat="0" applyFont="0" applyAlignment="0" applyProtection="0"/>
    <xf numFmtId="0" fontId="4" fillId="28" borderId="112" applyNumberFormat="0" applyFont="0" applyAlignment="0" applyProtection="0"/>
    <xf numFmtId="0" fontId="11" fillId="0" borderId="124" applyNumberFormat="0" applyFill="0" applyAlignment="0" applyProtection="0"/>
    <xf numFmtId="0" fontId="31" fillId="24" borderId="111" applyNumberFormat="0" applyAlignment="0" applyProtection="0"/>
    <xf numFmtId="0" fontId="5" fillId="0" borderId="126">
      <alignment horizontal="left" vertical="center"/>
    </xf>
    <xf numFmtId="0" fontId="40" fillId="24" borderId="113" applyNumberFormat="0" applyAlignment="0" applyProtection="0"/>
    <xf numFmtId="0" fontId="37" fillId="11" borderId="121" applyNumberFormat="0" applyAlignment="0" applyProtection="0"/>
    <xf numFmtId="0" fontId="11" fillId="0" borderId="144" applyNumberFormat="0" applyFill="0" applyAlignment="0" applyProtection="0"/>
    <xf numFmtId="0" fontId="31" fillId="24" borderId="131" applyNumberFormat="0" applyAlignment="0" applyProtection="0"/>
    <xf numFmtId="0" fontId="11" fillId="0" borderId="144" applyNumberFormat="0" applyFill="0" applyAlignment="0" applyProtection="0"/>
    <xf numFmtId="0" fontId="37" fillId="11" borderId="111" applyNumberFormat="0" applyAlignment="0" applyProtection="0"/>
    <xf numFmtId="0" fontId="37" fillId="11" borderId="121" applyNumberFormat="0" applyAlignment="0" applyProtection="0"/>
    <xf numFmtId="10" fontId="130" fillId="0" borderId="139" applyFont="0" applyAlignment="0">
      <protection locked="0"/>
    </xf>
    <xf numFmtId="0" fontId="40" fillId="24" borderId="133" applyNumberForma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37" fillId="11" borderId="111" applyNumberFormat="0" applyAlignment="0" applyProtection="0"/>
    <xf numFmtId="0" fontId="11" fillId="0" borderId="124" applyNumberFormat="0" applyFill="0" applyAlignment="0" applyProtection="0"/>
    <xf numFmtId="0" fontId="40" fillId="24" borderId="113" applyNumberForma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1" fillId="24" borderId="121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" fillId="28" borderId="142" applyNumberFormat="0" applyFont="0" applyAlignment="0" applyProtection="0"/>
    <xf numFmtId="0" fontId="31" fillId="24" borderId="111" applyNumberFormat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110" fillId="0" borderId="136"/>
    <xf numFmtId="0" fontId="40" fillId="24" borderId="143" applyNumberFormat="0" applyAlignment="0" applyProtection="0"/>
    <xf numFmtId="0" fontId="11" fillId="0" borderId="134" applyNumberFormat="0" applyFill="0" applyAlignment="0" applyProtection="0"/>
    <xf numFmtId="0" fontId="40" fillId="24" borderId="113" applyNumberForma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7" fillId="11" borderId="131" applyNumberFormat="0" applyAlignment="0" applyProtection="0"/>
    <xf numFmtId="0" fontId="115" fillId="83" borderId="137"/>
    <xf numFmtId="0" fontId="5" fillId="0" borderId="126">
      <alignment horizontal="left" vertical="center"/>
    </xf>
    <xf numFmtId="0" fontId="37" fillId="11" borderId="121" applyNumberFormat="0" applyAlignment="0" applyProtection="0"/>
    <xf numFmtId="0" fontId="31" fillId="24" borderId="131" applyNumberFormat="0" applyAlignment="0" applyProtection="0"/>
    <xf numFmtId="0" fontId="37" fillId="11" borderId="111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5" borderId="11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12" applyNumberFormat="0" applyFont="0" applyAlignment="0" applyProtection="0"/>
    <xf numFmtId="0" fontId="40" fillId="24" borderId="14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21" applyNumberFormat="0" applyAlignment="0" applyProtection="0"/>
    <xf numFmtId="0" fontId="31" fillId="24" borderId="141" applyNumberFormat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5" fillId="0" borderId="146">
      <alignment horizontal="left" vertical="center"/>
    </xf>
    <xf numFmtId="0" fontId="122" fillId="83" borderId="147"/>
    <xf numFmtId="0" fontId="4" fillId="28" borderId="112" applyNumberFormat="0" applyFont="0" applyAlignment="0" applyProtection="0"/>
    <xf numFmtId="0" fontId="11" fillId="0" borderId="12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21" applyNumberFormat="0" applyAlignment="0" applyProtection="0"/>
    <xf numFmtId="0" fontId="122" fillId="83" borderId="127"/>
    <xf numFmtId="0" fontId="37" fillId="11" borderId="131" applyNumberFormat="0" applyAlignment="0" applyProtection="0"/>
    <xf numFmtId="37" fontId="111" fillId="24" borderId="128"/>
    <xf numFmtId="0" fontId="40" fillId="24" borderId="133" applyNumberFormat="0" applyAlignment="0" applyProtection="0"/>
    <xf numFmtId="0" fontId="40" fillId="24" borderId="123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0" fillId="24" borderId="133" applyNumberFormat="0" applyAlignment="0" applyProtection="0"/>
    <xf numFmtId="0" fontId="11" fillId="0" borderId="144" applyNumberFormat="0" applyFill="0" applyAlignment="0" applyProtection="0"/>
    <xf numFmtId="0" fontId="131" fillId="0" borderId="117"/>
    <xf numFmtId="0" fontId="4" fillId="28" borderId="132" applyNumberFormat="0" applyFont="0" applyAlignment="0" applyProtection="0"/>
    <xf numFmtId="0" fontId="5" fillId="0" borderId="136">
      <alignment horizontal="left" vertical="center"/>
    </xf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4" fillId="28" borderId="112" applyNumberFormat="0" applyFont="0" applyAlignment="0" applyProtection="0"/>
    <xf numFmtId="0" fontId="37" fillId="11" borderId="121" applyNumberFormat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31" fillId="24" borderId="12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7" fillId="11" borderId="131" applyNumberForma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0" fontId="11" fillId="0" borderId="134" applyNumberFormat="0" applyFill="0" applyAlignment="0" applyProtection="0"/>
    <xf numFmtId="0" fontId="4" fillId="28" borderId="142" applyNumberFormat="0" applyFont="0" applyAlignment="0" applyProtection="0"/>
    <xf numFmtId="0" fontId="5" fillId="0" borderId="116">
      <alignment horizontal="left" vertical="center"/>
    </xf>
    <xf numFmtId="0" fontId="4" fillId="28" borderId="112" applyNumberFormat="0" applyFont="0" applyAlignment="0" applyProtection="0"/>
    <xf numFmtId="0" fontId="11" fillId="0" borderId="124" applyNumberFormat="0" applyFill="0" applyAlignment="0" applyProtection="0"/>
    <xf numFmtId="0" fontId="40" fillId="24" borderId="143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10" fillId="0" borderId="116"/>
    <xf numFmtId="0" fontId="5" fillId="0" borderId="116">
      <alignment horizontal="left" vertical="center"/>
    </xf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10" fontId="12" fillId="88" borderId="125" applyNumberFormat="0" applyBorder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2" fontId="4" fillId="0" borderId="136" applyNumberFormat="0" applyFont="0" applyFill="0" applyAlignment="0"/>
    <xf numFmtId="0" fontId="4" fillId="28" borderId="122" applyNumberFormat="0" applyFont="0" applyAlignment="0" applyProtection="0"/>
    <xf numFmtId="10" fontId="130" fillId="0" borderId="129" applyFont="0" applyAlignment="0">
      <protection locked="0"/>
    </xf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0" fontId="134" fillId="79" borderId="13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10" fontId="12" fillId="88" borderId="135" applyNumberFormat="0" applyBorder="0" applyAlignment="0" applyProtection="0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115" fillId="83" borderId="137"/>
    <xf numFmtId="0" fontId="40" fillId="24" borderId="123" applyNumberFormat="0" applyAlignment="0" applyProtection="0"/>
    <xf numFmtId="0" fontId="11" fillId="0" borderId="114" applyNumberFormat="0" applyFill="0" applyAlignment="0" applyProtection="0"/>
    <xf numFmtId="0" fontId="4" fillId="28" borderId="132" applyNumberFormat="0" applyFont="0" applyAlignment="0" applyProtection="0"/>
    <xf numFmtId="0" fontId="37" fillId="11" borderId="121" applyNumberFormat="0" applyAlignment="0" applyProtection="0"/>
    <xf numFmtId="10" fontId="12" fillId="88" borderId="115" applyNumberFormat="0" applyBorder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115" fillId="92" borderId="127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2" fontId="4" fillId="0" borderId="136" applyNumberFormat="0" applyFont="0" applyFill="0" applyAlignment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11" fillId="0" borderId="144" applyNumberFormat="0" applyFill="0" applyAlignment="0" applyProtection="0"/>
    <xf numFmtId="0" fontId="115" fillId="83" borderId="137"/>
    <xf numFmtId="0" fontId="11" fillId="0" borderId="134" applyNumberFormat="0" applyFill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11" fillId="0" borderId="134" applyNumberFormat="0" applyFill="0" applyAlignment="0" applyProtection="0"/>
    <xf numFmtId="0" fontId="4" fillId="28" borderId="122" applyNumberFormat="0" applyFont="0" applyAlignment="0" applyProtection="0"/>
    <xf numFmtId="0" fontId="134" fillId="79" borderId="140"/>
    <xf numFmtId="0" fontId="4" fillId="28" borderId="132" applyNumberFormat="0" applyFon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122" fillId="83" borderId="127"/>
    <xf numFmtId="0" fontId="31" fillId="24" borderId="111" applyNumberFormat="0" applyAlignment="0" applyProtection="0"/>
    <xf numFmtId="0" fontId="31" fillId="24" borderId="141" applyNumberFormat="0" applyAlignment="0" applyProtection="0"/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10" fontId="12" fillId="88" borderId="145" applyNumberFormat="0" applyBorder="0" applyAlignment="0" applyProtection="0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2" fontId="4" fillId="0" borderId="126" applyNumberFormat="0" applyFont="0" applyFill="0" applyAlignment="0"/>
    <xf numFmtId="0" fontId="5" fillId="0" borderId="146">
      <alignment horizontal="left" vertical="center"/>
    </xf>
    <xf numFmtId="0" fontId="110" fillId="0" borderId="136"/>
    <xf numFmtId="0" fontId="11" fillId="0" borderId="144" applyNumberFormat="0" applyFill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5" fillId="0" borderId="136">
      <alignment horizontal="left" vertical="center"/>
    </xf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31" fillId="24" borderId="121" applyNumberFormat="0" applyAlignment="0" applyProtection="0"/>
    <xf numFmtId="0" fontId="122" fillId="83" borderId="117"/>
    <xf numFmtId="0" fontId="40" fillId="24" borderId="143" applyNumberFormat="0" applyAlignment="0" applyProtection="0"/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115" fillId="92" borderId="117"/>
    <xf numFmtId="0" fontId="115" fillId="92" borderId="137"/>
    <xf numFmtId="0" fontId="37" fillId="11" borderId="141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131" fillId="0" borderId="147"/>
    <xf numFmtId="0" fontId="37" fillId="11" borderId="121" applyNumberFormat="0" applyAlignment="0" applyProtection="0"/>
    <xf numFmtId="0" fontId="37" fillId="11" borderId="131" applyNumberFormat="0" applyAlignment="0" applyProtection="0"/>
    <xf numFmtId="0" fontId="40" fillId="24" borderId="143" applyNumberFormat="0" applyAlignment="0" applyProtection="0"/>
    <xf numFmtId="0" fontId="115" fillId="85" borderId="117"/>
    <xf numFmtId="2" fontId="4" fillId="0" borderId="136" applyNumberFormat="0" applyFont="0" applyFill="0" applyAlignment="0"/>
    <xf numFmtId="0" fontId="115" fillId="92" borderId="147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10" fillId="0" borderId="126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13" applyNumberFormat="0" applyAlignment="0" applyProtection="0"/>
    <xf numFmtId="2" fontId="4" fillId="0" borderId="126" applyNumberFormat="0" applyFont="0" applyFill="0" applyAlignment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37" fontId="111" fillId="24" borderId="138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40" fillId="24" borderId="133" applyNumberFormat="0" applyAlignment="0" applyProtection="0"/>
    <xf numFmtId="0" fontId="37" fillId="11" borderId="141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40" fillId="24" borderId="123" applyNumberFormat="0" applyAlignment="0" applyProtection="0"/>
    <xf numFmtId="37" fontId="111" fillId="24" borderId="108"/>
    <xf numFmtId="0" fontId="37" fillId="11" borderId="12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5" fillId="83" borderId="117"/>
    <xf numFmtId="0" fontId="37" fillId="11" borderId="111" applyNumberFormat="0" applyAlignment="0" applyProtection="0"/>
    <xf numFmtId="0" fontId="131" fillId="0" borderId="117"/>
    <xf numFmtId="10" fontId="130" fillId="0" borderId="119" applyFont="0" applyAlignment="0">
      <protection locked="0"/>
    </xf>
    <xf numFmtId="0" fontId="4" fillId="28" borderId="112" applyNumberFormat="0" applyFont="0" applyAlignment="0" applyProtection="0"/>
    <xf numFmtId="0" fontId="115" fillId="0" borderId="117"/>
    <xf numFmtId="0" fontId="40" fillId="24" borderId="113" applyNumberFormat="0" applyAlignment="0" applyProtection="0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1" fillId="24" borderId="131" applyNumberFormat="0" applyAlignment="0" applyProtection="0"/>
    <xf numFmtId="0" fontId="110" fillId="0" borderId="116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131" fillId="0" borderId="137"/>
    <xf numFmtId="0" fontId="11" fillId="0" borderId="124" applyNumberFormat="0" applyFill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40" fillId="24" borderId="133" applyNumberFormat="0" applyAlignment="0" applyProtection="0"/>
    <xf numFmtId="0" fontId="122" fillId="83" borderId="14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21" applyNumberFormat="0" applyAlignment="0" applyProtection="0"/>
    <xf numFmtId="0" fontId="134" fillId="79" borderId="150"/>
    <xf numFmtId="0" fontId="4" fillId="28" borderId="122" applyNumberFormat="0" applyFont="0" applyAlignment="0" applyProtection="0"/>
    <xf numFmtId="0" fontId="40" fillId="24" borderId="143" applyNumberFormat="0" applyAlignment="0" applyProtection="0"/>
    <xf numFmtId="37" fontId="111" fillId="24" borderId="128"/>
    <xf numFmtId="0" fontId="37" fillId="11" borderId="121" applyNumberFormat="0" applyAlignment="0" applyProtection="0"/>
    <xf numFmtId="0" fontId="4" fillId="28" borderId="132" applyNumberFormat="0" applyFont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" fillId="0" borderId="124" applyNumberFormat="0" applyFill="0" applyAlignment="0" applyProtection="0"/>
    <xf numFmtId="0" fontId="11" fillId="0" borderId="144" applyNumberFormat="0" applyFill="0" applyAlignment="0" applyProtection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0" fontId="37" fillId="11" borderId="141" applyNumberFormat="0" applyAlignment="0" applyProtection="0"/>
    <xf numFmtId="0" fontId="40" fillId="24" borderId="123" applyNumberFormat="0" applyAlignment="0" applyProtection="0"/>
    <xf numFmtId="0" fontId="11" fillId="0" borderId="114" applyNumberFormat="0" applyFill="0" applyAlignment="0" applyProtection="0"/>
    <xf numFmtId="0" fontId="4" fillId="28" borderId="132" applyNumberFormat="0" applyFon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11" fillId="0" borderId="124" applyNumberFormat="0" applyFill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31" fillId="24" borderId="141" applyNumberFormat="0" applyAlignment="0" applyProtection="0"/>
    <xf numFmtId="0" fontId="31" fillId="24" borderId="111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11" fillId="0" borderId="114" applyNumberFormat="0" applyFill="0" applyAlignment="0" applyProtection="0"/>
    <xf numFmtId="0" fontId="11" fillId="0" borderId="124" applyNumberFormat="0" applyFill="0" applyAlignment="0" applyProtection="0"/>
    <xf numFmtId="0" fontId="115" fillId="92" borderId="127"/>
    <xf numFmtId="10" fontId="130" fillId="0" borderId="119" applyFont="0" applyAlignment="0">
      <protection locked="0"/>
    </xf>
    <xf numFmtId="0" fontId="31" fillId="24" borderId="141" applyNumberFormat="0" applyAlignment="0" applyProtection="0"/>
    <xf numFmtId="0" fontId="31" fillId="24" borderId="121" applyNumberFormat="0" applyAlignment="0" applyProtection="0"/>
    <xf numFmtId="0" fontId="37" fillId="11" borderId="111" applyNumberFormat="0" applyAlignment="0" applyProtection="0"/>
    <xf numFmtId="0" fontId="11" fillId="0" borderId="124" applyNumberFormat="0" applyFill="0" applyAlignment="0" applyProtection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134" fillId="79" borderId="120"/>
    <xf numFmtId="0" fontId="40" fillId="24" borderId="143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37" fontId="111" fillId="24" borderId="138"/>
    <xf numFmtId="0" fontId="37" fillId="11" borderId="131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37" fillId="11" borderId="121" applyNumberFormat="0" applyAlignment="0" applyProtection="0"/>
    <xf numFmtId="0" fontId="115" fillId="85" borderId="147"/>
    <xf numFmtId="0" fontId="4" fillId="28" borderId="112" applyNumberFormat="0" applyFont="0" applyAlignment="0" applyProtection="0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0" fontId="11" fillId="0" borderId="114" applyNumberFormat="0" applyFill="0" applyAlignment="0" applyProtection="0"/>
    <xf numFmtId="0" fontId="11" fillId="0" borderId="134" applyNumberFormat="0" applyFill="0" applyAlignment="0" applyProtection="0"/>
    <xf numFmtId="0" fontId="11" fillId="0" borderId="124" applyNumberFormat="0" applyFill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" fillId="28" borderId="132" applyNumberFormat="0" applyFont="0" applyAlignment="0" applyProtection="0"/>
    <xf numFmtId="0" fontId="40" fillId="24" borderId="113" applyNumberFormat="0" applyAlignment="0" applyProtection="0"/>
    <xf numFmtId="0" fontId="122" fillId="83" borderId="137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10" fontId="130" fillId="0" borderId="139" applyFont="0" applyAlignment="0">
      <protection locked="0"/>
    </xf>
    <xf numFmtId="0" fontId="4" fillId="28" borderId="142" applyNumberFormat="0" applyFont="0" applyAlignment="0" applyProtection="0"/>
    <xf numFmtId="37" fontId="111" fillId="24" borderId="138"/>
    <xf numFmtId="0" fontId="37" fillId="11" borderId="111" applyNumberFormat="0" applyAlignment="0" applyProtection="0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0" fillId="24" borderId="123" applyNumberFormat="0" applyAlignment="0" applyProtection="0"/>
    <xf numFmtId="0" fontId="11" fillId="0" borderId="134" applyNumberFormat="0" applyFill="0" applyAlignment="0" applyProtection="0"/>
    <xf numFmtId="0" fontId="5" fillId="0" borderId="126">
      <alignment horizontal="left" vertical="center"/>
    </xf>
    <xf numFmtId="37" fontId="111" fillId="24" borderId="128"/>
    <xf numFmtId="0" fontId="31" fillId="24" borderId="111" applyNumberFormat="0" applyAlignment="0" applyProtection="0"/>
    <xf numFmtId="0" fontId="31" fillId="24" borderId="14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92" borderId="137"/>
    <xf numFmtId="0" fontId="115" fillId="85" borderId="147"/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24" applyNumberFormat="0" applyFill="0" applyAlignment="0" applyProtection="0"/>
    <xf numFmtId="0" fontId="5" fillId="0" borderId="136">
      <alignment horizontal="left" vertical="center"/>
    </xf>
    <xf numFmtId="0" fontId="40" fillId="24" borderId="113" applyNumberFormat="0" applyAlignment="0" applyProtection="0"/>
    <xf numFmtId="0" fontId="40" fillId="24" borderId="123" applyNumberFormat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2" fontId="4" fillId="0" borderId="116" applyNumberFormat="0" applyFont="0" applyFill="0" applyAlignment="0"/>
    <xf numFmtId="0" fontId="4" fillId="28" borderId="142" applyNumberFormat="0" applyFont="0" applyAlignment="0" applyProtection="0"/>
    <xf numFmtId="10" fontId="130" fillId="0" borderId="129" applyFont="0" applyAlignment="0">
      <protection locked="0"/>
    </xf>
    <xf numFmtId="0" fontId="31" fillId="24" borderId="121" applyNumberFormat="0" applyAlignment="0" applyProtection="0"/>
    <xf numFmtId="0" fontId="4" fillId="28" borderId="132" applyNumberFormat="0" applyFont="0" applyAlignment="0" applyProtection="0"/>
    <xf numFmtId="10" fontId="12" fillId="88" borderId="115" applyNumberFormat="0" applyBorder="0" applyAlignment="0" applyProtection="0"/>
    <xf numFmtId="0" fontId="4" fillId="28" borderId="122" applyNumberFormat="0" applyFont="0" applyAlignment="0" applyProtection="0"/>
    <xf numFmtId="0" fontId="134" fillId="79" borderId="13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32" applyNumberFormat="0" applyFont="0" applyAlignment="0" applyProtection="0"/>
    <xf numFmtId="0" fontId="131" fillId="0" borderId="117"/>
    <xf numFmtId="0" fontId="37" fillId="11" borderId="131" applyNumberFormat="0" applyAlignment="0" applyProtection="0"/>
    <xf numFmtId="37" fontId="111" fillId="24" borderId="118"/>
    <xf numFmtId="0" fontId="31" fillId="24" borderId="121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1" fillId="24" borderId="131" applyNumberFormat="0" applyAlignment="0" applyProtection="0"/>
    <xf numFmtId="0" fontId="115" fillId="0" borderId="147"/>
    <xf numFmtId="0" fontId="37" fillId="11" borderId="141" applyNumberFormat="0" applyAlignment="0" applyProtection="0"/>
    <xf numFmtId="37" fontId="111" fillId="24" borderId="138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4" fillId="28" borderId="112" applyNumberFormat="0" applyFont="0" applyAlignment="0" applyProtection="0"/>
    <xf numFmtId="10" fontId="130" fillId="0" borderId="139" applyFont="0" applyAlignment="0">
      <protection locked="0"/>
    </xf>
    <xf numFmtId="0" fontId="40" fillId="24" borderId="123" applyNumberFormat="0" applyAlignment="0" applyProtection="0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4" fillId="28" borderId="112" applyNumberFormat="0" applyFont="0" applyAlignment="0" applyProtection="0"/>
    <xf numFmtId="0" fontId="5" fillId="0" borderId="116">
      <alignment horizontal="left" vertical="center"/>
    </xf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10" fontId="12" fillId="88" borderId="115" applyNumberFormat="0" applyBorder="0" applyAlignment="0" applyProtection="0"/>
    <xf numFmtId="0" fontId="115" fillId="85" borderId="11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0" fillId="24" borderId="133" applyNumberFormat="0" applyAlignment="0" applyProtection="0"/>
    <xf numFmtId="0" fontId="31" fillId="24" borderId="111" applyNumberFormat="0" applyAlignment="0" applyProtection="0"/>
    <xf numFmtId="0" fontId="11" fillId="0" borderId="144" applyNumberFormat="0" applyFill="0" applyAlignment="0" applyProtection="0"/>
    <xf numFmtId="0" fontId="115" fillId="0" borderId="147"/>
    <xf numFmtId="0" fontId="31" fillId="24" borderId="131" applyNumberFormat="0" applyAlignment="0" applyProtection="0"/>
    <xf numFmtId="0" fontId="122" fillId="83" borderId="127"/>
    <xf numFmtId="0" fontId="5" fillId="0" borderId="116">
      <alignment horizontal="left" vertical="center"/>
    </xf>
    <xf numFmtId="0" fontId="31" fillId="24" borderId="141" applyNumberForma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37" fontId="111" fillId="24" borderId="128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31" fillId="24" borderId="121" applyNumberFormat="0" applyAlignment="0" applyProtection="0"/>
    <xf numFmtId="0" fontId="40" fillId="24" borderId="143" applyNumberForma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134" fillId="79" borderId="13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10" fontId="130" fillId="0" borderId="149" applyFont="0" applyAlignment="0">
      <protection locked="0"/>
    </xf>
    <xf numFmtId="37" fontId="111" fillId="24" borderId="138"/>
    <xf numFmtId="0" fontId="37" fillId="11" borderId="131" applyNumberFormat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7" fillId="11" borderId="121" applyNumberFormat="0" applyAlignment="0" applyProtection="0"/>
    <xf numFmtId="0" fontId="11" fillId="0" borderId="134" applyNumberFormat="0" applyFill="0" applyAlignment="0" applyProtection="0"/>
    <xf numFmtId="0" fontId="134" fillId="79" borderId="14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122" fillId="83" borderId="137"/>
    <xf numFmtId="0" fontId="11" fillId="0" borderId="134" applyNumberFormat="0" applyFill="0" applyAlignment="0" applyProtection="0"/>
    <xf numFmtId="0" fontId="4" fillId="28" borderId="112" applyNumberFormat="0" applyFont="0" applyAlignment="0" applyProtection="0"/>
    <xf numFmtId="0" fontId="37" fillId="11" borderId="13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4" fillId="28" borderId="132" applyNumberFormat="0" applyFont="0" applyAlignment="0" applyProtection="0"/>
    <xf numFmtId="0" fontId="37" fillId="11" borderId="121" applyNumberFormat="0" applyAlignment="0" applyProtection="0"/>
    <xf numFmtId="0" fontId="115" fillId="85" borderId="127"/>
    <xf numFmtId="0" fontId="4" fillId="28" borderId="122" applyNumberFormat="0" applyFont="0" applyAlignment="0" applyProtection="0"/>
    <xf numFmtId="0" fontId="5" fillId="0" borderId="116">
      <alignment horizontal="left" vertical="center"/>
    </xf>
    <xf numFmtId="0" fontId="110" fillId="0" borderId="126"/>
    <xf numFmtId="0" fontId="115" fillId="0" borderId="147"/>
    <xf numFmtId="0" fontId="37" fillId="11" borderId="141" applyNumberFormat="0" applyAlignment="0" applyProtection="0"/>
    <xf numFmtId="0" fontId="31" fillId="24" borderId="121" applyNumberFormat="0" applyAlignment="0" applyProtection="0"/>
    <xf numFmtId="0" fontId="4" fillId="28" borderId="132" applyNumberFormat="0" applyFont="0" applyAlignment="0" applyProtection="0"/>
    <xf numFmtId="0" fontId="115" fillId="85" borderId="117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41" applyNumberFormat="0" applyAlignment="0" applyProtection="0"/>
    <xf numFmtId="10" fontId="130" fillId="0" borderId="149" applyFont="0" applyAlignment="0">
      <protection locked="0"/>
    </xf>
    <xf numFmtId="0" fontId="5" fillId="0" borderId="146">
      <alignment horizontal="left" vertical="center"/>
    </xf>
    <xf numFmtId="0" fontId="40" fillId="24" borderId="133" applyNumberFormat="0" applyAlignment="0" applyProtection="0"/>
    <xf numFmtId="0" fontId="115" fillId="83" borderId="127"/>
    <xf numFmtId="0" fontId="40" fillId="24" borderId="133" applyNumberFormat="0" applyAlignment="0" applyProtection="0"/>
    <xf numFmtId="0" fontId="40" fillId="24" borderId="113" applyNumberFormat="0" applyAlignment="0" applyProtection="0"/>
    <xf numFmtId="0" fontId="131" fillId="0" borderId="117"/>
    <xf numFmtId="0" fontId="40" fillId="24" borderId="123" applyNumberFormat="0" applyAlignment="0" applyProtection="0"/>
    <xf numFmtId="0" fontId="31" fillId="24" borderId="131" applyNumberFormat="0" applyAlignment="0" applyProtection="0"/>
    <xf numFmtId="0" fontId="131" fillId="0" borderId="12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43" applyNumberFormat="0" applyAlignment="0" applyProtection="0"/>
    <xf numFmtId="0" fontId="37" fillId="11" borderId="141" applyNumberFormat="0" applyAlignment="0" applyProtection="0"/>
    <xf numFmtId="0" fontId="37" fillId="11" borderId="131" applyNumberFormat="0" applyAlignment="0" applyProtection="0"/>
    <xf numFmtId="0" fontId="11" fillId="0" borderId="124" applyNumberFormat="0" applyFill="0" applyAlignment="0" applyProtection="0"/>
    <xf numFmtId="0" fontId="11" fillId="0" borderId="144" applyNumberFormat="0" applyFill="0" applyAlignment="0" applyProtection="0"/>
    <xf numFmtId="0" fontId="11" fillId="0" borderId="124" applyNumberFormat="0" applyFill="0" applyAlignment="0" applyProtection="0"/>
    <xf numFmtId="0" fontId="131" fillId="0" borderId="137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10" fontId="130" fillId="0" borderId="119" applyFont="0" applyAlignment="0">
      <protection locked="0"/>
    </xf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37" fillId="11" borderId="131" applyNumberFormat="0" applyAlignment="0" applyProtection="0"/>
    <xf numFmtId="0" fontId="134" fillId="79" borderId="13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40" fillId="24" borderId="113" applyNumberForma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0" fontId="37" fillId="11" borderId="121" applyNumberForma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115" fillId="85" borderId="137"/>
    <xf numFmtId="0" fontId="4" fillId="28" borderId="122" applyNumberFormat="0" applyFont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37" fontId="111" fillId="24" borderId="108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5" fillId="0" borderId="117"/>
    <xf numFmtId="0" fontId="40" fillId="24" borderId="143" applyNumberFormat="0" applyAlignment="0" applyProtection="0"/>
    <xf numFmtId="0" fontId="31" fillId="24" borderId="13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5" fillId="92" borderId="117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42" applyNumberFormat="0" applyFon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122" fillId="83" borderId="11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41" applyNumberFormat="0" applyAlignment="0" applyProtection="0"/>
    <xf numFmtId="0" fontId="131" fillId="0" borderId="137"/>
    <xf numFmtId="0" fontId="31" fillId="24" borderId="141" applyNumberFormat="0" applyAlignment="0" applyProtection="0"/>
    <xf numFmtId="0" fontId="40" fillId="24" borderId="143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2" fontId="4" fillId="0" borderId="106" applyNumberFormat="0" applyFont="0" applyFill="0" applyAlignment="0"/>
    <xf numFmtId="0" fontId="110" fillId="0" borderId="106"/>
    <xf numFmtId="0" fontId="115" fillId="0" borderId="107"/>
    <xf numFmtId="37" fontId="111" fillId="24" borderId="108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115" fillId="92" borderId="107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115" fillId="0" borderId="10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37" fontId="111" fillId="24" borderId="108"/>
    <xf numFmtId="0" fontId="115" fillId="0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5" fillId="85" borderId="107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15" fillId="92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40" fillId="24" borderId="103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2" fontId="4" fillId="0" borderId="106" applyNumberFormat="0" applyFont="0" applyFill="0" applyAlignment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110" fillId="0" borderId="106"/>
    <xf numFmtId="0" fontId="115" fillId="0" borderId="107"/>
    <xf numFmtId="0" fontId="31" fillId="24" borderId="101" applyNumberFormat="0" applyAlignment="0" applyProtection="0"/>
    <xf numFmtId="0" fontId="115" fillId="85" borderId="107"/>
    <xf numFmtId="0" fontId="115" fillId="92" borderId="107"/>
    <xf numFmtId="37" fontId="111" fillId="24" borderId="108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4" fillId="28" borderId="102" applyNumberFormat="0" applyFon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115" fillId="83" borderId="107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134" fillId="79" borderId="110"/>
    <xf numFmtId="0" fontId="131" fillId="0" borderId="107"/>
    <xf numFmtId="0" fontId="115" fillId="0" borderId="107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134" fillId="79" borderId="110"/>
    <xf numFmtId="0" fontId="131" fillId="0" borderId="107"/>
    <xf numFmtId="0" fontId="115" fillId="85" borderId="107"/>
    <xf numFmtId="10" fontId="12" fillId="88" borderId="105" applyNumberFormat="0" applyBorder="0" applyAlignment="0" applyProtection="0"/>
    <xf numFmtId="0" fontId="5" fillId="0" borderId="106">
      <alignment horizontal="left" vertical="center"/>
    </xf>
    <xf numFmtId="0" fontId="115" fillId="0" borderId="107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115" fillId="92" borderId="107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115" fillId="0" borderId="10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22" fillId="83" borderId="107"/>
    <xf numFmtId="0" fontId="110" fillId="0" borderId="106"/>
    <xf numFmtId="0" fontId="11" fillId="0" borderId="104" applyNumberFormat="0" applyFill="0" applyAlignment="0" applyProtection="0"/>
    <xf numFmtId="0" fontId="37" fillId="11" borderId="101" applyNumberFormat="0" applyAlignment="0" applyProtection="0"/>
    <xf numFmtId="37" fontId="111" fillId="24" borderId="108"/>
    <xf numFmtId="0" fontId="115" fillId="0" borderId="107"/>
    <xf numFmtId="0" fontId="40" fillId="24" borderId="103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115" fillId="85" borderId="107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11" fillId="0" borderId="104" applyNumberFormat="0" applyFill="0" applyAlignment="0" applyProtection="0"/>
    <xf numFmtId="0" fontId="115" fillId="0" borderId="107"/>
    <xf numFmtId="0" fontId="5" fillId="0" borderId="106">
      <alignment horizontal="left" vertical="center"/>
    </xf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34" fillId="79" borderId="11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131" fillId="0" borderId="107"/>
    <xf numFmtId="10" fontId="130" fillId="0" borderId="109" applyFont="0" applyAlignment="0">
      <protection locked="0"/>
    </xf>
    <xf numFmtId="0" fontId="115" fillId="85" borderId="107"/>
    <xf numFmtId="37" fontId="111" fillId="24" borderId="108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115" fillId="92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115" fillId="85" borderId="107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37" fontId="111" fillId="24" borderId="108"/>
    <xf numFmtId="0" fontId="40" fillId="24" borderId="103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10" fontId="12" fillId="88" borderId="105" applyNumberFormat="0" applyBorder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11" fillId="0" borderId="104" applyNumberFormat="0" applyFill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11" fillId="0" borderId="104" applyNumberFormat="0" applyFill="0" applyAlignment="0" applyProtection="0"/>
    <xf numFmtId="0" fontId="37" fillId="11" borderId="101" applyNumberFormat="0" applyAlignment="0" applyProtection="0"/>
    <xf numFmtId="10" fontId="130" fillId="0" borderId="109" applyFont="0" applyAlignment="0">
      <protection locked="0"/>
    </xf>
    <xf numFmtId="37" fontId="111" fillId="24" borderId="108"/>
    <xf numFmtId="2" fontId="4" fillId="0" borderId="106" applyNumberFormat="0" applyFont="0" applyFill="0" applyAlignment="0"/>
    <xf numFmtId="10" fontId="12" fillId="88" borderId="105" applyNumberFormat="0" applyBorder="0" applyAlignment="0" applyProtection="0"/>
    <xf numFmtId="2" fontId="4" fillId="0" borderId="106" applyNumberFormat="0" applyFont="0" applyFill="0" applyAlignment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37" fontId="111" fillId="24" borderId="108"/>
    <xf numFmtId="0" fontId="122" fillId="83" borderId="107"/>
    <xf numFmtId="0" fontId="40" fillId="24" borderId="103" applyNumberFormat="0" applyAlignment="0" applyProtection="0"/>
    <xf numFmtId="0" fontId="122" fillId="83" borderId="107"/>
    <xf numFmtId="0" fontId="115" fillId="92" borderId="107"/>
    <xf numFmtId="0" fontId="115" fillId="83" borderId="107"/>
    <xf numFmtId="0" fontId="110" fillId="0" borderId="106"/>
    <xf numFmtId="2" fontId="4" fillId="0" borderId="106" applyNumberFormat="0" applyFont="0" applyFill="0" applyAlignment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2" fontId="4" fillId="0" borderId="106" applyNumberFormat="0" applyFont="0" applyFill="0" applyAlignment="0"/>
    <xf numFmtId="0" fontId="11" fillId="0" borderId="104" applyNumberFormat="0" applyFill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11" fillId="0" borderId="104" applyNumberFormat="0" applyFill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40" fillId="24" borderId="103" applyNumberFormat="0" applyAlignment="0" applyProtection="0"/>
    <xf numFmtId="0" fontId="115" fillId="92" borderId="107"/>
    <xf numFmtId="0" fontId="110" fillId="0" borderId="106"/>
    <xf numFmtId="0" fontId="110" fillId="0" borderId="106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115" fillId="0" borderId="107"/>
    <xf numFmtId="0" fontId="31" fillId="24" borderId="101" applyNumberFormat="0" applyAlignment="0" applyProtection="0"/>
    <xf numFmtId="0" fontId="11" fillId="0" borderId="104" applyNumberFormat="0" applyFill="0" applyAlignment="0" applyProtection="0"/>
    <xf numFmtId="0" fontId="115" fillId="83" borderId="107"/>
    <xf numFmtId="0" fontId="122" fillId="83" borderId="107"/>
    <xf numFmtId="0" fontId="115" fillId="83" borderId="107"/>
    <xf numFmtId="0" fontId="115" fillId="92" borderId="107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2" fontId="4" fillId="0" borderId="106" applyNumberFormat="0" applyFont="0" applyFill="0" applyAlignment="0"/>
    <xf numFmtId="0" fontId="110" fillId="0" borderId="106"/>
    <xf numFmtId="0" fontId="115" fillId="0" borderId="107"/>
    <xf numFmtId="37" fontId="111" fillId="24" borderId="108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115" fillId="92" borderId="107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115" fillId="0" borderId="10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37" fontId="111" fillId="24" borderId="108"/>
    <xf numFmtId="0" fontId="115" fillId="0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5" fillId="85" borderId="107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15" fillId="92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2" fontId="4" fillId="0" borderId="106" applyNumberFormat="0" applyFont="0" applyFill="0" applyAlignment="0"/>
    <xf numFmtId="0" fontId="110" fillId="0" borderId="106"/>
    <xf numFmtId="0" fontId="115" fillId="0" borderId="107"/>
    <xf numFmtId="37" fontId="111" fillId="24" borderId="108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115" fillId="92" borderId="107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115" fillId="0" borderId="10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37" fontId="111" fillId="24" borderId="108"/>
    <xf numFmtId="0" fontId="115" fillId="0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5" fillId="85" borderId="107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15" fillId="92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115" fillId="85" borderId="137"/>
    <xf numFmtId="2" fontId="4" fillId="0" borderId="126" applyNumberFormat="0" applyFont="0" applyFill="0" applyAlignment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5" fillId="0" borderId="147"/>
    <xf numFmtId="0" fontId="11" fillId="0" borderId="134" applyNumberFormat="0" applyFill="0" applyAlignment="0" applyProtection="0"/>
    <xf numFmtId="0" fontId="37" fillId="11" borderId="141" applyNumberFormat="0" applyAlignment="0" applyProtection="0"/>
    <xf numFmtId="0" fontId="37" fillId="11" borderId="131" applyNumberFormat="0" applyAlignment="0" applyProtection="0"/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10" fontId="130" fillId="0" borderId="149" applyFont="0" applyAlignment="0">
      <protection locked="0"/>
    </xf>
    <xf numFmtId="0" fontId="131" fillId="0" borderId="127"/>
    <xf numFmtId="37" fontId="111" fillId="24" borderId="128"/>
    <xf numFmtId="0" fontId="131" fillId="0" borderId="147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1" fillId="0" borderId="144" applyNumberFormat="0" applyFill="0" applyAlignment="0" applyProtection="0"/>
    <xf numFmtId="37" fontId="111" fillId="24" borderId="148"/>
    <xf numFmtId="0" fontId="31" fillId="24" borderId="141" applyNumberFormat="0" applyAlignment="0" applyProtection="0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5" fillId="0" borderId="126">
      <alignment horizontal="left" vertical="center"/>
    </xf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5" fillId="85" borderId="127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0" fillId="24" borderId="143" applyNumberFormat="0" applyAlignment="0" applyProtection="0"/>
    <xf numFmtId="0" fontId="31" fillId="24" borderId="121" applyNumberFormat="0" applyAlignment="0" applyProtection="0"/>
    <xf numFmtId="0" fontId="4" fillId="28" borderId="132" applyNumberFormat="0" applyFont="0" applyAlignment="0" applyProtection="0"/>
    <xf numFmtId="0" fontId="5" fillId="0" borderId="126">
      <alignment horizontal="left" vertical="center"/>
    </xf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11" fillId="0" borderId="134" applyNumberFormat="0" applyFill="0" applyAlignment="0" applyProtection="0"/>
    <xf numFmtId="0" fontId="5" fillId="0" borderId="146">
      <alignment horizontal="left" vertical="center"/>
    </xf>
    <xf numFmtId="0" fontId="115" fillId="92" borderId="137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15" fillId="85" borderId="147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40" fillId="24" borderId="143" applyNumberFormat="0" applyAlignment="0" applyProtection="0"/>
    <xf numFmtId="0" fontId="115" fillId="0" borderId="137"/>
    <xf numFmtId="0" fontId="110" fillId="0" borderId="136"/>
    <xf numFmtId="0" fontId="37" fillId="11" borderId="141" applyNumberFormat="0" applyAlignment="0" applyProtection="0"/>
    <xf numFmtId="0" fontId="115" fillId="92" borderId="147"/>
    <xf numFmtId="0" fontId="5" fillId="0" borderId="126">
      <alignment horizontal="left" vertical="center"/>
    </xf>
    <xf numFmtId="0" fontId="4" fillId="28" borderId="142" applyNumberFormat="0" applyFont="0" applyAlignment="0" applyProtection="0"/>
    <xf numFmtId="0" fontId="115" fillId="85" borderId="127"/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131" fillId="0" borderId="127"/>
    <xf numFmtId="0" fontId="4" fillId="28" borderId="142" applyNumberFormat="0" applyFont="0" applyAlignment="0" applyProtection="0"/>
    <xf numFmtId="0" fontId="134" fillId="79" borderId="14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40" fillId="24" borderId="133" applyNumberFormat="0" applyAlignment="0" applyProtection="0"/>
    <xf numFmtId="0" fontId="115" fillId="85" borderId="137"/>
    <xf numFmtId="0" fontId="134" fillId="79" borderId="15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0" borderId="147"/>
    <xf numFmtId="10" fontId="130" fillId="0" borderId="129" applyFont="0" applyAlignment="0">
      <protection locked="0"/>
    </xf>
    <xf numFmtId="0" fontId="37" fillId="11" borderId="141" applyNumberFormat="0" applyAlignment="0" applyProtection="0"/>
    <xf numFmtId="0" fontId="4" fillId="28" borderId="132" applyNumberFormat="0" applyFont="0" applyAlignment="0" applyProtection="0"/>
    <xf numFmtId="0" fontId="115" fillId="83" borderId="147"/>
    <xf numFmtId="0" fontId="40" fillId="24" borderId="123" applyNumberFormat="0" applyAlignment="0" applyProtection="0"/>
    <xf numFmtId="0" fontId="40" fillId="24" borderId="133" applyNumberFormat="0" applyAlignment="0" applyProtection="0"/>
    <xf numFmtId="0" fontId="115" fillId="0" borderId="137"/>
    <xf numFmtId="0" fontId="31" fillId="24" borderId="131" applyNumberFormat="0" applyAlignment="0" applyProtection="0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31" fillId="24" borderId="121" applyNumberFormat="0" applyAlignment="0" applyProtection="0"/>
    <xf numFmtId="0" fontId="31" fillId="24" borderId="131" applyNumberFormat="0" applyAlignment="0" applyProtection="0"/>
    <xf numFmtId="0" fontId="37" fillId="11" borderId="121" applyNumberFormat="0" applyAlignment="0" applyProtection="0"/>
    <xf numFmtId="0" fontId="115" fillId="0" borderId="127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15" fillId="92" borderId="127"/>
    <xf numFmtId="0" fontId="40" fillId="24" borderId="123" applyNumberForma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31" fillId="24" borderId="14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22" fillId="83" borderId="127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31" fillId="24" borderId="141" applyNumberFormat="0" applyAlignment="0" applyProtection="0"/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2" fontId="4" fillId="0" borderId="116" applyNumberFormat="0" applyFont="0" applyFill="0" applyAlignment="0"/>
    <xf numFmtId="0" fontId="110" fillId="0" borderId="116"/>
    <xf numFmtId="0" fontId="115" fillId="0" borderId="117"/>
    <xf numFmtId="37" fontId="111" fillId="24" borderId="118"/>
    <xf numFmtId="0" fontId="122" fillId="83" borderId="117"/>
    <xf numFmtId="0" fontId="5" fillId="0" borderId="116">
      <alignment horizontal="left" vertical="center"/>
    </xf>
    <xf numFmtId="0" fontId="115" fillId="85" borderId="117"/>
    <xf numFmtId="0" fontId="115" fillId="83" borderId="117"/>
    <xf numFmtId="10" fontId="12" fillId="88" borderId="115" applyNumberFormat="0" applyBorder="0" applyAlignment="0" applyProtection="0"/>
    <xf numFmtId="10" fontId="130" fillId="0" borderId="119" applyFont="0" applyAlignment="0">
      <protection locked="0"/>
    </xf>
    <xf numFmtId="0" fontId="134" fillId="79" borderId="120"/>
    <xf numFmtId="0" fontId="131" fillId="0" borderId="117"/>
    <xf numFmtId="0" fontId="115" fillId="92" borderId="117"/>
    <xf numFmtId="0" fontId="115" fillId="92" borderId="117"/>
    <xf numFmtId="0" fontId="131" fillId="0" borderId="117"/>
    <xf numFmtId="0" fontId="134" fillId="79" borderId="120"/>
    <xf numFmtId="10" fontId="130" fillId="0" borderId="119" applyFont="0" applyAlignment="0">
      <protection locked="0"/>
    </xf>
    <xf numFmtId="0" fontId="115" fillId="83" borderId="117"/>
    <xf numFmtId="0" fontId="115" fillId="85" borderId="117"/>
    <xf numFmtId="0" fontId="122" fillId="83" borderId="117"/>
    <xf numFmtId="0" fontId="115" fillId="0" borderId="117"/>
    <xf numFmtId="0" fontId="122" fillId="83" borderId="117"/>
    <xf numFmtId="10" fontId="130" fillId="0" borderId="119" applyFont="0" applyAlignment="0">
      <protection locked="0"/>
    </xf>
    <xf numFmtId="0" fontId="131" fillId="0" borderId="117"/>
    <xf numFmtId="0" fontId="115" fillId="83" borderId="117"/>
    <xf numFmtId="0" fontId="131" fillId="0" borderId="117"/>
    <xf numFmtId="0" fontId="134" fillId="79" borderId="120"/>
    <xf numFmtId="0" fontId="122" fillId="83" borderId="11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37" fontId="111" fillId="24" borderId="118"/>
    <xf numFmtId="0" fontId="115" fillId="0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5" fillId="83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5" fillId="85" borderId="117"/>
    <xf numFmtId="2" fontId="4" fillId="0" borderId="116" applyNumberFormat="0" applyFont="0" applyFill="0" applyAlignment="0"/>
    <xf numFmtId="0" fontId="110" fillId="0" borderId="116"/>
    <xf numFmtId="0" fontId="134" fillId="79" borderId="120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0" fontId="115" fillId="92" borderId="117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115" fillId="85" borderId="117"/>
    <xf numFmtId="10" fontId="130" fillId="0" borderId="119" applyFont="0" applyAlignment="0">
      <protection locked="0"/>
    </xf>
    <xf numFmtId="0" fontId="115" fillId="92" borderId="117"/>
    <xf numFmtId="0" fontId="115" fillId="0" borderId="117"/>
    <xf numFmtId="0" fontId="40" fillId="24" borderId="113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2" fontId="4" fillId="0" borderId="116" applyNumberFormat="0" applyFont="0" applyFill="0" applyAlignment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0" fillId="0" borderId="116"/>
    <xf numFmtId="0" fontId="115" fillId="0" borderId="117"/>
    <xf numFmtId="0" fontId="31" fillId="24" borderId="111" applyNumberFormat="0" applyAlignment="0" applyProtection="0"/>
    <xf numFmtId="0" fontId="115" fillId="85" borderId="117"/>
    <xf numFmtId="0" fontId="115" fillId="92" borderId="117"/>
    <xf numFmtId="37" fontId="111" fillId="24" borderId="118"/>
    <xf numFmtId="0" fontId="122" fillId="83" borderId="117"/>
    <xf numFmtId="0" fontId="5" fillId="0" borderId="116">
      <alignment horizontal="left" vertical="center"/>
    </xf>
    <xf numFmtId="0" fontId="115" fillId="85" borderId="117"/>
    <xf numFmtId="0" fontId="115" fillId="83" borderId="117"/>
    <xf numFmtId="10" fontId="12" fillId="88" borderId="115" applyNumberFormat="0" applyBorder="0" applyAlignment="0" applyProtection="0"/>
    <xf numFmtId="10" fontId="12" fillId="88" borderId="115" applyNumberFormat="0" applyBorder="0" applyAlignment="0" applyProtection="0"/>
    <xf numFmtId="10" fontId="130" fillId="0" borderId="119" applyFont="0" applyAlignment="0">
      <protection locked="0"/>
    </xf>
    <xf numFmtId="0" fontId="134" fillId="79" borderId="120"/>
    <xf numFmtId="0" fontId="131" fillId="0" borderId="11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5" fillId="83" borderId="117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134" fillId="79" borderId="120"/>
    <xf numFmtId="0" fontId="131" fillId="0" borderId="117"/>
    <xf numFmtId="0" fontId="115" fillId="0" borderId="117"/>
    <xf numFmtId="10" fontId="130" fillId="0" borderId="119" applyFont="0" applyAlignment="0">
      <protection locked="0"/>
    </xf>
    <xf numFmtId="0" fontId="134" fillId="79" borderId="120"/>
    <xf numFmtId="0" fontId="131" fillId="0" borderId="117"/>
    <xf numFmtId="0" fontId="134" fillId="79" borderId="120"/>
    <xf numFmtId="0" fontId="131" fillId="0" borderId="117"/>
    <xf numFmtId="0" fontId="115" fillId="85" borderId="117"/>
    <xf numFmtId="10" fontId="12" fillId="88" borderId="115" applyNumberFormat="0" applyBorder="0" applyAlignment="0" applyProtection="0"/>
    <xf numFmtId="0" fontId="5" fillId="0" borderId="116">
      <alignment horizontal="left" vertical="center"/>
    </xf>
    <xf numFmtId="0" fontId="115" fillId="0" borderId="117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115" fillId="92" borderId="117"/>
    <xf numFmtId="0" fontId="115" fillId="92" borderId="117"/>
    <xf numFmtId="0" fontId="131" fillId="0" borderId="117"/>
    <xf numFmtId="0" fontId="134" fillId="79" borderId="120"/>
    <xf numFmtId="10" fontId="130" fillId="0" borderId="119" applyFont="0" applyAlignment="0">
      <protection locked="0"/>
    </xf>
    <xf numFmtId="0" fontId="115" fillId="83" borderId="117"/>
    <xf numFmtId="0" fontId="115" fillId="85" borderId="117"/>
    <xf numFmtId="0" fontId="122" fillId="83" borderId="117"/>
    <xf numFmtId="0" fontId="115" fillId="0" borderId="117"/>
    <xf numFmtId="0" fontId="122" fillId="83" borderId="117"/>
    <xf numFmtId="10" fontId="130" fillId="0" borderId="119" applyFont="0" applyAlignment="0">
      <protection locked="0"/>
    </xf>
    <xf numFmtId="0" fontId="131" fillId="0" borderId="117"/>
    <xf numFmtId="0" fontId="115" fillId="83" borderId="117"/>
    <xf numFmtId="0" fontId="131" fillId="0" borderId="117"/>
    <xf numFmtId="0" fontId="134" fillId="79" borderId="120"/>
    <xf numFmtId="0" fontId="122" fillId="83" borderId="11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22" fillId="83" borderId="117"/>
    <xf numFmtId="0" fontId="110" fillId="0" borderId="116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37" fontId="111" fillId="24" borderId="118"/>
    <xf numFmtId="0" fontId="115" fillId="0" borderId="117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5" fillId="83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5" fillId="85" borderId="117"/>
    <xf numFmtId="2" fontId="4" fillId="0" borderId="116" applyNumberFormat="0" applyFont="0" applyFill="0" applyAlignment="0"/>
    <xf numFmtId="0" fontId="110" fillId="0" borderId="116"/>
    <xf numFmtId="0" fontId="134" fillId="79" borderId="120"/>
    <xf numFmtId="0" fontId="11" fillId="0" borderId="114" applyNumberFormat="0" applyFill="0" applyAlignment="0" applyProtection="0"/>
    <xf numFmtId="0" fontId="115" fillId="0" borderId="117"/>
    <xf numFmtId="0" fontId="5" fillId="0" borderId="116">
      <alignment horizontal="left" vertical="center"/>
    </xf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0" fontId="134" fillId="79" borderId="12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31" fillId="0" borderId="117"/>
    <xf numFmtId="10" fontId="130" fillId="0" borderId="119" applyFont="0" applyAlignment="0">
      <protection locked="0"/>
    </xf>
    <xf numFmtId="0" fontId="115" fillId="85" borderId="117"/>
    <xf numFmtId="37" fontId="111" fillId="24" borderId="118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5" fillId="92" borderId="117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115" fillId="85" borderId="117"/>
    <xf numFmtId="0" fontId="115" fillId="85" borderId="117"/>
    <xf numFmtId="10" fontId="130" fillId="0" borderId="119" applyFont="0" applyAlignment="0">
      <protection locked="0"/>
    </xf>
    <xf numFmtId="0" fontId="115" fillId="92" borderId="117"/>
    <xf numFmtId="0" fontId="115" fillId="0" borderId="11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37" fontId="111" fillId="24" borderId="118"/>
    <xf numFmtId="0" fontId="40" fillId="24" borderId="113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10" fontId="12" fillId="88" borderId="115" applyNumberFormat="0" applyBorder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10" fontId="130" fillId="0" borderId="119" applyFont="0" applyAlignment="0">
      <protection locked="0"/>
    </xf>
    <xf numFmtId="37" fontId="111" fillId="24" borderId="118"/>
    <xf numFmtId="2" fontId="4" fillId="0" borderId="116" applyNumberFormat="0" applyFont="0" applyFill="0" applyAlignment="0"/>
    <xf numFmtId="10" fontId="12" fillId="88" borderId="115" applyNumberFormat="0" applyBorder="0" applyAlignment="0" applyProtection="0"/>
    <xf numFmtId="2" fontId="4" fillId="0" borderId="116" applyNumberFormat="0" applyFont="0" applyFill="0" applyAlignment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37" fontId="111" fillId="24" borderId="118"/>
    <xf numFmtId="0" fontId="122" fillId="83" borderId="117"/>
    <xf numFmtId="0" fontId="40" fillId="24" borderId="113" applyNumberFormat="0" applyAlignment="0" applyProtection="0"/>
    <xf numFmtId="0" fontId="122" fillId="83" borderId="117"/>
    <xf numFmtId="0" fontId="115" fillId="92" borderId="117"/>
    <xf numFmtId="0" fontId="115" fillId="83" borderId="117"/>
    <xf numFmtId="0" fontId="110" fillId="0" borderId="116"/>
    <xf numFmtId="2" fontId="4" fillId="0" borderId="116" applyNumberFormat="0" applyFont="0" applyFill="0" applyAlignment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2" fontId="4" fillId="0" borderId="116" applyNumberFormat="0" applyFont="0" applyFill="0" applyAlignment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115" fillId="92" borderId="117"/>
    <xf numFmtId="0" fontId="110" fillId="0" borderId="116"/>
    <xf numFmtId="0" fontId="110" fillId="0" borderId="116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115" fillId="0" borderId="117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115" fillId="83" borderId="117"/>
    <xf numFmtId="0" fontId="122" fillId="83" borderId="117"/>
    <xf numFmtId="0" fontId="115" fillId="83" borderId="117"/>
    <xf numFmtId="0" fontId="115" fillId="92" borderId="117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2" fontId="4" fillId="0" borderId="116" applyNumberFormat="0" applyFont="0" applyFill="0" applyAlignment="0"/>
    <xf numFmtId="0" fontId="110" fillId="0" borderId="116"/>
    <xf numFmtId="0" fontId="115" fillId="0" borderId="117"/>
    <xf numFmtId="37" fontId="111" fillId="24" borderId="118"/>
    <xf numFmtId="0" fontId="122" fillId="83" borderId="117"/>
    <xf numFmtId="0" fontId="5" fillId="0" borderId="116">
      <alignment horizontal="left" vertical="center"/>
    </xf>
    <xf numFmtId="0" fontId="115" fillId="85" borderId="117"/>
    <xf numFmtId="0" fontId="115" fillId="83" borderId="117"/>
    <xf numFmtId="10" fontId="12" fillId="88" borderId="115" applyNumberFormat="0" applyBorder="0" applyAlignment="0" applyProtection="0"/>
    <xf numFmtId="10" fontId="130" fillId="0" borderId="119" applyFont="0" applyAlignment="0">
      <protection locked="0"/>
    </xf>
    <xf numFmtId="0" fontId="134" fillId="79" borderId="120"/>
    <xf numFmtId="0" fontId="131" fillId="0" borderId="117"/>
    <xf numFmtId="0" fontId="115" fillId="92" borderId="117"/>
    <xf numFmtId="0" fontId="115" fillId="92" borderId="117"/>
    <xf numFmtId="0" fontId="131" fillId="0" borderId="117"/>
    <xf numFmtId="0" fontId="134" fillId="79" borderId="120"/>
    <xf numFmtId="10" fontId="130" fillId="0" borderId="119" applyFont="0" applyAlignment="0">
      <protection locked="0"/>
    </xf>
    <xf numFmtId="0" fontId="115" fillId="83" borderId="117"/>
    <xf numFmtId="0" fontId="115" fillId="85" borderId="117"/>
    <xf numFmtId="0" fontId="122" fillId="83" borderId="117"/>
    <xf numFmtId="0" fontId="115" fillId="0" borderId="117"/>
    <xf numFmtId="0" fontId="122" fillId="83" borderId="117"/>
    <xf numFmtId="10" fontId="130" fillId="0" borderId="119" applyFont="0" applyAlignment="0">
      <protection locked="0"/>
    </xf>
    <xf numFmtId="0" fontId="131" fillId="0" borderId="117"/>
    <xf numFmtId="0" fontId="115" fillId="83" borderId="117"/>
    <xf numFmtId="0" fontId="131" fillId="0" borderId="117"/>
    <xf numFmtId="0" fontId="134" fillId="79" borderId="120"/>
    <xf numFmtId="0" fontId="122" fillId="83" borderId="11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37" fontId="111" fillId="24" borderId="118"/>
    <xf numFmtId="0" fontId="115" fillId="0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5" fillId="83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5" fillId="85" borderId="117"/>
    <xf numFmtId="2" fontId="4" fillId="0" borderId="116" applyNumberFormat="0" applyFont="0" applyFill="0" applyAlignment="0"/>
    <xf numFmtId="0" fontId="110" fillId="0" borderId="116"/>
    <xf numFmtId="0" fontId="134" fillId="79" borderId="120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0" fontId="115" fillId="92" borderId="117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115" fillId="85" borderId="117"/>
    <xf numFmtId="10" fontId="130" fillId="0" borderId="119" applyFont="0" applyAlignment="0">
      <protection locked="0"/>
    </xf>
    <xf numFmtId="0" fontId="115" fillId="92" borderId="117"/>
    <xf numFmtId="0" fontId="115" fillId="0" borderId="117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2" fontId="4" fillId="0" borderId="116" applyNumberFormat="0" applyFont="0" applyFill="0" applyAlignment="0"/>
    <xf numFmtId="0" fontId="110" fillId="0" borderId="116"/>
    <xf numFmtId="0" fontId="115" fillId="0" borderId="117"/>
    <xf numFmtId="37" fontId="111" fillId="24" borderId="118"/>
    <xf numFmtId="0" fontId="122" fillId="83" borderId="117"/>
    <xf numFmtId="0" fontId="5" fillId="0" borderId="116">
      <alignment horizontal="left" vertical="center"/>
    </xf>
    <xf numFmtId="0" fontId="115" fillId="85" borderId="117"/>
    <xf numFmtId="0" fontId="115" fillId="83" borderId="117"/>
    <xf numFmtId="10" fontId="12" fillId="88" borderId="115" applyNumberFormat="0" applyBorder="0" applyAlignment="0" applyProtection="0"/>
    <xf numFmtId="10" fontId="130" fillId="0" borderId="119" applyFont="0" applyAlignment="0">
      <protection locked="0"/>
    </xf>
    <xf numFmtId="0" fontId="134" fillId="79" borderId="120"/>
    <xf numFmtId="0" fontId="131" fillId="0" borderId="117"/>
    <xf numFmtId="0" fontId="115" fillId="92" borderId="117"/>
    <xf numFmtId="0" fontId="115" fillId="92" borderId="117"/>
    <xf numFmtId="0" fontId="131" fillId="0" borderId="117"/>
    <xf numFmtId="0" fontId="134" fillId="79" borderId="120"/>
    <xf numFmtId="10" fontId="130" fillId="0" borderId="119" applyFont="0" applyAlignment="0">
      <protection locked="0"/>
    </xf>
    <xf numFmtId="0" fontId="115" fillId="83" borderId="117"/>
    <xf numFmtId="0" fontId="115" fillId="85" borderId="117"/>
    <xf numFmtId="0" fontId="122" fillId="83" borderId="117"/>
    <xf numFmtId="0" fontId="115" fillId="0" borderId="117"/>
    <xf numFmtId="0" fontId="122" fillId="83" borderId="117"/>
    <xf numFmtId="10" fontId="130" fillId="0" borderId="119" applyFont="0" applyAlignment="0">
      <protection locked="0"/>
    </xf>
    <xf numFmtId="0" fontId="131" fillId="0" borderId="117"/>
    <xf numFmtId="0" fontId="115" fillId="83" borderId="117"/>
    <xf numFmtId="0" fontId="131" fillId="0" borderId="117"/>
    <xf numFmtId="0" fontId="134" fillId="79" borderId="120"/>
    <xf numFmtId="0" fontId="122" fillId="83" borderId="11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37" fontId="111" fillId="24" borderId="118"/>
    <xf numFmtId="0" fontId="115" fillId="0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5" fillId="83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5" fillId="85" borderId="117"/>
    <xf numFmtId="2" fontId="4" fillId="0" borderId="116" applyNumberFormat="0" applyFont="0" applyFill="0" applyAlignment="0"/>
    <xf numFmtId="0" fontId="110" fillId="0" borderId="116"/>
    <xf numFmtId="0" fontId="134" fillId="79" borderId="120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0" fontId="115" fillId="92" borderId="117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115" fillId="85" borderId="117"/>
    <xf numFmtId="10" fontId="130" fillId="0" borderId="119" applyFont="0" applyAlignment="0">
      <protection locked="0"/>
    </xf>
    <xf numFmtId="0" fontId="115" fillId="92" borderId="117"/>
    <xf numFmtId="0" fontId="115" fillId="0" borderId="117"/>
    <xf numFmtId="0" fontId="37" fillId="11" borderId="131" applyNumberFormat="0" applyAlignment="0" applyProtection="0"/>
    <xf numFmtId="0" fontId="5" fillId="0" borderId="136">
      <alignment horizontal="left" vertical="center"/>
    </xf>
    <xf numFmtId="0" fontId="11" fillId="0" borderId="144" applyNumberFormat="0" applyFill="0" applyAlignment="0" applyProtection="0"/>
    <xf numFmtId="0" fontId="110" fillId="0" borderId="146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134" fillId="79" borderId="150"/>
    <xf numFmtId="0" fontId="31" fillId="24" borderId="141" applyNumberFormat="0" applyAlignment="0" applyProtection="0"/>
    <xf numFmtId="10" fontId="130" fillId="0" borderId="139" applyFont="0" applyAlignment="0">
      <protection locked="0"/>
    </xf>
    <xf numFmtId="0" fontId="31" fillId="24" borderId="141" applyNumberFormat="0" applyAlignment="0" applyProtection="0"/>
    <xf numFmtId="0" fontId="131" fillId="0" borderId="137"/>
    <xf numFmtId="0" fontId="122" fillId="83" borderId="137"/>
    <xf numFmtId="0" fontId="37" fillId="11" borderId="13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2" fontId="4" fillId="0" borderId="136" applyNumberFormat="0" applyFont="0" applyFill="0" applyAlignment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31" fillId="24" borderId="131" applyNumberFormat="0" applyAlignment="0" applyProtection="0"/>
    <xf numFmtId="0" fontId="4" fillId="28" borderId="132" applyNumberFormat="0" applyFont="0" applyAlignment="0" applyProtection="0"/>
    <xf numFmtId="0" fontId="5" fillId="0" borderId="136">
      <alignment horizontal="left" vertical="center"/>
    </xf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5" borderId="137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122" fillId="83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110" fillId="0" borderId="146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11" fillId="0" borderId="134" applyNumberFormat="0" applyFill="0" applyAlignment="0" applyProtection="0"/>
    <xf numFmtId="2" fontId="4" fillId="0" borderId="146" applyNumberFormat="0" applyFont="0" applyFill="0" applyAlignment="0"/>
    <xf numFmtId="0" fontId="115" fillId="92" borderId="147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2" fontId="4" fillId="0" borderId="146" applyNumberFormat="0" applyFont="0" applyFill="0" applyAlignment="0"/>
    <xf numFmtId="0" fontId="5" fillId="0" borderId="146">
      <alignment horizontal="left" vertical="center"/>
    </xf>
    <xf numFmtId="0" fontId="37" fillId="11" borderId="131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31" fillId="24" borderId="141" applyNumberFormat="0" applyAlignment="0" applyProtection="0"/>
    <xf numFmtId="0" fontId="122" fillId="83" borderId="137"/>
    <xf numFmtId="0" fontId="37" fillId="11" borderId="141" applyNumberFormat="0" applyAlignment="0" applyProtection="0"/>
    <xf numFmtId="0" fontId="115" fillId="92" borderId="137"/>
    <xf numFmtId="0" fontId="115" fillId="85" borderId="137"/>
    <xf numFmtId="0" fontId="115" fillId="92" borderId="147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122" fillId="83" borderId="147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11" fillId="0" borderId="134" applyNumberFormat="0" applyFill="0" applyAlignment="0" applyProtection="0"/>
    <xf numFmtId="0" fontId="131" fillId="0" borderId="137"/>
    <xf numFmtId="0" fontId="134" fillId="79" borderId="140"/>
    <xf numFmtId="0" fontId="115" fillId="83" borderId="137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2" fontId="4" fillId="0" borderId="126" applyNumberFormat="0" applyFont="0" applyFill="0" applyAlignment="0"/>
    <xf numFmtId="0" fontId="110" fillId="0" borderId="126"/>
    <xf numFmtId="0" fontId="115" fillId="0" borderId="127"/>
    <xf numFmtId="37" fontId="111" fillId="24" borderId="128"/>
    <xf numFmtId="0" fontId="122" fillId="83" borderId="127"/>
    <xf numFmtId="0" fontId="5" fillId="0" borderId="126">
      <alignment horizontal="left" vertical="center"/>
    </xf>
    <xf numFmtId="0" fontId="115" fillId="85" borderId="127"/>
    <xf numFmtId="0" fontId="115" fillId="83" borderId="127"/>
    <xf numFmtId="10" fontId="130" fillId="0" borderId="129" applyFont="0" applyAlignment="0">
      <protection locked="0"/>
    </xf>
    <xf numFmtId="0" fontId="134" fillId="79" borderId="130"/>
    <xf numFmtId="0" fontId="131" fillId="0" borderId="127"/>
    <xf numFmtId="0" fontId="115" fillId="92" borderId="127"/>
    <xf numFmtId="0" fontId="115" fillId="92" borderId="127"/>
    <xf numFmtId="0" fontId="131" fillId="0" borderId="127"/>
    <xf numFmtId="0" fontId="134" fillId="79" borderId="130"/>
    <xf numFmtId="10" fontId="130" fillId="0" borderId="129" applyFont="0" applyAlignment="0">
      <protection locked="0"/>
    </xf>
    <xf numFmtId="0" fontId="115" fillId="83" borderId="127"/>
    <xf numFmtId="0" fontId="115" fillId="85" borderId="127"/>
    <xf numFmtId="0" fontId="122" fillId="83" borderId="127"/>
    <xf numFmtId="0" fontId="115" fillId="0" borderId="127"/>
    <xf numFmtId="0" fontId="122" fillId="83" borderId="127"/>
    <xf numFmtId="10" fontId="130" fillId="0" borderId="129" applyFont="0" applyAlignment="0">
      <protection locked="0"/>
    </xf>
    <xf numFmtId="0" fontId="131" fillId="0" borderId="127"/>
    <xf numFmtId="0" fontId="115" fillId="83" borderId="127"/>
    <xf numFmtId="0" fontId="131" fillId="0" borderId="127"/>
    <xf numFmtId="0" fontId="134" fillId="79" borderId="130"/>
    <xf numFmtId="0" fontId="122" fillId="83" borderId="127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37" fontId="111" fillId="24" borderId="128"/>
    <xf numFmtId="0" fontId="115" fillId="0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5" fillId="83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115" fillId="85" borderId="127"/>
    <xf numFmtId="2" fontId="4" fillId="0" borderId="126" applyNumberFormat="0" applyFont="0" applyFill="0" applyAlignment="0"/>
    <xf numFmtId="0" fontId="110" fillId="0" borderId="126"/>
    <xf numFmtId="0" fontId="134" fillId="79" borderId="130"/>
    <xf numFmtId="0" fontId="5" fillId="0" borderId="126">
      <alignment horizontal="left" vertical="center"/>
    </xf>
    <xf numFmtId="0" fontId="115" fillId="92" borderId="127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115" fillId="85" borderId="127"/>
    <xf numFmtId="10" fontId="130" fillId="0" borderId="129" applyFont="0" applyAlignment="0">
      <protection locked="0"/>
    </xf>
    <xf numFmtId="0" fontId="115" fillId="92" borderId="127"/>
    <xf numFmtId="0" fontId="115" fillId="0" borderId="127"/>
    <xf numFmtId="0" fontId="40" fillId="24" borderId="123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2" fontId="4" fillId="0" borderId="126" applyNumberFormat="0" applyFont="0" applyFill="0" applyAlignment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110" fillId="0" borderId="126"/>
    <xf numFmtId="0" fontId="115" fillId="0" borderId="127"/>
    <xf numFmtId="0" fontId="31" fillId="24" borderId="121" applyNumberFormat="0" applyAlignment="0" applyProtection="0"/>
    <xf numFmtId="0" fontId="115" fillId="85" borderId="127"/>
    <xf numFmtId="0" fontId="115" fillId="92" borderId="127"/>
    <xf numFmtId="37" fontId="111" fillId="24" borderId="128"/>
    <xf numFmtId="0" fontId="122" fillId="83" borderId="127"/>
    <xf numFmtId="0" fontId="5" fillId="0" borderId="126">
      <alignment horizontal="left" vertical="center"/>
    </xf>
    <xf numFmtId="0" fontId="115" fillId="85" borderId="127"/>
    <xf numFmtId="0" fontId="115" fillId="83" borderId="127"/>
    <xf numFmtId="10" fontId="130" fillId="0" borderId="129" applyFont="0" applyAlignment="0">
      <protection locked="0"/>
    </xf>
    <xf numFmtId="0" fontId="134" fillId="79" borderId="130"/>
    <xf numFmtId="0" fontId="131" fillId="0" borderId="127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15" fillId="83" borderId="127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134" fillId="79" borderId="130"/>
    <xf numFmtId="0" fontId="131" fillId="0" borderId="127"/>
    <xf numFmtId="0" fontId="115" fillId="0" borderId="127"/>
    <xf numFmtId="10" fontId="130" fillId="0" borderId="129" applyFont="0" applyAlignment="0">
      <protection locked="0"/>
    </xf>
    <xf numFmtId="0" fontId="134" fillId="79" borderId="130"/>
    <xf numFmtId="0" fontId="131" fillId="0" borderId="127"/>
    <xf numFmtId="0" fontId="134" fillId="79" borderId="130"/>
    <xf numFmtId="0" fontId="131" fillId="0" borderId="127"/>
    <xf numFmtId="0" fontId="115" fillId="85" borderId="127"/>
    <xf numFmtId="0" fontId="5" fillId="0" borderId="126">
      <alignment horizontal="left" vertical="center"/>
    </xf>
    <xf numFmtId="0" fontId="115" fillId="0" borderId="127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115" fillId="92" borderId="127"/>
    <xf numFmtId="0" fontId="115" fillId="92" borderId="127"/>
    <xf numFmtId="0" fontId="131" fillId="0" borderId="127"/>
    <xf numFmtId="0" fontId="134" fillId="79" borderId="130"/>
    <xf numFmtId="10" fontId="130" fillId="0" borderId="129" applyFont="0" applyAlignment="0">
      <protection locked="0"/>
    </xf>
    <xf numFmtId="0" fontId="115" fillId="83" borderId="127"/>
    <xf numFmtId="0" fontId="115" fillId="85" borderId="127"/>
    <xf numFmtId="0" fontId="122" fillId="83" borderId="127"/>
    <xf numFmtId="0" fontId="115" fillId="0" borderId="127"/>
    <xf numFmtId="0" fontId="122" fillId="83" borderId="127"/>
    <xf numFmtId="10" fontId="130" fillId="0" borderId="129" applyFont="0" applyAlignment="0">
      <protection locked="0"/>
    </xf>
    <xf numFmtId="0" fontId="131" fillId="0" borderId="127"/>
    <xf numFmtId="0" fontId="115" fillId="83" borderId="127"/>
    <xf numFmtId="0" fontId="131" fillId="0" borderId="127"/>
    <xf numFmtId="0" fontId="134" fillId="79" borderId="130"/>
    <xf numFmtId="0" fontId="122" fillId="83" borderId="127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22" fillId="83" borderId="127"/>
    <xf numFmtId="0" fontId="110" fillId="0" borderId="126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37" fontId="111" fillId="24" borderId="128"/>
    <xf numFmtId="0" fontId="115" fillId="0" borderId="127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5" fillId="83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15" fillId="85" borderId="127"/>
    <xf numFmtId="2" fontId="4" fillId="0" borderId="126" applyNumberFormat="0" applyFont="0" applyFill="0" applyAlignment="0"/>
    <xf numFmtId="0" fontId="110" fillId="0" borderId="126"/>
    <xf numFmtId="0" fontId="134" fillId="79" borderId="130"/>
    <xf numFmtId="0" fontId="11" fillId="0" borderId="124" applyNumberFormat="0" applyFill="0" applyAlignment="0" applyProtection="0"/>
    <xf numFmtId="0" fontId="115" fillId="0" borderId="127"/>
    <xf numFmtId="0" fontId="5" fillId="0" borderId="126">
      <alignment horizontal="left" vertical="center"/>
    </xf>
    <xf numFmtId="0" fontId="5" fillId="0" borderId="126">
      <alignment horizontal="left" vertical="center"/>
    </xf>
    <xf numFmtId="0" fontId="134" fillId="79" borderId="13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131" fillId="0" borderId="127"/>
    <xf numFmtId="10" fontId="130" fillId="0" borderId="129" applyFont="0" applyAlignment="0">
      <protection locked="0"/>
    </xf>
    <xf numFmtId="0" fontId="115" fillId="85" borderId="127"/>
    <xf numFmtId="37" fontId="111" fillId="24" borderId="128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115" fillId="92" borderId="127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115" fillId="85" borderId="127"/>
    <xf numFmtId="0" fontId="115" fillId="85" borderId="127"/>
    <xf numFmtId="10" fontId="130" fillId="0" borderId="129" applyFont="0" applyAlignment="0">
      <protection locked="0"/>
    </xf>
    <xf numFmtId="0" fontId="115" fillId="92" borderId="127"/>
    <xf numFmtId="0" fontId="115" fillId="0" borderId="127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37" fontId="111" fillId="24" borderId="128"/>
    <xf numFmtId="0" fontId="40" fillId="24" borderId="123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10" fontId="130" fillId="0" borderId="129" applyFont="0" applyAlignment="0">
      <protection locked="0"/>
    </xf>
    <xf numFmtId="37" fontId="111" fillId="24" borderId="128"/>
    <xf numFmtId="2" fontId="4" fillId="0" borderId="126" applyNumberFormat="0" applyFont="0" applyFill="0" applyAlignment="0"/>
    <xf numFmtId="2" fontId="4" fillId="0" borderId="126" applyNumberFormat="0" applyFont="0" applyFill="0" applyAlignment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37" fontId="111" fillId="24" borderId="128"/>
    <xf numFmtId="0" fontId="122" fillId="83" borderId="127"/>
    <xf numFmtId="0" fontId="40" fillId="24" borderId="123" applyNumberFormat="0" applyAlignment="0" applyProtection="0"/>
    <xf numFmtId="0" fontId="122" fillId="83" borderId="127"/>
    <xf numFmtId="0" fontId="115" fillId="92" borderId="127"/>
    <xf numFmtId="0" fontId="115" fillId="83" borderId="127"/>
    <xf numFmtId="0" fontId="110" fillId="0" borderId="126"/>
    <xf numFmtId="2" fontId="4" fillId="0" borderId="126" applyNumberFormat="0" applyFont="0" applyFill="0" applyAlignment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2" fontId="4" fillId="0" borderId="126" applyNumberFormat="0" applyFont="0" applyFill="0" applyAlignment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5" fillId="92" borderId="127"/>
    <xf numFmtId="0" fontId="110" fillId="0" borderId="126"/>
    <xf numFmtId="0" fontId="110" fillId="0" borderId="126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115" fillId="0" borderId="127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115" fillId="83" borderId="127"/>
    <xf numFmtId="0" fontId="122" fillId="83" borderId="127"/>
    <xf numFmtId="0" fontId="115" fillId="83" borderId="127"/>
    <xf numFmtId="0" fontId="115" fillId="92" borderId="127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2" fontId="4" fillId="0" borderId="126" applyNumberFormat="0" applyFont="0" applyFill="0" applyAlignment="0"/>
    <xf numFmtId="0" fontId="110" fillId="0" borderId="126"/>
    <xf numFmtId="0" fontId="115" fillId="0" borderId="127"/>
    <xf numFmtId="37" fontId="111" fillId="24" borderId="128"/>
    <xf numFmtId="0" fontId="122" fillId="83" borderId="127"/>
    <xf numFmtId="0" fontId="5" fillId="0" borderId="126">
      <alignment horizontal="left" vertical="center"/>
    </xf>
    <xf numFmtId="0" fontId="115" fillId="85" borderId="127"/>
    <xf numFmtId="0" fontId="115" fillId="83" borderId="127"/>
    <xf numFmtId="10" fontId="130" fillId="0" borderId="129" applyFont="0" applyAlignment="0">
      <protection locked="0"/>
    </xf>
    <xf numFmtId="0" fontId="134" fillId="79" borderId="130"/>
    <xf numFmtId="0" fontId="131" fillId="0" borderId="127"/>
    <xf numFmtId="0" fontId="115" fillId="92" borderId="127"/>
    <xf numFmtId="0" fontId="115" fillId="92" borderId="127"/>
    <xf numFmtId="0" fontId="131" fillId="0" borderId="127"/>
    <xf numFmtId="0" fontId="134" fillId="79" borderId="130"/>
    <xf numFmtId="10" fontId="130" fillId="0" borderId="129" applyFont="0" applyAlignment="0">
      <protection locked="0"/>
    </xf>
    <xf numFmtId="0" fontId="115" fillId="83" borderId="127"/>
    <xf numFmtId="0" fontId="115" fillId="85" borderId="127"/>
    <xf numFmtId="0" fontId="122" fillId="83" borderId="127"/>
    <xf numFmtId="0" fontId="115" fillId="0" borderId="127"/>
    <xf numFmtId="0" fontId="122" fillId="83" borderId="127"/>
    <xf numFmtId="10" fontId="130" fillId="0" borderId="129" applyFont="0" applyAlignment="0">
      <protection locked="0"/>
    </xf>
    <xf numFmtId="0" fontId="131" fillId="0" borderId="127"/>
    <xf numFmtId="0" fontId="115" fillId="83" borderId="127"/>
    <xf numFmtId="0" fontId="131" fillId="0" borderId="127"/>
    <xf numFmtId="0" fontId="134" fillId="79" borderId="130"/>
    <xf numFmtId="0" fontId="122" fillId="83" borderId="127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37" fontId="111" fillId="24" borderId="128"/>
    <xf numFmtId="0" fontId="115" fillId="0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5" fillId="83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115" fillId="85" borderId="127"/>
    <xf numFmtId="2" fontId="4" fillId="0" borderId="126" applyNumberFormat="0" applyFont="0" applyFill="0" applyAlignment="0"/>
    <xf numFmtId="0" fontId="110" fillId="0" borderId="126"/>
    <xf numFmtId="0" fontId="134" fillId="79" borderId="130"/>
    <xf numFmtId="0" fontId="5" fillId="0" borderId="126">
      <alignment horizontal="left" vertical="center"/>
    </xf>
    <xf numFmtId="0" fontId="115" fillId="92" borderId="127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115" fillId="85" borderId="127"/>
    <xf numFmtId="10" fontId="130" fillId="0" borderId="129" applyFont="0" applyAlignment="0">
      <protection locked="0"/>
    </xf>
    <xf numFmtId="0" fontId="115" fillId="92" borderId="127"/>
    <xf numFmtId="0" fontId="115" fillId="0" borderId="127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2" fontId="4" fillId="0" borderId="126" applyNumberFormat="0" applyFont="0" applyFill="0" applyAlignment="0"/>
    <xf numFmtId="0" fontId="110" fillId="0" borderId="126"/>
    <xf numFmtId="0" fontId="115" fillId="0" borderId="127"/>
    <xf numFmtId="37" fontId="111" fillId="24" borderId="128"/>
    <xf numFmtId="0" fontId="122" fillId="83" borderId="127"/>
    <xf numFmtId="0" fontId="5" fillId="0" borderId="126">
      <alignment horizontal="left" vertical="center"/>
    </xf>
    <xf numFmtId="0" fontId="115" fillId="85" borderId="127"/>
    <xf numFmtId="0" fontId="115" fillId="83" borderId="127"/>
    <xf numFmtId="10" fontId="130" fillId="0" borderId="129" applyFont="0" applyAlignment="0">
      <protection locked="0"/>
    </xf>
    <xf numFmtId="0" fontId="134" fillId="79" borderId="130"/>
    <xf numFmtId="0" fontId="131" fillId="0" borderId="127"/>
    <xf numFmtId="0" fontId="115" fillId="92" borderId="127"/>
    <xf numFmtId="0" fontId="115" fillId="92" borderId="127"/>
    <xf numFmtId="0" fontId="131" fillId="0" borderId="127"/>
    <xf numFmtId="0" fontId="134" fillId="79" borderId="130"/>
    <xf numFmtId="10" fontId="130" fillId="0" borderId="129" applyFont="0" applyAlignment="0">
      <protection locked="0"/>
    </xf>
    <xf numFmtId="0" fontId="115" fillId="83" borderId="127"/>
    <xf numFmtId="0" fontId="115" fillId="85" borderId="127"/>
    <xf numFmtId="0" fontId="122" fillId="83" borderId="127"/>
    <xf numFmtId="0" fontId="115" fillId="0" borderId="127"/>
    <xf numFmtId="0" fontId="122" fillId="83" borderId="127"/>
    <xf numFmtId="10" fontId="130" fillId="0" borderId="129" applyFont="0" applyAlignment="0">
      <protection locked="0"/>
    </xf>
    <xf numFmtId="0" fontId="131" fillId="0" borderId="127"/>
    <xf numFmtId="0" fontId="115" fillId="83" borderId="127"/>
    <xf numFmtId="0" fontId="131" fillId="0" borderId="127"/>
    <xf numFmtId="0" fontId="134" fillId="79" borderId="130"/>
    <xf numFmtId="0" fontId="122" fillId="83" borderId="127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37" fontId="111" fillId="24" borderId="128"/>
    <xf numFmtId="0" fontId="115" fillId="0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5" fillId="83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115" fillId="85" borderId="127"/>
    <xf numFmtId="2" fontId="4" fillId="0" borderId="126" applyNumberFormat="0" applyFont="0" applyFill="0" applyAlignment="0"/>
    <xf numFmtId="0" fontId="110" fillId="0" borderId="126"/>
    <xf numFmtId="0" fontId="134" fillId="79" borderId="130"/>
    <xf numFmtId="0" fontId="5" fillId="0" borderId="126">
      <alignment horizontal="left" vertical="center"/>
    </xf>
    <xf numFmtId="0" fontId="115" fillId="92" borderId="127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115" fillId="85" borderId="127"/>
    <xf numFmtId="10" fontId="130" fillId="0" borderId="129" applyFont="0" applyAlignment="0">
      <protection locked="0"/>
    </xf>
    <xf numFmtId="0" fontId="115" fillId="92" borderId="127"/>
    <xf numFmtId="0" fontId="115" fillId="0" borderId="127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115" fillId="83" borderId="147"/>
    <xf numFmtId="0" fontId="115" fillId="0" borderId="147"/>
    <xf numFmtId="0" fontId="115" fillId="83" borderId="147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85" borderId="147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134" fillId="79" borderId="15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2" fontId="4" fillId="0" borderId="146" applyNumberFormat="0" applyFont="0" applyFill="0" applyAlignment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5" fillId="0" borderId="146">
      <alignment horizontal="left" vertical="center"/>
    </xf>
    <xf numFmtId="0" fontId="115" fillId="85" borderId="147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31" fillId="0" borderId="147"/>
    <xf numFmtId="10" fontId="130" fillId="0" borderId="149" applyFont="0" applyAlignment="0">
      <protection locked="0"/>
    </xf>
    <xf numFmtId="0" fontId="40" fillId="24" borderId="143" applyNumberFormat="0" applyAlignment="0" applyProtection="0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134" fillId="79" borderId="150"/>
    <xf numFmtId="0" fontId="115" fillId="85" borderId="147"/>
    <xf numFmtId="0" fontId="134" fillId="79" borderId="150"/>
    <xf numFmtId="0" fontId="115" fillId="0" borderId="14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2" fontId="4" fillId="0" borderId="136" applyNumberFormat="0" applyFont="0" applyFill="0" applyAlignment="0"/>
    <xf numFmtId="0" fontId="110" fillId="0" borderId="136"/>
    <xf numFmtId="0" fontId="115" fillId="0" borderId="137"/>
    <xf numFmtId="37" fontId="111" fillId="24" borderId="138"/>
    <xf numFmtId="0" fontId="122" fillId="83" borderId="137"/>
    <xf numFmtId="0" fontId="5" fillId="0" borderId="136">
      <alignment horizontal="left" vertical="center"/>
    </xf>
    <xf numFmtId="0" fontId="115" fillId="85" borderId="137"/>
    <xf numFmtId="0" fontId="115" fillId="83" borderId="137"/>
    <xf numFmtId="10" fontId="130" fillId="0" borderId="139" applyFont="0" applyAlignment="0">
      <protection locked="0"/>
    </xf>
    <xf numFmtId="0" fontId="134" fillId="79" borderId="140"/>
    <xf numFmtId="0" fontId="131" fillId="0" borderId="137"/>
    <xf numFmtId="0" fontId="115" fillId="92" borderId="137"/>
    <xf numFmtId="0" fontId="115" fillId="92" borderId="137"/>
    <xf numFmtId="0" fontId="131" fillId="0" borderId="137"/>
    <xf numFmtId="0" fontId="134" fillId="79" borderId="140"/>
    <xf numFmtId="10" fontId="130" fillId="0" borderId="139" applyFont="0" applyAlignment="0">
      <protection locked="0"/>
    </xf>
    <xf numFmtId="0" fontId="115" fillId="83" borderId="137"/>
    <xf numFmtId="0" fontId="115" fillId="85" borderId="137"/>
    <xf numFmtId="0" fontId="122" fillId="83" borderId="137"/>
    <xf numFmtId="0" fontId="115" fillId="0" borderId="137"/>
    <xf numFmtId="0" fontId="122" fillId="83" borderId="137"/>
    <xf numFmtId="10" fontId="130" fillId="0" borderId="139" applyFont="0" applyAlignment="0">
      <protection locked="0"/>
    </xf>
    <xf numFmtId="0" fontId="131" fillId="0" borderId="137"/>
    <xf numFmtId="0" fontId="115" fillId="83" borderId="137"/>
    <xf numFmtId="0" fontId="131" fillId="0" borderId="137"/>
    <xf numFmtId="0" fontId="134" fillId="79" borderId="140"/>
    <xf numFmtId="0" fontId="122" fillId="83" borderId="13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37" fontId="111" fillId="24" borderId="138"/>
    <xf numFmtId="0" fontId="115" fillId="0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3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15" fillId="85" borderId="137"/>
    <xf numFmtId="2" fontId="4" fillId="0" borderId="136" applyNumberFormat="0" applyFont="0" applyFill="0" applyAlignment="0"/>
    <xf numFmtId="0" fontId="110" fillId="0" borderId="136"/>
    <xf numFmtId="0" fontId="134" fillId="79" borderId="140"/>
    <xf numFmtId="0" fontId="5" fillId="0" borderId="136">
      <alignment horizontal="left" vertical="center"/>
    </xf>
    <xf numFmtId="0" fontId="115" fillId="92" borderId="137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115" fillId="85" borderId="137"/>
    <xf numFmtId="10" fontId="130" fillId="0" borderId="139" applyFont="0" applyAlignment="0">
      <protection locked="0"/>
    </xf>
    <xf numFmtId="0" fontId="115" fillId="92" borderId="137"/>
    <xf numFmtId="0" fontId="115" fillId="0" borderId="137"/>
    <xf numFmtId="0" fontId="40" fillId="24" borderId="133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2" fontId="4" fillId="0" borderId="136" applyNumberFormat="0" applyFont="0" applyFill="0" applyAlignment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110" fillId="0" borderId="136"/>
    <xf numFmtId="0" fontId="115" fillId="0" borderId="137"/>
    <xf numFmtId="0" fontId="31" fillId="24" borderId="131" applyNumberFormat="0" applyAlignment="0" applyProtection="0"/>
    <xf numFmtId="0" fontId="115" fillId="85" borderId="137"/>
    <xf numFmtId="0" fontId="115" fillId="92" borderId="137"/>
    <xf numFmtId="37" fontId="111" fillId="24" borderId="138"/>
    <xf numFmtId="0" fontId="122" fillId="83" borderId="137"/>
    <xf numFmtId="0" fontId="5" fillId="0" borderId="136">
      <alignment horizontal="left" vertical="center"/>
    </xf>
    <xf numFmtId="0" fontId="115" fillId="85" borderId="137"/>
    <xf numFmtId="0" fontId="115" fillId="83" borderId="137"/>
    <xf numFmtId="10" fontId="130" fillId="0" borderId="139" applyFont="0" applyAlignment="0">
      <protection locked="0"/>
    </xf>
    <xf numFmtId="0" fontId="134" fillId="79" borderId="140"/>
    <xf numFmtId="0" fontId="131" fillId="0" borderId="137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115" fillId="83" borderId="137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134" fillId="79" borderId="140"/>
    <xf numFmtId="0" fontId="131" fillId="0" borderId="137"/>
    <xf numFmtId="0" fontId="115" fillId="0" borderId="137"/>
    <xf numFmtId="10" fontId="130" fillId="0" borderId="139" applyFont="0" applyAlignment="0">
      <protection locked="0"/>
    </xf>
    <xf numFmtId="0" fontId="134" fillId="79" borderId="140"/>
    <xf numFmtId="0" fontId="131" fillId="0" borderId="137"/>
    <xf numFmtId="0" fontId="134" fillId="79" borderId="140"/>
    <xf numFmtId="0" fontId="131" fillId="0" borderId="137"/>
    <xf numFmtId="0" fontId="115" fillId="85" borderId="137"/>
    <xf numFmtId="0" fontId="5" fillId="0" borderId="136">
      <alignment horizontal="left" vertical="center"/>
    </xf>
    <xf numFmtId="0" fontId="115" fillId="0" borderId="137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115" fillId="92" borderId="137"/>
    <xf numFmtId="0" fontId="115" fillId="92" borderId="137"/>
    <xf numFmtId="0" fontId="131" fillId="0" borderId="137"/>
    <xf numFmtId="0" fontId="134" fillId="79" borderId="140"/>
    <xf numFmtId="10" fontId="130" fillId="0" borderId="139" applyFont="0" applyAlignment="0">
      <protection locked="0"/>
    </xf>
    <xf numFmtId="0" fontId="115" fillId="83" borderId="137"/>
    <xf numFmtId="0" fontId="115" fillId="85" borderId="137"/>
    <xf numFmtId="0" fontId="122" fillId="83" borderId="137"/>
    <xf numFmtId="0" fontId="115" fillId="0" borderId="137"/>
    <xf numFmtId="0" fontId="122" fillId="83" borderId="137"/>
    <xf numFmtId="10" fontId="130" fillId="0" borderId="139" applyFont="0" applyAlignment="0">
      <protection locked="0"/>
    </xf>
    <xf numFmtId="0" fontId="131" fillId="0" borderId="137"/>
    <xf numFmtId="0" fontId="115" fillId="83" borderId="137"/>
    <xf numFmtId="0" fontId="131" fillId="0" borderId="137"/>
    <xf numFmtId="0" fontId="134" fillId="79" borderId="140"/>
    <xf numFmtId="0" fontId="122" fillId="83" borderId="13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22" fillId="83" borderId="137"/>
    <xf numFmtId="0" fontId="110" fillId="0" borderId="136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37" fontId="111" fillId="24" borderId="138"/>
    <xf numFmtId="0" fontId="115" fillId="0" borderId="137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3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115" fillId="85" borderId="137"/>
    <xf numFmtId="2" fontId="4" fillId="0" borderId="136" applyNumberFormat="0" applyFont="0" applyFill="0" applyAlignment="0"/>
    <xf numFmtId="0" fontId="110" fillId="0" borderId="136"/>
    <xf numFmtId="0" fontId="134" fillId="79" borderId="140"/>
    <xf numFmtId="0" fontId="11" fillId="0" borderId="134" applyNumberFormat="0" applyFill="0" applyAlignment="0" applyProtection="0"/>
    <xf numFmtId="0" fontId="115" fillId="0" borderId="137"/>
    <xf numFmtId="0" fontId="5" fillId="0" borderId="136">
      <alignment horizontal="left" vertical="center"/>
    </xf>
    <xf numFmtId="0" fontId="5" fillId="0" borderId="136">
      <alignment horizontal="left" vertical="center"/>
    </xf>
    <xf numFmtId="0" fontId="134" fillId="79" borderId="14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131" fillId="0" borderId="137"/>
    <xf numFmtId="10" fontId="130" fillId="0" borderId="139" applyFont="0" applyAlignment="0">
      <protection locked="0"/>
    </xf>
    <xf numFmtId="0" fontId="115" fillId="85" borderId="137"/>
    <xf numFmtId="37" fontId="111" fillId="24" borderId="138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115" fillId="92" borderId="137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115" fillId="85" borderId="137"/>
    <xf numFmtId="0" fontId="115" fillId="85" borderId="137"/>
    <xf numFmtId="10" fontId="130" fillId="0" borderId="139" applyFont="0" applyAlignment="0">
      <protection locked="0"/>
    </xf>
    <xf numFmtId="0" fontId="115" fillId="92" borderId="137"/>
    <xf numFmtId="0" fontId="115" fillId="0" borderId="13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37" fontId="111" fillId="24" borderId="138"/>
    <xf numFmtId="0" fontId="40" fillId="24" borderId="133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10" fontId="130" fillId="0" borderId="139" applyFont="0" applyAlignment="0">
      <protection locked="0"/>
    </xf>
    <xf numFmtId="37" fontId="111" fillId="24" borderId="138"/>
    <xf numFmtId="2" fontId="4" fillId="0" borderId="136" applyNumberFormat="0" applyFont="0" applyFill="0" applyAlignment="0"/>
    <xf numFmtId="2" fontId="4" fillId="0" borderId="136" applyNumberFormat="0" applyFont="0" applyFill="0" applyAlignment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37" fontId="111" fillId="24" borderId="138"/>
    <xf numFmtId="0" fontId="122" fillId="83" borderId="137"/>
    <xf numFmtId="0" fontId="40" fillId="24" borderId="133" applyNumberFormat="0" applyAlignment="0" applyProtection="0"/>
    <xf numFmtId="0" fontId="122" fillId="83" borderId="137"/>
    <xf numFmtId="0" fontId="115" fillId="92" borderId="137"/>
    <xf numFmtId="0" fontId="115" fillId="83" borderId="137"/>
    <xf numFmtId="0" fontId="110" fillId="0" borderId="136"/>
    <xf numFmtId="2" fontId="4" fillId="0" borderId="136" applyNumberFormat="0" applyFont="0" applyFill="0" applyAlignment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2" fontId="4" fillId="0" borderId="136" applyNumberFormat="0" applyFont="0" applyFill="0" applyAlignment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5" fillId="92" borderId="137"/>
    <xf numFmtId="0" fontId="110" fillId="0" borderId="136"/>
    <xf numFmtId="0" fontId="110" fillId="0" borderId="136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115" fillId="0" borderId="137"/>
    <xf numFmtId="0" fontId="31" fillId="24" borderId="131" applyNumberFormat="0" applyAlignment="0" applyProtection="0"/>
    <xf numFmtId="0" fontId="11" fillId="0" borderId="134" applyNumberFormat="0" applyFill="0" applyAlignment="0" applyProtection="0"/>
    <xf numFmtId="0" fontId="115" fillId="83" borderId="137"/>
    <xf numFmtId="0" fontId="122" fillId="83" borderId="137"/>
    <xf numFmtId="0" fontId="115" fillId="83" borderId="137"/>
    <xf numFmtId="0" fontId="115" fillId="92" borderId="137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2" fontId="4" fillId="0" borderId="136" applyNumberFormat="0" applyFont="0" applyFill="0" applyAlignment="0"/>
    <xf numFmtId="0" fontId="110" fillId="0" borderId="136"/>
    <xf numFmtId="0" fontId="115" fillId="0" borderId="137"/>
    <xf numFmtId="37" fontId="111" fillId="24" borderId="138"/>
    <xf numFmtId="0" fontId="122" fillId="83" borderId="137"/>
    <xf numFmtId="0" fontId="5" fillId="0" borderId="136">
      <alignment horizontal="left" vertical="center"/>
    </xf>
    <xf numFmtId="0" fontId="115" fillId="85" borderId="137"/>
    <xf numFmtId="0" fontId="115" fillId="83" borderId="137"/>
    <xf numFmtId="10" fontId="130" fillId="0" borderId="139" applyFont="0" applyAlignment="0">
      <protection locked="0"/>
    </xf>
    <xf numFmtId="0" fontId="134" fillId="79" borderId="140"/>
    <xf numFmtId="0" fontId="131" fillId="0" borderId="137"/>
    <xf numFmtId="0" fontId="115" fillId="92" borderId="137"/>
    <xf numFmtId="0" fontId="115" fillId="92" borderId="137"/>
    <xf numFmtId="0" fontId="131" fillId="0" borderId="137"/>
    <xf numFmtId="0" fontId="134" fillId="79" borderId="140"/>
    <xf numFmtId="10" fontId="130" fillId="0" borderId="139" applyFont="0" applyAlignment="0">
      <protection locked="0"/>
    </xf>
    <xf numFmtId="0" fontId="115" fillId="83" borderId="137"/>
    <xf numFmtId="0" fontId="115" fillId="85" borderId="137"/>
    <xf numFmtId="0" fontId="122" fillId="83" borderId="137"/>
    <xf numFmtId="0" fontId="115" fillId="0" borderId="137"/>
    <xf numFmtId="0" fontId="122" fillId="83" borderId="137"/>
    <xf numFmtId="10" fontId="130" fillId="0" borderId="139" applyFont="0" applyAlignment="0">
      <protection locked="0"/>
    </xf>
    <xf numFmtId="0" fontId="131" fillId="0" borderId="137"/>
    <xf numFmtId="0" fontId="115" fillId="83" borderId="137"/>
    <xf numFmtId="0" fontId="131" fillId="0" borderId="137"/>
    <xf numFmtId="0" fontId="134" fillId="79" borderId="140"/>
    <xf numFmtId="0" fontId="122" fillId="83" borderId="13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37" fontId="111" fillId="24" borderId="138"/>
    <xf numFmtId="0" fontId="115" fillId="0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3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15" fillId="85" borderId="137"/>
    <xf numFmtId="2" fontId="4" fillId="0" borderId="136" applyNumberFormat="0" applyFont="0" applyFill="0" applyAlignment="0"/>
    <xf numFmtId="0" fontId="110" fillId="0" borderId="136"/>
    <xf numFmtId="0" fontId="134" fillId="79" borderId="140"/>
    <xf numFmtId="0" fontId="5" fillId="0" borderId="136">
      <alignment horizontal="left" vertical="center"/>
    </xf>
    <xf numFmtId="0" fontId="115" fillId="92" borderId="137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115" fillId="85" borderId="137"/>
    <xf numFmtId="10" fontId="130" fillId="0" borderId="139" applyFont="0" applyAlignment="0">
      <protection locked="0"/>
    </xf>
    <xf numFmtId="0" fontId="115" fillId="92" borderId="137"/>
    <xf numFmtId="0" fontId="115" fillId="0" borderId="137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2" fontId="4" fillId="0" borderId="136" applyNumberFormat="0" applyFont="0" applyFill="0" applyAlignment="0"/>
    <xf numFmtId="0" fontId="110" fillId="0" borderId="136"/>
    <xf numFmtId="0" fontId="115" fillId="0" borderId="137"/>
    <xf numFmtId="37" fontId="111" fillId="24" borderId="138"/>
    <xf numFmtId="0" fontId="122" fillId="83" borderId="137"/>
    <xf numFmtId="0" fontId="5" fillId="0" borderId="136">
      <alignment horizontal="left" vertical="center"/>
    </xf>
    <xf numFmtId="0" fontId="115" fillId="85" borderId="137"/>
    <xf numFmtId="0" fontId="115" fillId="83" borderId="137"/>
    <xf numFmtId="10" fontId="130" fillId="0" borderId="139" applyFont="0" applyAlignment="0">
      <protection locked="0"/>
    </xf>
    <xf numFmtId="0" fontId="134" fillId="79" borderId="140"/>
    <xf numFmtId="0" fontId="131" fillId="0" borderId="137"/>
    <xf numFmtId="0" fontId="115" fillId="92" borderId="137"/>
    <xf numFmtId="0" fontId="115" fillId="92" borderId="137"/>
    <xf numFmtId="0" fontId="131" fillId="0" borderId="137"/>
    <xf numFmtId="0" fontId="134" fillId="79" borderId="140"/>
    <xf numFmtId="10" fontId="130" fillId="0" borderId="139" applyFont="0" applyAlignment="0">
      <protection locked="0"/>
    </xf>
    <xf numFmtId="0" fontId="115" fillId="83" borderId="137"/>
    <xf numFmtId="0" fontId="115" fillId="85" borderId="137"/>
    <xf numFmtId="0" fontId="122" fillId="83" borderId="137"/>
    <xf numFmtId="0" fontId="115" fillId="0" borderId="137"/>
    <xf numFmtId="0" fontId="122" fillId="83" borderId="137"/>
    <xf numFmtId="10" fontId="130" fillId="0" borderId="139" applyFont="0" applyAlignment="0">
      <protection locked="0"/>
    </xf>
    <xf numFmtId="0" fontId="131" fillId="0" borderId="137"/>
    <xf numFmtId="0" fontId="115" fillId="83" borderId="137"/>
    <xf numFmtId="0" fontId="131" fillId="0" borderId="137"/>
    <xf numFmtId="0" fontId="134" fillId="79" borderId="140"/>
    <xf numFmtId="0" fontId="122" fillId="83" borderId="13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37" fontId="111" fillId="24" borderId="138"/>
    <xf numFmtId="0" fontId="115" fillId="0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3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15" fillId="85" borderId="137"/>
    <xf numFmtId="2" fontId="4" fillId="0" borderId="136" applyNumberFormat="0" applyFont="0" applyFill="0" applyAlignment="0"/>
    <xf numFmtId="0" fontId="110" fillId="0" borderId="136"/>
    <xf numFmtId="0" fontId="134" fillId="79" borderId="140"/>
    <xf numFmtId="0" fontId="5" fillId="0" borderId="136">
      <alignment horizontal="left" vertical="center"/>
    </xf>
    <xf numFmtId="0" fontId="115" fillId="92" borderId="137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115" fillId="85" borderId="137"/>
    <xf numFmtId="10" fontId="130" fillId="0" borderId="139" applyFont="0" applyAlignment="0">
      <protection locked="0"/>
    </xf>
    <xf numFmtId="0" fontId="115" fillId="92" borderId="137"/>
    <xf numFmtId="0" fontId="115" fillId="0" borderId="13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2" fontId="4" fillId="0" borderId="146" applyNumberFormat="0" applyFont="0" applyFill="0" applyAlignment="0"/>
    <xf numFmtId="0" fontId="110" fillId="0" borderId="146"/>
    <xf numFmtId="0" fontId="115" fillId="0" borderId="147"/>
    <xf numFmtId="37" fontId="111" fillId="24" borderId="148"/>
    <xf numFmtId="0" fontId="122" fillId="83" borderId="147"/>
    <xf numFmtId="0" fontId="5" fillId="0" borderId="146">
      <alignment horizontal="left" vertical="center"/>
    </xf>
    <xf numFmtId="0" fontId="115" fillId="85" borderId="147"/>
    <xf numFmtId="0" fontId="115" fillId="83" borderId="147"/>
    <xf numFmtId="10" fontId="130" fillId="0" borderId="149" applyFont="0" applyAlignment="0">
      <protection locked="0"/>
    </xf>
    <xf numFmtId="0" fontId="134" fillId="79" borderId="150"/>
    <xf numFmtId="0" fontId="131" fillId="0" borderId="147"/>
    <xf numFmtId="0" fontId="115" fillId="92" borderId="147"/>
    <xf numFmtId="0" fontId="115" fillId="92" borderId="147"/>
    <xf numFmtId="0" fontId="131" fillId="0" borderId="147"/>
    <xf numFmtId="0" fontId="134" fillId="79" borderId="150"/>
    <xf numFmtId="10" fontId="130" fillId="0" borderId="149" applyFont="0" applyAlignment="0">
      <protection locked="0"/>
    </xf>
    <xf numFmtId="0" fontId="115" fillId="83" borderId="147"/>
    <xf numFmtId="0" fontId="115" fillId="85" borderId="147"/>
    <xf numFmtId="0" fontId="122" fillId="83" borderId="147"/>
    <xf numFmtId="0" fontId="115" fillId="0" borderId="147"/>
    <xf numFmtId="0" fontId="122" fillId="83" borderId="147"/>
    <xf numFmtId="10" fontId="130" fillId="0" borderId="149" applyFont="0" applyAlignment="0">
      <protection locked="0"/>
    </xf>
    <xf numFmtId="0" fontId="131" fillId="0" borderId="147"/>
    <xf numFmtId="0" fontId="115" fillId="83" borderId="147"/>
    <xf numFmtId="0" fontId="131" fillId="0" borderId="147"/>
    <xf numFmtId="0" fontId="134" fillId="79" borderId="150"/>
    <xf numFmtId="0" fontId="122" fillId="83" borderId="147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37" fontId="111" fillId="24" borderId="148"/>
    <xf numFmtId="0" fontId="115" fillId="0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83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115" fillId="85" borderId="147"/>
    <xf numFmtId="2" fontId="4" fillId="0" borderId="146" applyNumberFormat="0" applyFont="0" applyFill="0" applyAlignment="0"/>
    <xf numFmtId="0" fontId="110" fillId="0" borderId="146"/>
    <xf numFmtId="0" fontId="134" fillId="79" borderId="150"/>
    <xf numFmtId="0" fontId="5" fillId="0" borderId="146">
      <alignment horizontal="left" vertical="center"/>
    </xf>
    <xf numFmtId="0" fontId="115" fillId="92" borderId="14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115" fillId="85" borderId="147"/>
    <xf numFmtId="10" fontId="130" fillId="0" borderId="149" applyFont="0" applyAlignment="0">
      <protection locked="0"/>
    </xf>
    <xf numFmtId="0" fontId="115" fillId="92" borderId="147"/>
    <xf numFmtId="0" fontId="115" fillId="0" borderId="147"/>
    <xf numFmtId="0" fontId="40" fillId="24" borderId="143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2" fontId="4" fillId="0" borderId="146" applyNumberFormat="0" applyFont="0" applyFill="0" applyAlignment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110" fillId="0" borderId="146"/>
    <xf numFmtId="0" fontId="115" fillId="0" borderId="147"/>
    <xf numFmtId="0" fontId="31" fillId="24" borderId="141" applyNumberFormat="0" applyAlignment="0" applyProtection="0"/>
    <xf numFmtId="0" fontId="115" fillId="85" borderId="147"/>
    <xf numFmtId="0" fontId="115" fillId="92" borderId="147"/>
    <xf numFmtId="37" fontId="111" fillId="24" borderId="148"/>
    <xf numFmtId="0" fontId="122" fillId="83" borderId="147"/>
    <xf numFmtId="0" fontId="5" fillId="0" borderId="146">
      <alignment horizontal="left" vertical="center"/>
    </xf>
    <xf numFmtId="0" fontId="115" fillId="85" borderId="147"/>
    <xf numFmtId="0" fontId="115" fillId="83" borderId="147"/>
    <xf numFmtId="10" fontId="130" fillId="0" borderId="149" applyFont="0" applyAlignment="0">
      <protection locked="0"/>
    </xf>
    <xf numFmtId="0" fontId="134" fillId="79" borderId="150"/>
    <xf numFmtId="0" fontId="131" fillId="0" borderId="147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115" fillId="83" borderId="147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134" fillId="79" borderId="150"/>
    <xf numFmtId="0" fontId="131" fillId="0" borderId="147"/>
    <xf numFmtId="0" fontId="115" fillId="0" borderId="147"/>
    <xf numFmtId="10" fontId="130" fillId="0" borderId="149" applyFont="0" applyAlignment="0">
      <protection locked="0"/>
    </xf>
    <xf numFmtId="0" fontId="134" fillId="79" borderId="150"/>
    <xf numFmtId="0" fontId="131" fillId="0" borderId="147"/>
    <xf numFmtId="0" fontId="134" fillId="79" borderId="150"/>
    <xf numFmtId="0" fontId="131" fillId="0" borderId="147"/>
    <xf numFmtId="0" fontId="115" fillId="85" borderId="147"/>
    <xf numFmtId="0" fontId="5" fillId="0" borderId="146">
      <alignment horizontal="left" vertical="center"/>
    </xf>
    <xf numFmtId="0" fontId="115" fillId="0" borderId="147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115" fillId="92" borderId="147"/>
    <xf numFmtId="0" fontId="115" fillId="92" borderId="147"/>
    <xf numFmtId="0" fontId="131" fillId="0" borderId="147"/>
    <xf numFmtId="0" fontId="134" fillId="79" borderId="150"/>
    <xf numFmtId="10" fontId="130" fillId="0" borderId="149" applyFont="0" applyAlignment="0">
      <protection locked="0"/>
    </xf>
    <xf numFmtId="0" fontId="115" fillId="83" borderId="147"/>
    <xf numFmtId="0" fontId="115" fillId="85" borderId="147"/>
    <xf numFmtId="0" fontId="122" fillId="83" borderId="147"/>
    <xf numFmtId="0" fontId="115" fillId="0" borderId="147"/>
    <xf numFmtId="0" fontId="122" fillId="83" borderId="147"/>
    <xf numFmtId="10" fontId="130" fillId="0" borderId="149" applyFont="0" applyAlignment="0">
      <protection locked="0"/>
    </xf>
    <xf numFmtId="0" fontId="131" fillId="0" borderId="147"/>
    <xf numFmtId="0" fontId="115" fillId="83" borderId="147"/>
    <xf numFmtId="0" fontId="131" fillId="0" borderId="147"/>
    <xf numFmtId="0" fontId="134" fillId="79" borderId="150"/>
    <xf numFmtId="0" fontId="122" fillId="83" borderId="147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22" fillId="83" borderId="147"/>
    <xf numFmtId="0" fontId="110" fillId="0" borderId="146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37" fontId="111" fillId="24" borderId="148"/>
    <xf numFmtId="0" fontId="115" fillId="0" borderId="147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83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115" fillId="85" borderId="147"/>
    <xf numFmtId="2" fontId="4" fillId="0" borderId="146" applyNumberFormat="0" applyFont="0" applyFill="0" applyAlignment="0"/>
    <xf numFmtId="0" fontId="110" fillId="0" borderId="146"/>
    <xf numFmtId="0" fontId="134" fillId="79" borderId="150"/>
    <xf numFmtId="0" fontId="11" fillId="0" borderId="144" applyNumberFormat="0" applyFill="0" applyAlignment="0" applyProtection="0"/>
    <xf numFmtId="0" fontId="115" fillId="0" borderId="147"/>
    <xf numFmtId="0" fontId="5" fillId="0" borderId="146">
      <alignment horizontal="left" vertical="center"/>
    </xf>
    <xf numFmtId="0" fontId="5" fillId="0" borderId="146">
      <alignment horizontal="left" vertical="center"/>
    </xf>
    <xf numFmtId="0" fontId="134" fillId="79" borderId="15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31" fillId="0" borderId="147"/>
    <xf numFmtId="10" fontId="130" fillId="0" borderId="149" applyFont="0" applyAlignment="0">
      <protection locked="0"/>
    </xf>
    <xf numFmtId="0" fontId="115" fillId="85" borderId="147"/>
    <xf numFmtId="37" fontId="111" fillId="24" borderId="148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15" fillId="92" borderId="14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115" fillId="85" borderId="147"/>
    <xf numFmtId="0" fontId="115" fillId="85" borderId="147"/>
    <xf numFmtId="10" fontId="130" fillId="0" borderId="149" applyFont="0" applyAlignment="0">
      <protection locked="0"/>
    </xf>
    <xf numFmtId="0" fontId="115" fillId="92" borderId="147"/>
    <xf numFmtId="0" fontId="115" fillId="0" borderId="147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37" fontId="111" fillId="24" borderId="148"/>
    <xf numFmtId="0" fontId="40" fillId="24" borderId="143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10" fontId="130" fillId="0" borderId="149" applyFont="0" applyAlignment="0">
      <protection locked="0"/>
    </xf>
    <xf numFmtId="37" fontId="111" fillId="24" borderId="148"/>
    <xf numFmtId="2" fontId="4" fillId="0" borderId="146" applyNumberFormat="0" applyFont="0" applyFill="0" applyAlignment="0"/>
    <xf numFmtId="2" fontId="4" fillId="0" borderId="146" applyNumberFormat="0" applyFont="0" applyFill="0" applyAlignment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37" fontId="111" fillId="24" borderId="148"/>
    <xf numFmtId="0" fontId="122" fillId="83" borderId="147"/>
    <xf numFmtId="0" fontId="40" fillId="24" borderId="143" applyNumberFormat="0" applyAlignment="0" applyProtection="0"/>
    <xf numFmtId="0" fontId="122" fillId="83" borderId="147"/>
    <xf numFmtId="0" fontId="115" fillId="92" borderId="147"/>
    <xf numFmtId="0" fontId="115" fillId="83" borderId="147"/>
    <xf numFmtId="0" fontId="110" fillId="0" borderId="146"/>
    <xf numFmtId="2" fontId="4" fillId="0" borderId="146" applyNumberFormat="0" applyFont="0" applyFill="0" applyAlignment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2" fontId="4" fillId="0" borderId="146" applyNumberFormat="0" applyFont="0" applyFill="0" applyAlignment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15" fillId="92" borderId="147"/>
    <xf numFmtId="0" fontId="110" fillId="0" borderId="146"/>
    <xf numFmtId="0" fontId="110" fillId="0" borderId="146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115" fillId="0" borderId="147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115" fillId="83" borderId="147"/>
    <xf numFmtId="0" fontId="122" fillId="83" borderId="147"/>
    <xf numFmtId="0" fontId="115" fillId="83" borderId="147"/>
    <xf numFmtId="0" fontId="115" fillId="92" borderId="147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2" fontId="4" fillId="0" borderId="146" applyNumberFormat="0" applyFont="0" applyFill="0" applyAlignment="0"/>
    <xf numFmtId="0" fontId="110" fillId="0" borderId="146"/>
    <xf numFmtId="0" fontId="115" fillId="0" borderId="147"/>
    <xf numFmtId="37" fontId="111" fillId="24" borderId="148"/>
    <xf numFmtId="0" fontId="122" fillId="83" borderId="147"/>
    <xf numFmtId="0" fontId="5" fillId="0" borderId="146">
      <alignment horizontal="left" vertical="center"/>
    </xf>
    <xf numFmtId="0" fontId="115" fillId="85" borderId="147"/>
    <xf numFmtId="0" fontId="115" fillId="83" borderId="147"/>
    <xf numFmtId="10" fontId="130" fillId="0" borderId="149" applyFont="0" applyAlignment="0">
      <protection locked="0"/>
    </xf>
    <xf numFmtId="0" fontId="134" fillId="79" borderId="150"/>
    <xf numFmtId="0" fontId="131" fillId="0" borderId="147"/>
    <xf numFmtId="0" fontId="115" fillId="92" borderId="147"/>
    <xf numFmtId="0" fontId="115" fillId="92" borderId="147"/>
    <xf numFmtId="0" fontId="131" fillId="0" borderId="147"/>
    <xf numFmtId="0" fontId="134" fillId="79" borderId="150"/>
    <xf numFmtId="10" fontId="130" fillId="0" borderId="149" applyFont="0" applyAlignment="0">
      <protection locked="0"/>
    </xf>
    <xf numFmtId="0" fontId="115" fillId="83" borderId="147"/>
    <xf numFmtId="0" fontId="115" fillId="85" borderId="147"/>
    <xf numFmtId="0" fontId="122" fillId="83" borderId="147"/>
    <xf numFmtId="0" fontId="115" fillId="0" borderId="147"/>
    <xf numFmtId="0" fontId="122" fillId="83" borderId="147"/>
    <xf numFmtId="10" fontId="130" fillId="0" borderId="149" applyFont="0" applyAlignment="0">
      <protection locked="0"/>
    </xf>
    <xf numFmtId="0" fontId="131" fillId="0" borderId="147"/>
    <xf numFmtId="0" fontId="115" fillId="83" borderId="147"/>
    <xf numFmtId="0" fontId="131" fillId="0" borderId="147"/>
    <xf numFmtId="0" fontId="134" fillId="79" borderId="150"/>
    <xf numFmtId="0" fontId="122" fillId="83" borderId="147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37" fontId="111" fillId="24" borderId="148"/>
    <xf numFmtId="0" fontId="115" fillId="0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83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115" fillId="85" borderId="147"/>
    <xf numFmtId="2" fontId="4" fillId="0" borderId="146" applyNumberFormat="0" applyFont="0" applyFill="0" applyAlignment="0"/>
    <xf numFmtId="0" fontId="110" fillId="0" borderId="146"/>
    <xf numFmtId="0" fontId="134" fillId="79" borderId="150"/>
    <xf numFmtId="0" fontId="5" fillId="0" borderId="146">
      <alignment horizontal="left" vertical="center"/>
    </xf>
    <xf numFmtId="0" fontId="115" fillId="92" borderId="14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115" fillId="85" borderId="147"/>
    <xf numFmtId="10" fontId="130" fillId="0" borderId="149" applyFont="0" applyAlignment="0">
      <protection locked="0"/>
    </xf>
    <xf numFmtId="0" fontId="115" fillId="92" borderId="147"/>
    <xf numFmtId="0" fontId="115" fillId="0" borderId="14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2" fontId="4" fillId="0" borderId="146" applyNumberFormat="0" applyFont="0" applyFill="0" applyAlignment="0"/>
    <xf numFmtId="0" fontId="110" fillId="0" borderId="146"/>
    <xf numFmtId="0" fontId="115" fillId="0" borderId="147"/>
    <xf numFmtId="37" fontId="111" fillId="24" borderId="148"/>
    <xf numFmtId="0" fontId="122" fillId="83" borderId="147"/>
    <xf numFmtId="0" fontId="5" fillId="0" borderId="146">
      <alignment horizontal="left" vertical="center"/>
    </xf>
    <xf numFmtId="0" fontId="115" fillId="85" borderId="147"/>
    <xf numFmtId="0" fontId="115" fillId="83" borderId="147"/>
    <xf numFmtId="10" fontId="130" fillId="0" borderId="149" applyFont="0" applyAlignment="0">
      <protection locked="0"/>
    </xf>
    <xf numFmtId="0" fontId="134" fillId="79" borderId="150"/>
    <xf numFmtId="0" fontId="131" fillId="0" borderId="147"/>
    <xf numFmtId="0" fontId="115" fillId="92" borderId="147"/>
    <xf numFmtId="0" fontId="115" fillId="92" borderId="147"/>
    <xf numFmtId="0" fontId="131" fillId="0" borderId="147"/>
    <xf numFmtId="0" fontId="134" fillId="79" borderId="150"/>
    <xf numFmtId="10" fontId="130" fillId="0" borderId="149" applyFont="0" applyAlignment="0">
      <protection locked="0"/>
    </xf>
    <xf numFmtId="0" fontId="115" fillId="83" borderId="147"/>
    <xf numFmtId="0" fontId="115" fillId="85" borderId="147"/>
    <xf numFmtId="0" fontId="122" fillId="83" borderId="147"/>
    <xf numFmtId="0" fontId="115" fillId="0" borderId="147"/>
    <xf numFmtId="0" fontId="122" fillId="83" borderId="147"/>
    <xf numFmtId="10" fontId="130" fillId="0" borderId="149" applyFont="0" applyAlignment="0">
      <protection locked="0"/>
    </xf>
    <xf numFmtId="0" fontId="131" fillId="0" borderId="147"/>
    <xf numFmtId="0" fontId="115" fillId="83" borderId="147"/>
    <xf numFmtId="0" fontId="131" fillId="0" borderId="147"/>
    <xf numFmtId="0" fontId="134" fillId="79" borderId="150"/>
    <xf numFmtId="0" fontId="122" fillId="83" borderId="147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37" fontId="111" fillId="24" borderId="148"/>
    <xf numFmtId="0" fontId="115" fillId="0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83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115" fillId="85" borderId="147"/>
    <xf numFmtId="2" fontId="4" fillId="0" borderId="146" applyNumberFormat="0" applyFont="0" applyFill="0" applyAlignment="0"/>
    <xf numFmtId="0" fontId="110" fillId="0" borderId="146"/>
    <xf numFmtId="0" fontId="134" fillId="79" borderId="150"/>
    <xf numFmtId="0" fontId="5" fillId="0" borderId="146">
      <alignment horizontal="left" vertical="center"/>
    </xf>
    <xf numFmtId="0" fontId="115" fillId="92" borderId="14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115" fillId="85" borderId="147"/>
    <xf numFmtId="10" fontId="130" fillId="0" borderId="149" applyFont="0" applyAlignment="0">
      <protection locked="0"/>
    </xf>
    <xf numFmtId="0" fontId="115" fillId="92" borderId="147"/>
    <xf numFmtId="0" fontId="115" fillId="0" borderId="147"/>
    <xf numFmtId="0" fontId="1" fillId="0" borderId="0"/>
    <xf numFmtId="9" fontId="1" fillId="0" borderId="0" applyFont="0" applyFill="0" applyBorder="0" applyAlignment="0" applyProtection="0"/>
  </cellStyleXfs>
  <cellXfs count="1565">
    <xf numFmtId="0" fontId="0" fillId="0" borderId="0" xfId="0"/>
    <xf numFmtId="0" fontId="5" fillId="0" borderId="0" xfId="0" applyFont="1"/>
    <xf numFmtId="0" fontId="9" fillId="0" borderId="0" xfId="7" applyFont="1" applyAlignment="1" applyProtection="1"/>
    <xf numFmtId="0" fontId="0" fillId="0" borderId="0" xfId="0" applyBorder="1"/>
    <xf numFmtId="0" fontId="11" fillId="0" borderId="0" xfId="7" applyFont="1" applyFill="1" applyAlignment="1" applyProtection="1"/>
    <xf numFmtId="0" fontId="9" fillId="0" borderId="0" xfId="7" applyFont="1" applyAlignment="1"/>
    <xf numFmtId="0" fontId="9" fillId="0" borderId="0" xfId="7" applyFont="1" applyAlignment="1">
      <alignment horizontal="left"/>
    </xf>
    <xf numFmtId="0" fontId="9" fillId="0" borderId="0" xfId="7" applyFont="1" applyAlignment="1" applyProtection="1">
      <alignment horizontal="left"/>
    </xf>
    <xf numFmtId="0" fontId="9" fillId="0" borderId="0" xfId="7" applyFont="1" applyAlignment="1">
      <alignment horizontal="left" indent="1"/>
    </xf>
    <xf numFmtId="0" fontId="9" fillId="0" borderId="0" xfId="7" applyFont="1"/>
    <xf numFmtId="0" fontId="9" fillId="0" borderId="0" xfId="3" applyFont="1" applyAlignment="1">
      <alignment horizontal="left"/>
    </xf>
    <xf numFmtId="0" fontId="4" fillId="0" borderId="0" xfId="3" applyFont="1" applyAlignment="1">
      <alignment horizontal="centerContinuous"/>
    </xf>
    <xf numFmtId="0" fontId="4" fillId="0" borderId="0" xfId="3" applyFont="1"/>
    <xf numFmtId="171" fontId="4" fillId="0" borderId="0" xfId="12" applyNumberFormat="1" applyFont="1" applyAlignment="1"/>
    <xf numFmtId="0" fontId="4" fillId="0" borderId="0" xfId="3" applyFont="1" applyAlignment="1"/>
    <xf numFmtId="0" fontId="16" fillId="0" borderId="0" xfId="3" applyFont="1" applyAlignment="1">
      <alignment horizontal="left"/>
    </xf>
    <xf numFmtId="14" fontId="4" fillId="0" borderId="0" xfId="3" applyNumberFormat="1" applyFont="1" applyAlignment="1">
      <alignment horizontal="left"/>
    </xf>
    <xf numFmtId="14" fontId="4" fillId="0" borderId="0" xfId="3" applyNumberFormat="1" applyFont="1" applyAlignment="1"/>
    <xf numFmtId="0" fontId="9" fillId="0" borderId="0" xfId="3" applyFont="1" applyAlignment="1">
      <alignment horizontal="centerContinuous"/>
    </xf>
    <xf numFmtId="0" fontId="17" fillId="0" borderId="0" xfId="3" applyFont="1"/>
    <xf numFmtId="171" fontId="4" fillId="0" borderId="0" xfId="12" applyNumberFormat="1" applyFont="1" applyAlignment="1">
      <alignment horizontal="centerContinuous"/>
    </xf>
    <xf numFmtId="0" fontId="17" fillId="0" borderId="0" xfId="3" applyFont="1" applyBorder="1" applyAlignment="1">
      <alignment horizontal="center"/>
    </xf>
    <xf numFmtId="0" fontId="17" fillId="0" borderId="0" xfId="3" applyFont="1" applyAlignment="1">
      <alignment horizontal="center"/>
    </xf>
    <xf numFmtId="171" fontId="4" fillId="0" borderId="0" xfId="12" applyNumberFormat="1" applyFont="1"/>
    <xf numFmtId="0" fontId="9" fillId="0" borderId="0" xfId="3" applyFont="1" applyAlignment="1">
      <alignment horizontal="center"/>
    </xf>
    <xf numFmtId="0" fontId="9" fillId="0" borderId="0" xfId="3" applyFont="1"/>
    <xf numFmtId="171" fontId="9" fillId="0" borderId="0" xfId="12" applyNumberFormat="1" applyFont="1" applyBorder="1"/>
    <xf numFmtId="171" fontId="4" fillId="0" borderId="0" xfId="12" applyNumberFormat="1" applyFont="1" applyBorder="1"/>
    <xf numFmtId="0" fontId="17" fillId="0" borderId="0" xfId="3" quotePrefix="1" applyFont="1" applyAlignment="1">
      <alignment horizontal="left"/>
    </xf>
    <xf numFmtId="167" fontId="4" fillId="0" borderId="0" xfId="1" applyNumberFormat="1" applyFont="1"/>
    <xf numFmtId="167" fontId="4" fillId="0" borderId="0" xfId="1" applyNumberFormat="1" applyFont="1" applyBorder="1"/>
    <xf numFmtId="0" fontId="9" fillId="0" borderId="0" xfId="3" applyFont="1" applyBorder="1" applyAlignment="1">
      <alignment horizontal="center"/>
    </xf>
    <xf numFmtId="168" fontId="4" fillId="0" borderId="0" xfId="3" applyNumberFormat="1" applyFont="1"/>
    <xf numFmtId="0" fontId="4" fillId="0" borderId="0" xfId="3" applyFont="1" applyAlignment="1">
      <alignment horizontal="center"/>
    </xf>
    <xf numFmtId="166" fontId="4" fillId="0" borderId="0" xfId="1" applyNumberFormat="1" applyFont="1" applyBorder="1"/>
    <xf numFmtId="0" fontId="4" fillId="0" borderId="0" xfId="3" quotePrefix="1" applyFont="1"/>
    <xf numFmtId="166" fontId="4" fillId="0" borderId="0" xfId="3" applyNumberFormat="1" applyFont="1"/>
    <xf numFmtId="166" fontId="4" fillId="0" borderId="0" xfId="1" applyNumberFormat="1" applyFont="1"/>
    <xf numFmtId="37" fontId="4" fillId="0" borderId="0" xfId="1" applyNumberFormat="1" applyFont="1"/>
    <xf numFmtId="43" fontId="4" fillId="0" borderId="0" xfId="1" applyFont="1"/>
    <xf numFmtId="37" fontId="4" fillId="0" borderId="3" xfId="3" applyNumberFormat="1" applyFont="1" applyBorder="1"/>
    <xf numFmtId="171" fontId="4" fillId="0" borderId="3" xfId="12" applyNumberFormat="1" applyFont="1" applyBorder="1"/>
    <xf numFmtId="37" fontId="4" fillId="0" borderId="0" xfId="3" applyNumberFormat="1" applyFont="1" applyBorder="1"/>
    <xf numFmtId="0" fontId="5" fillId="0" borderId="0" xfId="3" applyFont="1" applyAlignment="1">
      <alignment horizontal="left"/>
    </xf>
    <xf numFmtId="0" fontId="4" fillId="0" borderId="0" xfId="3" applyFont="1" applyBorder="1"/>
    <xf numFmtId="166" fontId="4" fillId="0" borderId="0" xfId="3" applyNumberFormat="1" applyFont="1" applyBorder="1"/>
    <xf numFmtId="0" fontId="4" fillId="0" borderId="0" xfId="3" applyFont="1" applyBorder="1" applyAlignment="1">
      <alignment horizontal="center"/>
    </xf>
    <xf numFmtId="0" fontId="17" fillId="0" borderId="0" xfId="3" applyFont="1" applyBorder="1"/>
    <xf numFmtId="166" fontId="4" fillId="0" borderId="3" xfId="1" applyNumberFormat="1" applyFont="1" applyBorder="1"/>
    <xf numFmtId="0" fontId="9" fillId="0" borderId="0" xfId="3" applyFont="1" applyBorder="1"/>
    <xf numFmtId="0" fontId="12" fillId="0" borderId="0" xfId="3"/>
    <xf numFmtId="0" fontId="22" fillId="0" borderId="0" xfId="3" applyFont="1" applyAlignment="1">
      <alignment horizontal="left"/>
    </xf>
    <xf numFmtId="49" fontId="9" fillId="0" borderId="0" xfId="4" applyNumberFormat="1" applyFont="1" applyAlignment="1">
      <alignment horizontal="left"/>
    </xf>
    <xf numFmtId="0" fontId="4" fillId="0" borderId="0" xfId="4"/>
    <xf numFmtId="49" fontId="4" fillId="0" borderId="0" xfId="4" applyNumberFormat="1"/>
    <xf numFmtId="37" fontId="4" fillId="0" borderId="0" xfId="4" applyNumberFormat="1"/>
    <xf numFmtId="49" fontId="9" fillId="0" borderId="0" xfId="4" applyNumberFormat="1" applyFont="1"/>
    <xf numFmtId="165" fontId="4" fillId="0" borderId="0" xfId="4" applyNumberFormat="1" applyFont="1" applyAlignment="1">
      <alignment horizontal="center"/>
    </xf>
    <xf numFmtId="0" fontId="4" fillId="0" borderId="0" xfId="4" applyAlignment="1">
      <alignment horizontal="center"/>
    </xf>
    <xf numFmtId="165" fontId="4" fillId="0" borderId="0" xfId="4" applyNumberFormat="1" applyAlignment="1">
      <alignment horizontal="center"/>
    </xf>
    <xf numFmtId="165" fontId="4" fillId="0" borderId="0" xfId="4" applyNumberFormat="1" applyAlignment="1">
      <alignment horizontal="center" wrapText="1"/>
    </xf>
    <xf numFmtId="49" fontId="4" fillId="0" borderId="0" xfId="4" applyNumberFormat="1" applyAlignment="1">
      <alignment horizontal="center"/>
    </xf>
    <xf numFmtId="0" fontId="4" fillId="0" borderId="0" xfId="4" applyFont="1" applyAlignment="1">
      <alignment horizontal="center"/>
    </xf>
    <xf numFmtId="37" fontId="4" fillId="0" borderId="0" xfId="4" applyNumberFormat="1" applyAlignment="1">
      <alignment horizontal="center"/>
    </xf>
    <xf numFmtId="49" fontId="4" fillId="0" borderId="1" xfId="4" applyNumberFormat="1" applyBorder="1" applyAlignment="1">
      <alignment horizontal="center"/>
    </xf>
    <xf numFmtId="0" fontId="4" fillId="0" borderId="1" xfId="4" applyBorder="1" applyAlignment="1">
      <alignment horizontal="center"/>
    </xf>
    <xf numFmtId="2" fontId="4" fillId="0" borderId="0" xfId="4" applyNumberFormat="1"/>
    <xf numFmtId="37" fontId="18" fillId="0" borderId="0" xfId="4" applyNumberFormat="1" applyFont="1"/>
    <xf numFmtId="178" fontId="18" fillId="0" borderId="0" xfId="4" applyNumberFormat="1" applyFont="1"/>
    <xf numFmtId="181" fontId="4" fillId="0" borderId="0" xfId="4" applyNumberFormat="1"/>
    <xf numFmtId="0" fontId="18" fillId="0" borderId="0" xfId="4" applyFont="1"/>
    <xf numFmtId="0" fontId="4" fillId="0" borderId="0" xfId="4" applyFont="1"/>
    <xf numFmtId="2" fontId="4" fillId="0" borderId="0" xfId="4" applyNumberFormat="1" applyAlignment="1">
      <alignment horizontal="center"/>
    </xf>
    <xf numFmtId="2" fontId="4" fillId="0" borderId="0" xfId="4" applyNumberFormat="1" applyAlignment="1">
      <alignment horizontal="center" wrapText="1"/>
    </xf>
    <xf numFmtId="37" fontId="4" fillId="0" borderId="0" xfId="4" applyNumberFormat="1" applyFont="1" applyAlignment="1">
      <alignment horizontal="center"/>
    </xf>
    <xf numFmtId="165" fontId="4" fillId="0" borderId="0" xfId="9" applyNumberFormat="1" applyFont="1" applyAlignment="1">
      <alignment horizontal="center"/>
    </xf>
    <xf numFmtId="165" fontId="4" fillId="0" borderId="0" xfId="10" applyNumberFormat="1" applyFont="1" applyAlignment="1">
      <alignment horizontal="center"/>
    </xf>
    <xf numFmtId="0" fontId="9" fillId="0" borderId="0" xfId="9" applyFont="1"/>
    <xf numFmtId="0" fontId="9" fillId="0" borderId="0" xfId="9" applyFont="1" applyAlignment="1">
      <alignment horizontal="center"/>
    </xf>
    <xf numFmtId="3" fontId="9" fillId="0" borderId="0" xfId="9" applyNumberFormat="1" applyFont="1" applyAlignment="1">
      <alignment horizontal="center"/>
    </xf>
    <xf numFmtId="177" fontId="9" fillId="0" borderId="0" xfId="9" applyNumberFormat="1" applyFont="1" applyAlignment="1">
      <alignment horizontal="center"/>
    </xf>
    <xf numFmtId="14" fontId="9" fillId="0" borderId="0" xfId="9" applyNumberFormat="1" applyFont="1" applyAlignment="1">
      <alignment horizontal="center"/>
    </xf>
    <xf numFmtId="2" fontId="9" fillId="0" borderId="0" xfId="9" applyNumberFormat="1" applyFont="1" applyAlignment="1">
      <alignment horizontal="center"/>
    </xf>
    <xf numFmtId="177" fontId="9" fillId="0" borderId="0" xfId="9" quotePrefix="1" applyNumberFormat="1" applyFont="1" applyAlignment="1">
      <alignment horizontal="center"/>
    </xf>
    <xf numFmtId="177" fontId="9" fillId="0" borderId="0" xfId="11" applyNumberFormat="1" applyFont="1" applyAlignment="1">
      <alignment horizontal="center"/>
    </xf>
    <xf numFmtId="14" fontId="4" fillId="0" borderId="0" xfId="11" applyNumberFormat="1" applyFont="1" applyAlignment="1"/>
    <xf numFmtId="177" fontId="5" fillId="0" borderId="0" xfId="9" quotePrefix="1" applyNumberFormat="1" applyFont="1" applyAlignment="1">
      <alignment horizontal="center"/>
    </xf>
    <xf numFmtId="0" fontId="16" fillId="0" borderId="0" xfId="9" applyFont="1"/>
    <xf numFmtId="0" fontId="24" fillId="0" borderId="0" xfId="9" applyFont="1"/>
    <xf numFmtId="1" fontId="24" fillId="0" borderId="0" xfId="9" applyNumberFormat="1" applyFont="1" applyAlignment="1"/>
    <xf numFmtId="0" fontId="4" fillId="0" borderId="0" xfId="9" applyAlignment="1">
      <alignment horizontal="center"/>
    </xf>
    <xf numFmtId="0" fontId="4" fillId="0" borderId="0" xfId="9"/>
    <xf numFmtId="0" fontId="15" fillId="0" borderId="0" xfId="9" applyFont="1"/>
    <xf numFmtId="3" fontId="4" fillId="0" borderId="0" xfId="9" applyNumberFormat="1" applyAlignment="1">
      <alignment horizontal="center"/>
    </xf>
    <xf numFmtId="177" fontId="4" fillId="0" borderId="0" xfId="9" applyNumberFormat="1" applyAlignment="1">
      <alignment horizontal="center"/>
    </xf>
    <xf numFmtId="2" fontId="4" fillId="0" borderId="0" xfId="9" applyNumberFormat="1" applyAlignment="1">
      <alignment horizontal="center"/>
    </xf>
    <xf numFmtId="14" fontId="4" fillId="0" borderId="0" xfId="9" applyNumberFormat="1" applyAlignment="1">
      <alignment horizontal="center"/>
    </xf>
    <xf numFmtId="14" fontId="4" fillId="0" borderId="0" xfId="9" applyNumberFormat="1"/>
    <xf numFmtId="0" fontId="4" fillId="0" borderId="0" xfId="3" applyFont="1" applyBorder="1" applyAlignment="1">
      <alignment horizontal="centerContinuous"/>
    </xf>
    <xf numFmtId="49" fontId="9" fillId="0" borderId="0" xfId="3" applyNumberFormat="1" applyFont="1" applyBorder="1" applyAlignment="1">
      <alignment horizontal="left"/>
    </xf>
    <xf numFmtId="49" fontId="4" fillId="0" borderId="0" xfId="3" applyNumberFormat="1" applyFont="1" applyBorder="1"/>
    <xf numFmtId="49" fontId="9" fillId="0" borderId="1" xfId="3" applyNumberFormat="1" applyFont="1" applyBorder="1" applyAlignment="1">
      <alignment horizontal="center"/>
    </xf>
    <xf numFmtId="49" fontId="9" fillId="0" borderId="0" xfId="3" applyNumberFormat="1" applyFont="1" applyBorder="1" applyAlignment="1">
      <alignment horizontal="center"/>
    </xf>
    <xf numFmtId="0" fontId="9" fillId="0" borderId="1" xfId="3" applyFont="1" applyBorder="1" applyAlignment="1">
      <alignment horizontal="center"/>
    </xf>
    <xf numFmtId="0" fontId="4" fillId="0" borderId="0" xfId="3" applyFont="1" applyBorder="1" applyAlignment="1">
      <alignment horizontal="left"/>
    </xf>
    <xf numFmtId="0" fontId="4" fillId="0" borderId="0" xfId="3" quotePrefix="1" applyFont="1" applyBorder="1" applyAlignment="1">
      <alignment horizontal="center"/>
    </xf>
    <xf numFmtId="49" fontId="4" fillId="0" borderId="0" xfId="3" applyNumberFormat="1" applyFont="1" applyBorder="1" applyAlignment="1">
      <alignment horizontal="center"/>
    </xf>
    <xf numFmtId="37" fontId="4" fillId="0" borderId="0" xfId="3" applyNumberFormat="1" applyFont="1" applyBorder="1" applyAlignment="1">
      <alignment horizontal="right"/>
    </xf>
    <xf numFmtId="179" fontId="4" fillId="0" borderId="0" xfId="3" applyNumberFormat="1" applyFont="1" applyBorder="1" applyAlignment="1">
      <alignment horizontal="right"/>
    </xf>
    <xf numFmtId="179" fontId="4" fillId="0" borderId="0" xfId="3" quotePrefix="1" applyNumberFormat="1" applyFont="1" applyBorder="1" applyAlignment="1">
      <alignment horizontal="right"/>
    </xf>
    <xf numFmtId="179" fontId="4" fillId="0" borderId="0" xfId="3" applyNumberFormat="1" applyFont="1" applyBorder="1"/>
    <xf numFmtId="37" fontId="4" fillId="0" borderId="3" xfId="3" applyNumberFormat="1" applyFont="1" applyBorder="1" applyAlignment="1">
      <alignment horizontal="right"/>
    </xf>
    <xf numFmtId="171" fontId="4" fillId="0" borderId="3" xfId="12" applyNumberFormat="1" applyFont="1" applyBorder="1" applyAlignment="1">
      <alignment horizontal="right"/>
    </xf>
    <xf numFmtId="168" fontId="4" fillId="0" borderId="0" xfId="3" applyNumberFormat="1" applyFont="1" applyBorder="1" applyAlignment="1">
      <alignment horizontal="right"/>
    </xf>
    <xf numFmtId="179" fontId="20" fillId="0" borderId="0" xfId="2" applyNumberFormat="1" applyFont="1" applyBorder="1" applyAlignment="1">
      <alignment horizontal="right"/>
    </xf>
    <xf numFmtId="179" fontId="4" fillId="0" borderId="0" xfId="2" applyNumberFormat="1" applyFont="1" applyBorder="1" applyAlignment="1">
      <alignment horizontal="right"/>
    </xf>
    <xf numFmtId="3" fontId="4" fillId="0" borderId="0" xfId="3" applyNumberFormat="1" applyFont="1" applyBorder="1" applyAlignment="1">
      <alignment horizontal="right"/>
    </xf>
    <xf numFmtId="3" fontId="4" fillId="0" borderId="0" xfId="3" quotePrefix="1" applyNumberFormat="1" applyFont="1" applyBorder="1" applyAlignment="1">
      <alignment horizontal="right"/>
    </xf>
    <xf numFmtId="3" fontId="20" fillId="0" borderId="0" xfId="2" applyNumberFormat="1" applyFont="1" applyBorder="1" applyAlignment="1">
      <alignment horizontal="right"/>
    </xf>
    <xf numFmtId="3" fontId="4" fillId="0" borderId="0" xfId="2" applyNumberFormat="1" applyFont="1" applyBorder="1" applyAlignment="1">
      <alignment horizontal="right"/>
    </xf>
    <xf numFmtId="3" fontId="4" fillId="0" borderId="0" xfId="3" applyNumberFormat="1" applyFont="1" applyBorder="1"/>
    <xf numFmtId="168" fontId="4" fillId="0" borderId="0" xfId="3" applyNumberFormat="1" applyFont="1" applyBorder="1"/>
    <xf numFmtId="0" fontId="9" fillId="0" borderId="0" xfId="3" quotePrefix="1" applyFont="1" applyBorder="1" applyAlignment="1">
      <alignment horizontal="center"/>
    </xf>
    <xf numFmtId="0" fontId="17" fillId="0" borderId="0" xfId="3" quotePrefix="1" applyFont="1" applyBorder="1" applyAlignment="1">
      <alignment horizontal="center"/>
    </xf>
    <xf numFmtId="49" fontId="17" fillId="0" borderId="0" xfId="3" applyNumberFormat="1" applyFont="1" applyBorder="1"/>
    <xf numFmtId="44" fontId="4" fillId="0" borderId="0" xfId="2" applyFont="1" applyBorder="1"/>
    <xf numFmtId="44" fontId="4" fillId="0" borderId="0" xfId="3" applyNumberFormat="1" applyFont="1" applyBorder="1"/>
    <xf numFmtId="171" fontId="4" fillId="0" borderId="0" xfId="3" applyNumberFormat="1" applyFont="1" applyBorder="1"/>
    <xf numFmtId="0" fontId="17" fillId="0" borderId="0" xfId="3" quotePrefix="1" applyFont="1" applyBorder="1" applyAlignment="1">
      <alignment horizontal="left"/>
    </xf>
    <xf numFmtId="0" fontId="9" fillId="0" borderId="0" xfId="3" quotePrefix="1" applyFont="1" applyBorder="1" applyAlignment="1">
      <alignment horizontal="left"/>
    </xf>
    <xf numFmtId="49" fontId="17" fillId="0" borderId="0" xfId="3" quotePrefix="1" applyNumberFormat="1" applyFont="1" applyBorder="1" applyAlignment="1">
      <alignment horizontal="left"/>
    </xf>
    <xf numFmtId="44" fontId="20" fillId="0" borderId="0" xfId="2" applyFont="1" applyBorder="1"/>
    <xf numFmtId="0" fontId="4" fillId="0" borderId="0" xfId="3" quotePrefix="1" applyFont="1" applyBorder="1" applyAlignment="1">
      <alignment horizontal="left"/>
    </xf>
    <xf numFmtId="171" fontId="9" fillId="0" borderId="0" xfId="3" applyNumberFormat="1" applyFont="1" applyBorder="1"/>
    <xf numFmtId="0" fontId="4" fillId="0" borderId="0" xfId="6" applyFont="1" applyAlignment="1">
      <alignment horizontal="right"/>
    </xf>
    <xf numFmtId="10" fontId="9" fillId="0" borderId="3" xfId="6" applyNumberFormat="1" applyFont="1" applyBorder="1"/>
    <xf numFmtId="14" fontId="4" fillId="0" borderId="0" xfId="3" applyNumberFormat="1" applyFont="1"/>
    <xf numFmtId="39" fontId="9" fillId="0" borderId="0" xfId="3" applyNumberFormat="1" applyFont="1" applyAlignment="1" applyProtection="1">
      <alignment horizontal="left"/>
    </xf>
    <xf numFmtId="0" fontId="9" fillId="0" borderId="0" xfId="3" applyFont="1" applyAlignment="1" applyProtection="1">
      <alignment horizontal="left"/>
    </xf>
    <xf numFmtId="39" fontId="9" fillId="0" borderId="0" xfId="3" applyNumberFormat="1" applyFont="1"/>
    <xf numFmtId="37" fontId="9" fillId="0" borderId="0" xfId="3" applyNumberFormat="1" applyFont="1" applyAlignment="1" applyProtection="1">
      <alignment horizontal="center"/>
    </xf>
    <xf numFmtId="37" fontId="9" fillId="0" borderId="0" xfId="3" applyNumberFormat="1" applyFont="1"/>
    <xf numFmtId="39" fontId="9" fillId="0" borderId="0" xfId="3" applyNumberFormat="1" applyFont="1" applyAlignment="1" applyProtection="1">
      <alignment horizontal="center"/>
    </xf>
    <xf numFmtId="0" fontId="9" fillId="0" borderId="0" xfId="3" applyFont="1" applyAlignment="1" applyProtection="1">
      <alignment horizontal="right"/>
    </xf>
    <xf numFmtId="39" fontId="9" fillId="0" borderId="1" xfId="3" applyNumberFormat="1" applyFont="1" applyBorder="1" applyAlignment="1" applyProtection="1">
      <alignment horizontal="center"/>
    </xf>
    <xf numFmtId="39" fontId="4" fillId="0" borderId="0" xfId="3" applyNumberFormat="1" applyFont="1"/>
    <xf numFmtId="0" fontId="4" fillId="0" borderId="0" xfId="3" applyFont="1" applyAlignment="1" applyProtection="1">
      <alignment horizontal="right"/>
    </xf>
    <xf numFmtId="0" fontId="4" fillId="0" borderId="0" xfId="3" applyFont="1" applyAlignment="1" applyProtection="1">
      <alignment horizontal="center"/>
    </xf>
    <xf numFmtId="37" fontId="4" fillId="0" borderId="0" xfId="3" applyNumberFormat="1" applyFont="1" applyProtection="1"/>
    <xf numFmtId="37" fontId="4" fillId="0" borderId="0" xfId="3" applyNumberFormat="1" applyFont="1" applyBorder="1" applyProtection="1"/>
    <xf numFmtId="39" fontId="4" fillId="0" borderId="0" xfId="3" applyNumberFormat="1" applyFont="1" applyBorder="1" applyProtection="1"/>
    <xf numFmtId="0" fontId="4" fillId="0" borderId="0" xfId="3" quotePrefix="1" applyFont="1" applyAlignment="1" applyProtection="1">
      <alignment horizontal="left"/>
    </xf>
    <xf numFmtId="49" fontId="15" fillId="0" borderId="0" xfId="3" applyNumberFormat="1" applyFont="1" applyAlignment="1" applyProtection="1">
      <alignment horizontal="right"/>
    </xf>
    <xf numFmtId="0" fontId="15" fillId="0" borderId="0" xfId="3" applyFont="1" applyAlignment="1" applyProtection="1">
      <alignment horizontal="center"/>
    </xf>
    <xf numFmtId="0" fontId="15" fillId="0" borderId="0" xfId="3" applyFont="1"/>
    <xf numFmtId="37" fontId="15" fillId="0" borderId="0" xfId="3" applyNumberFormat="1" applyFont="1"/>
    <xf numFmtId="39" fontId="15" fillId="0" borderId="0" xfId="3" applyNumberFormat="1" applyFont="1"/>
    <xf numFmtId="0" fontId="4" fillId="0" borderId="0" xfId="3" applyFont="1" applyBorder="1" applyProtection="1"/>
    <xf numFmtId="39" fontId="4" fillId="0" borderId="0" xfId="3" applyNumberFormat="1" applyFont="1" applyBorder="1"/>
    <xf numFmtId="37" fontId="4" fillId="0" borderId="0" xfId="3" applyNumberFormat="1" applyFont="1" applyAlignment="1" applyProtection="1">
      <alignment horizontal="right"/>
    </xf>
    <xf numFmtId="39" fontId="4" fillId="0" borderId="0" xfId="3" applyNumberFormat="1" applyFont="1" applyAlignment="1" applyProtection="1">
      <alignment horizontal="right"/>
    </xf>
    <xf numFmtId="37" fontId="4" fillId="0" borderId="3" xfId="3" applyNumberFormat="1" applyFont="1" applyBorder="1" applyProtection="1"/>
    <xf numFmtId="39" fontId="4" fillId="0" borderId="3" xfId="3" applyNumberFormat="1" applyFont="1" applyBorder="1" applyProtection="1"/>
    <xf numFmtId="37" fontId="4" fillId="0" borderId="9" xfId="3" applyNumberFormat="1" applyFont="1" applyBorder="1"/>
    <xf numFmtId="39" fontId="4" fillId="0" borderId="9" xfId="3" applyNumberFormat="1" applyFont="1" applyBorder="1" applyProtection="1"/>
    <xf numFmtId="0" fontId="4" fillId="0" borderId="9" xfId="3" applyFont="1" applyBorder="1"/>
    <xf numFmtId="49" fontId="9" fillId="0" borderId="0" xfId="3" applyNumberFormat="1" applyFont="1" applyBorder="1" applyAlignment="1">
      <alignment horizontal="center" wrapText="1"/>
    </xf>
    <xf numFmtId="37" fontId="9" fillId="0" borderId="1" xfId="1" applyNumberFormat="1" applyFont="1" applyBorder="1" applyAlignment="1">
      <alignment horizontal="center"/>
    </xf>
    <xf numFmtId="166" fontId="9" fillId="0" borderId="1" xfId="1" applyNumberFormat="1" applyFont="1" applyBorder="1" applyAlignment="1">
      <alignment horizontal="center"/>
    </xf>
    <xf numFmtId="37" fontId="9" fillId="0" borderId="0" xfId="1" applyNumberFormat="1" applyFont="1" applyBorder="1" applyAlignment="1">
      <alignment horizontal="center"/>
    </xf>
    <xf numFmtId="166" fontId="9" fillId="0" borderId="0" xfId="1" applyNumberFormat="1" applyFont="1" applyBorder="1" applyAlignment="1">
      <alignment horizontal="center"/>
    </xf>
    <xf numFmtId="0" fontId="4" fillId="0" borderId="0" xfId="3" applyFont="1" applyAlignment="1">
      <alignment horizontal="left"/>
    </xf>
    <xf numFmtId="39" fontId="4" fillId="0" borderId="0" xfId="1" applyNumberFormat="1" applyFont="1"/>
    <xf numFmtId="37" fontId="4" fillId="0" borderId="0" xfId="1" applyNumberFormat="1" applyFont="1" applyBorder="1"/>
    <xf numFmtId="0" fontId="26" fillId="0" borderId="0" xfId="3" applyFont="1" applyAlignment="1">
      <alignment horizontal="left"/>
    </xf>
    <xf numFmtId="39" fontId="4" fillId="0" borderId="3" xfId="3" applyNumberFormat="1" applyFont="1" applyBorder="1"/>
    <xf numFmtId="10" fontId="4" fillId="0" borderId="0" xfId="3" applyNumberFormat="1" applyFont="1"/>
    <xf numFmtId="4" fontId="4" fillId="0" borderId="0" xfId="3" applyNumberFormat="1" applyFont="1"/>
    <xf numFmtId="37" fontId="4" fillId="2" borderId="0" xfId="1" applyNumberFormat="1" applyFont="1" applyFill="1"/>
    <xf numFmtId="0" fontId="9" fillId="0" borderId="0" xfId="3" applyFont="1" applyAlignment="1">
      <alignment horizontal="center" wrapText="1"/>
    </xf>
    <xf numFmtId="171" fontId="4" fillId="0" borderId="1" xfId="12" applyNumberFormat="1" applyFont="1" applyBorder="1"/>
    <xf numFmtId="43" fontId="4" fillId="0" borderId="0" xfId="3" applyNumberFormat="1" applyFont="1"/>
    <xf numFmtId="171" fontId="4" fillId="0" borderId="0" xfId="3" applyNumberFormat="1" applyFont="1"/>
    <xf numFmtId="164" fontId="4" fillId="0" borderId="0" xfId="3" applyNumberFormat="1" applyFont="1"/>
    <xf numFmtId="171" fontId="4" fillId="0" borderId="3" xfId="3" applyNumberFormat="1" applyFont="1" applyBorder="1"/>
    <xf numFmtId="49" fontId="4" fillId="0" borderId="1" xfId="3" applyNumberFormat="1" applyFont="1" applyBorder="1" applyAlignment="1">
      <alignment horizontal="center" wrapText="1"/>
    </xf>
    <xf numFmtId="49" fontId="4" fillId="0" borderId="0" xfId="3" applyNumberFormat="1" applyFont="1" applyAlignment="1">
      <alignment wrapText="1"/>
    </xf>
    <xf numFmtId="0" fontId="9" fillId="0" borderId="0" xfId="8" applyFont="1" applyAlignment="1">
      <alignment horizontal="center"/>
    </xf>
    <xf numFmtId="0" fontId="9" fillId="0" borderId="0" xfId="8" applyFont="1"/>
    <xf numFmtId="4" fontId="9" fillId="0" borderId="0" xfId="8" applyNumberFormat="1" applyFont="1"/>
    <xf numFmtId="3" fontId="27" fillId="0" borderId="0" xfId="8" applyNumberFormat="1" applyFont="1" applyAlignment="1">
      <alignment horizontal="center"/>
    </xf>
    <xf numFmtId="4" fontId="27" fillId="0" borderId="0" xfId="8" applyNumberFormat="1" applyFont="1" applyAlignment="1">
      <alignment horizontal="center"/>
    </xf>
    <xf numFmtId="0" fontId="0" fillId="0" borderId="0" xfId="0" applyFont="1"/>
    <xf numFmtId="165" fontId="4" fillId="0" borderId="0" xfId="4" applyNumberFormat="1" applyAlignment="1">
      <alignment horizontal="center" wrapText="1"/>
    </xf>
    <xf numFmtId="177" fontId="9" fillId="0" borderId="0" xfId="11" applyNumberFormat="1" applyFont="1" applyAlignment="1">
      <alignment horizontal="center"/>
    </xf>
    <xf numFmtId="0" fontId="9" fillId="0" borderId="0" xfId="0" applyFont="1"/>
    <xf numFmtId="0" fontId="13" fillId="0" borderId="0" xfId="0" applyFont="1" applyFill="1"/>
    <xf numFmtId="0" fontId="29" fillId="0" borderId="0" xfId="3" applyFont="1" applyAlignment="1">
      <alignment horizontal="left"/>
    </xf>
    <xf numFmtId="2" fontId="9" fillId="0" borderId="0" xfId="9" applyNumberFormat="1" applyFont="1" applyAlignment="1">
      <alignment horizontal="left"/>
    </xf>
    <xf numFmtId="14" fontId="4" fillId="0" borderId="0" xfId="11" applyNumberFormat="1" applyFont="1" applyAlignment="1">
      <alignment horizontal="left"/>
    </xf>
    <xf numFmtId="49" fontId="4" fillId="0" borderId="0" xfId="4" applyNumberFormat="1" applyBorder="1" applyAlignment="1">
      <alignment horizontal="center"/>
    </xf>
    <xf numFmtId="0" fontId="4" fillId="0" borderId="0" xfId="4" applyBorder="1" applyAlignment="1">
      <alignment horizontal="center"/>
    </xf>
    <xf numFmtId="49" fontId="4" fillId="0" borderId="0" xfId="4" quotePrefix="1" applyNumberFormat="1"/>
    <xf numFmtId="177" fontId="9" fillId="0" borderId="0" xfId="11" applyNumberFormat="1" applyFont="1" applyAlignment="1">
      <alignment horizontal="center"/>
    </xf>
    <xf numFmtId="0" fontId="9" fillId="0" borderId="1" xfId="3" applyFont="1" applyBorder="1" applyAlignment="1">
      <alignment horizontal="center"/>
    </xf>
    <xf numFmtId="0" fontId="9" fillId="0" borderId="0" xfId="3" applyFont="1" applyAlignment="1" applyProtection="1">
      <alignment horizontal="center"/>
    </xf>
    <xf numFmtId="37" fontId="9" fillId="0" borderId="1" xfId="3" applyNumberFormat="1" applyFont="1" applyBorder="1" applyAlignment="1" applyProtection="1">
      <alignment horizontal="center"/>
    </xf>
    <xf numFmtId="0" fontId="9" fillId="0" borderId="1" xfId="3" applyFont="1" applyBorder="1" applyAlignment="1" applyProtection="1">
      <alignment horizontal="center"/>
    </xf>
    <xf numFmtId="0" fontId="9" fillId="0" borderId="0" xfId="3" applyFont="1" applyAlignment="1">
      <alignment horizontal="center"/>
    </xf>
    <xf numFmtId="37" fontId="4" fillId="0" borderId="0" xfId="3" applyNumberFormat="1" applyFont="1" applyFill="1" applyProtection="1"/>
    <xf numFmtId="0" fontId="4" fillId="0" borderId="0" xfId="3" applyFont="1" applyFill="1"/>
    <xf numFmtId="37" fontId="4" fillId="0" borderId="0" xfId="3" applyNumberFormat="1" applyFont="1" applyFill="1"/>
    <xf numFmtId="39" fontId="4" fillId="0" borderId="0" xfId="3" applyNumberFormat="1" applyFont="1" applyFill="1" applyProtection="1"/>
    <xf numFmtId="39" fontId="4" fillId="0" borderId="0" xfId="3" applyNumberFormat="1" applyFont="1" applyFill="1"/>
    <xf numFmtId="0" fontId="0" fillId="0" borderId="0" xfId="0"/>
    <xf numFmtId="0" fontId="4" fillId="0" borderId="0" xfId="3" applyFont="1"/>
    <xf numFmtId="37" fontId="4" fillId="0" borderId="0" xfId="3" applyNumberFormat="1" applyFont="1"/>
    <xf numFmtId="0" fontId="4" fillId="0" borderId="0" xfId="3" applyFont="1" applyAlignment="1" applyProtection="1">
      <alignment horizontal="left"/>
    </xf>
    <xf numFmtId="39" fontId="4" fillId="0" borderId="0" xfId="3" applyNumberFormat="1" applyFont="1" applyProtection="1"/>
    <xf numFmtId="0" fontId="4" fillId="0" borderId="0" xfId="3" applyFont="1" applyFill="1" applyAlignment="1" applyProtection="1">
      <alignment horizontal="right"/>
    </xf>
    <xf numFmtId="0" fontId="4" fillId="0" borderId="0" xfId="3" applyFont="1" applyFill="1" applyAlignment="1" applyProtection="1">
      <alignment horizontal="center"/>
    </xf>
    <xf numFmtId="37" fontId="18" fillId="0" borderId="0" xfId="3" applyNumberFormat="1" applyFont="1" applyFill="1" applyProtection="1">
      <protection locked="0"/>
    </xf>
    <xf numFmtId="39" fontId="18" fillId="0" borderId="0" xfId="3" applyNumberFormat="1" applyFont="1" applyFill="1" applyProtection="1">
      <protection locked="0"/>
    </xf>
    <xf numFmtId="0" fontId="9" fillId="0" borderId="0" xfId="5" applyFont="1" applyAlignment="1">
      <alignment horizontal="left"/>
    </xf>
    <xf numFmtId="49" fontId="4" fillId="0" borderId="1" xfId="3" applyNumberFormat="1" applyFont="1" applyBorder="1" applyAlignment="1">
      <alignment horizontal="center"/>
    </xf>
    <xf numFmtId="42" fontId="4" fillId="0" borderId="0" xfId="1" applyNumberFormat="1" applyFont="1"/>
    <xf numFmtId="185" fontId="4" fillId="0" borderId="0" xfId="1" applyNumberFormat="1" applyFont="1"/>
    <xf numFmtId="186" fontId="4" fillId="0" borderId="0" xfId="1" applyNumberFormat="1" applyFont="1" applyAlignment="1">
      <alignment horizontal="left"/>
    </xf>
    <xf numFmtId="49" fontId="4" fillId="0" borderId="1" xfId="3" applyNumberFormat="1" applyFont="1" applyBorder="1" applyAlignment="1">
      <alignment wrapText="1"/>
    </xf>
    <xf numFmtId="175" fontId="4" fillId="0" borderId="0" xfId="1" applyNumberFormat="1" applyFont="1"/>
    <xf numFmtId="175" fontId="4" fillId="0" borderId="3" xfId="1" applyNumberFormat="1" applyFont="1" applyBorder="1"/>
    <xf numFmtId="173" fontId="4" fillId="0" borderId="3" xfId="3" applyNumberFormat="1" applyFont="1" applyBorder="1"/>
    <xf numFmtId="37" fontId="9" fillId="0" borderId="0" xfId="3" applyNumberFormat="1" applyFont="1" applyAlignment="1" applyProtection="1">
      <alignment horizontal="left"/>
    </xf>
    <xf numFmtId="0" fontId="4" fillId="0" borderId="0" xfId="3" applyFont="1" applyFill="1" applyBorder="1"/>
    <xf numFmtId="37" fontId="9" fillId="0" borderId="0" xfId="3" applyNumberFormat="1" applyFont="1" applyAlignment="1">
      <alignment horizontal="left"/>
    </xf>
    <xf numFmtId="37" fontId="9" fillId="0" borderId="0" xfId="3" applyNumberFormat="1" applyFont="1" applyAlignment="1">
      <alignment horizontal="centerContinuous"/>
    </xf>
    <xf numFmtId="0" fontId="9" fillId="0" borderId="0" xfId="3" applyFont="1" applyBorder="1" applyAlignment="1">
      <alignment horizontal="left"/>
    </xf>
    <xf numFmtId="166" fontId="9" fillId="0" borderId="0" xfId="1" applyNumberFormat="1" applyFont="1" applyBorder="1"/>
    <xf numFmtId="37" fontId="9" fillId="0" borderId="0" xfId="1" applyNumberFormat="1" applyFont="1" applyBorder="1"/>
    <xf numFmtId="166" fontId="9" fillId="0" borderId="0" xfId="1" quotePrefix="1" applyNumberFormat="1" applyFont="1" applyBorder="1" applyAlignment="1">
      <alignment horizontal="center"/>
    </xf>
    <xf numFmtId="164" fontId="9" fillId="0" borderId="0" xfId="1" applyNumberFormat="1" applyFont="1" applyBorder="1"/>
    <xf numFmtId="166" fontId="4" fillId="0" borderId="0" xfId="1" quotePrefix="1" applyNumberFormat="1" applyFont="1" applyBorder="1" applyAlignment="1">
      <alignment horizontal="center"/>
    </xf>
    <xf numFmtId="0" fontId="14" fillId="3" borderId="0" xfId="3" applyFont="1" applyFill="1" applyAlignment="1">
      <alignment horizontal="left"/>
    </xf>
    <xf numFmtId="0" fontId="14" fillId="3" borderId="0" xfId="3" applyFont="1" applyFill="1"/>
    <xf numFmtId="0" fontId="14" fillId="3" borderId="0" xfId="3" applyFont="1" applyFill="1" applyAlignment="1">
      <alignment horizontal="right"/>
    </xf>
    <xf numFmtId="0" fontId="11" fillId="4" borderId="0" xfId="3" applyFont="1" applyFill="1" applyAlignment="1">
      <alignment horizontal="left"/>
    </xf>
    <xf numFmtId="3" fontId="4" fillId="0" borderId="0" xfId="3" applyNumberFormat="1" applyFont="1" applyAlignment="1">
      <alignment horizontal="right"/>
    </xf>
    <xf numFmtId="184" fontId="4" fillId="0" borderId="0" xfId="3" applyNumberFormat="1" applyFont="1" applyAlignment="1">
      <alignment horizontal="right"/>
    </xf>
    <xf numFmtId="3" fontId="11" fillId="4" borderId="0" xfId="3" applyNumberFormat="1" applyFont="1" applyFill="1" applyAlignment="1">
      <alignment horizontal="right"/>
    </xf>
    <xf numFmtId="184" fontId="11" fillId="4" borderId="0" xfId="3" applyNumberFormat="1" applyFont="1" applyFill="1" applyAlignment="1">
      <alignment horizontal="right"/>
    </xf>
    <xf numFmtId="3" fontId="14" fillId="3" borderId="0" xfId="3" applyNumberFormat="1" applyFont="1" applyFill="1" applyAlignment="1">
      <alignment horizontal="right"/>
    </xf>
    <xf numFmtId="0" fontId="4" fillId="0" borderId="0" xfId="6" applyFont="1"/>
    <xf numFmtId="0" fontId="4" fillId="0" borderId="0" xfId="6" applyFont="1" applyFill="1"/>
    <xf numFmtId="1" fontId="4" fillId="0" borderId="0" xfId="6" applyNumberFormat="1" applyFont="1"/>
    <xf numFmtId="0" fontId="16" fillId="0" borderId="0" xfId="3" applyFont="1" applyAlignment="1" applyProtection="1">
      <alignment horizontal="left"/>
    </xf>
    <xf numFmtId="0" fontId="9" fillId="0" borderId="0" xfId="3" applyFont="1" applyAlignment="1" applyProtection="1"/>
    <xf numFmtId="0" fontId="16" fillId="0" borderId="0" xfId="3" applyFont="1"/>
    <xf numFmtId="3" fontId="4" fillId="0" borderId="0" xfId="6" applyNumberFormat="1" applyFont="1"/>
    <xf numFmtId="185" fontId="4" fillId="0" borderId="1" xfId="6" applyNumberFormat="1" applyFont="1" applyBorder="1"/>
    <xf numFmtId="185" fontId="4" fillId="0" borderId="0" xfId="6" applyNumberFormat="1" applyFont="1"/>
    <xf numFmtId="0" fontId="4" fillId="0" borderId="8" xfId="3" applyFont="1" applyBorder="1"/>
    <xf numFmtId="0" fontId="44" fillId="0" borderId="8" xfId="3" applyFont="1" applyBorder="1"/>
    <xf numFmtId="0" fontId="4" fillId="0" borderId="8" xfId="3" applyFont="1" applyBorder="1" applyAlignment="1">
      <alignment horizontal="center"/>
    </xf>
    <xf numFmtId="0" fontId="4" fillId="0" borderId="0" xfId="3" applyFont="1" applyAlignment="1" applyProtection="1"/>
    <xf numFmtId="0" fontId="4" fillId="0" borderId="1" xfId="3" applyFont="1" applyBorder="1" applyAlignment="1" applyProtection="1">
      <alignment horizontal="right"/>
    </xf>
    <xf numFmtId="0" fontId="4" fillId="0" borderId="1" xfId="3" applyFont="1" applyBorder="1"/>
    <xf numFmtId="0" fontId="4" fillId="0" borderId="1" xfId="3" applyFont="1" applyBorder="1" applyAlignment="1" applyProtection="1">
      <alignment horizontal="center"/>
    </xf>
    <xf numFmtId="182" fontId="4" fillId="0" borderId="0" xfId="3" applyNumberFormat="1" applyFont="1" applyFill="1" applyAlignment="1">
      <alignment horizontal="right"/>
    </xf>
    <xf numFmtId="0" fontId="4" fillId="2" borderId="0" xfId="3" applyFont="1" applyFill="1" applyAlignment="1" applyProtection="1">
      <alignment horizontal="left"/>
    </xf>
    <xf numFmtId="0" fontId="4" fillId="2" borderId="0" xfId="3" applyFont="1" applyFill="1"/>
    <xf numFmtId="0" fontId="45" fillId="0" borderId="0" xfId="3" applyFont="1" applyFill="1" applyBorder="1" applyAlignment="1">
      <alignment horizontal="centerContinuous"/>
    </xf>
    <xf numFmtId="0" fontId="45" fillId="0" borderId="6" xfId="3" applyFont="1" applyFill="1" applyBorder="1" applyAlignment="1">
      <alignment horizontal="centerContinuous"/>
    </xf>
    <xf numFmtId="0" fontId="4" fillId="0" borderId="0" xfId="3" applyFont="1" applyFill="1" applyBorder="1" applyAlignment="1"/>
    <xf numFmtId="0" fontId="4" fillId="0" borderId="7" xfId="3" applyFont="1" applyFill="1" applyBorder="1" applyAlignment="1"/>
    <xf numFmtId="0" fontId="4" fillId="0" borderId="0" xfId="3" applyFont="1" applyFill="1" applyAlignment="1">
      <alignment horizontal="right"/>
    </xf>
    <xf numFmtId="0" fontId="45" fillId="0" borderId="6" xfId="3" applyFont="1" applyFill="1" applyBorder="1" applyAlignment="1">
      <alignment horizontal="center"/>
    </xf>
    <xf numFmtId="0" fontId="45" fillId="0" borderId="0" xfId="3" applyFont="1" applyFill="1" applyBorder="1" applyAlignment="1">
      <alignment horizontal="center"/>
    </xf>
    <xf numFmtId="0" fontId="4" fillId="0" borderId="1" xfId="3" applyFont="1" applyBorder="1" applyAlignment="1" applyProtection="1">
      <alignment horizontal="fill"/>
    </xf>
    <xf numFmtId="0" fontId="4" fillId="0" borderId="0" xfId="3" applyFont="1" applyAlignment="1">
      <alignment horizontal="right"/>
    </xf>
    <xf numFmtId="0" fontId="4" fillId="0" borderId="0" xfId="3" applyFont="1" applyProtection="1"/>
    <xf numFmtId="176" fontId="19" fillId="0" borderId="0" xfId="3" applyNumberFormat="1" applyFont="1" applyFill="1" applyAlignment="1" applyProtection="1">
      <alignment horizontal="center"/>
    </xf>
    <xf numFmtId="0" fontId="19" fillId="0" borderId="0" xfId="3" applyFont="1" applyFill="1" applyAlignment="1">
      <alignment horizontal="center"/>
    </xf>
    <xf numFmtId="9" fontId="19" fillId="0" borderId="0" xfId="3" applyNumberFormat="1" applyFont="1" applyFill="1" applyAlignment="1" applyProtection="1">
      <alignment horizontal="center"/>
    </xf>
    <xf numFmtId="171" fontId="19" fillId="0" borderId="0" xfId="3" applyNumberFormat="1" applyFont="1" applyFill="1" applyAlignment="1" applyProtection="1">
      <alignment horizontal="center"/>
    </xf>
    <xf numFmtId="37" fontId="4" fillId="0" borderId="0" xfId="4" applyNumberFormat="1" applyFont="1"/>
    <xf numFmtId="0" fontId="4" fillId="0" borderId="0" xfId="8" applyFont="1"/>
    <xf numFmtId="3" fontId="4" fillId="0" borderId="0" xfId="8" applyNumberFormat="1" applyFont="1"/>
    <xf numFmtId="4" fontId="4" fillId="0" borderId="0" xfId="8" applyNumberFormat="1" applyFont="1"/>
    <xf numFmtId="185" fontId="4" fillId="0" borderId="0" xfId="8" applyNumberFormat="1" applyFont="1"/>
    <xf numFmtId="3" fontId="4" fillId="0" borderId="3" xfId="8" applyNumberFormat="1" applyFont="1" applyBorder="1"/>
    <xf numFmtId="166" fontId="4" fillId="5" borderId="0" xfId="1" applyNumberFormat="1" applyFont="1" applyFill="1"/>
    <xf numFmtId="0" fontId="9" fillId="5" borderId="0" xfId="0" applyFont="1" applyFill="1" applyAlignment="1" applyProtection="1">
      <alignment horizontal="left"/>
      <protection locked="0"/>
    </xf>
    <xf numFmtId="37" fontId="27" fillId="0" borderId="0" xfId="4" applyNumberFormat="1" applyFont="1"/>
    <xf numFmtId="49" fontId="4" fillId="0" borderId="0" xfId="3" applyNumberFormat="1" applyFont="1" applyAlignment="1">
      <alignment horizontal="center" wrapText="1"/>
    </xf>
    <xf numFmtId="0" fontId="4" fillId="0" borderId="0" xfId="3" applyFont="1" applyAlignment="1">
      <alignment horizontal="center" wrapText="1"/>
    </xf>
    <xf numFmtId="0" fontId="4" fillId="0" borderId="1" xfId="3" applyFont="1" applyBorder="1" applyAlignment="1">
      <alignment horizontal="center"/>
    </xf>
    <xf numFmtId="49" fontId="4" fillId="0" borderId="0" xfId="3" applyNumberFormat="1" applyFont="1" applyBorder="1" applyAlignment="1">
      <alignment horizontal="center" wrapText="1"/>
    </xf>
    <xf numFmtId="49" fontId="4" fillId="0" borderId="0" xfId="3" applyNumberFormat="1" applyFont="1" applyAlignment="1">
      <alignment horizontal="center"/>
    </xf>
    <xf numFmtId="171" fontId="4" fillId="0" borderId="0" xfId="12" applyNumberFormat="1" applyFont="1" applyBorder="1" applyAlignment="1"/>
    <xf numFmtId="171" fontId="4" fillId="0" borderId="0" xfId="3" applyNumberFormat="1" applyFont="1" applyBorder="1" applyAlignment="1"/>
    <xf numFmtId="0" fontId="4" fillId="0" borderId="0" xfId="3" applyFont="1" applyAlignment="1">
      <alignment wrapText="1"/>
    </xf>
    <xf numFmtId="37" fontId="4" fillId="0" borderId="0" xfId="1" applyNumberFormat="1" applyFont="1" applyFill="1" applyAlignment="1">
      <alignment horizontal="right"/>
    </xf>
    <xf numFmtId="171" fontId="4" fillId="0" borderId="0" xfId="12" applyNumberFormat="1" applyFont="1" applyBorder="1" applyAlignment="1">
      <alignment horizontal="center"/>
    </xf>
    <xf numFmtId="166" fontId="4" fillId="0" borderId="3" xfId="3" applyNumberFormat="1" applyFont="1" applyBorder="1"/>
    <xf numFmtId="167" fontId="4" fillId="0" borderId="0" xfId="3" applyNumberFormat="1" applyFont="1"/>
    <xf numFmtId="171" fontId="4" fillId="0" borderId="0" xfId="12" applyNumberFormat="1" applyFont="1" applyAlignment="1">
      <alignment horizontal="center"/>
    </xf>
    <xf numFmtId="171" fontId="4" fillId="0" borderId="0" xfId="3" applyNumberFormat="1" applyFont="1" applyAlignment="1">
      <alignment horizontal="center"/>
    </xf>
    <xf numFmtId="166" fontId="4" fillId="0" borderId="0" xfId="1" applyNumberFormat="1" applyFont="1" applyFill="1"/>
    <xf numFmtId="167" fontId="4" fillId="0" borderId="0" xfId="1" applyNumberFormat="1" applyFont="1" applyBorder="1" applyAlignment="1">
      <alignment horizontal="center"/>
    </xf>
    <xf numFmtId="167" fontId="4" fillId="0" borderId="0" xfId="1" applyNumberFormat="1" applyFont="1" applyBorder="1" applyAlignment="1">
      <alignment horizontal="center" wrapText="1"/>
    </xf>
    <xf numFmtId="167" fontId="4" fillId="0" borderId="0" xfId="1" applyNumberFormat="1" applyFont="1" applyBorder="1" applyAlignment="1">
      <alignment wrapText="1"/>
    </xf>
    <xf numFmtId="49" fontId="4" fillId="0" borderId="0" xfId="3" applyNumberFormat="1" applyFont="1" applyBorder="1" applyAlignment="1">
      <alignment wrapText="1"/>
    </xf>
    <xf numFmtId="167" fontId="4" fillId="0" borderId="0" xfId="3" applyNumberFormat="1" applyFont="1" applyBorder="1"/>
    <xf numFmtId="168" fontId="4" fillId="0" borderId="0" xfId="1" applyNumberFormat="1" applyFont="1" applyBorder="1"/>
    <xf numFmtId="0" fontId="4" fillId="0" borderId="0" xfId="3" applyFont="1" applyBorder="1" applyAlignment="1">
      <alignment horizontal="center" wrapText="1"/>
    </xf>
    <xf numFmtId="171" fontId="4" fillId="0" borderId="0" xfId="3" applyNumberFormat="1" applyFont="1" applyBorder="1" applyAlignment="1">
      <alignment horizontal="center"/>
    </xf>
    <xf numFmtId="0" fontId="4" fillId="0" borderId="0" xfId="3" applyFont="1" applyAlignment="1">
      <alignment horizontal="left" indent="1"/>
    </xf>
    <xf numFmtId="171" fontId="4" fillId="0" borderId="0" xfId="12" applyNumberFormat="1" applyFont="1" applyBorder="1" applyAlignment="1">
      <alignment horizontal="right"/>
    </xf>
    <xf numFmtId="181" fontId="4" fillId="0" borderId="0" xfId="4" applyNumberFormat="1" applyAlignment="1">
      <alignment horizontal="center"/>
    </xf>
    <xf numFmtId="171" fontId="4" fillId="0" borderId="0" xfId="12" applyNumberFormat="1" applyFont="1" applyFill="1"/>
    <xf numFmtId="0" fontId="9" fillId="31" borderId="0" xfId="6" applyFont="1" applyFill="1" applyAlignment="1">
      <alignment horizontal="left"/>
    </xf>
    <xf numFmtId="0" fontId="9" fillId="31" borderId="0" xfId="6" applyFont="1" applyFill="1" applyAlignment="1">
      <alignment horizontal="right"/>
    </xf>
    <xf numFmtId="0" fontId="9" fillId="31" borderId="0" xfId="6" applyFont="1" applyFill="1" applyAlignment="1">
      <alignment horizontal="center"/>
    </xf>
    <xf numFmtId="3" fontId="9" fillId="31" borderId="0" xfId="6" applyNumberFormat="1" applyFont="1" applyFill="1" applyAlignment="1">
      <alignment horizontal="right"/>
    </xf>
    <xf numFmtId="44" fontId="9" fillId="31" borderId="0" xfId="6" applyNumberFormat="1" applyFont="1" applyFill="1" applyAlignment="1">
      <alignment horizontal="right"/>
    </xf>
    <xf numFmtId="184" fontId="9" fillId="31" borderId="0" xfId="6" applyNumberFormat="1" applyFont="1" applyFill="1" applyAlignment="1">
      <alignment horizontal="right"/>
    </xf>
    <xf numFmtId="0" fontId="4" fillId="0" borderId="0" xfId="3" applyFont="1" applyFill="1" applyAlignment="1">
      <alignment horizontal="left"/>
    </xf>
    <xf numFmtId="39" fontId="4" fillId="0" borderId="0" xfId="1" applyNumberFormat="1" applyFont="1" applyFill="1"/>
    <xf numFmtId="0" fontId="4" fillId="0" borderId="0" xfId="3" applyFont="1" applyFill="1" applyAlignment="1">
      <alignment horizontal="center"/>
    </xf>
    <xf numFmtId="171" fontId="4" fillId="0" borderId="0" xfId="12" applyNumberFormat="1" applyFont="1" applyFill="1" applyBorder="1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37" fontId="4" fillId="0" borderId="0" xfId="0" applyNumberFormat="1" applyFont="1"/>
    <xf numFmtId="176" fontId="4" fillId="0" borderId="0" xfId="12" applyNumberFormat="1" applyFont="1"/>
    <xf numFmtId="3" fontId="4" fillId="0" borderId="0" xfId="0" applyNumberFormat="1" applyFont="1"/>
    <xf numFmtId="37" fontId="4" fillId="0" borderId="0" xfId="2" applyNumberFormat="1" applyFont="1"/>
    <xf numFmtId="0" fontId="4" fillId="0" borderId="2" xfId="0" applyFont="1" applyBorder="1"/>
    <xf numFmtId="0" fontId="27" fillId="0" borderId="0" xfId="0" applyFont="1"/>
    <xf numFmtId="0" fontId="4" fillId="0" borderId="5" xfId="0" applyFont="1" applyBorder="1"/>
    <xf numFmtId="0" fontId="9" fillId="0" borderId="0" xfId="0" applyFont="1" applyFill="1"/>
    <xf numFmtId="0" fontId="9" fillId="0" borderId="0" xfId="0" quotePrefix="1" applyFont="1"/>
    <xf numFmtId="0" fontId="9" fillId="0" borderId="0" xfId="0" applyFont="1" applyAlignment="1">
      <alignment horizontal="center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37" fontId="4" fillId="0" borderId="0" xfId="0" applyNumberFormat="1" applyFont="1" applyProtection="1"/>
    <xf numFmtId="37" fontId="19" fillId="0" borderId="2" xfId="0" applyNumberFormat="1" applyFont="1" applyFill="1" applyBorder="1" applyProtection="1"/>
    <xf numFmtId="37" fontId="4" fillId="0" borderId="0" xfId="0" applyNumberFormat="1" applyFont="1" applyFill="1" applyProtection="1"/>
    <xf numFmtId="164" fontId="4" fillId="0" borderId="0" xfId="0" applyNumberFormat="1" applyFont="1" applyProtection="1"/>
    <xf numFmtId="170" fontId="4" fillId="0" borderId="0" xfId="0" applyNumberFormat="1" applyFont="1" applyProtection="1"/>
    <xf numFmtId="164" fontId="4" fillId="0" borderId="0" xfId="0" applyNumberFormat="1" applyFont="1"/>
    <xf numFmtId="0" fontId="4" fillId="0" borderId="0" xfId="0" applyFont="1" applyFill="1"/>
    <xf numFmtId="0" fontId="9" fillId="0" borderId="0" xfId="0" applyFont="1" applyFill="1" applyAlignment="1">
      <alignment horizontal="center"/>
    </xf>
    <xf numFmtId="0" fontId="9" fillId="0" borderId="1" xfId="0" applyFont="1" applyFill="1" applyBorder="1" applyAlignment="1">
      <alignment horizontal="center"/>
    </xf>
    <xf numFmtId="164" fontId="4" fillId="0" borderId="0" xfId="0" applyNumberFormat="1" applyFont="1" applyFill="1" applyProtection="1"/>
    <xf numFmtId="170" fontId="4" fillId="0" borderId="0" xfId="0" applyNumberFormat="1" applyFont="1" applyFill="1" applyProtection="1"/>
    <xf numFmtId="164" fontId="4" fillId="0" borderId="0" xfId="0" applyNumberFormat="1" applyFont="1" applyFill="1"/>
    <xf numFmtId="0" fontId="4" fillId="0" borderId="1" xfId="0" applyFont="1" applyBorder="1"/>
    <xf numFmtId="14" fontId="9" fillId="0" borderId="0" xfId="9" applyNumberFormat="1" applyFont="1" applyAlignment="1">
      <alignment horizontal="left"/>
    </xf>
    <xf numFmtId="0" fontId="9" fillId="0" borderId="0" xfId="0" applyFont="1" applyAlignment="1">
      <alignment horizontal="left"/>
    </xf>
    <xf numFmtId="49" fontId="9" fillId="0" borderId="1" xfId="0" applyNumberFormat="1" applyFont="1" applyBorder="1" applyAlignment="1">
      <alignment horizontal="center" wrapText="1"/>
    </xf>
    <xf numFmtId="166" fontId="18" fillId="0" borderId="0" xfId="1" applyNumberFormat="1" applyFont="1" applyBorder="1"/>
    <xf numFmtId="0" fontId="9" fillId="0" borderId="0" xfId="0" applyFont="1" applyBorder="1" applyAlignment="1">
      <alignment horizontal="center"/>
    </xf>
    <xf numFmtId="0" fontId="4" fillId="0" borderId="0" xfId="0" applyFont="1" applyBorder="1"/>
    <xf numFmtId="49" fontId="9" fillId="0" borderId="0" xfId="0" applyNumberFormat="1" applyFont="1" applyBorder="1" applyAlignment="1">
      <alignment horizontal="center" wrapText="1"/>
    </xf>
    <xf numFmtId="3" fontId="4" fillId="0" borderId="0" xfId="0" applyNumberFormat="1" applyFont="1" applyBorder="1"/>
    <xf numFmtId="0" fontId="9" fillId="0" borderId="0" xfId="0" applyFont="1" applyBorder="1"/>
    <xf numFmtId="172" fontId="4" fillId="0" borderId="0" xfId="0" applyNumberFormat="1" applyFont="1" applyBorder="1"/>
    <xf numFmtId="3" fontId="9" fillId="0" borderId="0" xfId="0" applyNumberFormat="1" applyFont="1" applyBorder="1"/>
    <xf numFmtId="173" fontId="4" fillId="0" borderId="0" xfId="0" applyNumberFormat="1" applyFont="1" applyBorder="1"/>
    <xf numFmtId="0" fontId="48" fillId="0" borderId="0" xfId="3" applyFont="1"/>
    <xf numFmtId="0" fontId="4" fillId="5" borderId="0" xfId="3" applyFont="1" applyFill="1"/>
    <xf numFmtId="0" fontId="9" fillId="0" borderId="0" xfId="3" applyFont="1" applyFill="1"/>
    <xf numFmtId="0" fontId="9" fillId="0" borderId="0" xfId="3" applyFont="1" applyFill="1" applyAlignment="1">
      <alignment horizontal="center"/>
    </xf>
    <xf numFmtId="166" fontId="4" fillId="0" borderId="2" xfId="1" applyNumberFormat="1" applyFont="1" applyFill="1" applyBorder="1"/>
    <xf numFmtId="171" fontId="9" fillId="0" borderId="2" xfId="12" applyNumberFormat="1" applyFont="1" applyFill="1" applyBorder="1"/>
    <xf numFmtId="0" fontId="4" fillId="0" borderId="0" xfId="3" applyFont="1" applyFill="1" applyAlignment="1">
      <alignment horizontal="centerContinuous"/>
    </xf>
    <xf numFmtId="0" fontId="17" fillId="0" borderId="0" xfId="3" applyFont="1" applyFill="1" applyBorder="1" applyAlignment="1">
      <alignment horizontal="center"/>
    </xf>
    <xf numFmtId="0" fontId="17" fillId="0" borderId="0" xfId="3" applyFont="1" applyFill="1" applyAlignment="1">
      <alignment horizontal="center"/>
    </xf>
    <xf numFmtId="167" fontId="4" fillId="0" borderId="0" xfId="1" applyNumberFormat="1" applyFont="1" applyFill="1" applyBorder="1"/>
    <xf numFmtId="171" fontId="9" fillId="0" borderId="0" xfId="12" applyNumberFormat="1" applyFont="1" applyFill="1" applyBorder="1"/>
    <xf numFmtId="171" fontId="9" fillId="0" borderId="0" xfId="12" applyNumberFormat="1" applyFont="1" applyFill="1"/>
    <xf numFmtId="43" fontId="9" fillId="0" borderId="0" xfId="1" applyFont="1" applyFill="1" applyBorder="1"/>
    <xf numFmtId="166" fontId="4" fillId="0" borderId="0" xfId="3" applyNumberFormat="1" applyFont="1" applyFill="1"/>
    <xf numFmtId="0" fontId="9" fillId="0" borderId="0" xfId="3" applyFont="1" applyFill="1" applyBorder="1" applyAlignment="1">
      <alignment horizontal="center"/>
    </xf>
    <xf numFmtId="171" fontId="9" fillId="0" borderId="0" xfId="12" applyNumberFormat="1" applyFont="1" applyFill="1" applyAlignment="1">
      <alignment horizontal="center"/>
    </xf>
    <xf numFmtId="171" fontId="17" fillId="0" borderId="0" xfId="12" applyNumberFormat="1" applyFont="1" applyFill="1" applyAlignment="1">
      <alignment horizontal="center"/>
    </xf>
    <xf numFmtId="174" fontId="4" fillId="0" borderId="0" xfId="1" applyNumberFormat="1" applyFont="1" applyFill="1"/>
    <xf numFmtId="37" fontId="4" fillId="0" borderId="0" xfId="1" applyNumberFormat="1" applyFont="1" applyFill="1"/>
    <xf numFmtId="37" fontId="4" fillId="0" borderId="1" xfId="1" applyNumberFormat="1" applyFont="1" applyFill="1" applyBorder="1"/>
    <xf numFmtId="166" fontId="4" fillId="0" borderId="0" xfId="1" applyNumberFormat="1" applyFont="1" applyFill="1" applyBorder="1"/>
    <xf numFmtId="171" fontId="4" fillId="0" borderId="2" xfId="12" applyNumberFormat="1" applyFont="1" applyFill="1" applyBorder="1"/>
    <xf numFmtId="0" fontId="9" fillId="0" borderId="0" xfId="3" applyFont="1" applyFill="1" applyAlignment="1">
      <alignment horizontal="left"/>
    </xf>
    <xf numFmtId="171" fontId="17" fillId="0" borderId="0" xfId="12" applyNumberFormat="1" applyFont="1" applyFill="1" applyBorder="1" applyAlignment="1">
      <alignment horizontal="center"/>
    </xf>
    <xf numFmtId="37" fontId="4" fillId="0" borderId="3" xfId="3" applyNumberFormat="1" applyFont="1" applyFill="1" applyBorder="1"/>
    <xf numFmtId="171" fontId="4" fillId="0" borderId="3" xfId="12" applyNumberFormat="1" applyFont="1" applyFill="1" applyBorder="1"/>
    <xf numFmtId="37" fontId="9" fillId="0" borderId="0" xfId="3" applyNumberFormat="1" applyFont="1" applyFill="1" applyAlignment="1">
      <alignment horizontal="center"/>
    </xf>
    <xf numFmtId="37" fontId="4" fillId="0" borderId="0" xfId="3" applyNumberFormat="1" applyFont="1" applyFill="1" applyBorder="1"/>
    <xf numFmtId="171" fontId="4" fillId="0" borderId="0" xfId="12" applyNumberFormat="1" applyFont="1" applyFill="1" applyAlignment="1"/>
    <xf numFmtId="0" fontId="4" fillId="0" borderId="0" xfId="3" applyFont="1" applyFill="1" applyAlignment="1"/>
    <xf numFmtId="166" fontId="19" fillId="0" borderId="0" xfId="1" applyNumberFormat="1" applyFont="1" applyFill="1" applyBorder="1"/>
    <xf numFmtId="166" fontId="19" fillId="0" borderId="0" xfId="1" applyNumberFormat="1" applyFont="1" applyFill="1"/>
    <xf numFmtId="43" fontId="4" fillId="0" borderId="0" xfId="1" applyFont="1" applyFill="1"/>
    <xf numFmtId="166" fontId="4" fillId="0" borderId="0" xfId="3" applyNumberFormat="1" applyFont="1" applyFill="1" applyBorder="1"/>
    <xf numFmtId="179" fontId="19" fillId="0" borderId="0" xfId="3" applyNumberFormat="1" applyFont="1" applyFill="1" applyBorder="1"/>
    <xf numFmtId="0" fontId="4" fillId="0" borderId="0" xfId="3" applyFont="1" applyFill="1" applyBorder="1" applyAlignment="1">
      <alignment horizontal="center"/>
    </xf>
    <xf numFmtId="4" fontId="19" fillId="0" borderId="0" xfId="3" applyNumberFormat="1" applyFont="1" applyFill="1" applyBorder="1"/>
    <xf numFmtId="166" fontId="4" fillId="0" borderId="3" xfId="1" applyNumberFormat="1" applyFont="1" applyFill="1" applyBorder="1"/>
    <xf numFmtId="179" fontId="20" fillId="0" borderId="0" xfId="3" applyNumberFormat="1" applyFont="1" applyFill="1" applyBorder="1"/>
    <xf numFmtId="9" fontId="4" fillId="0" borderId="0" xfId="3" applyNumberFormat="1" applyFont="1" applyFill="1" applyBorder="1"/>
    <xf numFmtId="166" fontId="9" fillId="0" borderId="0" xfId="3" applyNumberFormat="1" applyFont="1" applyFill="1" applyAlignment="1">
      <alignment horizontal="center"/>
    </xf>
    <xf numFmtId="179" fontId="17" fillId="0" borderId="0" xfId="3" applyNumberFormat="1" applyFont="1" applyFill="1" applyBorder="1" applyAlignment="1">
      <alignment horizontal="center"/>
    </xf>
    <xf numFmtId="167" fontId="4" fillId="0" borderId="0" xfId="1" applyNumberFormat="1" applyFont="1" applyFill="1"/>
    <xf numFmtId="171" fontId="4" fillId="0" borderId="0" xfId="12" applyNumberFormat="1" applyFont="1" applyFill="1" applyBorder="1" applyAlignment="1">
      <alignment horizontal="right"/>
    </xf>
    <xf numFmtId="171" fontId="4" fillId="0" borderId="0" xfId="3" applyNumberFormat="1" applyFont="1" applyFill="1"/>
    <xf numFmtId="49" fontId="9" fillId="0" borderId="0" xfId="4" applyNumberFormat="1" applyFont="1" applyFill="1"/>
    <xf numFmtId="0" fontId="4" fillId="0" borderId="0" xfId="4" applyFill="1"/>
    <xf numFmtId="166" fontId="4" fillId="0" borderId="0" xfId="1" applyNumberFormat="1" applyFont="1" applyFill="1" applyAlignment="1">
      <alignment horizontal="center"/>
    </xf>
    <xf numFmtId="37" fontId="4" fillId="0" borderId="0" xfId="4" applyNumberFormat="1" applyFill="1"/>
    <xf numFmtId="165" fontId="4" fillId="0" borderId="0" xfId="4" applyNumberFormat="1" applyFill="1"/>
    <xf numFmtId="37" fontId="4" fillId="0" borderId="0" xfId="4" applyNumberFormat="1" applyFill="1" applyAlignment="1">
      <alignment horizontal="center"/>
    </xf>
    <xf numFmtId="165" fontId="4" fillId="0" borderId="0" xfId="4" applyNumberFormat="1" applyFont="1" applyFill="1" applyAlignment="1">
      <alignment horizontal="center"/>
    </xf>
    <xf numFmtId="166" fontId="4" fillId="0" borderId="1" xfId="1" applyNumberFormat="1" applyFont="1" applyFill="1" applyBorder="1" applyAlignment="1">
      <alignment horizontal="center"/>
    </xf>
    <xf numFmtId="37" fontId="4" fillId="0" borderId="1" xfId="4" applyNumberFormat="1" applyFill="1" applyBorder="1" applyAlignment="1">
      <alignment horizontal="center"/>
    </xf>
    <xf numFmtId="165" fontId="4" fillId="0" borderId="1" xfId="4" applyNumberForma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37" fontId="4" fillId="0" borderId="0" xfId="4" applyNumberFormat="1" applyFill="1" applyBorder="1" applyAlignment="1">
      <alignment horizontal="center"/>
    </xf>
    <xf numFmtId="165" fontId="4" fillId="0" borderId="0" xfId="4" quotePrefix="1" applyNumberFormat="1" applyFill="1" applyBorder="1" applyAlignment="1">
      <alignment horizontal="center"/>
    </xf>
    <xf numFmtId="165" fontId="18" fillId="0" borderId="0" xfId="4" applyNumberFormat="1" applyFont="1" applyFill="1"/>
    <xf numFmtId="181" fontId="4" fillId="0" borderId="0" xfId="4" applyNumberFormat="1" applyFont="1" applyFill="1" applyAlignment="1">
      <alignment horizontal="center"/>
    </xf>
    <xf numFmtId="165" fontId="4" fillId="0" borderId="0" xfId="4" applyNumberFormat="1" applyAlignment="1">
      <alignment horizontal="left"/>
    </xf>
    <xf numFmtId="0" fontId="4" fillId="0" borderId="0" xfId="4" applyNumberFormat="1" applyFont="1" applyAlignment="1">
      <alignment horizontal="center"/>
    </xf>
    <xf numFmtId="187" fontId="4" fillId="0" borderId="0" xfId="4" applyNumberFormat="1" applyFont="1" applyFill="1" applyAlignment="1">
      <alignment horizontal="center"/>
    </xf>
    <xf numFmtId="49" fontId="4" fillId="0" borderId="0" xfId="4" applyNumberFormat="1" applyAlignment="1">
      <alignment horizontal="left"/>
    </xf>
    <xf numFmtId="43" fontId="4" fillId="0" borderId="0" xfId="1"/>
    <xf numFmtId="0" fontId="0" fillId="0" borderId="0" xfId="0" applyFill="1" applyBorder="1" applyAlignment="1"/>
    <xf numFmtId="0" fontId="0" fillId="0" borderId="7" xfId="0" applyFill="1" applyBorder="1" applyAlignment="1"/>
    <xf numFmtId="0" fontId="49" fillId="0" borderId="6" xfId="0" applyFont="1" applyFill="1" applyBorder="1" applyAlignment="1">
      <alignment horizontal="center"/>
    </xf>
    <xf numFmtId="0" fontId="25" fillId="3" borderId="0" xfId="3" applyFont="1" applyFill="1" applyAlignment="1">
      <alignment horizontal="center" vertical="top" wrapText="1"/>
    </xf>
    <xf numFmtId="0" fontId="4" fillId="33" borderId="0" xfId="3" applyFont="1" applyFill="1" applyAlignment="1">
      <alignment horizontal="center"/>
    </xf>
    <xf numFmtId="42" fontId="44" fillId="0" borderId="0" xfId="3" applyNumberFormat="1" applyFont="1" applyFill="1"/>
    <xf numFmtId="166" fontId="44" fillId="0" borderId="0" xfId="1" applyNumberFormat="1" applyFont="1" applyFill="1" applyAlignment="1">
      <alignment horizontal="left"/>
    </xf>
    <xf numFmtId="166" fontId="4" fillId="2" borderId="0" xfId="1" applyNumberFormat="1" applyFont="1" applyFill="1" applyAlignment="1">
      <alignment horizontal="left"/>
    </xf>
    <xf numFmtId="0" fontId="4" fillId="0" borderId="0" xfId="4" applyBorder="1"/>
    <xf numFmtId="0" fontId="9" fillId="35" borderId="0" xfId="0" applyFont="1" applyFill="1"/>
    <xf numFmtId="0" fontId="4" fillId="35" borderId="0" xfId="0" applyFont="1" applyFill="1"/>
    <xf numFmtId="37" fontId="4" fillId="35" borderId="0" xfId="0" applyNumberFormat="1" applyFont="1" applyFill="1" applyBorder="1"/>
    <xf numFmtId="37" fontId="4" fillId="35" borderId="21" xfId="0" applyNumberFormat="1" applyFont="1" applyFill="1" applyBorder="1"/>
    <xf numFmtId="0" fontId="9" fillId="5" borderId="0" xfId="0" applyFont="1" applyFill="1"/>
    <xf numFmtId="0" fontId="9" fillId="34" borderId="1" xfId="0" applyFont="1" applyFill="1" applyBorder="1" applyAlignment="1">
      <alignment horizontal="center"/>
    </xf>
    <xf numFmtId="37" fontId="19" fillId="34" borderId="2" xfId="0" applyNumberFormat="1" applyFont="1" applyFill="1" applyBorder="1" applyProtection="1"/>
    <xf numFmtId="0" fontId="9" fillId="34" borderId="22" xfId="0" applyFont="1" applyFill="1" applyBorder="1" applyAlignment="1" applyProtection="1">
      <alignment horizontal="centerContinuous"/>
      <protection locked="0"/>
    </xf>
    <xf numFmtId="0" fontId="9" fillId="34" borderId="2" xfId="0" applyFont="1" applyFill="1" applyBorder="1" applyAlignment="1" applyProtection="1">
      <alignment horizontal="centerContinuous"/>
      <protection locked="0"/>
    </xf>
    <xf numFmtId="0" fontId="9" fillId="34" borderId="23" xfId="0" applyFont="1" applyFill="1" applyBorder="1" applyAlignment="1" applyProtection="1">
      <alignment horizontal="centerContinuous"/>
      <protection locked="0"/>
    </xf>
    <xf numFmtId="0" fontId="9" fillId="34" borderId="24" xfId="0" applyFont="1" applyFill="1" applyBorder="1" applyAlignment="1">
      <alignment horizontal="center"/>
    </xf>
    <xf numFmtId="0" fontId="9" fillId="34" borderId="25" xfId="0" applyFont="1" applyFill="1" applyBorder="1" applyAlignment="1">
      <alignment horizontal="center"/>
    </xf>
    <xf numFmtId="0" fontId="4" fillId="34" borderId="26" xfId="0" applyFont="1" applyFill="1" applyBorder="1"/>
    <xf numFmtId="0" fontId="4" fillId="34" borderId="0" xfId="0" applyFont="1" applyFill="1" applyBorder="1"/>
    <xf numFmtId="0" fontId="4" fillId="34" borderId="27" xfId="0" applyFont="1" applyFill="1" applyBorder="1"/>
    <xf numFmtId="37" fontId="4" fillId="34" borderId="26" xfId="0" applyNumberFormat="1" applyFont="1" applyFill="1" applyBorder="1" applyProtection="1"/>
    <xf numFmtId="37" fontId="4" fillId="34" borderId="0" xfId="0" applyNumberFormat="1" applyFont="1" applyFill="1" applyBorder="1" applyProtection="1"/>
    <xf numFmtId="37" fontId="4" fillId="34" borderId="27" xfId="0" applyNumberFormat="1" applyFont="1" applyFill="1" applyBorder="1" applyProtection="1"/>
    <xf numFmtId="37" fontId="19" fillId="34" borderId="22" xfId="0" applyNumberFormat="1" applyFont="1" applyFill="1" applyBorder="1" applyProtection="1"/>
    <xf numFmtId="37" fontId="19" fillId="34" borderId="23" xfId="0" applyNumberFormat="1" applyFont="1" applyFill="1" applyBorder="1" applyProtection="1"/>
    <xf numFmtId="164" fontId="4" fillId="34" borderId="26" xfId="0" applyNumberFormat="1" applyFont="1" applyFill="1" applyBorder="1" applyProtection="1"/>
    <xf numFmtId="164" fontId="4" fillId="34" borderId="0" xfId="0" applyNumberFormat="1" applyFont="1" applyFill="1" applyBorder="1" applyProtection="1"/>
    <xf numFmtId="164" fontId="4" fillId="34" borderId="27" xfId="0" applyNumberFormat="1" applyFont="1" applyFill="1" applyBorder="1" applyProtection="1"/>
    <xf numFmtId="0" fontId="9" fillId="34" borderId="19" xfId="0" applyFont="1" applyFill="1" applyBorder="1" applyAlignment="1" applyProtection="1">
      <alignment horizontal="centerContinuous"/>
      <protection locked="0"/>
    </xf>
    <xf numFmtId="0" fontId="9" fillId="34" borderId="4" xfId="0" applyFont="1" applyFill="1" applyBorder="1" applyAlignment="1" applyProtection="1">
      <alignment horizontal="centerContinuous"/>
      <protection locked="0"/>
    </xf>
    <xf numFmtId="0" fontId="9" fillId="34" borderId="20" xfId="0" applyFont="1" applyFill="1" applyBorder="1" applyAlignment="1" applyProtection="1">
      <alignment horizontal="centerContinuous"/>
      <protection locked="0"/>
    </xf>
    <xf numFmtId="37" fontId="18" fillId="0" borderId="0" xfId="0" applyNumberFormat="1" applyFont="1" applyFill="1" applyProtection="1">
      <protection locked="0"/>
    </xf>
    <xf numFmtId="37" fontId="4" fillId="0" borderId="0" xfId="0" applyNumberFormat="1" applyFont="1" applyProtection="1">
      <protection locked="0"/>
    </xf>
    <xf numFmtId="37" fontId="15" fillId="0" borderId="0" xfId="0" applyNumberFormat="1" applyFont="1" applyFill="1" applyProtection="1"/>
    <xf numFmtId="37" fontId="4" fillId="0" borderId="0" xfId="0" applyNumberFormat="1" applyFont="1" applyFill="1" applyProtection="1">
      <protection locked="0"/>
    </xf>
    <xf numFmtId="37" fontId="4" fillId="0" borderId="2" xfId="0" applyNumberFormat="1" applyFont="1" applyFill="1" applyBorder="1" applyProtection="1"/>
    <xf numFmtId="0" fontId="9" fillId="34" borderId="0" xfId="0" applyFont="1" applyFill="1" applyBorder="1" applyAlignment="1" applyProtection="1">
      <alignment horizontal="center"/>
      <protection locked="0"/>
    </xf>
    <xf numFmtId="0" fontId="9" fillId="34" borderId="26" xfId="0" applyFont="1" applyFill="1" applyBorder="1" applyAlignment="1" applyProtection="1">
      <alignment horizontal="center"/>
      <protection locked="0"/>
    </xf>
    <xf numFmtId="0" fontId="9" fillId="34" borderId="27" xfId="0" applyFont="1" applyFill="1" applyBorder="1" applyAlignment="1" applyProtection="1">
      <alignment horizontal="center"/>
      <protection locked="0"/>
    </xf>
    <xf numFmtId="37" fontId="4" fillId="34" borderId="24" xfId="0" applyNumberFormat="1" applyFont="1" applyFill="1" applyBorder="1" applyProtection="1"/>
    <xf numFmtId="37" fontId="4" fillId="34" borderId="1" xfId="0" applyNumberFormat="1" applyFont="1" applyFill="1" applyBorder="1" applyProtection="1"/>
    <xf numFmtId="37" fontId="4" fillId="34" borderId="25" xfId="0" applyNumberFormat="1" applyFont="1" applyFill="1" applyBorder="1" applyProtection="1"/>
    <xf numFmtId="37" fontId="15" fillId="0" borderId="0" xfId="0" applyNumberFormat="1" applyFont="1" applyProtection="1"/>
    <xf numFmtId="0" fontId="9" fillId="0" borderId="0" xfId="0" applyFont="1" applyAlignment="1" applyProtection="1">
      <alignment horizontal="left"/>
      <protection locked="0"/>
    </xf>
    <xf numFmtId="0" fontId="4" fillId="0" borderId="0" xfId="0" quotePrefix="1" applyFont="1"/>
    <xf numFmtId="0" fontId="19" fillId="0" borderId="0" xfId="0" applyFont="1" applyFill="1" applyBorder="1"/>
    <xf numFmtId="0" fontId="50" fillId="0" borderId="0" xfId="0" applyFont="1" applyFill="1" applyBorder="1"/>
    <xf numFmtId="37" fontId="44" fillId="0" borderId="0" xfId="0" applyNumberFormat="1" applyFont="1" applyFill="1" applyProtection="1">
      <protection locked="0"/>
    </xf>
    <xf numFmtId="37" fontId="44" fillId="0" borderId="0" xfId="0" applyNumberFormat="1" applyFont="1" applyProtection="1"/>
    <xf numFmtId="37" fontId="44" fillId="0" borderId="0" xfId="0" applyNumberFormat="1" applyFont="1" applyProtection="1">
      <protection locked="0"/>
    </xf>
    <xf numFmtId="37" fontId="4" fillId="34" borderId="1" xfId="0" applyNumberFormat="1" applyFont="1" applyFill="1" applyBorder="1" applyProtection="1">
      <protection locked="0"/>
    </xf>
    <xf numFmtId="37" fontId="4" fillId="34" borderId="25" xfId="0" applyNumberFormat="1" applyFont="1" applyFill="1" applyBorder="1" applyProtection="1">
      <protection locked="0"/>
    </xf>
    <xf numFmtId="0" fontId="9" fillId="0" borderId="0" xfId="0" applyFont="1" applyProtection="1"/>
    <xf numFmtId="37" fontId="19" fillId="34" borderId="19" xfId="0" applyNumberFormat="1" applyFont="1" applyFill="1" applyBorder="1" applyProtection="1"/>
    <xf numFmtId="37" fontId="19" fillId="34" borderId="4" xfId="0" applyNumberFormat="1" applyFont="1" applyFill="1" applyBorder="1" applyProtection="1"/>
    <xf numFmtId="37" fontId="19" fillId="34" borderId="20" xfId="0" applyNumberFormat="1" applyFont="1" applyFill="1" applyBorder="1" applyProtection="1"/>
    <xf numFmtId="37" fontId="4" fillId="0" borderId="0" xfId="0" applyNumberFormat="1" applyFont="1" applyFill="1" applyBorder="1" applyProtection="1">
      <protection locked="0"/>
    </xf>
    <xf numFmtId="37" fontId="4" fillId="0" borderId="1" xfId="0" applyNumberFormat="1" applyFont="1" applyBorder="1" applyProtection="1"/>
    <xf numFmtId="37" fontId="4" fillId="0" borderId="2" xfId="0" applyNumberFormat="1" applyFont="1" applyBorder="1" applyProtection="1">
      <protection locked="0"/>
    </xf>
    <xf numFmtId="37" fontId="4" fillId="34" borderId="2" xfId="0" applyNumberFormat="1" applyFont="1" applyFill="1" applyBorder="1" applyProtection="1">
      <protection locked="0"/>
    </xf>
    <xf numFmtId="37" fontId="4" fillId="34" borderId="26" xfId="0" applyNumberFormat="1" applyFont="1" applyFill="1" applyBorder="1" applyProtection="1">
      <protection locked="0"/>
    </xf>
    <xf numFmtId="37" fontId="4" fillId="34" borderId="0" xfId="0" applyNumberFormat="1" applyFont="1" applyFill="1" applyBorder="1" applyProtection="1">
      <protection locked="0"/>
    </xf>
    <xf numFmtId="37" fontId="4" fillId="34" borderId="27" xfId="0" applyNumberFormat="1" applyFont="1" applyFill="1" applyBorder="1" applyProtection="1">
      <protection locked="0"/>
    </xf>
    <xf numFmtId="37" fontId="4" fillId="34" borderId="22" xfId="0" applyNumberFormat="1" applyFont="1" applyFill="1" applyBorder="1" applyProtection="1">
      <protection locked="0"/>
    </xf>
    <xf numFmtId="37" fontId="4" fillId="34" borderId="23" xfId="0" applyNumberFormat="1" applyFont="1" applyFill="1" applyBorder="1" applyProtection="1">
      <protection locked="0"/>
    </xf>
    <xf numFmtId="37" fontId="19" fillId="0" borderId="0" xfId="0" applyNumberFormat="1" applyFont="1" applyFill="1" applyBorder="1" applyProtection="1"/>
    <xf numFmtId="0" fontId="4" fillId="0" borderId="1" xfId="0" applyFont="1" applyFill="1" applyBorder="1"/>
    <xf numFmtId="37" fontId="4" fillId="0" borderId="0" xfId="0" applyNumberFormat="1" applyFont="1" applyBorder="1" applyProtection="1"/>
    <xf numFmtId="37" fontId="50" fillId="0" borderId="0" xfId="0" applyNumberFormat="1" applyFont="1" applyBorder="1" applyProtection="1"/>
    <xf numFmtId="37" fontId="51" fillId="0" borderId="0" xfId="0" applyNumberFormat="1" applyFont="1" applyFill="1" applyProtection="1"/>
    <xf numFmtId="37" fontId="51" fillId="0" borderId="0" xfId="0" applyNumberFormat="1" applyFont="1" applyProtection="1"/>
    <xf numFmtId="37" fontId="19" fillId="34" borderId="0" xfId="0" applyNumberFormat="1" applyFont="1" applyFill="1" applyBorder="1" applyProtection="1"/>
    <xf numFmtId="37" fontId="19" fillId="34" borderId="26" xfId="0" applyNumberFormat="1" applyFont="1" applyFill="1" applyBorder="1" applyProtection="1"/>
    <xf numFmtId="37" fontId="19" fillId="34" borderId="27" xfId="0" applyNumberFormat="1" applyFont="1" applyFill="1" applyBorder="1" applyProtection="1"/>
    <xf numFmtId="0" fontId="27" fillId="0" borderId="0" xfId="0" applyFont="1" applyAlignment="1">
      <alignment horizontal="center"/>
    </xf>
    <xf numFmtId="165" fontId="4" fillId="0" borderId="0" xfId="0" applyNumberFormat="1" applyFont="1" applyProtection="1"/>
    <xf numFmtId="165" fontId="19" fillId="0" borderId="2" xfId="0" applyNumberFormat="1" applyFont="1" applyFill="1" applyBorder="1" applyProtection="1"/>
    <xf numFmtId="164" fontId="18" fillId="0" borderId="0" xfId="0" applyNumberFormat="1" applyFont="1" applyFill="1" applyProtection="1">
      <protection locked="0"/>
    </xf>
    <xf numFmtId="165" fontId="4" fillId="0" borderId="2" xfId="0" applyNumberFormat="1" applyFont="1" applyFill="1" applyBorder="1" applyProtection="1"/>
    <xf numFmtId="165" fontId="4" fillId="0" borderId="0" xfId="0" applyNumberFormat="1" applyFont="1" applyFill="1" applyBorder="1" applyProtection="1"/>
    <xf numFmtId="164" fontId="19" fillId="0" borderId="0" xfId="0" applyNumberFormat="1" applyFont="1" applyFill="1" applyBorder="1" applyProtection="1">
      <protection locked="0"/>
    </xf>
    <xf numFmtId="164" fontId="4" fillId="34" borderId="24" xfId="0" applyNumberFormat="1" applyFont="1" applyFill="1" applyBorder="1" applyProtection="1"/>
    <xf numFmtId="164" fontId="4" fillId="34" borderId="1" xfId="0" applyNumberFormat="1" applyFont="1" applyFill="1" applyBorder="1" applyProtection="1"/>
    <xf numFmtId="164" fontId="4" fillId="34" borderId="25" xfId="0" applyNumberFormat="1" applyFont="1" applyFill="1" applyBorder="1" applyProtection="1"/>
    <xf numFmtId="0" fontId="9" fillId="34" borderId="19" xfId="0" applyFont="1" applyFill="1" applyBorder="1" applyAlignment="1">
      <alignment horizontal="center"/>
    </xf>
    <xf numFmtId="0" fontId="9" fillId="34" borderId="4" xfId="0" applyFont="1" applyFill="1" applyBorder="1" applyAlignment="1">
      <alignment horizontal="center"/>
    </xf>
    <xf numFmtId="0" fontId="9" fillId="34" borderId="20" xfId="0" applyFont="1" applyFill="1" applyBorder="1" applyAlignment="1">
      <alignment horizontal="center"/>
    </xf>
    <xf numFmtId="0" fontId="4" fillId="0" borderId="0" xfId="0" applyFont="1" applyFill="1" applyBorder="1"/>
    <xf numFmtId="0" fontId="9" fillId="31" borderId="4" xfId="0" applyFont="1" applyFill="1" applyBorder="1" applyAlignment="1" applyProtection="1">
      <alignment horizontal="centerContinuous"/>
      <protection locked="0"/>
    </xf>
    <xf numFmtId="0" fontId="9" fillId="31" borderId="20" xfId="0" applyFont="1" applyFill="1" applyBorder="1" applyAlignment="1" applyProtection="1">
      <alignment horizontal="centerContinuous"/>
      <protection locked="0"/>
    </xf>
    <xf numFmtId="0" fontId="9" fillId="31" borderId="1" xfId="0" applyFont="1" applyFill="1" applyBorder="1" applyAlignment="1">
      <alignment horizontal="center"/>
    </xf>
    <xf numFmtId="0" fontId="9" fillId="31" borderId="25" xfId="0" applyFont="1" applyFill="1" applyBorder="1" applyAlignment="1">
      <alignment horizontal="center"/>
    </xf>
    <xf numFmtId="0" fontId="4" fillId="31" borderId="0" xfId="0" applyFont="1" applyFill="1" applyBorder="1"/>
    <xf numFmtId="0" fontId="4" fillId="31" borderId="27" xfId="0" applyFont="1" applyFill="1" applyBorder="1"/>
    <xf numFmtId="37" fontId="4" fillId="31" borderId="0" xfId="0" applyNumberFormat="1" applyFont="1" applyFill="1" applyBorder="1" applyProtection="1"/>
    <xf numFmtId="37" fontId="4" fillId="31" borderId="27" xfId="0" applyNumberFormat="1" applyFont="1" applyFill="1" applyBorder="1" applyProtection="1"/>
    <xf numFmtId="37" fontId="19" fillId="31" borderId="2" xfId="0" applyNumberFormat="1" applyFont="1" applyFill="1" applyBorder="1" applyProtection="1"/>
    <xf numFmtId="37" fontId="19" fillId="31" borderId="23" xfId="0" applyNumberFormat="1" applyFont="1" applyFill="1" applyBorder="1" applyProtection="1"/>
    <xf numFmtId="37" fontId="4" fillId="31" borderId="1" xfId="0" applyNumberFormat="1" applyFont="1" applyFill="1" applyBorder="1" applyProtection="1"/>
    <xf numFmtId="37" fontId="4" fillId="31" borderId="25" xfId="0" applyNumberFormat="1" applyFont="1" applyFill="1" applyBorder="1" applyProtection="1"/>
    <xf numFmtId="0" fontId="9" fillId="31" borderId="19" xfId="0" applyFont="1" applyFill="1" applyBorder="1" applyAlignment="1">
      <alignment horizontal="centerContinuous"/>
    </xf>
    <xf numFmtId="0" fontId="9" fillId="31" borderId="24" xfId="0" applyFont="1" applyFill="1" applyBorder="1" applyAlignment="1">
      <alignment horizontal="center"/>
    </xf>
    <xf numFmtId="0" fontId="4" fillId="31" borderId="26" xfId="0" applyFont="1" applyFill="1" applyBorder="1"/>
    <xf numFmtId="37" fontId="4" fillId="31" borderId="26" xfId="0" applyNumberFormat="1" applyFont="1" applyFill="1" applyBorder="1" applyProtection="1"/>
    <xf numFmtId="37" fontId="19" fillId="31" borderId="22" xfId="0" applyNumberFormat="1" applyFont="1" applyFill="1" applyBorder="1" applyProtection="1"/>
    <xf numFmtId="37" fontId="4" fillId="31" borderId="24" xfId="0" applyNumberFormat="1" applyFont="1" applyFill="1" applyBorder="1" applyProtection="1"/>
    <xf numFmtId="0" fontId="4" fillId="31" borderId="22" xfId="0" applyFont="1" applyFill="1" applyBorder="1"/>
    <xf numFmtId="0" fontId="4" fillId="31" borderId="2" xfId="0" applyFont="1" applyFill="1" applyBorder="1"/>
    <xf numFmtId="0" fontId="4" fillId="31" borderId="23" xfId="0" applyFont="1" applyFill="1" applyBorder="1"/>
    <xf numFmtId="37" fontId="4" fillId="31" borderId="24" xfId="0" applyNumberFormat="1" applyFont="1" applyFill="1" applyBorder="1" applyProtection="1">
      <protection locked="0"/>
    </xf>
    <xf numFmtId="37" fontId="4" fillId="31" borderId="1" xfId="0" applyNumberFormat="1" applyFont="1" applyFill="1" applyBorder="1" applyProtection="1">
      <protection locked="0"/>
    </xf>
    <xf numFmtId="37" fontId="4" fillId="31" borderId="25" xfId="0" applyNumberFormat="1" applyFont="1" applyFill="1" applyBorder="1" applyProtection="1">
      <protection locked="0"/>
    </xf>
    <xf numFmtId="37" fontId="19" fillId="31" borderId="19" xfId="0" applyNumberFormat="1" applyFont="1" applyFill="1" applyBorder="1" applyProtection="1"/>
    <xf numFmtId="37" fontId="19" fillId="31" borderId="4" xfId="0" applyNumberFormat="1" applyFont="1" applyFill="1" applyBorder="1" applyProtection="1"/>
    <xf numFmtId="37" fontId="19" fillId="31" borderId="20" xfId="0" applyNumberFormat="1" applyFont="1" applyFill="1" applyBorder="1" applyProtection="1"/>
    <xf numFmtId="37" fontId="4" fillId="31" borderId="26" xfId="0" applyNumberFormat="1" applyFont="1" applyFill="1" applyBorder="1" applyProtection="1">
      <protection locked="0"/>
    </xf>
    <xf numFmtId="37" fontId="4" fillId="31" borderId="0" xfId="0" applyNumberFormat="1" applyFont="1" applyFill="1" applyBorder="1" applyProtection="1">
      <protection locked="0"/>
    </xf>
    <xf numFmtId="37" fontId="4" fillId="31" borderId="27" xfId="0" applyNumberFormat="1" applyFont="1" applyFill="1" applyBorder="1" applyProtection="1">
      <protection locked="0"/>
    </xf>
    <xf numFmtId="37" fontId="4" fillId="31" borderId="22" xfId="0" applyNumberFormat="1" applyFont="1" applyFill="1" applyBorder="1" applyProtection="1">
      <protection locked="0"/>
    </xf>
    <xf numFmtId="37" fontId="4" fillId="31" borderId="2" xfId="0" applyNumberFormat="1" applyFont="1" applyFill="1" applyBorder="1" applyProtection="1">
      <protection locked="0"/>
    </xf>
    <xf numFmtId="37" fontId="4" fillId="31" borderId="23" xfId="0" applyNumberFormat="1" applyFont="1" applyFill="1" applyBorder="1" applyProtection="1">
      <protection locked="0"/>
    </xf>
    <xf numFmtId="164" fontId="4" fillId="31" borderId="26" xfId="0" applyNumberFormat="1" applyFont="1" applyFill="1" applyBorder="1" applyProtection="1"/>
    <xf numFmtId="164" fontId="4" fillId="31" borderId="0" xfId="0" applyNumberFormat="1" applyFont="1" applyFill="1" applyBorder="1" applyProtection="1"/>
    <xf numFmtId="164" fontId="4" fillId="31" borderId="27" xfId="0" applyNumberFormat="1" applyFont="1" applyFill="1" applyBorder="1" applyProtection="1"/>
    <xf numFmtId="0" fontId="4" fillId="31" borderId="24" xfId="0" applyFont="1" applyFill="1" applyBorder="1"/>
    <xf numFmtId="0" fontId="4" fillId="31" borderId="1" xfId="0" applyFont="1" applyFill="1" applyBorder="1"/>
    <xf numFmtId="0" fontId="4" fillId="31" borderId="25" xfId="0" applyFont="1" applyFill="1" applyBorder="1"/>
    <xf numFmtId="37" fontId="19" fillId="31" borderId="26" xfId="0" applyNumberFormat="1" applyFont="1" applyFill="1" applyBorder="1" applyProtection="1"/>
    <xf numFmtId="37" fontId="19" fillId="31" borderId="0" xfId="0" applyNumberFormat="1" applyFont="1" applyFill="1" applyBorder="1" applyProtection="1"/>
    <xf numFmtId="37" fontId="19" fillId="31" borderId="27" xfId="0" applyNumberFormat="1" applyFont="1" applyFill="1" applyBorder="1" applyProtection="1"/>
    <xf numFmtId="164" fontId="4" fillId="31" borderId="24" xfId="0" applyNumberFormat="1" applyFont="1" applyFill="1" applyBorder="1" applyProtection="1"/>
    <xf numFmtId="164" fontId="4" fillId="31" borderId="1" xfId="0" applyNumberFormat="1" applyFont="1" applyFill="1" applyBorder="1" applyProtection="1"/>
    <xf numFmtId="164" fontId="4" fillId="31" borderId="25" xfId="0" applyNumberFormat="1" applyFont="1" applyFill="1" applyBorder="1" applyProtection="1"/>
    <xf numFmtId="0" fontId="9" fillId="0" borderId="0" xfId="0" applyFont="1" applyAlignment="1">
      <alignment horizontal="right"/>
    </xf>
    <xf numFmtId="37" fontId="4" fillId="0" borderId="2" xfId="0" applyNumberFormat="1" applyFont="1" applyBorder="1" applyProtection="1"/>
    <xf numFmtId="37" fontId="4" fillId="31" borderId="22" xfId="0" applyNumberFormat="1" applyFont="1" applyFill="1" applyBorder="1" applyProtection="1"/>
    <xf numFmtId="37" fontId="4" fillId="31" borderId="2" xfId="0" applyNumberFormat="1" applyFont="1" applyFill="1" applyBorder="1" applyProtection="1"/>
    <xf numFmtId="37" fontId="4" fillId="31" borderId="23" xfId="0" applyNumberFormat="1" applyFont="1" applyFill="1" applyBorder="1" applyProtection="1"/>
    <xf numFmtId="0" fontId="29" fillId="0" borderId="0" xfId="0" applyFont="1"/>
    <xf numFmtId="0" fontId="9" fillId="0" borderId="0" xfId="0" applyFont="1" applyFill="1" applyBorder="1"/>
    <xf numFmtId="0" fontId="9" fillId="0" borderId="0" xfId="0" applyFont="1" applyBorder="1" applyAlignment="1">
      <alignment horizontal="center"/>
    </xf>
    <xf numFmtId="164" fontId="4" fillId="0" borderId="0" xfId="0" applyNumberFormat="1" applyFont="1" applyFill="1" applyProtection="1">
      <protection locked="0"/>
    </xf>
    <xf numFmtId="0" fontId="9" fillId="0" borderId="0" xfId="0" applyFont="1" applyAlignment="1" applyProtection="1">
      <alignment horizontal="left"/>
    </xf>
    <xf numFmtId="0" fontId="9" fillId="0" borderId="0" xfId="0" applyFont="1" applyFill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9" fillId="0" borderId="1" xfId="0" applyFont="1" applyBorder="1" applyAlignment="1" applyProtection="1">
      <alignment horizontal="left"/>
    </xf>
    <xf numFmtId="0" fontId="9" fillId="0" borderId="1" xfId="0" applyFont="1" applyBorder="1" applyAlignment="1" applyProtection="1">
      <alignment horizontal="center"/>
    </xf>
    <xf numFmtId="0" fontId="9" fillId="0" borderId="1" xfId="0" applyFont="1" applyBorder="1" applyAlignment="1" applyProtection="1">
      <alignment horizontal="center"/>
      <protection locked="0"/>
    </xf>
    <xf numFmtId="0" fontId="9" fillId="0" borderId="1" xfId="0" applyFont="1" applyFill="1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left"/>
    </xf>
    <xf numFmtId="0" fontId="9" fillId="0" borderId="0" xfId="0" applyFont="1" applyFill="1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11" fillId="0" borderId="0" xfId="0" applyFont="1" applyFill="1" applyBorder="1" applyAlignment="1" applyProtection="1"/>
    <xf numFmtId="0" fontId="21" fillId="0" borderId="0" xfId="0" applyFont="1" applyAlignment="1" applyProtection="1">
      <alignment horizontal="left"/>
      <protection locked="0"/>
    </xf>
    <xf numFmtId="0" fontId="21" fillId="0" borderId="0" xfId="0" applyFont="1"/>
    <xf numFmtId="37" fontId="44" fillId="34" borderId="0" xfId="0" applyNumberFormat="1" applyFont="1" applyFill="1" applyBorder="1" applyProtection="1">
      <protection locked="0"/>
    </xf>
    <xf numFmtId="37" fontId="44" fillId="34" borderId="27" xfId="0" applyNumberFormat="1" applyFont="1" applyFill="1" applyBorder="1" applyProtection="1">
      <protection locked="0"/>
    </xf>
    <xf numFmtId="37" fontId="44" fillId="34" borderId="26" xfId="0" applyNumberFormat="1" applyFont="1" applyFill="1" applyBorder="1" applyProtection="1">
      <protection locked="0"/>
    </xf>
    <xf numFmtId="164" fontId="4" fillId="34" borderId="27" xfId="0" applyNumberFormat="1" applyFont="1" applyFill="1" applyBorder="1" applyProtection="1">
      <protection locked="0"/>
    </xf>
    <xf numFmtId="164" fontId="44" fillId="0" borderId="0" xfId="0" applyNumberFormat="1" applyFont="1" applyFill="1" applyProtection="1">
      <protection locked="0"/>
    </xf>
    <xf numFmtId="0" fontId="52" fillId="0" borderId="0" xfId="0" applyFont="1"/>
    <xf numFmtId="0" fontId="50" fillId="0" borderId="0" xfId="0" applyFont="1"/>
    <xf numFmtId="39" fontId="4" fillId="0" borderId="0" xfId="0" applyNumberFormat="1" applyFont="1" applyFill="1" applyProtection="1"/>
    <xf numFmtId="0" fontId="21" fillId="5" borderId="0" xfId="0" applyFont="1" applyFill="1" applyAlignment="1" applyProtection="1">
      <alignment horizontal="left"/>
      <protection locked="0"/>
    </xf>
    <xf numFmtId="169" fontId="4" fillId="0" borderId="0" xfId="0" applyNumberFormat="1" applyFont="1" applyFill="1" applyProtection="1">
      <protection locked="0"/>
    </xf>
    <xf numFmtId="169" fontId="4" fillId="0" borderId="0" xfId="0" applyNumberFormat="1" applyFont="1" applyFill="1" applyProtection="1"/>
    <xf numFmtId="0" fontId="9" fillId="34" borderId="24" xfId="0" applyFont="1" applyFill="1" applyBorder="1" applyAlignment="1" applyProtection="1">
      <alignment horizontal="center"/>
      <protection locked="0"/>
    </xf>
    <xf numFmtId="0" fontId="9" fillId="34" borderId="1" xfId="0" applyFont="1" applyFill="1" applyBorder="1" applyAlignment="1" applyProtection="1">
      <alignment horizontal="center"/>
      <protection locked="0"/>
    </xf>
    <xf numFmtId="0" fontId="9" fillId="34" borderId="25" xfId="0" applyFont="1" applyFill="1" applyBorder="1" applyAlignment="1" applyProtection="1">
      <alignment horizontal="center"/>
      <protection locked="0"/>
    </xf>
    <xf numFmtId="37" fontId="44" fillId="0" borderId="0" xfId="0" applyNumberFormat="1" applyFont="1" applyFill="1" applyProtection="1"/>
    <xf numFmtId="37" fontId="4" fillId="5" borderId="0" xfId="0" applyNumberFormat="1" applyFont="1" applyFill="1" applyProtection="1"/>
    <xf numFmtId="0" fontId="48" fillId="0" borderId="0" xfId="0" applyFont="1" applyProtection="1">
      <protection locked="0"/>
    </xf>
    <xf numFmtId="0" fontId="9" fillId="5" borderId="0" xfId="0" applyFont="1" applyFill="1" applyAlignment="1" applyProtection="1">
      <alignment horizontal="left"/>
    </xf>
    <xf numFmtId="0" fontId="4" fillId="5" borderId="0" xfId="0" applyFont="1" applyFill="1"/>
    <xf numFmtId="0" fontId="19" fillId="5" borderId="2" xfId="0" applyFont="1" applyFill="1" applyBorder="1"/>
    <xf numFmtId="0" fontId="11" fillId="5" borderId="2" xfId="0" applyFont="1" applyFill="1" applyBorder="1" applyAlignment="1" applyProtection="1">
      <protection locked="0"/>
    </xf>
    <xf numFmtId="164" fontId="18" fillId="0" borderId="0" xfId="0" applyNumberFormat="1" applyFont="1" applyProtection="1"/>
    <xf numFmtId="164" fontId="18" fillId="34" borderId="26" xfId="0" applyNumberFormat="1" applyFont="1" applyFill="1" applyBorder="1" applyProtection="1"/>
    <xf numFmtId="164" fontId="18" fillId="34" borderId="0" xfId="0" applyNumberFormat="1" applyFont="1" applyFill="1" applyBorder="1" applyProtection="1"/>
    <xf numFmtId="164" fontId="18" fillId="34" borderId="27" xfId="0" applyNumberFormat="1" applyFont="1" applyFill="1" applyBorder="1" applyProtection="1"/>
    <xf numFmtId="164" fontId="18" fillId="0" borderId="0" xfId="0" applyNumberFormat="1" applyFont="1" applyFill="1" applyProtection="1"/>
    <xf numFmtId="37" fontId="4" fillId="0" borderId="1" xfId="0" applyNumberFormat="1" applyFont="1" applyFill="1" applyBorder="1" applyProtection="1"/>
    <xf numFmtId="0" fontId="4" fillId="0" borderId="0" xfId="0" applyFont="1" applyAlignment="1" applyProtection="1">
      <alignment horizontal="center"/>
      <protection locked="0"/>
    </xf>
    <xf numFmtId="0" fontId="4" fillId="34" borderId="26" xfId="0" applyFont="1" applyFill="1" applyBorder="1" applyAlignment="1" applyProtection="1">
      <alignment horizontal="center"/>
      <protection locked="0"/>
    </xf>
    <xf numFmtId="0" fontId="4" fillId="34" borderId="0" xfId="0" applyFont="1" applyFill="1" applyBorder="1" applyAlignment="1" applyProtection="1">
      <alignment horizontal="center"/>
      <protection locked="0"/>
    </xf>
    <xf numFmtId="0" fontId="4" fillId="34" borderId="27" xfId="0" applyFont="1" applyFill="1" applyBorder="1" applyAlignment="1" applyProtection="1">
      <alignment horizontal="center"/>
      <protection locked="0"/>
    </xf>
    <xf numFmtId="37" fontId="9" fillId="0" borderId="0" xfId="0" applyNumberFormat="1" applyFont="1" applyAlignment="1" applyProtection="1">
      <alignment horizontal="left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center"/>
      <protection locked="0"/>
    </xf>
    <xf numFmtId="0" fontId="11" fillId="0" borderId="0" xfId="0" applyFont="1" applyFill="1" applyBorder="1"/>
    <xf numFmtId="37" fontId="9" fillId="0" borderId="0" xfId="0" applyNumberFormat="1" applyFont="1" applyBorder="1" applyProtection="1"/>
    <xf numFmtId="0" fontId="4" fillId="0" borderId="0" xfId="0" applyFont="1" applyBorder="1" applyAlignment="1" applyProtection="1">
      <alignment horizontal="right"/>
      <protection locked="0"/>
    </xf>
    <xf numFmtId="0" fontId="4" fillId="0" borderId="0" xfId="0" applyFont="1" applyFill="1" applyBorder="1" applyAlignment="1" applyProtection="1">
      <alignment horizontal="right"/>
      <protection locked="0"/>
    </xf>
    <xf numFmtId="164" fontId="19" fillId="34" borderId="26" xfId="0" applyNumberFormat="1" applyFont="1" applyFill="1" applyBorder="1" applyProtection="1"/>
    <xf numFmtId="164" fontId="19" fillId="34" borderId="0" xfId="0" applyNumberFormat="1" applyFont="1" applyFill="1" applyBorder="1" applyProtection="1"/>
    <xf numFmtId="164" fontId="19" fillId="34" borderId="27" xfId="0" applyNumberFormat="1" applyFont="1" applyFill="1" applyBorder="1" applyProtection="1"/>
    <xf numFmtId="164" fontId="19" fillId="0" borderId="0" xfId="0" applyNumberFormat="1" applyFont="1" applyFill="1" applyBorder="1" applyProtection="1"/>
    <xf numFmtId="164" fontId="9" fillId="0" borderId="0" xfId="0" applyNumberFormat="1" applyFont="1" applyProtection="1"/>
    <xf numFmtId="164" fontId="9" fillId="0" borderId="0" xfId="0" applyNumberFormat="1" applyFont="1" applyFill="1" applyProtection="1"/>
    <xf numFmtId="37" fontId="18" fillId="34" borderId="27" xfId="0" applyNumberFormat="1" applyFont="1" applyFill="1" applyBorder="1" applyProtection="1">
      <protection locked="0"/>
    </xf>
    <xf numFmtId="164" fontId="44" fillId="34" borderId="26" xfId="0" applyNumberFormat="1" applyFont="1" applyFill="1" applyBorder="1" applyProtection="1"/>
    <xf numFmtId="164" fontId="44" fillId="34" borderId="0" xfId="0" applyNumberFormat="1" applyFont="1" applyFill="1" applyBorder="1" applyProtection="1"/>
    <xf numFmtId="164" fontId="44" fillId="34" borderId="27" xfId="0" applyNumberFormat="1" applyFont="1" applyFill="1" applyBorder="1" applyProtection="1"/>
    <xf numFmtId="164" fontId="44" fillId="0" borderId="0" xfId="0" applyNumberFormat="1" applyFont="1" applyProtection="1"/>
    <xf numFmtId="164" fontId="44" fillId="0" borderId="0" xfId="0" applyNumberFormat="1" applyFont="1" applyFill="1" applyProtection="1"/>
    <xf numFmtId="0" fontId="44" fillId="0" borderId="0" xfId="0" applyFont="1" applyBorder="1" applyAlignment="1" applyProtection="1">
      <alignment horizontal="right"/>
      <protection locked="0"/>
    </xf>
    <xf numFmtId="164" fontId="44" fillId="0" borderId="0" xfId="0" applyNumberFormat="1" applyFont="1" applyFill="1" applyBorder="1" applyProtection="1"/>
    <xf numFmtId="0" fontId="44" fillId="0" borderId="0" xfId="0" applyFont="1"/>
    <xf numFmtId="0" fontId="9" fillId="31" borderId="1" xfId="0" applyFont="1" applyFill="1" applyBorder="1" applyAlignment="1" applyProtection="1">
      <alignment horizontal="centerContinuous"/>
      <protection locked="0"/>
    </xf>
    <xf numFmtId="0" fontId="9" fillId="31" borderId="25" xfId="0" applyFont="1" applyFill="1" applyBorder="1" applyAlignment="1" applyProtection="1">
      <alignment horizontal="centerContinuous"/>
      <protection locked="0"/>
    </xf>
    <xf numFmtId="0" fontId="9" fillId="31" borderId="1" xfId="0" applyFont="1" applyFill="1" applyBorder="1" applyAlignment="1" applyProtection="1">
      <alignment horizontal="center"/>
      <protection locked="0"/>
    </xf>
    <xf numFmtId="0" fontId="9" fillId="31" borderId="25" xfId="0" applyFont="1" applyFill="1" applyBorder="1" applyAlignment="1" applyProtection="1">
      <alignment horizontal="center"/>
      <protection locked="0"/>
    </xf>
    <xf numFmtId="0" fontId="9" fillId="31" borderId="24" xfId="0" applyFont="1" applyFill="1" applyBorder="1" applyAlignment="1">
      <alignment horizontal="centerContinuous"/>
    </xf>
    <xf numFmtId="0" fontId="9" fillId="31" borderId="24" xfId="0" applyFont="1" applyFill="1" applyBorder="1" applyAlignment="1" applyProtection="1">
      <alignment horizontal="center"/>
      <protection locked="0"/>
    </xf>
    <xf numFmtId="0" fontId="48" fillId="0" borderId="0" xfId="0" applyFont="1"/>
    <xf numFmtId="0" fontId="48" fillId="0" borderId="0" xfId="0" applyFont="1" applyAlignment="1" applyProtection="1">
      <alignment horizontal="left"/>
      <protection locked="0"/>
    </xf>
    <xf numFmtId="0" fontId="9" fillId="36" borderId="28" xfId="0" applyFont="1" applyFill="1" applyBorder="1" applyAlignment="1">
      <alignment horizontal="center"/>
    </xf>
    <xf numFmtId="0" fontId="9" fillId="36" borderId="29" xfId="0" applyFont="1" applyFill="1" applyBorder="1" applyAlignment="1">
      <alignment horizontal="center"/>
    </xf>
    <xf numFmtId="0" fontId="9" fillId="36" borderId="29" xfId="0" applyFont="1" applyFill="1" applyBorder="1"/>
    <xf numFmtId="0" fontId="4" fillId="36" borderId="29" xfId="0" applyFont="1" applyFill="1" applyBorder="1"/>
    <xf numFmtId="164" fontId="9" fillId="36" borderId="29" xfId="0" applyNumberFormat="1" applyFont="1" applyFill="1" applyBorder="1"/>
    <xf numFmtId="0" fontId="50" fillId="36" borderId="29" xfId="0" applyFont="1" applyFill="1" applyBorder="1"/>
    <xf numFmtId="0" fontId="52" fillId="36" borderId="29" xfId="0" applyFont="1" applyFill="1" applyBorder="1"/>
    <xf numFmtId="0" fontId="21" fillId="36" borderId="29" xfId="0" applyFont="1" applyFill="1" applyBorder="1"/>
    <xf numFmtId="0" fontId="21" fillId="0" borderId="0" xfId="0" applyFont="1" applyFill="1" applyAlignment="1" applyProtection="1">
      <alignment horizontal="left"/>
      <protection locked="0"/>
    </xf>
    <xf numFmtId="37" fontId="4" fillId="0" borderId="0" xfId="0" applyNumberFormat="1" applyFont="1" applyFill="1" applyBorder="1" applyProtection="1"/>
    <xf numFmtId="0" fontId="9" fillId="37" borderId="19" xfId="0" applyFont="1" applyFill="1" applyBorder="1" applyAlignment="1">
      <alignment horizontal="centerContinuous"/>
    </xf>
    <xf numFmtId="0" fontId="9" fillId="37" borderId="4" xfId="0" applyFont="1" applyFill="1" applyBorder="1" applyAlignment="1" applyProtection="1">
      <alignment horizontal="centerContinuous"/>
      <protection locked="0"/>
    </xf>
    <xf numFmtId="0" fontId="9" fillId="37" borderId="20" xfId="0" applyFont="1" applyFill="1" applyBorder="1" applyAlignment="1" applyProtection="1">
      <alignment horizontal="centerContinuous"/>
      <protection locked="0"/>
    </xf>
    <xf numFmtId="0" fontId="9" fillId="37" borderId="26" xfId="0" applyFont="1" applyFill="1" applyBorder="1" applyAlignment="1" applyProtection="1">
      <alignment horizontal="center"/>
      <protection locked="0"/>
    </xf>
    <xf numFmtId="0" fontId="9" fillId="37" borderId="0" xfId="0" applyFont="1" applyFill="1" applyBorder="1" applyAlignment="1" applyProtection="1">
      <alignment horizontal="center"/>
      <protection locked="0"/>
    </xf>
    <xf numFmtId="0" fontId="9" fillId="37" borderId="27" xfId="0" applyFont="1" applyFill="1" applyBorder="1" applyAlignment="1" applyProtection="1">
      <alignment horizontal="center"/>
      <protection locked="0"/>
    </xf>
    <xf numFmtId="37" fontId="19" fillId="37" borderId="26" xfId="0" applyNumberFormat="1" applyFont="1" applyFill="1" applyBorder="1" applyProtection="1"/>
    <xf numFmtId="37" fontId="19" fillId="37" borderId="0" xfId="0" applyNumberFormat="1" applyFont="1" applyFill="1" applyBorder="1" applyProtection="1"/>
    <xf numFmtId="37" fontId="19" fillId="37" borderId="27" xfId="0" applyNumberFormat="1" applyFont="1" applyFill="1" applyBorder="1" applyProtection="1"/>
    <xf numFmtId="37" fontId="4" fillId="37" borderId="26" xfId="0" applyNumberFormat="1" applyFont="1" applyFill="1" applyBorder="1" applyProtection="1">
      <protection locked="0"/>
    </xf>
    <xf numFmtId="37" fontId="44" fillId="37" borderId="0" xfId="0" applyNumberFormat="1" applyFont="1" applyFill="1" applyBorder="1" applyProtection="1">
      <protection locked="0"/>
    </xf>
    <xf numFmtId="37" fontId="44" fillId="37" borderId="27" xfId="0" applyNumberFormat="1" applyFont="1" applyFill="1" applyBorder="1" applyProtection="1">
      <protection locked="0"/>
    </xf>
    <xf numFmtId="164" fontId="4" fillId="37" borderId="26" xfId="0" applyNumberFormat="1" applyFont="1" applyFill="1" applyBorder="1" applyProtection="1"/>
    <xf numFmtId="164" fontId="4" fillId="37" borderId="0" xfId="0" applyNumberFormat="1" applyFont="1" applyFill="1" applyBorder="1" applyProtection="1"/>
    <xf numFmtId="164" fontId="4" fillId="37" borderId="27" xfId="0" applyNumberFormat="1" applyFont="1" applyFill="1" applyBorder="1" applyProtection="1"/>
    <xf numFmtId="37" fontId="44" fillId="37" borderId="26" xfId="0" applyNumberFormat="1" applyFont="1" applyFill="1" applyBorder="1" applyProtection="1">
      <protection locked="0"/>
    </xf>
    <xf numFmtId="37" fontId="4" fillId="37" borderId="0" xfId="0" applyNumberFormat="1" applyFont="1" applyFill="1" applyBorder="1" applyProtection="1">
      <protection locked="0"/>
    </xf>
    <xf numFmtId="37" fontId="4" fillId="37" borderId="27" xfId="0" applyNumberFormat="1" applyFont="1" applyFill="1" applyBorder="1" applyProtection="1">
      <protection locked="0"/>
    </xf>
    <xf numFmtId="37" fontId="18" fillId="37" borderId="26" xfId="0" applyNumberFormat="1" applyFont="1" applyFill="1" applyBorder="1" applyProtection="1">
      <protection locked="0"/>
    </xf>
    <xf numFmtId="0" fontId="4" fillId="37" borderId="26" xfId="0" applyFont="1" applyFill="1" applyBorder="1"/>
    <xf numFmtId="0" fontId="4" fillId="37" borderId="0" xfId="0" applyFont="1" applyFill="1" applyBorder="1"/>
    <xf numFmtId="0" fontId="4" fillId="37" borderId="27" xfId="0" applyFont="1" applyFill="1" applyBorder="1"/>
    <xf numFmtId="164" fontId="18" fillId="37" borderId="26" xfId="0" applyNumberFormat="1" applyFont="1" applyFill="1" applyBorder="1" applyProtection="1"/>
    <xf numFmtId="164" fontId="18" fillId="37" borderId="0" xfId="0" applyNumberFormat="1" applyFont="1" applyFill="1" applyBorder="1" applyProtection="1"/>
    <xf numFmtId="164" fontId="18" fillId="37" borderId="27" xfId="0" applyNumberFormat="1" applyFont="1" applyFill="1" applyBorder="1" applyProtection="1"/>
    <xf numFmtId="37" fontId="4" fillId="37" borderId="26" xfId="0" applyNumberFormat="1" applyFont="1" applyFill="1" applyBorder="1" applyProtection="1"/>
    <xf numFmtId="37" fontId="4" fillId="37" borderId="0" xfId="0" applyNumberFormat="1" applyFont="1" applyFill="1" applyBorder="1" applyProtection="1"/>
    <xf numFmtId="37" fontId="4" fillId="37" borderId="27" xfId="0" applyNumberFormat="1" applyFont="1" applyFill="1" applyBorder="1" applyProtection="1"/>
    <xf numFmtId="37" fontId="4" fillId="37" borderId="24" xfId="0" applyNumberFormat="1" applyFont="1" applyFill="1" applyBorder="1" applyProtection="1"/>
    <xf numFmtId="37" fontId="4" fillId="37" borderId="1" xfId="0" applyNumberFormat="1" applyFont="1" applyFill="1" applyBorder="1" applyProtection="1"/>
    <xf numFmtId="37" fontId="4" fillId="37" borderId="25" xfId="0" applyNumberFormat="1" applyFont="1" applyFill="1" applyBorder="1" applyProtection="1"/>
    <xf numFmtId="0" fontId="4" fillId="37" borderId="0" xfId="0" applyFont="1" applyFill="1" applyBorder="1" applyAlignment="1" applyProtection="1">
      <alignment horizontal="center"/>
      <protection locked="0"/>
    </xf>
    <xf numFmtId="0" fontId="4" fillId="37" borderId="27" xfId="0" applyFont="1" applyFill="1" applyBorder="1" applyAlignment="1" applyProtection="1">
      <alignment horizontal="center"/>
      <protection locked="0"/>
    </xf>
    <xf numFmtId="164" fontId="4" fillId="37" borderId="1" xfId="0" applyNumberFormat="1" applyFont="1" applyFill="1" applyBorder="1" applyProtection="1"/>
    <xf numFmtId="164" fontId="4" fillId="37" borderId="25" xfId="0" applyNumberFormat="1" applyFont="1" applyFill="1" applyBorder="1" applyProtection="1"/>
    <xf numFmtId="0" fontId="4" fillId="37" borderId="26" xfId="0" applyFont="1" applyFill="1" applyBorder="1" applyAlignment="1" applyProtection="1">
      <alignment horizontal="center"/>
      <protection locked="0"/>
    </xf>
    <xf numFmtId="164" fontId="4" fillId="37" borderId="24" xfId="0" applyNumberFormat="1" applyFont="1" applyFill="1" applyBorder="1" applyProtection="1"/>
    <xf numFmtId="0" fontId="53" fillId="0" borderId="0" xfId="0" applyFont="1" applyFill="1" applyBorder="1" applyAlignment="1" applyProtection="1">
      <protection locked="0"/>
    </xf>
    <xf numFmtId="0" fontId="48" fillId="0" borderId="0" xfId="0" applyFont="1" applyFill="1" applyBorder="1" applyProtection="1">
      <protection locked="0"/>
    </xf>
    <xf numFmtId="0" fontId="48" fillId="0" borderId="0" xfId="0" applyFont="1" applyAlignment="1" applyProtection="1">
      <alignment horizontal="left"/>
    </xf>
    <xf numFmtId="0" fontId="53" fillId="0" borderId="0" xfId="0" applyFont="1" applyAlignment="1" applyProtection="1">
      <alignment horizontal="left"/>
      <protection locked="0"/>
    </xf>
    <xf numFmtId="0" fontId="19" fillId="0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9" fillId="0" borderId="0" xfId="0" applyFont="1" applyAlignment="1" applyProtection="1">
      <alignment horizontal="center"/>
    </xf>
    <xf numFmtId="0" fontId="21" fillId="0" borderId="0" xfId="0" applyFont="1" applyAlignment="1" applyProtection="1">
      <alignment horizontal="center"/>
    </xf>
    <xf numFmtId="0" fontId="52" fillId="0" borderId="0" xfId="0" applyFont="1" applyAlignment="1">
      <alignment horizontal="center"/>
    </xf>
    <xf numFmtId="37" fontId="21" fillId="0" borderId="0" xfId="0" applyNumberFormat="1" applyFont="1" applyAlignment="1" applyProtection="1">
      <alignment horizontal="center"/>
    </xf>
    <xf numFmtId="0" fontId="9" fillId="0" borderId="0" xfId="0" applyFont="1" applyBorder="1" applyAlignment="1" applyProtection="1">
      <alignment horizontal="center"/>
    </xf>
    <xf numFmtId="0" fontId="11" fillId="0" borderId="0" xfId="0" applyFont="1" applyFill="1" applyBorder="1" applyAlignment="1">
      <alignment horizontal="center"/>
    </xf>
    <xf numFmtId="0" fontId="4" fillId="5" borderId="0" xfId="0" applyFont="1" applyFill="1" applyAlignment="1">
      <alignment horizontal="center"/>
    </xf>
    <xf numFmtId="0" fontId="11" fillId="5" borderId="0" xfId="0" applyFont="1" applyFill="1" applyBorder="1" applyAlignment="1" applyProtection="1">
      <alignment horizontal="center"/>
      <protection locked="0"/>
    </xf>
    <xf numFmtId="0" fontId="9" fillId="5" borderId="0" xfId="0" applyFont="1" applyFill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4" fillId="0" borderId="0" xfId="0" applyFont="1" applyBorder="1" applyAlignment="1">
      <alignment horizontal="center"/>
    </xf>
    <xf numFmtId="0" fontId="48" fillId="0" borderId="0" xfId="0" applyFont="1" applyAlignment="1">
      <alignment horizontal="center"/>
    </xf>
    <xf numFmtId="0" fontId="21" fillId="0" borderId="0" xfId="0" applyFont="1" applyFill="1" applyBorder="1" applyAlignment="1" applyProtection="1">
      <alignment horizontal="center"/>
      <protection locked="0"/>
    </xf>
    <xf numFmtId="0" fontId="4" fillId="5" borderId="0" xfId="0" applyFont="1" applyFill="1" applyAlignment="1" applyProtection="1">
      <alignment horizontal="center"/>
      <protection locked="0"/>
    </xf>
    <xf numFmtId="0" fontId="11" fillId="5" borderId="2" xfId="0" applyFont="1" applyFill="1" applyBorder="1" applyAlignment="1" applyProtection="1">
      <alignment horizontal="center"/>
      <protection locked="0"/>
    </xf>
    <xf numFmtId="0" fontId="29" fillId="0" borderId="0" xfId="0" applyFont="1" applyAlignment="1">
      <alignment horizontal="center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Fill="1" applyAlignment="1" applyProtection="1">
      <alignment horizontal="center"/>
      <protection locked="0"/>
    </xf>
    <xf numFmtId="0" fontId="29" fillId="0" borderId="0" xfId="0" applyFont="1" applyFill="1" applyAlignment="1">
      <alignment horizontal="center"/>
    </xf>
    <xf numFmtId="0" fontId="29" fillId="5" borderId="0" xfId="0" applyFont="1" applyFill="1" applyAlignment="1">
      <alignment horizontal="center"/>
    </xf>
    <xf numFmtId="0" fontId="29" fillId="0" borderId="0" xfId="0" applyFont="1" applyAlignment="1" applyProtection="1">
      <alignment horizontal="center"/>
    </xf>
    <xf numFmtId="0" fontId="5" fillId="0" borderId="0" xfId="0" applyFont="1" applyAlignment="1">
      <alignment horizontal="center"/>
    </xf>
    <xf numFmtId="0" fontId="9" fillId="0" borderId="0" xfId="0" applyFont="1" applyFill="1" applyBorder="1" applyAlignment="1">
      <alignment horizontal="center"/>
    </xf>
    <xf numFmtId="164" fontId="4" fillId="0" borderId="0" xfId="0" applyNumberFormat="1" applyFont="1" applyFill="1" applyBorder="1" applyProtection="1"/>
    <xf numFmtId="37" fontId="4" fillId="0" borderId="26" xfId="0" applyNumberFormat="1" applyFont="1" applyFill="1" applyBorder="1" applyProtection="1">
      <protection locked="0"/>
    </xf>
    <xf numFmtId="164" fontId="4" fillId="0" borderId="26" xfId="0" applyNumberFormat="1" applyFont="1" applyFill="1" applyBorder="1" applyProtection="1"/>
    <xf numFmtId="37" fontId="44" fillId="0" borderId="26" xfId="0" applyNumberFormat="1" applyFont="1" applyFill="1" applyBorder="1" applyProtection="1">
      <protection locked="0"/>
    </xf>
    <xf numFmtId="0" fontId="4" fillId="0" borderId="26" xfId="0" applyFont="1" applyFill="1" applyBorder="1"/>
    <xf numFmtId="37" fontId="4" fillId="0" borderId="26" xfId="0" applyNumberFormat="1" applyFont="1" applyFill="1" applyBorder="1" applyProtection="1"/>
    <xf numFmtId="37" fontId="44" fillId="0" borderId="0" xfId="0" applyNumberFormat="1" applyFont="1" applyFill="1" applyBorder="1" applyProtection="1">
      <protection locked="0"/>
    </xf>
    <xf numFmtId="164" fontId="18" fillId="0" borderId="0" xfId="0" applyNumberFormat="1" applyFont="1" applyFill="1" applyBorder="1" applyProtection="1"/>
    <xf numFmtId="0" fontId="29" fillId="0" borderId="0" xfId="0" applyFont="1" applyFill="1" applyBorder="1" applyAlignment="1">
      <alignment horizontal="center"/>
    </xf>
    <xf numFmtId="0" fontId="44" fillId="0" borderId="0" xfId="0" applyFont="1" applyAlignment="1">
      <alignment horizontal="center"/>
    </xf>
    <xf numFmtId="37" fontId="29" fillId="0" borderId="0" xfId="0" applyNumberFormat="1" applyFont="1" applyAlignment="1" applyProtection="1">
      <alignment horizontal="center"/>
    </xf>
    <xf numFmtId="0" fontId="29" fillId="0" borderId="0" xfId="0" applyFont="1" applyBorder="1" applyAlignment="1" applyProtection="1">
      <alignment horizontal="center"/>
    </xf>
    <xf numFmtId="0" fontId="29" fillId="0" borderId="0" xfId="0" applyFont="1" applyBorder="1" applyAlignment="1">
      <alignment horizontal="center"/>
    </xf>
    <xf numFmtId="164" fontId="4" fillId="37" borderId="26" xfId="0" applyNumberFormat="1" applyFont="1" applyFill="1" applyBorder="1" applyProtection="1">
      <protection locked="0"/>
    </xf>
    <xf numFmtId="0" fontId="9" fillId="36" borderId="31" xfId="0" applyFont="1" applyFill="1" applyBorder="1" applyAlignment="1">
      <alignment horizontal="center"/>
    </xf>
    <xf numFmtId="0" fontId="9" fillId="36" borderId="32" xfId="0" applyFont="1" applyFill="1" applyBorder="1" applyAlignment="1">
      <alignment horizontal="center"/>
    </xf>
    <xf numFmtId="0" fontId="9" fillId="36" borderId="32" xfId="0" applyFont="1" applyFill="1" applyBorder="1"/>
    <xf numFmtId="0" fontId="4" fillId="36" borderId="32" xfId="0" applyFont="1" applyFill="1" applyBorder="1"/>
    <xf numFmtId="164" fontId="9" fillId="36" borderId="32" xfId="0" applyNumberFormat="1" applyFont="1" applyFill="1" applyBorder="1"/>
    <xf numFmtId="0" fontId="52" fillId="36" borderId="32" xfId="0" applyFont="1" applyFill="1" applyBorder="1"/>
    <xf numFmtId="0" fontId="50" fillId="36" borderId="32" xfId="0" applyFont="1" applyFill="1" applyBorder="1"/>
    <xf numFmtId="0" fontId="4" fillId="0" borderId="32" xfId="0" applyFont="1" applyBorder="1"/>
    <xf numFmtId="0" fontId="21" fillId="36" borderId="32" xfId="0" applyFont="1" applyFill="1" applyBorder="1"/>
    <xf numFmtId="164" fontId="9" fillId="36" borderId="33" xfId="0" applyNumberFormat="1" applyFont="1" applyFill="1" applyBorder="1"/>
    <xf numFmtId="0" fontId="4" fillId="0" borderId="21" xfId="0" applyFont="1" applyBorder="1"/>
    <xf numFmtId="37" fontId="19" fillId="0" borderId="21" xfId="0" applyNumberFormat="1" applyFont="1" applyFill="1" applyBorder="1" applyProtection="1"/>
    <xf numFmtId="0" fontId="50" fillId="0" borderId="21" xfId="0" applyFont="1" applyFill="1" applyBorder="1"/>
    <xf numFmtId="37" fontId="4" fillId="0" borderId="21" xfId="0" applyNumberFormat="1" applyFont="1" applyBorder="1" applyProtection="1"/>
    <xf numFmtId="37" fontId="4" fillId="0" borderId="21" xfId="0" applyNumberFormat="1" applyFont="1" applyFill="1" applyBorder="1" applyProtection="1"/>
    <xf numFmtId="164" fontId="18" fillId="0" borderId="0" xfId="0" applyNumberFormat="1" applyFont="1" applyFill="1" applyBorder="1" applyProtection="1">
      <protection locked="0"/>
    </xf>
    <xf numFmtId="3" fontId="29" fillId="0" borderId="0" xfId="3" applyNumberFormat="1" applyFont="1" applyAlignment="1">
      <alignment horizontal="right"/>
    </xf>
    <xf numFmtId="184" fontId="29" fillId="0" borderId="0" xfId="3" applyNumberFormat="1" applyFont="1" applyAlignment="1">
      <alignment horizontal="right"/>
    </xf>
    <xf numFmtId="44" fontId="4" fillId="0" borderId="3" xfId="3" applyNumberFormat="1" applyFont="1" applyBorder="1" applyProtection="1"/>
    <xf numFmtId="44" fontId="4" fillId="0" borderId="9" xfId="3" applyNumberFormat="1" applyFont="1" applyBorder="1"/>
    <xf numFmtId="37" fontId="4" fillId="0" borderId="0" xfId="6" applyNumberFormat="1" applyFont="1"/>
    <xf numFmtId="39" fontId="4" fillId="0" borderId="0" xfId="6" applyNumberFormat="1" applyFont="1"/>
    <xf numFmtId="3" fontId="4" fillId="0" borderId="8" xfId="3" applyNumberFormat="1" applyFont="1" applyBorder="1"/>
    <xf numFmtId="184" fontId="4" fillId="0" borderId="8" xfId="3" applyNumberFormat="1" applyFont="1" applyBorder="1"/>
    <xf numFmtId="0" fontId="29" fillId="29" borderId="0" xfId="0" applyFont="1" applyFill="1" applyAlignment="1">
      <alignment horizontal="center"/>
    </xf>
    <xf numFmtId="37" fontId="4" fillId="32" borderId="0" xfId="0" applyNumberFormat="1" applyFont="1" applyFill="1" applyBorder="1" applyProtection="1"/>
    <xf numFmtId="37" fontId="4" fillId="32" borderId="27" xfId="0" applyNumberFormat="1" applyFont="1" applyFill="1" applyBorder="1" applyProtection="1"/>
    <xf numFmtId="0" fontId="49" fillId="0" borderId="0" xfId="0" applyFont="1" applyFill="1" applyBorder="1" applyAlignment="1">
      <alignment horizontal="centerContinuous"/>
    </xf>
    <xf numFmtId="0" fontId="49" fillId="0" borderId="0" xfId="0" applyFont="1" applyFill="1" applyBorder="1" applyAlignment="1">
      <alignment horizontal="center"/>
    </xf>
    <xf numFmtId="0" fontId="4" fillId="5" borderId="0" xfId="6" applyFont="1" applyFill="1"/>
    <xf numFmtId="0" fontId="4" fillId="32" borderId="1" xfId="0" applyFont="1" applyFill="1" applyBorder="1"/>
    <xf numFmtId="37" fontId="44" fillId="39" borderId="0" xfId="0" applyNumberFormat="1" applyFont="1" applyFill="1" applyProtection="1"/>
    <xf numFmtId="37" fontId="44" fillId="39" borderId="0" xfId="0" applyNumberFormat="1" applyFont="1" applyFill="1" applyProtection="1">
      <protection locked="0"/>
    </xf>
    <xf numFmtId="37" fontId="4" fillId="34" borderId="34" xfId="0" applyNumberFormat="1" applyFont="1" applyFill="1" applyBorder="1" applyProtection="1"/>
    <xf numFmtId="0" fontId="44" fillId="39" borderId="26" xfId="0" applyFont="1" applyFill="1" applyBorder="1" applyAlignment="1" applyProtection="1">
      <alignment horizontal="center"/>
      <protection locked="0"/>
    </xf>
    <xf numFmtId="0" fontId="44" fillId="39" borderId="0" xfId="0" applyFont="1" applyFill="1" applyBorder="1" applyAlignment="1" applyProtection="1">
      <alignment horizontal="center"/>
      <protection locked="0"/>
    </xf>
    <xf numFmtId="0" fontId="44" fillId="39" borderId="27" xfId="0" applyFont="1" applyFill="1" applyBorder="1" applyAlignment="1" applyProtection="1">
      <alignment horizontal="center"/>
      <protection locked="0"/>
    </xf>
    <xf numFmtId="0" fontId="4" fillId="39" borderId="0" xfId="0" applyFont="1" applyFill="1" applyBorder="1" applyAlignment="1" applyProtection="1">
      <alignment horizontal="center"/>
      <protection locked="0"/>
    </xf>
    <xf numFmtId="0" fontId="29" fillId="39" borderId="0" xfId="0" applyFont="1" applyFill="1" applyBorder="1" applyAlignment="1" applyProtection="1">
      <alignment horizontal="center"/>
      <protection locked="0"/>
    </xf>
    <xf numFmtId="0" fontId="4" fillId="34" borderId="22" xfId="0" applyFont="1" applyFill="1" applyBorder="1" applyAlignment="1" applyProtection="1">
      <alignment horizontal="center"/>
      <protection locked="0"/>
    </xf>
    <xf numFmtId="0" fontId="4" fillId="34" borderId="21" xfId="0" applyFont="1" applyFill="1" applyBorder="1" applyAlignment="1" applyProtection="1">
      <alignment horizontal="center"/>
      <protection locked="0"/>
    </xf>
    <xf numFmtId="0" fontId="4" fillId="34" borderId="35" xfId="0" applyFont="1" applyFill="1" applyBorder="1" applyAlignment="1" applyProtection="1">
      <alignment horizontal="center"/>
      <protection locked="0"/>
    </xf>
    <xf numFmtId="37" fontId="18" fillId="39" borderId="0" xfId="0" applyNumberFormat="1" applyFont="1" applyFill="1" applyProtection="1">
      <protection locked="0"/>
    </xf>
    <xf numFmtId="37" fontId="4" fillId="39" borderId="0" xfId="0" applyNumberFormat="1" applyFont="1" applyFill="1" applyProtection="1">
      <protection locked="0"/>
    </xf>
    <xf numFmtId="164" fontId="18" fillId="39" borderId="0" xfId="0" applyNumberFormat="1" applyFont="1" applyFill="1" applyProtection="1">
      <protection locked="0"/>
    </xf>
    <xf numFmtId="0" fontId="9" fillId="31" borderId="26" xfId="0" applyFont="1" applyFill="1" applyBorder="1" applyAlignment="1" applyProtection="1">
      <alignment horizontal="center"/>
      <protection locked="0"/>
    </xf>
    <xf numFmtId="0" fontId="9" fillId="31" borderId="0" xfId="0" applyFont="1" applyFill="1" applyBorder="1" applyAlignment="1" applyProtection="1">
      <alignment horizontal="center"/>
      <protection locked="0"/>
    </xf>
    <xf numFmtId="0" fontId="9" fillId="31" borderId="27" xfId="0" applyFont="1" applyFill="1" applyBorder="1" applyAlignment="1" applyProtection="1">
      <alignment horizontal="center"/>
      <protection locked="0"/>
    </xf>
    <xf numFmtId="0" fontId="4" fillId="31" borderId="26" xfId="0" applyFont="1" applyFill="1" applyBorder="1" applyAlignment="1" applyProtection="1">
      <alignment horizontal="center"/>
      <protection locked="0"/>
    </xf>
    <xf numFmtId="0" fontId="4" fillId="31" borderId="0" xfId="0" applyFont="1" applyFill="1" applyBorder="1" applyAlignment="1" applyProtection="1">
      <alignment horizontal="center"/>
      <protection locked="0"/>
    </xf>
    <xf numFmtId="0" fontId="4" fillId="31" borderId="27" xfId="0" applyFont="1" applyFill="1" applyBorder="1" applyAlignment="1" applyProtection="1">
      <alignment horizontal="center"/>
      <protection locked="0"/>
    </xf>
    <xf numFmtId="37" fontId="44" fillId="31" borderId="26" xfId="0" applyNumberFormat="1" applyFont="1" applyFill="1" applyBorder="1" applyProtection="1">
      <protection locked="0"/>
    </xf>
    <xf numFmtId="37" fontId="44" fillId="31" borderId="27" xfId="0" applyNumberFormat="1" applyFont="1" applyFill="1" applyBorder="1" applyProtection="1">
      <protection locked="0"/>
    </xf>
    <xf numFmtId="164" fontId="4" fillId="31" borderId="0" xfId="0" applyNumberFormat="1" applyFont="1" applyFill="1" applyBorder="1" applyProtection="1">
      <protection locked="0"/>
    </xf>
    <xf numFmtId="37" fontId="18" fillId="31" borderId="26" xfId="0" applyNumberFormat="1" applyFont="1" applyFill="1" applyBorder="1" applyProtection="1">
      <protection locked="0"/>
    </xf>
    <xf numFmtId="37" fontId="44" fillId="31" borderId="0" xfId="0" applyNumberFormat="1" applyFont="1" applyFill="1" applyBorder="1" applyProtection="1">
      <protection locked="0"/>
    </xf>
    <xf numFmtId="164" fontId="18" fillId="31" borderId="26" xfId="0" applyNumberFormat="1" applyFont="1" applyFill="1" applyBorder="1" applyProtection="1"/>
    <xf numFmtId="164" fontId="18" fillId="31" borderId="0" xfId="0" applyNumberFormat="1" applyFont="1" applyFill="1" applyBorder="1" applyProtection="1"/>
    <xf numFmtId="164" fontId="18" fillId="31" borderId="27" xfId="0" applyNumberFormat="1" applyFont="1" applyFill="1" applyBorder="1" applyProtection="1"/>
    <xf numFmtId="164" fontId="44" fillId="31" borderId="26" xfId="0" applyNumberFormat="1" applyFont="1" applyFill="1" applyBorder="1" applyProtection="1"/>
    <xf numFmtId="164" fontId="44" fillId="31" borderId="0" xfId="0" applyNumberFormat="1" applyFont="1" applyFill="1" applyBorder="1" applyProtection="1"/>
    <xf numFmtId="164" fontId="44" fillId="31" borderId="27" xfId="0" applyNumberFormat="1" applyFont="1" applyFill="1" applyBorder="1" applyProtection="1"/>
    <xf numFmtId="0" fontId="4" fillId="31" borderId="26" xfId="0" applyFont="1" applyFill="1" applyBorder="1" applyAlignment="1" applyProtection="1">
      <alignment horizontal="right"/>
      <protection locked="0"/>
    </xf>
    <xf numFmtId="0" fontId="4" fillId="31" borderId="0" xfId="0" applyFont="1" applyFill="1" applyBorder="1" applyAlignment="1" applyProtection="1">
      <alignment horizontal="right"/>
      <protection locked="0"/>
    </xf>
    <xf numFmtId="0" fontId="4" fillId="31" borderId="27" xfId="0" applyFont="1" applyFill="1" applyBorder="1" applyAlignment="1" applyProtection="1">
      <alignment horizontal="right"/>
      <protection locked="0"/>
    </xf>
    <xf numFmtId="164" fontId="19" fillId="31" borderId="26" xfId="0" applyNumberFormat="1" applyFont="1" applyFill="1" applyBorder="1" applyProtection="1"/>
    <xf numFmtId="164" fontId="19" fillId="31" borderId="0" xfId="0" applyNumberFormat="1" applyFont="1" applyFill="1" applyBorder="1" applyProtection="1"/>
    <xf numFmtId="164" fontId="19" fillId="31" borderId="27" xfId="0" applyNumberFormat="1" applyFont="1" applyFill="1" applyBorder="1" applyProtection="1"/>
    <xf numFmtId="0" fontId="4" fillId="0" borderId="21" xfId="0" applyFont="1" applyFill="1" applyBorder="1" applyAlignment="1" applyProtection="1">
      <alignment horizontal="center"/>
      <protection locked="0"/>
    </xf>
    <xf numFmtId="0" fontId="44" fillId="0" borderId="0" xfId="0" applyFont="1" applyFill="1" applyBorder="1" applyAlignment="1" applyProtection="1">
      <alignment horizontal="center"/>
      <protection locked="0"/>
    </xf>
    <xf numFmtId="0" fontId="44" fillId="0" borderId="21" xfId="0" applyFont="1" applyFill="1" applyBorder="1" applyAlignment="1" applyProtection="1">
      <alignment horizontal="center"/>
      <protection locked="0"/>
    </xf>
    <xf numFmtId="0" fontId="4" fillId="31" borderId="22" xfId="0" applyFont="1" applyFill="1" applyBorder="1" applyAlignment="1" applyProtection="1">
      <alignment horizontal="center"/>
      <protection locked="0"/>
    </xf>
    <xf numFmtId="0" fontId="4" fillId="31" borderId="21" xfId="0" applyFont="1" applyFill="1" applyBorder="1" applyAlignment="1" applyProtection="1">
      <alignment horizontal="center"/>
      <protection locked="0"/>
    </xf>
    <xf numFmtId="0" fontId="4" fillId="31" borderId="35" xfId="0" applyFont="1" applyFill="1" applyBorder="1" applyAlignment="1" applyProtection="1">
      <alignment horizontal="center"/>
      <protection locked="0"/>
    </xf>
    <xf numFmtId="0" fontId="9" fillId="0" borderId="1" xfId="0" applyFont="1" applyFill="1" applyBorder="1" applyAlignment="1" applyProtection="1">
      <alignment horizontal="center"/>
    </xf>
    <xf numFmtId="0" fontId="4" fillId="39" borderId="21" xfId="0" applyFont="1" applyFill="1" applyBorder="1" applyAlignment="1" applyProtection="1">
      <alignment horizontal="center"/>
      <protection locked="0"/>
    </xf>
    <xf numFmtId="0" fontId="29" fillId="39" borderId="0" xfId="0" applyFont="1" applyFill="1" applyAlignment="1">
      <alignment horizontal="center"/>
    </xf>
    <xf numFmtId="0" fontId="29" fillId="39" borderId="1" xfId="0" applyFont="1" applyFill="1" applyBorder="1" applyAlignment="1">
      <alignment horizontal="center"/>
    </xf>
    <xf numFmtId="0" fontId="44" fillId="39" borderId="21" xfId="0" applyFont="1" applyFill="1" applyBorder="1" applyAlignment="1" applyProtection="1">
      <alignment horizontal="center"/>
      <protection locked="0"/>
    </xf>
    <xf numFmtId="0" fontId="4" fillId="32" borderId="22" xfId="0" applyFont="1" applyFill="1" applyBorder="1" applyAlignment="1">
      <alignment horizontal="center"/>
    </xf>
    <xf numFmtId="0" fontId="4" fillId="32" borderId="21" xfId="0" applyFont="1" applyFill="1" applyBorder="1"/>
    <xf numFmtId="0" fontId="4" fillId="32" borderId="35" xfId="0" applyFont="1" applyFill="1" applyBorder="1"/>
    <xf numFmtId="0" fontId="4" fillId="32" borderId="26" xfId="0" applyFont="1" applyFill="1" applyBorder="1" applyAlignment="1">
      <alignment horizontal="center"/>
    </xf>
    <xf numFmtId="0" fontId="4" fillId="32" borderId="0" xfId="0" applyFont="1" applyFill="1" applyBorder="1"/>
    <xf numFmtId="0" fontId="9" fillId="32" borderId="0" xfId="0" applyFont="1" applyFill="1" applyBorder="1"/>
    <xf numFmtId="164" fontId="4" fillId="32" borderId="0" xfId="0" applyNumberFormat="1" applyFont="1" applyFill="1" applyBorder="1" applyProtection="1"/>
    <xf numFmtId="0" fontId="4" fillId="32" borderId="24" xfId="0" applyFont="1" applyFill="1" applyBorder="1" applyAlignment="1">
      <alignment horizontal="center"/>
    </xf>
    <xf numFmtId="0" fontId="9" fillId="32" borderId="1" xfId="0" applyFont="1" applyFill="1" applyBorder="1"/>
    <xf numFmtId="37" fontId="4" fillId="32" borderId="1" xfId="0" applyNumberFormat="1" applyFont="1" applyFill="1" applyBorder="1" applyProtection="1"/>
    <xf numFmtId="37" fontId="4" fillId="32" borderId="25" xfId="0" applyNumberFormat="1" applyFont="1" applyFill="1" applyBorder="1" applyProtection="1"/>
    <xf numFmtId="0" fontId="54" fillId="32" borderId="21" xfId="62" applyFont="1" applyFill="1" applyBorder="1"/>
    <xf numFmtId="10" fontId="44" fillId="39" borderId="0" xfId="12" applyNumberFormat="1" applyFont="1" applyFill="1" applyAlignment="1">
      <alignment horizontal="center"/>
    </xf>
    <xf numFmtId="37" fontId="4" fillId="0" borderId="21" xfId="0" applyNumberFormat="1" applyFont="1" applyBorder="1"/>
    <xf numFmtId="0" fontId="9" fillId="0" borderId="0" xfId="0" applyFont="1" applyBorder="1" applyAlignment="1">
      <alignment horizontal="right"/>
    </xf>
    <xf numFmtId="37" fontId="9" fillId="0" borderId="0" xfId="0" applyNumberFormat="1" applyFont="1" applyBorder="1" applyAlignment="1" applyProtection="1">
      <alignment horizontal="right"/>
    </xf>
    <xf numFmtId="0" fontId="9" fillId="38" borderId="30" xfId="0" applyFont="1" applyFill="1" applyBorder="1" applyAlignment="1">
      <alignment horizontal="center"/>
    </xf>
    <xf numFmtId="0" fontId="44" fillId="38" borderId="0" xfId="0" applyFont="1" applyFill="1" applyBorder="1"/>
    <xf numFmtId="0" fontId="4" fillId="38" borderId="0" xfId="0" applyFont="1" applyFill="1" applyBorder="1"/>
    <xf numFmtId="0" fontId="44" fillId="38" borderId="0" xfId="0" applyFont="1" applyFill="1" applyBorder="1" applyAlignment="1">
      <alignment horizontal="center"/>
    </xf>
    <xf numFmtId="0" fontId="15" fillId="38" borderId="0" xfId="0" applyFont="1" applyFill="1" applyBorder="1" applyAlignment="1">
      <alignment horizontal="center"/>
    </xf>
    <xf numFmtId="0" fontId="13" fillId="38" borderId="0" xfId="0" applyFont="1" applyFill="1" applyBorder="1"/>
    <xf numFmtId="0" fontId="15" fillId="38" borderId="0" xfId="0" applyFont="1" applyFill="1" applyBorder="1"/>
    <xf numFmtId="0" fontId="9" fillId="38" borderId="0" xfId="0" applyFont="1" applyFill="1" applyBorder="1"/>
    <xf numFmtId="0" fontId="9" fillId="38" borderId="0" xfId="0" applyFont="1" applyFill="1" applyBorder="1" applyAlignment="1">
      <alignment horizontal="center"/>
    </xf>
    <xf numFmtId="0" fontId="4" fillId="38" borderId="0" xfId="0" quotePrefix="1" applyFont="1" applyFill="1" applyBorder="1"/>
    <xf numFmtId="0" fontId="9" fillId="38" borderId="19" xfId="0" applyFont="1" applyFill="1" applyBorder="1"/>
    <xf numFmtId="0" fontId="4" fillId="38" borderId="4" xfId="0" applyFont="1" applyFill="1" applyBorder="1"/>
    <xf numFmtId="0" fontId="29" fillId="38" borderId="0" xfId="0" applyFont="1" applyFill="1" applyBorder="1" applyAlignment="1">
      <alignment horizontal="center"/>
    </xf>
    <xf numFmtId="0" fontId="55" fillId="38" borderId="0" xfId="62" applyFont="1" applyFill="1" applyBorder="1" applyAlignment="1">
      <alignment horizontal="centerContinuous"/>
    </xf>
    <xf numFmtId="0" fontId="55" fillId="38" borderId="0" xfId="0" applyFont="1" applyFill="1" applyBorder="1" applyAlignment="1">
      <alignment horizontal="center"/>
    </xf>
    <xf numFmtId="0" fontId="4" fillId="35" borderId="26" xfId="0" applyFont="1" applyFill="1" applyBorder="1"/>
    <xf numFmtId="0" fontId="4" fillId="35" borderId="0" xfId="0" applyFont="1" applyFill="1" applyBorder="1"/>
    <xf numFmtId="0" fontId="4" fillId="35" borderId="27" xfId="0" applyFont="1" applyFill="1" applyBorder="1"/>
    <xf numFmtId="37" fontId="4" fillId="35" borderId="27" xfId="0" applyNumberFormat="1" applyFont="1" applyFill="1" applyBorder="1"/>
    <xf numFmtId="0" fontId="4" fillId="35" borderId="26" xfId="0" applyFont="1" applyFill="1" applyBorder="1" applyAlignment="1">
      <alignment horizontal="center"/>
    </xf>
    <xf numFmtId="37" fontId="44" fillId="35" borderId="0" xfId="0" applyNumberFormat="1" applyFont="1" applyFill="1" applyBorder="1"/>
    <xf numFmtId="37" fontId="4" fillId="35" borderId="1" xfId="4" applyNumberFormat="1" applyFont="1" applyFill="1" applyBorder="1"/>
    <xf numFmtId="37" fontId="4" fillId="35" borderId="25" xfId="4" applyNumberFormat="1" applyFont="1" applyFill="1" applyBorder="1"/>
    <xf numFmtId="0" fontId="9" fillId="35" borderId="0" xfId="4" applyFont="1" applyFill="1"/>
    <xf numFmtId="0" fontId="4" fillId="35" borderId="0" xfId="4" applyFont="1" applyFill="1"/>
    <xf numFmtId="37" fontId="4" fillId="0" borderId="0" xfId="4" applyNumberFormat="1" applyFont="1" applyFill="1"/>
    <xf numFmtId="0" fontId="27" fillId="0" borderId="0" xfId="105" applyFont="1" applyFill="1" applyBorder="1" applyAlignment="1">
      <alignment horizontal="center" vertical="center"/>
    </xf>
    <xf numFmtId="0" fontId="57" fillId="0" borderId="38" xfId="0" applyFont="1" applyFill="1" applyBorder="1" applyAlignment="1">
      <alignment horizontal="center" vertical="center" wrapText="1"/>
    </xf>
    <xf numFmtId="0" fontId="57" fillId="0" borderId="39" xfId="0" applyFont="1" applyFill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40" xfId="0" applyFont="1" applyFill="1" applyBorder="1" applyAlignment="1">
      <alignment horizontal="center" vertical="center" wrapText="1"/>
    </xf>
    <xf numFmtId="0" fontId="57" fillId="0" borderId="41" xfId="0" applyFont="1" applyFill="1" applyBorder="1" applyAlignment="1">
      <alignment horizontal="center" vertical="center" wrapText="1"/>
    </xf>
    <xf numFmtId="0" fontId="57" fillId="0" borderId="42" xfId="0" applyFont="1" applyFill="1" applyBorder="1" applyAlignment="1">
      <alignment horizontal="center" vertical="center" wrapText="1"/>
    </xf>
    <xf numFmtId="0" fontId="57" fillId="0" borderId="28" xfId="0" applyFont="1" applyFill="1" applyBorder="1" applyAlignment="1">
      <alignment horizontal="center" vertical="center" wrapText="1"/>
    </xf>
    <xf numFmtId="0" fontId="57" fillId="0" borderId="43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right" vertical="center"/>
    </xf>
    <xf numFmtId="0" fontId="57" fillId="0" borderId="44" xfId="0" applyFont="1" applyFill="1" applyBorder="1" applyAlignment="1">
      <alignment horizontal="center" vertical="center" wrapText="1"/>
    </xf>
    <xf numFmtId="0" fontId="57" fillId="0" borderId="45" xfId="0" applyFont="1" applyFill="1" applyBorder="1" applyAlignment="1">
      <alignment horizontal="center" vertical="center" wrapText="1"/>
    </xf>
    <xf numFmtId="0" fontId="57" fillId="0" borderId="46" xfId="0" applyFont="1" applyFill="1" applyBorder="1" applyAlignment="1">
      <alignment horizontal="center" vertical="center" wrapText="1"/>
    </xf>
    <xf numFmtId="0" fontId="57" fillId="0" borderId="26" xfId="0" applyFont="1" applyFill="1" applyBorder="1" applyAlignment="1">
      <alignment horizontal="center" vertical="center" wrapText="1"/>
    </xf>
    <xf numFmtId="0" fontId="57" fillId="0" borderId="27" xfId="0" applyFont="1" applyFill="1" applyBorder="1" applyAlignment="1">
      <alignment horizontal="center" vertical="center" wrapText="1"/>
    </xf>
    <xf numFmtId="0" fontId="57" fillId="0" borderId="29" xfId="0" applyFont="1" applyFill="1" applyBorder="1" applyAlignment="1">
      <alignment horizontal="center" vertical="center" wrapText="1"/>
    </xf>
    <xf numFmtId="0" fontId="3" fillId="0" borderId="43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45" xfId="0" quotePrefix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0" borderId="26" xfId="0" quotePrefix="1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27" xfId="0" quotePrefix="1" applyFont="1" applyFill="1" applyBorder="1" applyAlignment="1">
      <alignment horizontal="center" vertical="center" wrapText="1"/>
    </xf>
    <xf numFmtId="0" fontId="3" fillId="0" borderId="29" xfId="0" quotePrefix="1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/>
    </xf>
    <xf numFmtId="0" fontId="57" fillId="0" borderId="48" xfId="0" applyFont="1" applyFill="1" applyBorder="1" applyAlignment="1">
      <alignment horizontal="center" vertical="center" wrapText="1"/>
    </xf>
    <xf numFmtId="0" fontId="57" fillId="0" borderId="49" xfId="0" applyFont="1" applyFill="1" applyBorder="1" applyAlignment="1">
      <alignment horizontal="center" vertical="center" wrapText="1"/>
    </xf>
    <xf numFmtId="0" fontId="57" fillId="0" borderId="50" xfId="0" applyFont="1" applyFill="1" applyBorder="1" applyAlignment="1">
      <alignment horizontal="center" vertical="center" wrapText="1"/>
    </xf>
    <xf numFmtId="0" fontId="57" fillId="0" borderId="51" xfId="0" applyFont="1" applyFill="1" applyBorder="1" applyAlignment="1">
      <alignment horizontal="center" vertical="center" wrapText="1"/>
    </xf>
    <xf numFmtId="0" fontId="57" fillId="0" borderId="52" xfId="0" applyFont="1" applyFill="1" applyBorder="1" applyAlignment="1">
      <alignment horizontal="center" vertical="center" wrapText="1"/>
    </xf>
    <xf numFmtId="0" fontId="57" fillId="0" borderId="53" xfId="0" applyFont="1" applyFill="1" applyBorder="1" applyAlignment="1">
      <alignment horizontal="center" vertical="center" wrapText="1"/>
    </xf>
    <xf numFmtId="17" fontId="57" fillId="0" borderId="43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37" fontId="3" fillId="0" borderId="44" xfId="0" applyNumberFormat="1" applyFont="1" applyFill="1" applyBorder="1"/>
    <xf numFmtId="166" fontId="3" fillId="0" borderId="44" xfId="0" applyNumberFormat="1" applyFont="1" applyFill="1" applyBorder="1"/>
    <xf numFmtId="169" fontId="3" fillId="0" borderId="45" xfId="0" applyNumberFormat="1" applyFont="1" applyFill="1" applyBorder="1"/>
    <xf numFmtId="169" fontId="3" fillId="0" borderId="0" xfId="0" applyNumberFormat="1" applyFont="1" applyFill="1" applyBorder="1"/>
    <xf numFmtId="169" fontId="3" fillId="0" borderId="46" xfId="0" applyNumberFormat="1" applyFont="1" applyFill="1" applyBorder="1"/>
    <xf numFmtId="169" fontId="3" fillId="0" borderId="26" xfId="0" applyNumberFormat="1" applyFont="1" applyFill="1" applyBorder="1"/>
    <xf numFmtId="187" fontId="3" fillId="0" borderId="27" xfId="0" applyNumberFormat="1" applyFont="1" applyFill="1" applyBorder="1"/>
    <xf numFmtId="188" fontId="3" fillId="0" borderId="26" xfId="0" applyNumberFormat="1" applyFont="1" applyFill="1" applyBorder="1"/>
    <xf numFmtId="187" fontId="3" fillId="0" borderId="29" xfId="0" applyNumberFormat="1" applyFont="1" applyFill="1" applyBorder="1"/>
    <xf numFmtId="189" fontId="3" fillId="0" borderId="46" xfId="0" applyNumberFormat="1" applyFont="1" applyBorder="1"/>
    <xf numFmtId="189" fontId="3" fillId="0" borderId="26" xfId="0" applyNumberFormat="1" applyFont="1" applyBorder="1"/>
    <xf numFmtId="189" fontId="3" fillId="0" borderId="27" xfId="0" applyNumberFormat="1" applyFont="1" applyBorder="1"/>
    <xf numFmtId="189" fontId="3" fillId="0" borderId="29" xfId="0" applyNumberFormat="1" applyFont="1" applyBorder="1"/>
    <xf numFmtId="17" fontId="57" fillId="0" borderId="47" xfId="0" applyNumberFormat="1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37" fontId="3" fillId="0" borderId="48" xfId="0" applyNumberFormat="1" applyFont="1" applyFill="1" applyBorder="1"/>
    <xf numFmtId="169" fontId="3" fillId="0" borderId="49" xfId="0" applyNumberFormat="1" applyFont="1" applyFill="1" applyBorder="1"/>
    <xf numFmtId="169" fontId="3" fillId="0" borderId="50" xfId="0" applyNumberFormat="1" applyFont="1" applyFill="1" applyBorder="1"/>
    <xf numFmtId="169" fontId="3" fillId="0" borderId="51" xfId="0" applyNumberFormat="1" applyFont="1" applyFill="1" applyBorder="1"/>
    <xf numFmtId="187" fontId="3" fillId="0" borderId="52" xfId="0" applyNumberFormat="1" applyFont="1" applyFill="1" applyBorder="1"/>
    <xf numFmtId="187" fontId="3" fillId="0" borderId="53" xfId="0" applyNumberFormat="1" applyFont="1" applyFill="1" applyBorder="1"/>
    <xf numFmtId="189" fontId="3" fillId="0" borderId="50" xfId="0" applyNumberFormat="1" applyFont="1" applyBorder="1"/>
    <xf numFmtId="189" fontId="3" fillId="0" borderId="51" xfId="0" applyNumberFormat="1" applyFont="1" applyBorder="1"/>
    <xf numFmtId="189" fontId="3" fillId="0" borderId="52" xfId="0" applyNumberFormat="1" applyFont="1" applyBorder="1"/>
    <xf numFmtId="189" fontId="3" fillId="0" borderId="53" xfId="0" applyNumberFormat="1" applyFont="1" applyBorder="1"/>
    <xf numFmtId="0" fontId="57" fillId="0" borderId="0" xfId="0" applyFont="1"/>
    <xf numFmtId="0" fontId="3" fillId="0" borderId="0" xfId="0" applyFont="1" applyAlignment="1">
      <alignment horizontal="right"/>
    </xf>
    <xf numFmtId="37" fontId="3" fillId="0" borderId="0" xfId="0" applyNumberFormat="1" applyFont="1"/>
    <xf numFmtId="169" fontId="3" fillId="0" borderId="0" xfId="0" applyNumberFormat="1" applyFont="1"/>
    <xf numFmtId="169" fontId="3" fillId="0" borderId="0" xfId="0" applyNumberFormat="1" applyFont="1" applyFill="1"/>
    <xf numFmtId="187" fontId="3" fillId="0" borderId="0" xfId="0" applyNumberFormat="1" applyFont="1" applyFill="1"/>
    <xf numFmtId="187" fontId="3" fillId="0" borderId="0" xfId="0" applyNumberFormat="1" applyFont="1"/>
    <xf numFmtId="189" fontId="3" fillId="0" borderId="0" xfId="0" applyNumberFormat="1" applyFont="1"/>
    <xf numFmtId="17" fontId="57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right"/>
    </xf>
    <xf numFmtId="37" fontId="3" fillId="0" borderId="0" xfId="0" applyNumberFormat="1" applyFont="1" applyFill="1" applyBorder="1"/>
    <xf numFmtId="0" fontId="56" fillId="0" borderId="0" xfId="0" applyFont="1" applyFill="1"/>
    <xf numFmtId="17" fontId="48" fillId="0" borderId="0" xfId="0" applyNumberFormat="1" applyFont="1" applyFill="1" applyBorder="1" applyAlignment="1">
      <alignment horizontal="left"/>
    </xf>
    <xf numFmtId="187" fontId="56" fillId="0" borderId="0" xfId="0" applyNumberFormat="1" applyFont="1" applyFill="1"/>
    <xf numFmtId="0" fontId="57" fillId="0" borderId="0" xfId="105" applyFont="1" applyFill="1" applyBorder="1"/>
    <xf numFmtId="0" fontId="3" fillId="0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0" fontId="3" fillId="0" borderId="0" xfId="0" applyFont="1"/>
    <xf numFmtId="0" fontId="57" fillId="0" borderId="0" xfId="0" applyFont="1" applyFill="1" applyBorder="1" applyAlignment="1">
      <alignment horizontal="centerContinuous"/>
    </xf>
    <xf numFmtId="0" fontId="57" fillId="0" borderId="0" xfId="0" applyFont="1" applyFill="1" applyBorder="1" applyAlignment="1">
      <alignment horizontal="center"/>
    </xf>
    <xf numFmtId="0" fontId="9" fillId="0" borderId="36" xfId="0" applyFont="1" applyFill="1" applyBorder="1" applyAlignment="1">
      <alignment horizontal="left" vertical="center"/>
    </xf>
    <xf numFmtId="0" fontId="9" fillId="0" borderId="37" xfId="0" applyFont="1" applyFill="1" applyBorder="1" applyAlignment="1">
      <alignment horizontal="right" vertical="center"/>
    </xf>
    <xf numFmtId="0" fontId="60" fillId="0" borderId="0" xfId="0" applyFont="1" applyFill="1" applyBorder="1" applyAlignment="1">
      <alignment horizontal="centerContinuous"/>
    </xf>
    <xf numFmtId="0" fontId="4" fillId="0" borderId="0" xfId="9" applyFill="1"/>
    <xf numFmtId="49" fontId="44" fillId="0" borderId="0" xfId="4" applyNumberFormat="1" applyFont="1" applyFill="1"/>
    <xf numFmtId="0" fontId="44" fillId="0" borderId="0" xfId="4" applyFont="1" applyFill="1" applyAlignment="1">
      <alignment horizontal="center"/>
    </xf>
    <xf numFmtId="165" fontId="4" fillId="0" borderId="0" xfId="4" applyNumberFormat="1" applyFont="1" applyFill="1"/>
    <xf numFmtId="178" fontId="4" fillId="0" borderId="0" xfId="4" applyNumberFormat="1" applyFont="1" applyFill="1"/>
    <xf numFmtId="165" fontId="4" fillId="0" borderId="0" xfId="4" applyNumberFormat="1" applyFont="1" applyFill="1" applyAlignment="1">
      <alignment wrapText="1"/>
    </xf>
    <xf numFmtId="165" fontId="4" fillId="0" borderId="0" xfId="4" applyNumberFormat="1" applyFont="1" applyFill="1" applyAlignment="1"/>
    <xf numFmtId="0" fontId="21" fillId="0" borderId="0" xfId="62" applyFont="1" applyAlignment="1">
      <alignment horizontal="center"/>
    </xf>
    <xf numFmtId="0" fontId="4" fillId="0" borderId="0" xfId="62" applyFont="1" applyAlignment="1">
      <alignment horizontal="center"/>
    </xf>
    <xf numFmtId="37" fontId="4" fillId="0" borderId="9" xfId="0" applyNumberFormat="1" applyFont="1" applyBorder="1"/>
    <xf numFmtId="0" fontId="4" fillId="0" borderId="0" xfId="62" applyFont="1" applyFill="1" applyAlignment="1">
      <alignment horizontal="center"/>
    </xf>
    <xf numFmtId="0" fontId="4" fillId="0" borderId="1" xfId="62" quotePrefix="1" applyFont="1" applyFill="1" applyBorder="1" applyAlignment="1">
      <alignment horizontal="center"/>
    </xf>
    <xf numFmtId="0" fontId="4" fillId="0" borderId="0" xfId="62" quotePrefix="1" applyFont="1" applyFill="1" applyBorder="1" applyAlignment="1">
      <alignment horizontal="center"/>
    </xf>
    <xf numFmtId="0" fontId="4" fillId="0" borderId="0" xfId="62" applyFont="1" applyBorder="1" applyAlignment="1">
      <alignment horizontal="center" wrapText="1"/>
    </xf>
    <xf numFmtId="0" fontId="4" fillId="0" borderId="0" xfId="62" applyFont="1" applyFill="1" applyBorder="1" applyAlignment="1">
      <alignment horizontal="center"/>
    </xf>
    <xf numFmtId="0" fontId="4" fillId="0" borderId="0" xfId="62" applyFont="1" applyFill="1" applyBorder="1" applyAlignment="1">
      <alignment horizontal="center" wrapText="1"/>
    </xf>
    <xf numFmtId="0" fontId="4" fillId="0" borderId="0" xfId="62" quotePrefix="1" applyFont="1" applyBorder="1" applyAlignment="1">
      <alignment horizontal="center"/>
    </xf>
    <xf numFmtId="176" fontId="4" fillId="0" borderId="0" xfId="96" applyNumberFormat="1" applyFont="1"/>
    <xf numFmtId="191" fontId="4" fillId="0" borderId="0" xfId="96" applyNumberFormat="1" applyFont="1"/>
    <xf numFmtId="190" fontId="4" fillId="0" borderId="3" xfId="106" applyNumberFormat="1" applyFont="1" applyBorder="1"/>
    <xf numFmtId="176" fontId="4" fillId="0" borderId="3" xfId="96" applyNumberFormat="1" applyFont="1" applyBorder="1"/>
    <xf numFmtId="190" fontId="4" fillId="0" borderId="3" xfId="106" applyNumberFormat="1" applyFont="1" applyFill="1" applyBorder="1"/>
    <xf numFmtId="41" fontId="4" fillId="0" borderId="0" xfId="95" applyNumberFormat="1" applyFont="1"/>
    <xf numFmtId="42" fontId="4" fillId="0" borderId="0" xfId="95" applyNumberFormat="1" applyFont="1" applyAlignment="1">
      <alignment horizontal="right"/>
    </xf>
    <xf numFmtId="41" fontId="4" fillId="0" borderId="0" xfId="95" applyNumberFormat="1" applyFont="1" applyAlignment="1">
      <alignment horizontal="right"/>
    </xf>
    <xf numFmtId="0" fontId="4" fillId="0" borderId="0" xfId="62" applyFont="1" applyBorder="1"/>
    <xf numFmtId="0" fontId="4" fillId="0" borderId="0" xfId="62" applyFont="1" applyAlignment="1"/>
    <xf numFmtId="171" fontId="4" fillId="0" borderId="3" xfId="96" applyNumberFormat="1" applyFont="1" applyBorder="1"/>
    <xf numFmtId="0" fontId="29" fillId="0" borderId="0" xfId="62" applyFont="1" applyAlignment="1">
      <alignment horizontal="centerContinuous"/>
    </xf>
    <xf numFmtId="0" fontId="29" fillId="0" borderId="0" xfId="62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Continuous"/>
    </xf>
    <xf numFmtId="0" fontId="61" fillId="0" borderId="0" xfId="0" applyFont="1"/>
    <xf numFmtId="42" fontId="0" fillId="0" borderId="0" xfId="0" applyNumberFormat="1"/>
    <xf numFmtId="42" fontId="0" fillId="0" borderId="1" xfId="0" applyNumberFormat="1" applyBorder="1"/>
    <xf numFmtId="41" fontId="0" fillId="0" borderId="0" xfId="0" applyNumberFormat="1"/>
    <xf numFmtId="44" fontId="0" fillId="0" borderId="0" xfId="0" applyNumberFormat="1"/>
    <xf numFmtId="44" fontId="0" fillId="0" borderId="9" xfId="0" applyNumberFormat="1" applyBorder="1"/>
    <xf numFmtId="0" fontId="4" fillId="38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1" xfId="0" applyBorder="1"/>
    <xf numFmtId="42" fontId="0" fillId="0" borderId="0" xfId="0" applyNumberFormat="1" applyBorder="1"/>
    <xf numFmtId="41" fontId="0" fillId="0" borderId="0" xfId="0" applyNumberFormat="1" applyBorder="1"/>
    <xf numFmtId="44" fontId="0" fillId="0" borderId="0" xfId="0" applyNumberFormat="1" applyBorder="1"/>
    <xf numFmtId="0" fontId="61" fillId="0" borderId="21" xfId="0" applyFont="1" applyBorder="1"/>
    <xf numFmtId="0" fontId="61" fillId="0" borderId="21" xfId="0" applyFont="1" applyFill="1" applyBorder="1"/>
    <xf numFmtId="0" fontId="61" fillId="0" borderId="21" xfId="0" applyFont="1" applyBorder="1" applyAlignment="1">
      <alignment horizontal="center"/>
    </xf>
    <xf numFmtId="0" fontId="61" fillId="0" borderId="0" xfId="0" applyFont="1" applyFill="1" applyAlignment="1">
      <alignment horizontal="center"/>
    </xf>
    <xf numFmtId="0" fontId="61" fillId="0" borderId="1" xfId="0" applyFont="1" applyFill="1" applyBorder="1" applyAlignment="1">
      <alignment horizontal="center"/>
    </xf>
    <xf numFmtId="4" fontId="4" fillId="0" borderId="0" xfId="8" applyNumberFormat="1" applyFont="1" applyAlignment="1">
      <alignment horizontal="center"/>
    </xf>
    <xf numFmtId="49" fontId="4" fillId="0" borderId="0" xfId="3" applyNumberFormat="1" applyFont="1" applyBorder="1" applyAlignment="1">
      <alignment horizontal="left"/>
    </xf>
    <xf numFmtId="0" fontId="4" fillId="0" borderId="1" xfId="3" applyFont="1" applyFill="1" applyBorder="1" applyAlignment="1">
      <alignment horizontal="center"/>
    </xf>
    <xf numFmtId="0" fontId="4" fillId="0" borderId="0" xfId="8" applyFont="1" applyFill="1"/>
    <xf numFmtId="166" fontId="4" fillId="0" borderId="1" xfId="1" applyNumberFormat="1" applyFont="1" applyFill="1" applyBorder="1"/>
    <xf numFmtId="166" fontId="4" fillId="0" borderId="9" xfId="1" applyNumberFormat="1" applyFont="1" applyBorder="1"/>
    <xf numFmtId="171" fontId="4" fillId="0" borderId="9" xfId="12" applyNumberFormat="1" applyFont="1" applyBorder="1"/>
    <xf numFmtId="166" fontId="4" fillId="0" borderId="1" xfId="1" applyNumberFormat="1" applyFont="1" applyBorder="1"/>
    <xf numFmtId="0" fontId="4" fillId="0" borderId="0" xfId="3" quotePrefix="1" applyFont="1" applyFill="1" applyAlignment="1">
      <alignment horizontal="left"/>
    </xf>
    <xf numFmtId="185" fontId="4" fillId="0" borderId="0" xfId="8" applyNumberFormat="1" applyFont="1" applyFill="1"/>
    <xf numFmtId="0" fontId="4" fillId="0" borderId="3" xfId="8" applyFont="1" applyBorder="1"/>
    <xf numFmtId="0" fontId="17" fillId="0" borderId="0" xfId="8" applyFont="1" applyAlignment="1">
      <alignment horizontal="center"/>
    </xf>
    <xf numFmtId="37" fontId="4" fillId="0" borderId="0" xfId="3" applyNumberFormat="1" applyFont="1" applyFill="1" applyAlignment="1">
      <alignment horizontal="right"/>
    </xf>
    <xf numFmtId="37" fontId="4" fillId="0" borderId="1" xfId="3" applyNumberFormat="1" applyFont="1" applyFill="1" applyBorder="1" applyAlignment="1">
      <alignment horizontal="right"/>
    </xf>
    <xf numFmtId="166" fontId="18" fillId="30" borderId="0" xfId="1" applyNumberFormat="1" applyFont="1" applyFill="1"/>
    <xf numFmtId="166" fontId="4" fillId="30" borderId="0" xfId="1" applyNumberFormat="1" applyFont="1" applyFill="1"/>
    <xf numFmtId="0" fontId="4" fillId="41" borderId="0" xfId="0" applyFont="1" applyFill="1"/>
    <xf numFmtId="37" fontId="4" fillId="0" borderId="34" xfId="0" applyNumberFormat="1" applyFont="1" applyBorder="1" applyProtection="1">
      <protection locked="0"/>
    </xf>
    <xf numFmtId="37" fontId="18" fillId="5" borderId="0" xfId="0" applyNumberFormat="1" applyFont="1" applyFill="1" applyProtection="1">
      <protection locked="0"/>
    </xf>
    <xf numFmtId="37" fontId="4" fillId="0" borderId="0" xfId="7" applyNumberFormat="1" applyFont="1"/>
    <xf numFmtId="37" fontId="9" fillId="0" borderId="0" xfId="7" applyNumberFormat="1" applyFont="1"/>
    <xf numFmtId="37" fontId="4" fillId="0" borderId="0" xfId="7" applyNumberFormat="1" applyFont="1" applyFill="1" applyBorder="1"/>
    <xf numFmtId="166" fontId="3" fillId="0" borderId="48" xfId="0" applyNumberFormat="1" applyFont="1" applyFill="1" applyBorder="1"/>
    <xf numFmtId="188" fontId="3" fillId="0" borderId="51" xfId="0" applyNumberFormat="1" applyFont="1" applyFill="1" applyBorder="1"/>
    <xf numFmtId="166" fontId="44" fillId="30" borderId="0" xfId="1" applyNumberFormat="1" applyFont="1" applyFill="1"/>
    <xf numFmtId="0" fontId="17" fillId="0" borderId="0" xfId="7" applyFont="1"/>
    <xf numFmtId="37" fontId="27" fillId="0" borderId="0" xfId="7" applyNumberFormat="1" applyFont="1"/>
    <xf numFmtId="0" fontId="4" fillId="43" borderId="0" xfId="0" applyFont="1" applyFill="1"/>
    <xf numFmtId="37" fontId="44" fillId="39" borderId="0" xfId="3" applyNumberFormat="1" applyFont="1" applyFill="1" applyBorder="1" applyAlignment="1">
      <alignment horizontal="right"/>
    </xf>
    <xf numFmtId="0" fontId="4" fillId="0" borderId="0" xfId="3" applyFont="1" applyBorder="1" applyAlignment="1"/>
    <xf numFmtId="0" fontId="16" fillId="0" borderId="0" xfId="62" applyFont="1" applyAlignment="1" applyProtection="1">
      <alignment horizontal="center"/>
    </xf>
    <xf numFmtId="37" fontId="18" fillId="31" borderId="0" xfId="0" applyNumberFormat="1" applyFont="1" applyFill="1" applyProtection="1">
      <protection locked="0"/>
    </xf>
    <xf numFmtId="37" fontId="44" fillId="31" borderId="0" xfId="0" applyNumberFormat="1" applyFont="1" applyFill="1" applyProtection="1">
      <protection locked="0"/>
    </xf>
    <xf numFmtId="37" fontId="4" fillId="38" borderId="0" xfId="0" applyNumberFormat="1" applyFont="1" applyFill="1" applyProtection="1"/>
    <xf numFmtId="37" fontId="4" fillId="5" borderId="0" xfId="0" applyNumberFormat="1" applyFont="1" applyFill="1" applyProtection="1">
      <protection locked="0"/>
    </xf>
    <xf numFmtId="166" fontId="4" fillId="5" borderId="0" xfId="3" applyNumberFormat="1" applyFont="1" applyFill="1"/>
    <xf numFmtId="191" fontId="4" fillId="0" borderId="3" xfId="96" applyNumberFormat="1" applyFont="1" applyBorder="1"/>
    <xf numFmtId="37" fontId="27" fillId="0" borderId="0" xfId="3" applyNumberFormat="1" applyFont="1"/>
    <xf numFmtId="193" fontId="4" fillId="0" borderId="0" xfId="3" applyNumberFormat="1" applyFont="1"/>
    <xf numFmtId="193" fontId="27" fillId="0" borderId="0" xfId="3" applyNumberFormat="1" applyFont="1"/>
    <xf numFmtId="0" fontId="4" fillId="0" borderId="0" xfId="107" applyFont="1" applyFill="1" applyAlignment="1" applyProtection="1">
      <alignment horizontal="left"/>
    </xf>
    <xf numFmtId="0" fontId="4" fillId="0" borderId="0" xfId="107" applyFont="1" applyFill="1" applyAlignment="1" applyProtection="1">
      <alignment horizontal="fill"/>
    </xf>
    <xf numFmtId="0" fontId="27" fillId="0" borderId="0" xfId="107" applyFont="1" applyFill="1" applyAlignment="1" applyProtection="1">
      <alignment horizontal="left"/>
    </xf>
    <xf numFmtId="192" fontId="62" fillId="0" borderId="0" xfId="107" quotePrefix="1" applyNumberFormat="1" applyFont="1" applyFill="1" applyAlignment="1" applyProtection="1">
      <alignment horizontal="center"/>
      <protection locked="0"/>
    </xf>
    <xf numFmtId="0" fontId="4" fillId="0" borderId="0" xfId="107" applyFont="1" applyFill="1" applyAlignment="1" applyProtection="1">
      <alignment horizontal="center"/>
    </xf>
    <xf numFmtId="193" fontId="18" fillId="0" borderId="0" xfId="107" applyNumberFormat="1" applyFont="1" applyFill="1" applyProtection="1">
      <protection locked="0"/>
    </xf>
    <xf numFmtId="193" fontId="46" fillId="0" borderId="0" xfId="107" applyNumberFormat="1" applyFont="1" applyFill="1" applyProtection="1">
      <protection locked="0"/>
    </xf>
    <xf numFmtId="193" fontId="63" fillId="0" borderId="0" xfId="107" applyNumberFormat="1" applyFont="1" applyFill="1" applyProtection="1">
      <protection locked="0"/>
    </xf>
    <xf numFmtId="0" fontId="4" fillId="0" borderId="0" xfId="107" applyFont="1" applyFill="1"/>
    <xf numFmtId="193" fontId="64" fillId="0" borderId="0" xfId="107" applyNumberFormat="1" applyFont="1" applyFill="1" applyProtection="1"/>
    <xf numFmtId="0" fontId="4" fillId="0" borderId="0" xfId="107" applyFont="1" applyFill="1" applyAlignment="1" applyProtection="1">
      <alignment horizontal="left" indent="1"/>
    </xf>
    <xf numFmtId="0" fontId="4" fillId="35" borderId="34" xfId="0" applyFont="1" applyFill="1" applyBorder="1"/>
    <xf numFmtId="17" fontId="4" fillId="35" borderId="54" xfId="0" applyNumberFormat="1" applyFont="1" applyFill="1" applyBorder="1" applyAlignment="1">
      <alignment horizontal="center"/>
    </xf>
    <xf numFmtId="17" fontId="4" fillId="35" borderId="21" xfId="0" applyNumberFormat="1" applyFont="1" applyFill="1" applyBorder="1" applyAlignment="1">
      <alignment horizontal="center"/>
    </xf>
    <xf numFmtId="0" fontId="4" fillId="35" borderId="35" xfId="0" applyFont="1" applyFill="1" applyBorder="1" applyAlignment="1">
      <alignment horizontal="center"/>
    </xf>
    <xf numFmtId="37" fontId="4" fillId="35" borderId="0" xfId="4" applyNumberFormat="1" applyFont="1" applyFill="1" applyBorder="1"/>
    <xf numFmtId="0" fontId="4" fillId="35" borderId="21" xfId="0" applyFont="1" applyFill="1" applyBorder="1"/>
    <xf numFmtId="0" fontId="4" fillId="35" borderId="35" xfId="0" applyFont="1" applyFill="1" applyBorder="1"/>
    <xf numFmtId="37" fontId="4" fillId="35" borderId="1" xfId="0" applyNumberFormat="1" applyFont="1" applyFill="1" applyBorder="1"/>
    <xf numFmtId="37" fontId="4" fillId="35" borderId="25" xfId="0" applyNumberFormat="1" applyFont="1" applyFill="1" applyBorder="1"/>
    <xf numFmtId="0" fontId="4" fillId="35" borderId="26" xfId="4" applyFill="1" applyBorder="1"/>
    <xf numFmtId="0" fontId="4" fillId="35" borderId="24" xfId="4" applyFill="1" applyBorder="1"/>
    <xf numFmtId="37" fontId="4" fillId="44" borderId="27" xfId="0" applyNumberFormat="1" applyFont="1" applyFill="1" applyBorder="1"/>
    <xf numFmtId="37" fontId="4" fillId="45" borderId="27" xfId="0" applyNumberFormat="1" applyFont="1" applyFill="1" applyBorder="1"/>
    <xf numFmtId="37" fontId="4" fillId="42" borderId="27" xfId="0" applyNumberFormat="1" applyFont="1" applyFill="1" applyBorder="1"/>
    <xf numFmtId="37" fontId="4" fillId="5" borderId="27" xfId="0" applyNumberFormat="1" applyFont="1" applyFill="1" applyBorder="1"/>
    <xf numFmtId="37" fontId="4" fillId="46" borderId="25" xfId="0" applyNumberFormat="1" applyFont="1" applyFill="1" applyBorder="1"/>
    <xf numFmtId="37" fontId="4" fillId="46" borderId="27" xfId="0" applyNumberFormat="1" applyFont="1" applyFill="1" applyBorder="1"/>
    <xf numFmtId="37" fontId="4" fillId="5" borderId="0" xfId="4" applyNumberFormat="1" applyFont="1" applyFill="1" applyBorder="1"/>
    <xf numFmtId="164" fontId="4" fillId="34" borderId="26" xfId="0" applyNumberFormat="1" applyFont="1" applyFill="1" applyBorder="1" applyProtection="1">
      <protection locked="0"/>
    </xf>
    <xf numFmtId="0" fontId="4" fillId="0" borderId="0" xfId="3" applyFont="1" applyFill="1" applyAlignment="1">
      <alignment horizontal="center" wrapText="1"/>
    </xf>
    <xf numFmtId="49" fontId="4" fillId="0" borderId="0" xfId="3" applyNumberFormat="1" applyFont="1" applyFill="1" applyAlignment="1">
      <alignment horizontal="center"/>
    </xf>
    <xf numFmtId="171" fontId="4" fillId="0" borderId="3" xfId="3" applyNumberFormat="1" applyFont="1" applyFill="1" applyBorder="1"/>
    <xf numFmtId="164" fontId="4" fillId="47" borderId="0" xfId="0" applyNumberFormat="1" applyFont="1" applyFill="1" applyProtection="1"/>
    <xf numFmtId="164" fontId="44" fillId="47" borderId="0" xfId="0" applyNumberFormat="1" applyFont="1" applyFill="1" applyProtection="1"/>
    <xf numFmtId="0" fontId="4" fillId="40" borderId="0" xfId="62" applyFont="1" applyFill="1" applyBorder="1"/>
    <xf numFmtId="190" fontId="4" fillId="40" borderId="0" xfId="106" applyNumberFormat="1" applyFont="1" applyFill="1" applyBorder="1"/>
    <xf numFmtId="166" fontId="4" fillId="40" borderId="0" xfId="62" applyNumberFormat="1" applyFont="1" applyFill="1" applyBorder="1"/>
    <xf numFmtId="190" fontId="4" fillId="40" borderId="3" xfId="106" applyNumberFormat="1" applyFont="1" applyFill="1" applyBorder="1"/>
    <xf numFmtId="0" fontId="4" fillId="40" borderId="7" xfId="62" applyFont="1" applyFill="1" applyBorder="1"/>
    <xf numFmtId="37" fontId="44" fillId="0" borderId="1" xfId="62" applyNumberFormat="1" applyFont="1" applyFill="1" applyBorder="1" applyProtection="1"/>
    <xf numFmtId="0" fontId="4" fillId="0" borderId="0" xfId="62" applyFont="1" applyFill="1" applyBorder="1" applyProtection="1"/>
    <xf numFmtId="0" fontId="4" fillId="0" borderId="0" xfId="62" applyFont="1" applyFill="1" applyProtection="1">
      <protection locked="0"/>
    </xf>
    <xf numFmtId="0" fontId="4" fillId="0" borderId="58" xfId="62" applyFont="1" applyFill="1" applyBorder="1" applyProtection="1"/>
    <xf numFmtId="10" fontId="9" fillId="0" borderId="0" xfId="0" applyNumberFormat="1" applyFont="1" applyFill="1" applyAlignment="1">
      <alignment horizontal="center"/>
    </xf>
    <xf numFmtId="0" fontId="27" fillId="40" borderId="0" xfId="62" quotePrefix="1" applyFont="1" applyFill="1" applyBorder="1" applyAlignment="1">
      <alignment horizontal="center"/>
    </xf>
    <xf numFmtId="190" fontId="4" fillId="34" borderId="0" xfId="106" applyNumberFormat="1" applyFont="1" applyFill="1" applyBorder="1"/>
    <xf numFmtId="166" fontId="4" fillId="34" borderId="0" xfId="62" applyNumberFormat="1" applyFont="1" applyFill="1" applyBorder="1"/>
    <xf numFmtId="0" fontId="4" fillId="40" borderId="1" xfId="62" applyFont="1" applyFill="1" applyBorder="1" applyAlignment="1">
      <alignment horizontal="centerContinuous"/>
    </xf>
    <xf numFmtId="0" fontId="4" fillId="34" borderId="1" xfId="0" applyFont="1" applyFill="1" applyBorder="1" applyAlignment="1">
      <alignment horizontal="centerContinuous"/>
    </xf>
    <xf numFmtId="190" fontId="4" fillId="34" borderId="3" xfId="106" applyNumberFormat="1" applyFont="1" applyFill="1" applyBorder="1"/>
    <xf numFmtId="0" fontId="27" fillId="34" borderId="0" xfId="0" applyFont="1" applyFill="1" applyBorder="1" applyAlignment="1">
      <alignment horizontal="center"/>
    </xf>
    <xf numFmtId="0" fontId="4" fillId="34" borderId="55" xfId="0" applyFont="1" applyFill="1" applyBorder="1" applyAlignment="1">
      <alignment horizontal="centerContinuous"/>
    </xf>
    <xf numFmtId="0" fontId="27" fillId="34" borderId="29" xfId="0" applyFont="1" applyFill="1" applyBorder="1" applyAlignment="1">
      <alignment horizontal="center"/>
    </xf>
    <xf numFmtId="0" fontId="4" fillId="34" borderId="29" xfId="0" applyFont="1" applyFill="1" applyBorder="1"/>
    <xf numFmtId="166" fontId="4" fillId="34" borderId="29" xfId="62" applyNumberFormat="1" applyFont="1" applyFill="1" applyBorder="1"/>
    <xf numFmtId="190" fontId="4" fillId="34" borderId="57" xfId="106" applyNumberFormat="1" applyFont="1" applyFill="1" applyBorder="1"/>
    <xf numFmtId="0" fontId="4" fillId="34" borderId="7" xfId="0" applyFont="1" applyFill="1" applyBorder="1"/>
    <xf numFmtId="0" fontId="4" fillId="34" borderId="53" xfId="0" applyFont="1" applyFill="1" applyBorder="1"/>
    <xf numFmtId="0" fontId="21" fillId="47" borderId="61" xfId="62" applyFont="1" applyFill="1" applyBorder="1" applyAlignment="1">
      <alignment horizontal="centerContinuous"/>
    </xf>
    <xf numFmtId="0" fontId="4" fillId="47" borderId="62" xfId="62" applyFont="1" applyFill="1" applyBorder="1" applyAlignment="1">
      <alignment horizontal="centerContinuous"/>
    </xf>
    <xf numFmtId="0" fontId="4" fillId="47" borderId="62" xfId="0" applyFont="1" applyFill="1" applyBorder="1" applyAlignment="1">
      <alignment horizontal="centerContinuous"/>
    </xf>
    <xf numFmtId="0" fontId="4" fillId="47" borderId="63" xfId="0" applyFont="1" applyFill="1" applyBorder="1" applyAlignment="1">
      <alignment horizontal="centerContinuous"/>
    </xf>
    <xf numFmtId="0" fontId="4" fillId="41" borderId="0" xfId="0" applyFont="1" applyFill="1" applyAlignment="1">
      <alignment horizontal="center"/>
    </xf>
    <xf numFmtId="37" fontId="44" fillId="41" borderId="1" xfId="62" applyNumberFormat="1" applyFont="1" applyFill="1" applyBorder="1" applyProtection="1"/>
    <xf numFmtId="0" fontId="4" fillId="41" borderId="1" xfId="0" applyFont="1" applyFill="1" applyBorder="1"/>
    <xf numFmtId="10" fontId="9" fillId="41" borderId="0" xfId="0" applyNumberFormat="1" applyFont="1" applyFill="1" applyAlignment="1">
      <alignment horizontal="center"/>
    </xf>
    <xf numFmtId="0" fontId="9" fillId="41" borderId="0" xfId="0" applyFont="1" applyFill="1"/>
    <xf numFmtId="37" fontId="4" fillId="41" borderId="1" xfId="0" applyNumberFormat="1" applyFont="1" applyFill="1" applyBorder="1"/>
    <xf numFmtId="0" fontId="4" fillId="41" borderId="24" xfId="0" applyFont="1" applyFill="1" applyBorder="1"/>
    <xf numFmtId="0" fontId="4" fillId="41" borderId="25" xfId="0" applyFont="1" applyFill="1" applyBorder="1"/>
    <xf numFmtId="37" fontId="4" fillId="41" borderId="1" xfId="0" applyNumberFormat="1" applyFont="1" applyFill="1" applyBorder="1" applyProtection="1"/>
    <xf numFmtId="0" fontId="4" fillId="41" borderId="0" xfId="62" applyFont="1" applyFill="1" applyBorder="1" applyProtection="1"/>
    <xf numFmtId="0" fontId="9" fillId="41" borderId="0" xfId="0" applyFont="1" applyFill="1" applyAlignment="1">
      <alignment horizontal="center"/>
    </xf>
    <xf numFmtId="37" fontId="4" fillId="41" borderId="0" xfId="0" applyNumberFormat="1" applyFont="1" applyFill="1"/>
    <xf numFmtId="37" fontId="4" fillId="41" borderId="26" xfId="0" applyNumberFormat="1" applyFont="1" applyFill="1" applyBorder="1" applyProtection="1"/>
    <xf numFmtId="37" fontId="4" fillId="41" borderId="0" xfId="0" applyNumberFormat="1" applyFont="1" applyFill="1" applyBorder="1" applyProtection="1"/>
    <xf numFmtId="37" fontId="4" fillId="41" borderId="27" xfId="0" applyNumberFormat="1" applyFont="1" applyFill="1" applyBorder="1" applyProtection="1"/>
    <xf numFmtId="37" fontId="4" fillId="41" borderId="0" xfId="0" applyNumberFormat="1" applyFont="1" applyFill="1" applyProtection="1"/>
    <xf numFmtId="0" fontId="4" fillId="41" borderId="0" xfId="62" applyFont="1" applyFill="1" applyProtection="1">
      <protection locked="0"/>
    </xf>
    <xf numFmtId="0" fontId="4" fillId="41" borderId="58" xfId="62" applyFont="1" applyFill="1" applyBorder="1" applyProtection="1"/>
    <xf numFmtId="37" fontId="4" fillId="41" borderId="21" xfId="0" applyNumberFormat="1" applyFont="1" applyFill="1" applyBorder="1" applyProtection="1"/>
    <xf numFmtId="37" fontId="19" fillId="41" borderId="22" xfId="0" applyNumberFormat="1" applyFont="1" applyFill="1" applyBorder="1" applyProtection="1"/>
    <xf numFmtId="37" fontId="19" fillId="41" borderId="2" xfId="0" applyNumberFormat="1" applyFont="1" applyFill="1" applyBorder="1" applyProtection="1"/>
    <xf numFmtId="37" fontId="19" fillId="41" borderId="23" xfId="0" applyNumberFormat="1" applyFont="1" applyFill="1" applyBorder="1" applyProtection="1"/>
    <xf numFmtId="0" fontId="4" fillId="41" borderId="26" xfId="0" applyFont="1" applyFill="1" applyBorder="1"/>
    <xf numFmtId="0" fontId="4" fillId="41" borderId="0" xfId="0" applyFont="1" applyFill="1" applyBorder="1"/>
    <xf numFmtId="0" fontId="4" fillId="41" borderId="27" xfId="0" applyFont="1" applyFill="1" applyBorder="1"/>
    <xf numFmtId="164" fontId="4" fillId="41" borderId="0" xfId="0" applyNumberFormat="1" applyFont="1" applyFill="1" applyProtection="1"/>
    <xf numFmtId="164" fontId="4" fillId="41" borderId="26" xfId="0" applyNumberFormat="1" applyFont="1" applyFill="1" applyBorder="1" applyProtection="1"/>
    <xf numFmtId="164" fontId="4" fillId="41" borderId="0" xfId="0" applyNumberFormat="1" applyFont="1" applyFill="1" applyBorder="1" applyProtection="1"/>
    <xf numFmtId="164" fontId="4" fillId="41" borderId="27" xfId="0" applyNumberFormat="1" applyFont="1" applyFill="1" applyBorder="1" applyProtection="1"/>
    <xf numFmtId="164" fontId="4" fillId="41" borderId="0" xfId="0" applyNumberFormat="1" applyFont="1" applyFill="1"/>
    <xf numFmtId="164" fontId="4" fillId="41" borderId="26" xfId="0" applyNumberFormat="1" applyFont="1" applyFill="1" applyBorder="1"/>
    <xf numFmtId="164" fontId="4" fillId="41" borderId="0" xfId="0" applyNumberFormat="1" applyFont="1" applyFill="1" applyBorder="1"/>
    <xf numFmtId="164" fontId="4" fillId="41" borderId="27" xfId="0" applyNumberFormat="1" applyFont="1" applyFill="1" applyBorder="1"/>
    <xf numFmtId="164" fontId="4" fillId="41" borderId="24" xfId="0" applyNumberFormat="1" applyFont="1" applyFill="1" applyBorder="1"/>
    <xf numFmtId="164" fontId="4" fillId="41" borderId="1" xfId="0" applyNumberFormat="1" applyFont="1" applyFill="1" applyBorder="1"/>
    <xf numFmtId="164" fontId="4" fillId="41" borderId="25" xfId="0" applyNumberFormat="1" applyFont="1" applyFill="1" applyBorder="1"/>
    <xf numFmtId="37" fontId="4" fillId="41" borderId="0" xfId="0" applyNumberFormat="1" applyFont="1" applyFill="1" applyProtection="1">
      <protection locked="0"/>
    </xf>
    <xf numFmtId="37" fontId="4" fillId="41" borderId="24" xfId="0" applyNumberFormat="1" applyFont="1" applyFill="1" applyBorder="1"/>
    <xf numFmtId="37" fontId="4" fillId="41" borderId="25" xfId="0" applyNumberFormat="1" applyFont="1" applyFill="1" applyBorder="1"/>
    <xf numFmtId="37" fontId="19" fillId="41" borderId="34" xfId="0" applyNumberFormat="1" applyFont="1" applyFill="1" applyBorder="1" applyProtection="1"/>
    <xf numFmtId="37" fontId="19" fillId="41" borderId="60" xfId="0" applyNumberFormat="1" applyFont="1" applyFill="1" applyBorder="1" applyProtection="1"/>
    <xf numFmtId="37" fontId="19" fillId="34" borderId="34" xfId="0" applyNumberFormat="1" applyFont="1" applyFill="1" applyBorder="1" applyProtection="1"/>
    <xf numFmtId="37" fontId="19" fillId="34" borderId="59" xfId="0" applyNumberFormat="1" applyFont="1" applyFill="1" applyBorder="1" applyProtection="1"/>
    <xf numFmtId="37" fontId="19" fillId="34" borderId="60" xfId="0" applyNumberFormat="1" applyFont="1" applyFill="1" applyBorder="1" applyProtection="1"/>
    <xf numFmtId="37" fontId="4" fillId="34" borderId="59" xfId="0" applyNumberFormat="1" applyFont="1" applyFill="1" applyBorder="1" applyProtection="1"/>
    <xf numFmtId="37" fontId="4" fillId="34" borderId="60" xfId="0" applyNumberFormat="1" applyFont="1" applyFill="1" applyBorder="1" applyProtection="1"/>
    <xf numFmtId="0" fontId="4" fillId="47" borderId="43" xfId="62" applyFont="1" applyFill="1" applyBorder="1"/>
    <xf numFmtId="0" fontId="27" fillId="47" borderId="43" xfId="62" quotePrefix="1" applyFont="1" applyFill="1" applyBorder="1" applyAlignment="1">
      <alignment horizontal="center"/>
    </xf>
    <xf numFmtId="190" fontId="4" fillId="47" borderId="43" xfId="106" applyNumberFormat="1" applyFont="1" applyFill="1" applyBorder="1"/>
    <xf numFmtId="166" fontId="4" fillId="47" borderId="43" xfId="62" applyNumberFormat="1" applyFont="1" applyFill="1" applyBorder="1"/>
    <xf numFmtId="190" fontId="4" fillId="47" borderId="56" xfId="106" applyNumberFormat="1" applyFont="1" applyFill="1" applyBorder="1"/>
    <xf numFmtId="0" fontId="4" fillId="47" borderId="47" xfId="62" applyFont="1" applyFill="1" applyBorder="1"/>
    <xf numFmtId="0" fontId="18" fillId="34" borderId="0" xfId="62" applyFont="1" applyFill="1" applyBorder="1" applyAlignment="1" applyProtection="1">
      <alignment horizontal="center"/>
      <protection locked="0"/>
    </xf>
    <xf numFmtId="0" fontId="27" fillId="40" borderId="0" xfId="62" applyFont="1" applyFill="1" applyBorder="1" applyAlignment="1">
      <alignment horizontal="center"/>
    </xf>
    <xf numFmtId="37" fontId="44" fillId="41" borderId="24" xfId="0" applyNumberFormat="1" applyFont="1" applyFill="1" applyBorder="1"/>
    <xf numFmtId="37" fontId="44" fillId="41" borderId="1" xfId="0" applyNumberFormat="1" applyFont="1" applyFill="1" applyBorder="1"/>
    <xf numFmtId="37" fontId="44" fillId="41" borderId="25" xfId="0" applyNumberFormat="1" applyFont="1" applyFill="1" applyBorder="1"/>
    <xf numFmtId="37" fontId="19" fillId="41" borderId="59" xfId="0" applyNumberFormat="1" applyFont="1" applyFill="1" applyBorder="1" applyProtection="1"/>
    <xf numFmtId="0" fontId="4" fillId="34" borderId="0" xfId="0" applyFont="1" applyFill="1" applyBorder="1" applyAlignment="1">
      <alignment horizontal="center" wrapText="1"/>
    </xf>
    <xf numFmtId="37" fontId="4" fillId="41" borderId="26" xfId="0" applyNumberFormat="1" applyFont="1" applyFill="1" applyBorder="1"/>
    <xf numFmtId="37" fontId="4" fillId="41" borderId="0" xfId="0" applyNumberFormat="1" applyFont="1" applyFill="1" applyBorder="1"/>
    <xf numFmtId="37" fontId="4" fillId="41" borderId="27" xfId="0" applyNumberFormat="1" applyFont="1" applyFill="1" applyBorder="1"/>
    <xf numFmtId="0" fontId="4" fillId="0" borderId="0" xfId="0" applyFont="1" applyFill="1" applyAlignment="1">
      <alignment horizontal="center"/>
    </xf>
    <xf numFmtId="37" fontId="19" fillId="0" borderId="19" xfId="0" applyNumberFormat="1" applyFont="1" applyFill="1" applyBorder="1" applyProtection="1"/>
    <xf numFmtId="37" fontId="19" fillId="0" borderId="4" xfId="0" applyNumberFormat="1" applyFont="1" applyFill="1" applyBorder="1" applyProtection="1"/>
    <xf numFmtId="37" fontId="19" fillId="0" borderId="20" xfId="0" applyNumberFormat="1" applyFont="1" applyFill="1" applyBorder="1" applyProtection="1"/>
    <xf numFmtId="37" fontId="4" fillId="41" borderId="24" xfId="0" applyNumberFormat="1" applyFont="1" applyFill="1" applyBorder="1" applyProtection="1"/>
    <xf numFmtId="37" fontId="4" fillId="41" borderId="25" xfId="0" applyNumberFormat="1" applyFont="1" applyFill="1" applyBorder="1" applyProtection="1"/>
    <xf numFmtId="37" fontId="4" fillId="41" borderId="59" xfId="0" applyNumberFormat="1" applyFont="1" applyFill="1" applyBorder="1"/>
    <xf numFmtId="37" fontId="4" fillId="41" borderId="60" xfId="0" applyNumberFormat="1" applyFont="1" applyFill="1" applyBorder="1"/>
    <xf numFmtId="37" fontId="4" fillId="41" borderId="34" xfId="0" applyNumberFormat="1" applyFont="1" applyFill="1" applyBorder="1"/>
    <xf numFmtId="0" fontId="4" fillId="40" borderId="55" xfId="62" applyFont="1" applyFill="1" applyBorder="1" applyAlignment="1">
      <alignment horizontal="centerContinuous"/>
    </xf>
    <xf numFmtId="0" fontId="27" fillId="40" borderId="29" xfId="62" quotePrefix="1" applyFont="1" applyFill="1" applyBorder="1" applyAlignment="1">
      <alignment horizontal="center"/>
    </xf>
    <xf numFmtId="0" fontId="4" fillId="40" borderId="29" xfId="62" applyFont="1" applyFill="1" applyBorder="1"/>
    <xf numFmtId="190" fontId="4" fillId="40" borderId="29" xfId="106" applyNumberFormat="1" applyFont="1" applyFill="1" applyBorder="1"/>
    <xf numFmtId="166" fontId="4" fillId="40" borderId="29" xfId="62" applyNumberFormat="1" applyFont="1" applyFill="1" applyBorder="1"/>
    <xf numFmtId="190" fontId="4" fillId="40" borderId="57" xfId="106" applyNumberFormat="1" applyFont="1" applyFill="1" applyBorder="1"/>
    <xf numFmtId="0" fontId="4" fillId="40" borderId="0" xfId="0" applyFont="1" applyFill="1" applyBorder="1"/>
    <xf numFmtId="0" fontId="4" fillId="40" borderId="53" xfId="62" applyFont="1" applyFill="1" applyBorder="1"/>
    <xf numFmtId="190" fontId="4" fillId="40" borderId="43" xfId="106" applyNumberFormat="1" applyFont="1" applyFill="1" applyBorder="1"/>
    <xf numFmtId="0" fontId="65" fillId="0" borderId="0" xfId="0" applyFont="1"/>
    <xf numFmtId="0" fontId="9" fillId="0" borderId="1" xfId="3" applyFont="1" applyBorder="1" applyAlignment="1">
      <alignment horizontal="center"/>
    </xf>
    <xf numFmtId="0" fontId="9" fillId="0" borderId="0" xfId="3" applyFont="1" applyAlignment="1">
      <alignment horizontal="center"/>
    </xf>
    <xf numFmtId="0" fontId="29" fillId="0" borderId="0" xfId="0" applyFont="1" applyAlignment="1">
      <alignment horizontal="left"/>
    </xf>
    <xf numFmtId="166" fontId="18" fillId="0" borderId="0" xfId="1" applyNumberFormat="1" applyFont="1" applyFill="1"/>
    <xf numFmtId="166" fontId="46" fillId="0" borderId="0" xfId="1" applyNumberFormat="1" applyFont="1" applyFill="1"/>
    <xf numFmtId="49" fontId="9" fillId="0" borderId="0" xfId="4" applyNumberFormat="1" applyFont="1" applyFill="1" applyAlignment="1">
      <alignment horizontal="left"/>
    </xf>
    <xf numFmtId="2" fontId="9" fillId="0" borderId="0" xfId="9" applyNumberFormat="1" applyFont="1" applyFill="1" applyAlignment="1">
      <alignment horizontal="left"/>
    </xf>
    <xf numFmtId="180" fontId="4" fillId="0" borderId="0" xfId="4" applyNumberFormat="1" applyFont="1" applyFill="1" applyAlignment="1">
      <alignment horizontal="left"/>
    </xf>
    <xf numFmtId="166" fontId="4" fillId="0" borderId="0" xfId="1" applyNumberFormat="1" applyFill="1"/>
    <xf numFmtId="0" fontId="4" fillId="0" borderId="0" xfId="4" applyFill="1" applyAlignment="1">
      <alignment horizontal="center"/>
    </xf>
    <xf numFmtId="165" fontId="4" fillId="0" borderId="0" xfId="4" applyNumberFormat="1" applyFill="1" applyAlignment="1">
      <alignment horizontal="center"/>
    </xf>
    <xf numFmtId="0" fontId="4" fillId="0" borderId="1" xfId="4" applyFill="1" applyBorder="1" applyAlignment="1">
      <alignment horizontal="center"/>
    </xf>
    <xf numFmtId="0" fontId="4" fillId="0" borderId="0" xfId="4" applyFill="1" applyBorder="1" applyAlignment="1">
      <alignment horizontal="center"/>
    </xf>
    <xf numFmtId="0" fontId="4" fillId="0" borderId="0" xfId="4" quotePrefix="1" applyFill="1" applyBorder="1" applyAlignment="1">
      <alignment horizontal="center"/>
    </xf>
    <xf numFmtId="37" fontId="27" fillId="0" borderId="0" xfId="4" applyNumberFormat="1" applyFont="1" applyFill="1"/>
    <xf numFmtId="0" fontId="4" fillId="0" borderId="0" xfId="4" applyFont="1" applyFill="1"/>
    <xf numFmtId="37" fontId="18" fillId="0" borderId="0" xfId="4" applyNumberFormat="1" applyFont="1" applyFill="1"/>
    <xf numFmtId="165" fontId="18" fillId="0" borderId="0" xfId="4" applyNumberFormat="1" applyFont="1" applyFill="1" applyAlignment="1">
      <alignment horizontal="center"/>
    </xf>
    <xf numFmtId="0" fontId="18" fillId="0" borderId="0" xfId="4" applyFont="1" applyFill="1"/>
    <xf numFmtId="10" fontId="4" fillId="0" borderId="0" xfId="12" applyNumberFormat="1" applyFont="1" applyFill="1"/>
    <xf numFmtId="166" fontId="27" fillId="0" borderId="0" xfId="1" applyNumberFormat="1" applyFont="1" applyFill="1"/>
    <xf numFmtId="0" fontId="29" fillId="0" borderId="0" xfId="3" applyFont="1" applyBorder="1" applyAlignment="1">
      <alignment horizontal="left" indent="1"/>
    </xf>
    <xf numFmtId="183" fontId="4" fillId="0" borderId="0" xfId="3" applyNumberFormat="1" applyFont="1" applyFill="1" applyProtection="1">
      <protection locked="0"/>
    </xf>
    <xf numFmtId="184" fontId="4" fillId="0" borderId="0" xfId="6" applyNumberFormat="1" applyFont="1" applyFill="1"/>
    <xf numFmtId="3" fontId="44" fillId="0" borderId="8" xfId="3" applyNumberFormat="1" applyFont="1" applyFill="1" applyBorder="1"/>
    <xf numFmtId="184" fontId="44" fillId="0" borderId="0" xfId="3" applyNumberFormat="1" applyFont="1" applyFill="1" applyBorder="1"/>
    <xf numFmtId="184" fontId="4" fillId="0" borderId="0" xfId="3" applyNumberFormat="1" applyFont="1" applyBorder="1"/>
    <xf numFmtId="37" fontId="4" fillId="0" borderId="0" xfId="3" quotePrefix="1" applyNumberFormat="1" applyFont="1" applyFill="1" applyProtection="1">
      <protection locked="0"/>
    </xf>
    <xf numFmtId="44" fontId="4" fillId="0" borderId="0" xfId="3" quotePrefix="1" applyNumberFormat="1" applyFont="1" applyFill="1" applyProtection="1">
      <protection locked="0"/>
    </xf>
    <xf numFmtId="39" fontId="4" fillId="0" borderId="0" xfId="3" quotePrefix="1" applyNumberFormat="1" applyFont="1" applyFill="1" applyProtection="1">
      <protection locked="0"/>
    </xf>
    <xf numFmtId="37" fontId="18" fillId="0" borderId="21" xfId="3" applyNumberFormat="1" applyFont="1" applyFill="1" applyBorder="1" applyAlignment="1" applyProtection="1">
      <alignment horizontal="right"/>
    </xf>
    <xf numFmtId="39" fontId="18" fillId="0" borderId="21" xfId="3" applyNumberFormat="1" applyFont="1" applyFill="1" applyBorder="1" applyAlignment="1" applyProtection="1">
      <alignment horizontal="right"/>
    </xf>
    <xf numFmtId="37" fontId="4" fillId="0" borderId="1" xfId="3" applyNumberFormat="1" applyFont="1" applyFill="1" applyBorder="1" applyProtection="1"/>
    <xf numFmtId="44" fontId="4" fillId="0" borderId="1" xfId="3" applyNumberFormat="1" applyFont="1" applyFill="1" applyBorder="1" applyProtection="1"/>
    <xf numFmtId="37" fontId="18" fillId="0" borderId="0" xfId="3" applyNumberFormat="1" applyFont="1" applyFill="1"/>
    <xf numFmtId="39" fontId="18" fillId="0" borderId="0" xfId="3" applyNumberFormat="1" applyFont="1" applyFill="1"/>
    <xf numFmtId="37" fontId="18" fillId="0" borderId="0" xfId="3" applyNumberFormat="1" applyFont="1" applyFill="1" applyAlignment="1" applyProtection="1">
      <alignment horizontal="right"/>
    </xf>
    <xf numFmtId="39" fontId="18" fillId="0" borderId="0" xfId="3" applyNumberFormat="1" applyFont="1" applyFill="1" applyAlignment="1" applyProtection="1">
      <alignment horizontal="right"/>
    </xf>
    <xf numFmtId="37" fontId="9" fillId="0" borderId="0" xfId="3" applyNumberFormat="1" applyFont="1" applyFill="1" applyAlignment="1" applyProtection="1">
      <alignment horizontal="left"/>
    </xf>
    <xf numFmtId="39" fontId="9" fillId="0" borderId="0" xfId="3" applyNumberFormat="1" applyFont="1" applyFill="1" applyAlignment="1" applyProtection="1">
      <alignment horizontal="left"/>
    </xf>
    <xf numFmtId="0" fontId="9" fillId="0" borderId="0" xfId="3" applyFont="1" applyFill="1" applyAlignment="1" applyProtection="1">
      <alignment horizontal="left"/>
    </xf>
    <xf numFmtId="37" fontId="9" fillId="0" borderId="0" xfId="3" applyNumberFormat="1" applyFont="1" applyFill="1"/>
    <xf numFmtId="39" fontId="9" fillId="0" borderId="0" xfId="3" applyNumberFormat="1" applyFont="1" applyFill="1"/>
    <xf numFmtId="37" fontId="9" fillId="0" borderId="0" xfId="3" applyNumberFormat="1" applyFont="1" applyFill="1" applyAlignment="1" applyProtection="1">
      <alignment horizontal="center"/>
    </xf>
    <xf numFmtId="39" fontId="9" fillId="0" borderId="0" xfId="3" applyNumberFormat="1" applyFont="1" applyFill="1" applyAlignment="1" applyProtection="1">
      <alignment horizontal="center"/>
    </xf>
    <xf numFmtId="37" fontId="9" fillId="0" borderId="1" xfId="3" applyNumberFormat="1" applyFont="1" applyFill="1" applyBorder="1" applyAlignment="1" applyProtection="1">
      <alignment horizontal="center"/>
    </xf>
    <xf numFmtId="39" fontId="9" fillId="0" borderId="1" xfId="3" applyNumberFormat="1" applyFont="1" applyFill="1" applyBorder="1" applyAlignment="1" applyProtection="1">
      <alignment horizontal="center"/>
    </xf>
    <xf numFmtId="3" fontId="4" fillId="0" borderId="0" xfId="8" applyNumberFormat="1" applyFont="1" applyFill="1"/>
    <xf numFmtId="4" fontId="4" fillId="0" borderId="0" xfId="8" applyNumberFormat="1" applyFont="1" applyFill="1"/>
    <xf numFmtId="49" fontId="4" fillId="0" borderId="1" xfId="3" applyNumberFormat="1" applyFont="1" applyFill="1" applyBorder="1" applyAlignment="1">
      <alignment horizontal="center"/>
    </xf>
    <xf numFmtId="49" fontId="4" fillId="0" borderId="1" xfId="3" applyNumberFormat="1" applyFont="1" applyFill="1" applyBorder="1" applyAlignment="1">
      <alignment horizontal="center" wrapText="1"/>
    </xf>
    <xf numFmtId="42" fontId="4" fillId="0" borderId="0" xfId="1" applyNumberFormat="1" applyFont="1" applyFill="1"/>
    <xf numFmtId="37" fontId="44" fillId="0" borderId="0" xfId="3" applyNumberFormat="1" applyFont="1" applyFill="1"/>
    <xf numFmtId="185" fontId="4" fillId="0" borderId="0" xfId="3" applyNumberFormat="1" applyFont="1" applyFill="1"/>
    <xf numFmtId="185" fontId="4" fillId="0" borderId="0" xfId="1" applyNumberFormat="1" applyFont="1" applyFill="1"/>
    <xf numFmtId="166" fontId="18" fillId="0" borderId="1" xfId="1" applyNumberFormat="1" applyFont="1" applyFill="1" applyBorder="1"/>
    <xf numFmtId="0" fontId="4" fillId="0" borderId="1" xfId="0" quotePrefix="1" applyFont="1" applyFill="1" applyBorder="1" applyAlignment="1">
      <alignment horizontal="left"/>
    </xf>
    <xf numFmtId="0" fontId="18" fillId="0" borderId="0" xfId="62" applyFont="1" applyAlignment="1">
      <alignment horizontal="center"/>
    </xf>
    <xf numFmtId="0" fontId="44" fillId="0" borderId="0" xfId="62" applyFont="1" applyAlignment="1">
      <alignment horizontal="centerContinuous"/>
    </xf>
    <xf numFmtId="0" fontId="44" fillId="0" borderId="0" xfId="62" applyFont="1" applyAlignment="1">
      <alignment horizontal="center"/>
    </xf>
    <xf numFmtId="164" fontId="4" fillId="0" borderId="0" xfId="0" applyNumberFormat="1" applyFont="1" applyBorder="1" applyProtection="1"/>
    <xf numFmtId="171" fontId="9" fillId="0" borderId="0" xfId="12" applyNumberFormat="1" applyFont="1" applyFill="1" applyBorder="1" applyAlignment="1">
      <alignment horizontal="center"/>
    </xf>
    <xf numFmtId="0" fontId="17" fillId="0" borderId="0" xfId="3" applyFont="1" applyFill="1"/>
    <xf numFmtId="0" fontId="17" fillId="0" borderId="0" xfId="3" applyFont="1" applyAlignment="1">
      <alignment horizontal="left"/>
    </xf>
    <xf numFmtId="0" fontId="4" fillId="5" borderId="0" xfId="3" applyFont="1" applyFill="1" applyAlignment="1" applyProtection="1">
      <alignment horizontal="center"/>
    </xf>
    <xf numFmtId="0" fontId="4" fillId="5" borderId="1" xfId="3" applyFont="1" applyFill="1" applyBorder="1" applyAlignment="1" applyProtection="1">
      <alignment horizontal="center"/>
    </xf>
    <xf numFmtId="2" fontId="4" fillId="5" borderId="0" xfId="3" applyNumberFormat="1" applyFont="1" applyFill="1" applyAlignment="1" applyProtection="1">
      <alignment horizontal="center"/>
    </xf>
    <xf numFmtId="39" fontId="44" fillId="5" borderId="0" xfId="3" applyNumberFormat="1" applyFont="1" applyFill="1" applyProtection="1"/>
    <xf numFmtId="0" fontId="4" fillId="5" borderId="0" xfId="3" applyFont="1" applyFill="1" applyProtection="1"/>
    <xf numFmtId="2" fontId="4" fillId="5" borderId="0" xfId="3" applyNumberFormat="1" applyFont="1" applyFill="1" applyAlignment="1">
      <alignment horizontal="center"/>
    </xf>
    <xf numFmtId="39" fontId="4" fillId="5" borderId="0" xfId="3" applyNumberFormat="1" applyFont="1" applyFill="1" applyProtection="1"/>
    <xf numFmtId="37" fontId="4" fillId="5" borderId="0" xfId="3" applyNumberFormat="1" applyFont="1" applyFill="1" applyAlignment="1" applyProtection="1">
      <alignment horizontal="right"/>
    </xf>
    <xf numFmtId="0" fontId="4" fillId="5" borderId="0" xfId="3" applyFont="1" applyFill="1" applyAlignment="1" applyProtection="1">
      <alignment horizontal="left"/>
    </xf>
    <xf numFmtId="0" fontId="4" fillId="0" borderId="0" xfId="6" applyFont="1" applyAlignment="1">
      <alignment horizontal="left"/>
    </xf>
    <xf numFmtId="3" fontId="4" fillId="0" borderId="0" xfId="6" applyNumberFormat="1" applyFont="1" applyAlignment="1">
      <alignment horizontal="right"/>
    </xf>
    <xf numFmtId="44" fontId="4" fillId="0" borderId="0" xfId="6" applyNumberFormat="1" applyFont="1" applyFill="1" applyAlignment="1">
      <alignment horizontal="right"/>
    </xf>
    <xf numFmtId="184" fontId="4" fillId="0" borderId="0" xfId="6" applyNumberFormat="1" applyFont="1" applyAlignment="1">
      <alignment horizontal="right"/>
    </xf>
    <xf numFmtId="37" fontId="9" fillId="0" borderId="0" xfId="1" applyNumberFormat="1" applyFont="1" applyAlignment="1">
      <alignment horizontal="center"/>
    </xf>
    <xf numFmtId="166" fontId="9" fillId="0" borderId="0" xfId="1" applyNumberFormat="1" applyFont="1" applyAlignment="1">
      <alignment horizontal="center"/>
    </xf>
    <xf numFmtId="0" fontId="17" fillId="0" borderId="0" xfId="3" applyFont="1" applyAlignment="1">
      <alignment horizontal="left" indent="1"/>
    </xf>
    <xf numFmtId="0" fontId="29" fillId="0" borderId="0" xfId="8" applyFont="1" applyAlignment="1">
      <alignment horizontal="left"/>
    </xf>
    <xf numFmtId="37" fontId="4" fillId="5" borderId="1" xfId="0" applyNumberFormat="1" applyFont="1" applyFill="1" applyBorder="1" applyProtection="1">
      <protection locked="0"/>
    </xf>
    <xf numFmtId="194" fontId="4" fillId="31" borderId="26" xfId="0" applyNumberFormat="1" applyFont="1" applyFill="1" applyBorder="1" applyProtection="1"/>
    <xf numFmtId="194" fontId="4" fillId="31" borderId="0" xfId="0" applyNumberFormat="1" applyFont="1" applyFill="1" applyBorder="1" applyProtection="1"/>
    <xf numFmtId="194" fontId="4" fillId="31" borderId="27" xfId="0" applyNumberFormat="1" applyFont="1" applyFill="1" applyBorder="1" applyProtection="1"/>
    <xf numFmtId="194" fontId="4" fillId="34" borderId="26" xfId="0" applyNumberFormat="1" applyFont="1" applyFill="1" applyBorder="1" applyProtection="1"/>
    <xf numFmtId="194" fontId="4" fillId="34" borderId="0" xfId="0" applyNumberFormat="1" applyFont="1" applyFill="1" applyBorder="1" applyProtection="1"/>
    <xf numFmtId="194" fontId="4" fillId="34" borderId="27" xfId="0" applyNumberFormat="1" applyFont="1" applyFill="1" applyBorder="1" applyProtection="1"/>
    <xf numFmtId="194" fontId="4" fillId="0" borderId="0" xfId="0" applyNumberFormat="1" applyFont="1" applyProtection="1"/>
    <xf numFmtId="14" fontId="9" fillId="0" borderId="0" xfId="3" applyNumberFormat="1" applyFont="1" applyAlignment="1">
      <alignment horizontal="left"/>
    </xf>
    <xf numFmtId="14" fontId="9" fillId="0" borderId="0" xfId="3" applyNumberFormat="1" applyFont="1" applyFill="1" applyAlignment="1">
      <alignment horizontal="left"/>
    </xf>
    <xf numFmtId="180" fontId="9" fillId="0" borderId="0" xfId="4" applyNumberFormat="1" applyFont="1" applyFill="1" applyAlignment="1">
      <alignment horizontal="left"/>
    </xf>
    <xf numFmtId="14" fontId="9" fillId="0" borderId="0" xfId="11" applyNumberFormat="1" applyFont="1" applyAlignment="1">
      <alignment horizontal="left"/>
    </xf>
    <xf numFmtId="39" fontId="4" fillId="0" borderId="0" xfId="0" applyNumberFormat="1" applyFont="1" applyFill="1" applyProtection="1">
      <protection locked="0"/>
    </xf>
    <xf numFmtId="39" fontId="19" fillId="0" borderId="2" xfId="0" applyNumberFormat="1" applyFont="1" applyFill="1" applyBorder="1" applyProtection="1"/>
    <xf numFmtId="37" fontId="4" fillId="0" borderId="0" xfId="0" applyNumberFormat="1" applyFont="1" applyFill="1"/>
    <xf numFmtId="37" fontId="4" fillId="34" borderId="26" xfId="0" applyNumberFormat="1" applyFont="1" applyFill="1" applyBorder="1"/>
    <xf numFmtId="37" fontId="4" fillId="34" borderId="0" xfId="0" applyNumberFormat="1" applyFont="1" applyFill="1" applyBorder="1"/>
    <xf numFmtId="37" fontId="4" fillId="34" borderId="27" xfId="0" applyNumberFormat="1" applyFont="1" applyFill="1" applyBorder="1"/>
    <xf numFmtId="0" fontId="59" fillId="0" borderId="0" xfId="0" applyFont="1"/>
    <xf numFmtId="0" fontId="59" fillId="0" borderId="0" xfId="3" applyFont="1"/>
    <xf numFmtId="0" fontId="59" fillId="0" borderId="0" xfId="3" applyFont="1" applyAlignment="1"/>
    <xf numFmtId="0" fontId="66" fillId="0" borderId="19" xfId="62" applyFont="1" applyBorder="1" applyAlignment="1">
      <alignment horizontal="centerContinuous" vertical="top"/>
    </xf>
    <xf numFmtId="0" fontId="66" fillId="0" borderId="4" xfId="62" applyFont="1" applyBorder="1" applyAlignment="1">
      <alignment horizontal="centerContinuous" vertical="top"/>
    </xf>
    <xf numFmtId="0" fontId="66" fillId="0" borderId="20" xfId="62" applyFont="1" applyBorder="1" applyAlignment="1">
      <alignment horizontal="centerContinuous" vertical="top" wrapText="1"/>
    </xf>
    <xf numFmtId="0" fontId="67" fillId="0" borderId="0" xfId="3" applyFont="1" applyAlignment="1">
      <alignment horizontal="center"/>
    </xf>
    <xf numFmtId="0" fontId="67" fillId="0" borderId="0" xfId="62" applyFont="1" applyAlignment="1">
      <alignment horizontal="center" vertical="top"/>
    </xf>
    <xf numFmtId="0" fontId="67" fillId="0" borderId="0" xfId="62" applyFont="1" applyAlignment="1">
      <alignment horizontal="center" vertical="top" wrapText="1"/>
    </xf>
    <xf numFmtId="0" fontId="67" fillId="0" borderId="0" xfId="3" applyFont="1" applyAlignment="1">
      <alignment horizontal="left"/>
    </xf>
    <xf numFmtId="0" fontId="59" fillId="0" borderId="0" xfId="3" applyFont="1" applyAlignment="1">
      <alignment horizontal="left" wrapText="1"/>
    </xf>
    <xf numFmtId="0" fontId="59" fillId="0" borderId="0" xfId="3" applyFont="1" applyAlignment="1">
      <alignment wrapText="1"/>
    </xf>
    <xf numFmtId="0" fontId="59" fillId="0" borderId="0" xfId="3" applyFont="1" applyAlignment="1">
      <alignment horizontal="left"/>
    </xf>
    <xf numFmtId="0" fontId="59" fillId="0" borderId="0" xfId="3" applyFont="1" applyFill="1" applyAlignment="1">
      <alignment wrapText="1"/>
    </xf>
    <xf numFmtId="0" fontId="59" fillId="0" borderId="0" xfId="3" applyFont="1" applyFill="1" applyAlignment="1"/>
    <xf numFmtId="0" fontId="59" fillId="0" borderId="0" xfId="62" applyFont="1" applyAlignment="1">
      <alignment vertical="top"/>
    </xf>
    <xf numFmtId="0" fontId="59" fillId="0" borderId="0" xfId="62" applyFont="1" applyAlignment="1">
      <alignment vertical="top" wrapText="1"/>
    </xf>
    <xf numFmtId="0" fontId="59" fillId="0" borderId="0" xfId="62" applyFont="1" applyAlignment="1"/>
    <xf numFmtId="0" fontId="59" fillId="0" borderId="0" xfId="62" applyFont="1" applyFill="1" applyAlignment="1" applyProtection="1">
      <alignment horizontal="left" vertical="top" wrapText="1"/>
      <protection locked="0"/>
    </xf>
    <xf numFmtId="0" fontId="59" fillId="0" borderId="0" xfId="62" applyFont="1"/>
    <xf numFmtId="0" fontId="59" fillId="0" borderId="0" xfId="62" applyFont="1" applyFill="1"/>
    <xf numFmtId="0" fontId="68" fillId="0" borderId="0" xfId="3" applyFont="1" applyAlignment="1"/>
    <xf numFmtId="0" fontId="59" fillId="0" borderId="0" xfId="13" applyFont="1"/>
    <xf numFmtId="0" fontId="66" fillId="0" borderId="0" xfId="62" applyFont="1" applyAlignment="1">
      <alignment vertical="top"/>
    </xf>
    <xf numFmtId="0" fontId="66" fillId="0" borderId="0" xfId="62" applyFont="1" applyAlignment="1"/>
    <xf numFmtId="0" fontId="66" fillId="0" borderId="0" xfId="62" applyFont="1" applyFill="1" applyAlignment="1"/>
    <xf numFmtId="0" fontId="59" fillId="5" borderId="0" xfId="3" applyFont="1" applyFill="1" applyAlignment="1"/>
    <xf numFmtId="0" fontId="29" fillId="0" borderId="0" xfId="400" applyFont="1"/>
    <xf numFmtId="0" fontId="29" fillId="0" borderId="0" xfId="400" applyFont="1"/>
    <xf numFmtId="0" fontId="29" fillId="0" borderId="0" xfId="400" applyFont="1"/>
    <xf numFmtId="0" fontId="29" fillId="0" borderId="0" xfId="400" applyFont="1"/>
    <xf numFmtId="0" fontId="29" fillId="0" borderId="0" xfId="400" applyFont="1"/>
    <xf numFmtId="0" fontId="4" fillId="0" borderId="0" xfId="0" applyFont="1" applyFill="1" applyAlignment="1">
      <alignment horizontal="right"/>
    </xf>
    <xf numFmtId="0" fontId="9" fillId="0" borderId="0" xfId="0" applyFont="1" applyFill="1" applyAlignment="1" applyProtection="1">
      <alignment horizontal="left"/>
    </xf>
    <xf numFmtId="0" fontId="4" fillId="0" borderId="0" xfId="0" applyFont="1" applyFill="1" applyAlignment="1" applyProtection="1">
      <alignment horizontal="center"/>
      <protection locked="0"/>
    </xf>
    <xf numFmtId="0" fontId="19" fillId="0" borderId="2" xfId="0" applyFont="1" applyFill="1" applyBorder="1"/>
    <xf numFmtId="0" fontId="11" fillId="0" borderId="2" xfId="0" applyFont="1" applyFill="1" applyBorder="1" applyAlignment="1" applyProtection="1">
      <protection locked="0"/>
    </xf>
    <xf numFmtId="0" fontId="11" fillId="0" borderId="2" xfId="0" applyFont="1" applyFill="1" applyBorder="1" applyAlignment="1" applyProtection="1">
      <alignment horizontal="center"/>
      <protection locked="0"/>
    </xf>
    <xf numFmtId="0" fontId="29" fillId="0" borderId="0" xfId="0" applyFont="1" applyFill="1" applyBorder="1" applyAlignment="1" applyProtection="1">
      <alignment horizontal="center"/>
      <protection locked="0"/>
    </xf>
    <xf numFmtId="0" fontId="9" fillId="0" borderId="0" xfId="0" applyFont="1" applyFill="1" applyAlignment="1" applyProtection="1">
      <alignment horizontal="left"/>
      <protection locked="0"/>
    </xf>
    <xf numFmtId="0" fontId="4" fillId="0" borderId="0" xfId="7" applyFont="1" applyFill="1" applyAlignment="1">
      <alignment horizontal="center"/>
    </xf>
    <xf numFmtId="37" fontId="4" fillId="0" borderId="0" xfId="7" applyNumberFormat="1" applyFont="1" applyFill="1"/>
    <xf numFmtId="37" fontId="4" fillId="0" borderId="3" xfId="7" applyNumberFormat="1" applyFont="1" applyFill="1" applyBorder="1"/>
    <xf numFmtId="37" fontId="18" fillId="0" borderId="0" xfId="7" applyNumberFormat="1" applyFont="1" applyFill="1"/>
    <xf numFmtId="37" fontId="44" fillId="0" borderId="0" xfId="7" applyNumberFormat="1" applyFont="1" applyFill="1"/>
    <xf numFmtId="37" fontId="4" fillId="0" borderId="1" xfId="7" applyNumberFormat="1" applyFont="1" applyFill="1" applyBorder="1"/>
    <xf numFmtId="0" fontId="45" fillId="0" borderId="0" xfId="0" applyFont="1" applyFill="1"/>
    <xf numFmtId="0" fontId="4" fillId="0" borderId="0" xfId="7" applyFont="1" applyFill="1"/>
    <xf numFmtId="37" fontId="4" fillId="0" borderId="21" xfId="7" applyNumberFormat="1" applyFont="1" applyFill="1" applyBorder="1"/>
    <xf numFmtId="37" fontId="4" fillId="0" borderId="2" xfId="7" applyNumberFormat="1" applyFont="1" applyFill="1" applyBorder="1"/>
    <xf numFmtId="37" fontId="4" fillId="0" borderId="3" xfId="7" applyNumberFormat="1" applyFont="1" applyFill="1" applyBorder="1" applyAlignment="1"/>
    <xf numFmtId="37" fontId="4" fillId="0" borderId="4" xfId="7" applyNumberFormat="1" applyFont="1" applyFill="1" applyBorder="1"/>
    <xf numFmtId="37" fontId="27" fillId="0" borderId="0" xfId="7" applyNumberFormat="1" applyFont="1" applyFill="1"/>
    <xf numFmtId="37" fontId="4" fillId="43" borderId="0" xfId="7" applyNumberFormat="1" applyFont="1" applyFill="1"/>
    <xf numFmtId="0" fontId="9" fillId="0" borderId="1" xfId="3" applyFont="1" applyBorder="1" applyAlignment="1">
      <alignment horizontal="center"/>
    </xf>
    <xf numFmtId="0" fontId="9" fillId="0" borderId="0" xfId="3" applyFont="1" applyAlignment="1">
      <alignment horizontal="center"/>
    </xf>
    <xf numFmtId="37" fontId="4" fillId="5" borderId="0" xfId="7" applyNumberFormat="1" applyFont="1" applyFill="1"/>
    <xf numFmtId="0" fontId="83" fillId="0" borderId="0" xfId="0" applyFont="1"/>
    <xf numFmtId="3" fontId="0" fillId="0" borderId="0" xfId="0" applyNumberFormat="1"/>
    <xf numFmtId="185" fontId="0" fillId="0" borderId="0" xfId="0" applyNumberFormat="1"/>
    <xf numFmtId="0" fontId="83" fillId="0" borderId="151" xfId="0" applyFont="1" applyBorder="1"/>
    <xf numFmtId="0" fontId="83" fillId="0" borderId="152" xfId="0" applyFont="1" applyBorder="1"/>
    <xf numFmtId="0" fontId="83" fillId="0" borderId="0" xfId="0" applyFont="1" applyBorder="1"/>
    <xf numFmtId="0" fontId="83" fillId="93" borderId="153" xfId="0" applyFont="1" applyFill="1" applyBorder="1"/>
    <xf numFmtId="37" fontId="9" fillId="0" borderId="1" xfId="3" applyNumberFormat="1" applyFont="1" applyBorder="1" applyAlignment="1" applyProtection="1">
      <alignment horizontal="center"/>
    </xf>
    <xf numFmtId="0" fontId="9" fillId="0" borderId="1" xfId="3" applyFont="1" applyBorder="1" applyAlignment="1" applyProtection="1">
      <alignment horizontal="center"/>
    </xf>
    <xf numFmtId="0" fontId="0" fillId="0" borderId="0" xfId="0" applyAlignment="1">
      <alignment horizontal="left"/>
    </xf>
    <xf numFmtId="0" fontId="29" fillId="0" borderId="0" xfId="400" applyFont="1" applyFill="1"/>
    <xf numFmtId="0" fontId="4" fillId="0" borderId="0" xfId="62" applyFont="1" applyFill="1" applyProtection="1"/>
    <xf numFmtId="0" fontId="9" fillId="34" borderId="146" xfId="0" applyFont="1" applyFill="1" applyBorder="1" applyAlignment="1" applyProtection="1">
      <alignment horizontal="centerContinuous"/>
      <protection locked="0"/>
    </xf>
    <xf numFmtId="0" fontId="9" fillId="0" borderId="1" xfId="62" applyFont="1" applyBorder="1"/>
    <xf numFmtId="0" fontId="4" fillId="0" borderId="154" xfId="62" applyFont="1" applyFill="1" applyBorder="1" applyAlignment="1" applyProtection="1">
      <alignment horizontal="center"/>
    </xf>
    <xf numFmtId="0" fontId="4" fillId="0" borderId="154" xfId="62" applyFont="1" applyFill="1" applyBorder="1" applyAlignment="1" applyProtection="1">
      <alignment horizontal="center"/>
      <protection locked="0"/>
    </xf>
    <xf numFmtId="0" fontId="9" fillId="0" borderId="1" xfId="0" applyFont="1" applyFill="1" applyBorder="1"/>
    <xf numFmtId="0" fontId="10" fillId="0" borderId="0" xfId="62"/>
    <xf numFmtId="0" fontId="9" fillId="0" borderId="0" xfId="175" applyFont="1" applyFill="1" applyBorder="1" applyProtection="1"/>
    <xf numFmtId="0" fontId="9" fillId="0" borderId="0" xfId="175" applyFont="1" applyFill="1" applyAlignment="1" applyProtection="1">
      <alignment horizontal="right"/>
    </xf>
    <xf numFmtId="0" fontId="10" fillId="0" borderId="0" xfId="62" applyFill="1"/>
    <xf numFmtId="0" fontId="4" fillId="34" borderId="155" xfId="0" applyFont="1" applyFill="1" applyBorder="1" applyAlignment="1" applyProtection="1">
      <alignment horizontal="center"/>
    </xf>
    <xf numFmtId="0" fontId="4" fillId="34" borderId="21" xfId="0" applyFont="1" applyFill="1" applyBorder="1" applyAlignment="1" applyProtection="1">
      <alignment horizontal="center"/>
    </xf>
    <xf numFmtId="0" fontId="4" fillId="34" borderId="35" xfId="0" applyFont="1" applyFill="1" applyBorder="1" applyAlignment="1" applyProtection="1">
      <alignment horizontal="center"/>
    </xf>
    <xf numFmtId="0" fontId="27" fillId="0" borderId="0" xfId="62" applyFont="1" applyFill="1" applyBorder="1" applyProtection="1"/>
    <xf numFmtId="0" fontId="9" fillId="34" borderId="26" xfId="0" applyFont="1" applyFill="1" applyBorder="1"/>
    <xf numFmtId="0" fontId="9" fillId="34" borderId="0" xfId="0" applyFont="1" applyFill="1" applyBorder="1"/>
    <xf numFmtId="0" fontId="9" fillId="34" borderId="27" xfId="0" applyFont="1" applyFill="1" applyBorder="1"/>
    <xf numFmtId="0" fontId="18" fillId="0" borderId="0" xfId="62" applyFont="1" applyFill="1" applyProtection="1">
      <protection locked="0"/>
    </xf>
    <xf numFmtId="0" fontId="18" fillId="0" borderId="0" xfId="62" applyFont="1" applyFill="1" applyAlignment="1" applyProtection="1">
      <alignment horizontal="center"/>
      <protection locked="0"/>
    </xf>
    <xf numFmtId="0" fontId="4" fillId="0" borderId="1" xfId="62" applyFont="1" applyFill="1" applyBorder="1" applyProtection="1"/>
    <xf numFmtId="37" fontId="44" fillId="0" borderId="1" xfId="0" applyNumberFormat="1" applyFont="1" applyFill="1" applyBorder="1" applyProtection="1">
      <protection locked="0"/>
    </xf>
    <xf numFmtId="0" fontId="4" fillId="0" borderId="148" xfId="62" applyFont="1" applyFill="1" applyBorder="1" applyProtection="1"/>
    <xf numFmtId="0" fontId="4" fillId="0" borderId="0" xfId="62" applyFont="1" applyFill="1" applyAlignment="1" applyProtection="1">
      <alignment horizontal="center"/>
    </xf>
    <xf numFmtId="0" fontId="10" fillId="0" borderId="0" xfId="62" applyFont="1" applyFill="1" applyAlignment="1">
      <alignment horizontal="center"/>
    </xf>
    <xf numFmtId="0" fontId="9" fillId="0" borderId="0" xfId="62" applyFont="1" applyFill="1" applyProtection="1"/>
    <xf numFmtId="0" fontId="27" fillId="0" borderId="0" xfId="62" applyFont="1" applyFill="1" applyProtection="1"/>
    <xf numFmtId="0" fontId="18" fillId="0" borderId="0" xfId="62" applyFont="1" applyFill="1"/>
    <xf numFmtId="0" fontId="9" fillId="0" borderId="0" xfId="175" applyFont="1" applyFill="1" applyProtection="1"/>
    <xf numFmtId="0" fontId="4" fillId="0" borderId="0" xfId="175" applyFont="1" applyFill="1" applyProtection="1"/>
    <xf numFmtId="0" fontId="4" fillId="0" borderId="0" xfId="175" applyFont="1" applyFill="1" applyAlignment="1" applyProtection="1">
      <alignment horizontal="center"/>
    </xf>
    <xf numFmtId="37" fontId="9" fillId="0" borderId="0" xfId="62" applyNumberFormat="1" applyFont="1" applyFill="1" applyBorder="1" applyProtection="1"/>
    <xf numFmtId="0" fontId="4" fillId="0" borderId="0" xfId="62" applyFont="1" applyFill="1"/>
    <xf numFmtId="37" fontId="4" fillId="0" borderId="1" xfId="0" applyNumberFormat="1" applyFont="1" applyFill="1" applyBorder="1"/>
    <xf numFmtId="37" fontId="4" fillId="34" borderId="24" xfId="0" applyNumberFormat="1" applyFont="1" applyFill="1" applyBorder="1"/>
    <xf numFmtId="37" fontId="4" fillId="34" borderId="1" xfId="0" applyNumberFormat="1" applyFont="1" applyFill="1" applyBorder="1"/>
    <xf numFmtId="37" fontId="4" fillId="34" borderId="25" xfId="0" applyNumberFormat="1" applyFont="1" applyFill="1" applyBorder="1"/>
    <xf numFmtId="37" fontId="4" fillId="0" borderId="1" xfId="0" applyNumberFormat="1" applyFont="1" applyBorder="1"/>
    <xf numFmtId="209" fontId="4" fillId="0" borderId="0" xfId="62" applyNumberFormat="1" applyFont="1" applyFill="1" applyProtection="1"/>
    <xf numFmtId="209" fontId="4" fillId="34" borderId="26" xfId="62" applyNumberFormat="1" applyFont="1" applyFill="1" applyBorder="1" applyProtection="1"/>
    <xf numFmtId="209" fontId="4" fillId="34" borderId="0" xfId="62" applyNumberFormat="1" applyFont="1" applyFill="1" applyBorder="1" applyProtection="1"/>
    <xf numFmtId="209" fontId="4" fillId="34" borderId="27" xfId="62" applyNumberFormat="1" applyFont="1" applyFill="1" applyBorder="1" applyProtection="1"/>
    <xf numFmtId="0" fontId="48" fillId="0" borderId="0" xfId="62" applyFont="1" applyFill="1" applyAlignment="1" applyProtection="1">
      <alignment horizontal="left"/>
    </xf>
    <xf numFmtId="37" fontId="4" fillId="0" borderId="0" xfId="62" applyNumberFormat="1" applyFont="1" applyFill="1" applyProtection="1"/>
    <xf numFmtId="37" fontId="9" fillId="0" borderId="0" xfId="0" applyNumberFormat="1" applyFont="1" applyFill="1"/>
    <xf numFmtId="37" fontId="4" fillId="34" borderId="26" xfId="62" applyNumberFormat="1" applyFont="1" applyFill="1" applyBorder="1" applyProtection="1"/>
    <xf numFmtId="37" fontId="4" fillId="34" borderId="0" xfId="62" applyNumberFormat="1" applyFont="1" applyFill="1" applyBorder="1" applyProtection="1"/>
    <xf numFmtId="37" fontId="4" fillId="34" borderId="27" xfId="62" applyNumberFormat="1" applyFont="1" applyFill="1" applyBorder="1" applyProtection="1"/>
    <xf numFmtId="37" fontId="4" fillId="0" borderId="148" xfId="62" applyNumberFormat="1" applyFont="1" applyFill="1" applyBorder="1" applyProtection="1"/>
    <xf numFmtId="37" fontId="4" fillId="34" borderId="156" xfId="62" applyNumberFormat="1" applyFont="1" applyFill="1" applyBorder="1" applyProtection="1"/>
    <xf numFmtId="37" fontId="4" fillId="34" borderId="148" xfId="62" applyNumberFormat="1" applyFont="1" applyFill="1" applyBorder="1" applyProtection="1"/>
    <xf numFmtId="37" fontId="4" fillId="34" borderId="157" xfId="62" applyNumberFormat="1" applyFont="1" applyFill="1" applyBorder="1" applyProtection="1"/>
    <xf numFmtId="170" fontId="4" fillId="0" borderId="0" xfId="62" quotePrefix="1" applyNumberFormat="1" applyFont="1" applyFill="1" applyBorder="1" applyProtection="1"/>
    <xf numFmtId="170" fontId="4" fillId="34" borderId="24" xfId="62" quotePrefix="1" applyNumberFormat="1" applyFont="1" applyFill="1" applyBorder="1" applyProtection="1"/>
    <xf numFmtId="170" fontId="4" fillId="34" borderId="1" xfId="62" quotePrefix="1" applyNumberFormat="1" applyFont="1" applyFill="1" applyBorder="1" applyProtection="1"/>
    <xf numFmtId="170" fontId="4" fillId="34" borderId="25" xfId="62" quotePrefix="1" applyNumberFormat="1" applyFont="1" applyFill="1" applyBorder="1" applyProtection="1"/>
    <xf numFmtId="0" fontId="4" fillId="31" borderId="155" xfId="0" applyFont="1" applyFill="1" applyBorder="1" applyAlignment="1" applyProtection="1">
      <alignment horizontal="center"/>
    </xf>
    <xf numFmtId="0" fontId="4" fillId="31" borderId="21" xfId="0" applyFont="1" applyFill="1" applyBorder="1" applyAlignment="1" applyProtection="1">
      <alignment horizontal="center"/>
    </xf>
    <xf numFmtId="0" fontId="4" fillId="31" borderId="35" xfId="0" applyFont="1" applyFill="1" applyBorder="1" applyAlignment="1" applyProtection="1">
      <alignment horizontal="center"/>
    </xf>
    <xf numFmtId="0" fontId="9" fillId="31" borderId="26" xfId="0" applyFont="1" applyFill="1" applyBorder="1"/>
    <xf numFmtId="0" fontId="9" fillId="31" borderId="0" xfId="0" applyFont="1" applyFill="1" applyBorder="1"/>
    <xf numFmtId="0" fontId="9" fillId="31" borderId="27" xfId="0" applyFont="1" applyFill="1" applyBorder="1"/>
    <xf numFmtId="37" fontId="4" fillId="31" borderId="26" xfId="0" applyNumberFormat="1" applyFont="1" applyFill="1" applyBorder="1"/>
    <xf numFmtId="37" fontId="4" fillId="31" borderId="0" xfId="0" applyNumberFormat="1" applyFont="1" applyFill="1" applyBorder="1"/>
    <xf numFmtId="37" fontId="4" fillId="31" borderId="27" xfId="0" applyNumberFormat="1" applyFont="1" applyFill="1" applyBorder="1"/>
    <xf numFmtId="37" fontId="4" fillId="31" borderId="24" xfId="0" applyNumberFormat="1" applyFont="1" applyFill="1" applyBorder="1"/>
    <xf numFmtId="37" fontId="4" fillId="31" borderId="1" xfId="0" applyNumberFormat="1" applyFont="1" applyFill="1" applyBorder="1"/>
    <xf numFmtId="37" fontId="4" fillId="31" borderId="25" xfId="0" applyNumberFormat="1" applyFont="1" applyFill="1" applyBorder="1"/>
    <xf numFmtId="209" fontId="4" fillId="31" borderId="26" xfId="62" applyNumberFormat="1" applyFont="1" applyFill="1" applyBorder="1" applyProtection="1"/>
    <xf numFmtId="209" fontId="4" fillId="31" borderId="0" xfId="62" applyNumberFormat="1" applyFont="1" applyFill="1" applyBorder="1" applyProtection="1"/>
    <xf numFmtId="209" fontId="4" fillId="31" borderId="27" xfId="62" applyNumberFormat="1" applyFont="1" applyFill="1" applyBorder="1" applyProtection="1"/>
    <xf numFmtId="37" fontId="4" fillId="31" borderId="26" xfId="62" applyNumberFormat="1" applyFont="1" applyFill="1" applyBorder="1" applyProtection="1"/>
    <xf numFmtId="37" fontId="4" fillId="31" borderId="0" xfId="62" applyNumberFormat="1" applyFont="1" applyFill="1" applyBorder="1" applyProtection="1"/>
    <xf numFmtId="37" fontId="4" fillId="31" borderId="27" xfId="62" applyNumberFormat="1" applyFont="1" applyFill="1" applyBorder="1" applyProtection="1"/>
    <xf numFmtId="37" fontId="4" fillId="31" borderId="156" xfId="62" applyNumberFormat="1" applyFont="1" applyFill="1" applyBorder="1" applyProtection="1"/>
    <xf numFmtId="37" fontId="4" fillId="31" borderId="148" xfId="62" applyNumberFormat="1" applyFont="1" applyFill="1" applyBorder="1" applyProtection="1"/>
    <xf numFmtId="37" fontId="4" fillId="31" borderId="157" xfId="62" applyNumberFormat="1" applyFont="1" applyFill="1" applyBorder="1" applyProtection="1"/>
    <xf numFmtId="170" fontId="4" fillId="31" borderId="24" xfId="62" quotePrefix="1" applyNumberFormat="1" applyFont="1" applyFill="1" applyBorder="1" applyProtection="1"/>
    <xf numFmtId="170" fontId="4" fillId="31" borderId="1" xfId="62" quotePrefix="1" applyNumberFormat="1" applyFont="1" applyFill="1" applyBorder="1" applyProtection="1"/>
    <xf numFmtId="170" fontId="4" fillId="31" borderId="25" xfId="62" quotePrefix="1" applyNumberFormat="1" applyFont="1" applyFill="1" applyBorder="1" applyProtection="1"/>
    <xf numFmtId="37" fontId="4" fillId="0" borderId="1" xfId="0" applyNumberFormat="1" applyFont="1" applyFill="1" applyBorder="1" applyProtection="1">
      <protection locked="0"/>
    </xf>
    <xf numFmtId="0" fontId="9" fillId="5" borderId="0" xfId="0" applyFont="1" applyFill="1" applyAlignment="1">
      <alignment horizontal="center"/>
    </xf>
    <xf numFmtId="0" fontId="4" fillId="5" borderId="24" xfId="0" applyFont="1" applyFill="1" applyBorder="1"/>
    <xf numFmtId="0" fontId="4" fillId="5" borderId="1" xfId="0" applyFont="1" applyFill="1" applyBorder="1"/>
    <xf numFmtId="0" fontId="4" fillId="5" borderId="25" xfId="0" applyFont="1" applyFill="1" applyBorder="1"/>
    <xf numFmtId="37" fontId="4" fillId="5" borderId="24" xfId="0" applyNumberFormat="1" applyFont="1" applyFill="1" applyBorder="1" applyProtection="1"/>
    <xf numFmtId="37" fontId="4" fillId="5" borderId="1" xfId="0" applyNumberFormat="1" applyFont="1" applyFill="1" applyBorder="1" applyProtection="1"/>
    <xf numFmtId="37" fontId="4" fillId="5" borderId="25" xfId="0" applyNumberFormat="1" applyFont="1" applyFill="1" applyBorder="1" applyProtection="1"/>
    <xf numFmtId="0" fontId="17" fillId="0" borderId="0" xfId="7" applyFont="1" applyAlignment="1"/>
    <xf numFmtId="0" fontId="4" fillId="0" borderId="0" xfId="7" applyFont="1"/>
    <xf numFmtId="0" fontId="4" fillId="0" borderId="0" xfId="7" applyFont="1" applyAlignment="1">
      <alignment horizontal="left"/>
    </xf>
    <xf numFmtId="0" fontId="4" fillId="0" borderId="0" xfId="7" applyFont="1" applyAlignment="1">
      <alignment horizontal="left" indent="1"/>
    </xf>
    <xf numFmtId="0" fontId="45" fillId="0" borderId="0" xfId="0" applyFont="1"/>
    <xf numFmtId="0" fontId="27" fillId="0" borderId="0" xfId="7" applyFont="1"/>
    <xf numFmtId="0" fontId="4" fillId="5" borderId="0" xfId="7" applyFont="1" applyFill="1"/>
    <xf numFmtId="37" fontId="4" fillId="94" borderId="0" xfId="7" applyNumberFormat="1" applyFont="1" applyFill="1"/>
    <xf numFmtId="164" fontId="4" fillId="0" borderId="2" xfId="0" applyNumberFormat="1" applyFont="1" applyFill="1" applyBorder="1" applyProtection="1"/>
    <xf numFmtId="164" fontId="19" fillId="0" borderId="2" xfId="0" applyNumberFormat="1" applyFont="1" applyFill="1" applyBorder="1" applyProtection="1"/>
    <xf numFmtId="37" fontId="4" fillId="31" borderId="0" xfId="0" applyNumberFormat="1" applyFont="1" applyFill="1" applyProtection="1">
      <protection locked="0"/>
    </xf>
    <xf numFmtId="37" fontId="4" fillId="39" borderId="0" xfId="0" applyNumberFormat="1" applyFont="1" applyFill="1" applyBorder="1" applyProtection="1">
      <protection locked="0"/>
    </xf>
    <xf numFmtId="0" fontId="4" fillId="0" borderId="158" xfId="0" applyFont="1" applyBorder="1"/>
    <xf numFmtId="0" fontId="4" fillId="0" borderId="158" xfId="0" applyFont="1" applyFill="1" applyBorder="1"/>
    <xf numFmtId="37" fontId="4" fillId="0" borderId="158" xfId="0" applyNumberFormat="1" applyFont="1" applyFill="1" applyBorder="1" applyProtection="1"/>
    <xf numFmtId="37" fontId="4" fillId="0" borderId="158" xfId="0" applyNumberFormat="1" applyFont="1" applyBorder="1" applyProtection="1"/>
    <xf numFmtId="37" fontId="4" fillId="0" borderId="158" xfId="0" applyNumberFormat="1" applyFont="1" applyFill="1" applyBorder="1" applyProtection="1">
      <protection locked="0"/>
    </xf>
    <xf numFmtId="37" fontId="9" fillId="5" borderId="0" xfId="0" applyNumberFormat="1" applyFont="1" applyFill="1" applyProtection="1"/>
    <xf numFmtId="37" fontId="9" fillId="0" borderId="0" xfId="0" applyNumberFormat="1" applyFont="1"/>
    <xf numFmtId="37" fontId="4" fillId="0" borderId="158" xfId="0" applyNumberFormat="1" applyFont="1" applyBorder="1"/>
    <xf numFmtId="166" fontId="4" fillId="0" borderId="158" xfId="1" applyNumberFormat="1" applyFont="1" applyBorder="1"/>
    <xf numFmtId="166" fontId="4" fillId="0" borderId="158" xfId="1" applyNumberFormat="1" applyFont="1" applyFill="1" applyBorder="1"/>
    <xf numFmtId="0" fontId="1" fillId="0" borderId="0" xfId="20269"/>
    <xf numFmtId="0" fontId="83" fillId="93" borderId="151" xfId="20269" applyFont="1" applyFill="1" applyBorder="1" applyAlignment="1">
      <alignment horizontal="right"/>
    </xf>
    <xf numFmtId="0" fontId="1" fillId="0" borderId="0" xfId="20269" applyAlignment="1">
      <alignment horizontal="left"/>
    </xf>
    <xf numFmtId="8" fontId="1" fillId="0" borderId="0" xfId="20269" applyNumberFormat="1"/>
    <xf numFmtId="3" fontId="1" fillId="0" borderId="0" xfId="20269" applyNumberFormat="1"/>
    <xf numFmtId="0" fontId="1" fillId="0" borderId="0" xfId="20269" applyAlignment="1">
      <alignment horizontal="left" indent="1"/>
    </xf>
    <xf numFmtId="10" fontId="4" fillId="0" borderId="0" xfId="20270" applyNumberFormat="1" applyFont="1"/>
    <xf numFmtId="10" fontId="4" fillId="0" borderId="3" xfId="20270" applyNumberFormat="1" applyFont="1" applyBorder="1"/>
    <xf numFmtId="190" fontId="4" fillId="0" borderId="0" xfId="0" applyNumberFormat="1" applyFont="1"/>
    <xf numFmtId="42" fontId="4" fillId="0" borderId="0" xfId="95" applyNumberFormat="1" applyFont="1" applyFill="1" applyAlignment="1">
      <alignment horizontal="right"/>
    </xf>
    <xf numFmtId="41" fontId="4" fillId="0" borderId="0" xfId="95" applyNumberFormat="1" applyFont="1" applyFill="1" applyAlignment="1">
      <alignment horizontal="right"/>
    </xf>
    <xf numFmtId="41" fontId="4" fillId="0" borderId="0" xfId="95" applyNumberFormat="1" applyFont="1" applyFill="1"/>
    <xf numFmtId="37" fontId="4" fillId="0" borderId="21" xfId="0" applyNumberFormat="1" applyFont="1" applyFill="1" applyBorder="1"/>
    <xf numFmtId="37" fontId="4" fillId="0" borderId="9" xfId="0" applyNumberFormat="1" applyFont="1" applyFill="1" applyBorder="1"/>
    <xf numFmtId="37" fontId="44" fillId="0" borderId="0" xfId="0" applyNumberFormat="1" applyFont="1" applyFill="1"/>
    <xf numFmtId="210" fontId="4" fillId="5" borderId="0" xfId="0" applyNumberFormat="1" applyFont="1" applyFill="1"/>
    <xf numFmtId="211" fontId="4" fillId="0" borderId="0" xfId="62" quotePrefix="1" applyNumberFormat="1" applyFont="1" applyFill="1" applyBorder="1" applyProtection="1"/>
    <xf numFmtId="171" fontId="9" fillId="5" borderId="0" xfId="12" applyNumberFormat="1" applyFont="1" applyFill="1"/>
    <xf numFmtId="166" fontId="4" fillId="5" borderId="0" xfId="1" applyNumberFormat="1" applyFont="1" applyFill="1" applyBorder="1" applyAlignment="1">
      <alignment horizontal="center"/>
    </xf>
    <xf numFmtId="0" fontId="4" fillId="5" borderId="0" xfId="3" applyFont="1" applyFill="1" applyBorder="1"/>
    <xf numFmtId="185" fontId="44" fillId="0" borderId="8" xfId="3" applyNumberFormat="1" applyFont="1" applyFill="1" applyBorder="1"/>
    <xf numFmtId="3" fontId="29" fillId="0" borderId="0" xfId="3" applyNumberFormat="1" applyFont="1" applyFill="1" applyAlignment="1">
      <alignment horizontal="right"/>
    </xf>
    <xf numFmtId="185" fontId="29" fillId="0" borderId="0" xfId="3" applyNumberFormat="1" applyFont="1" applyAlignment="1">
      <alignment horizontal="right"/>
    </xf>
    <xf numFmtId="185" fontId="29" fillId="0" borderId="0" xfId="3" applyNumberFormat="1" applyFont="1" applyFill="1" applyAlignment="1">
      <alignment horizontal="right"/>
    </xf>
    <xf numFmtId="185" fontId="11" fillId="4" borderId="0" xfId="3" applyNumberFormat="1" applyFont="1" applyFill="1" applyAlignment="1">
      <alignment horizontal="right"/>
    </xf>
    <xf numFmtId="185" fontId="4" fillId="0" borderId="0" xfId="3" applyNumberFormat="1" applyFont="1" applyAlignment="1">
      <alignment horizontal="right"/>
    </xf>
    <xf numFmtId="185" fontId="14" fillId="3" borderId="0" xfId="3" applyNumberFormat="1" applyFont="1" applyFill="1" applyAlignment="1">
      <alignment horizontal="right"/>
    </xf>
    <xf numFmtId="39" fontId="9" fillId="5" borderId="0" xfId="3" applyNumberFormat="1" applyFont="1" applyFill="1"/>
    <xf numFmtId="44" fontId="4" fillId="0" borderId="0" xfId="3" applyNumberFormat="1" applyFont="1" applyFill="1" applyAlignment="1">
      <alignment horizontal="right"/>
    </xf>
    <xf numFmtId="44" fontId="4" fillId="0" borderId="0" xfId="3" applyNumberFormat="1" applyFont="1" applyFill="1" applyAlignment="1">
      <alignment horizontal="center"/>
    </xf>
    <xf numFmtId="39" fontId="4" fillId="0" borderId="0" xfId="3" applyNumberFormat="1" applyFont="1" applyFill="1" applyAlignment="1">
      <alignment horizontal="right"/>
    </xf>
    <xf numFmtId="44" fontId="4" fillId="0" borderId="3" xfId="3" quotePrefix="1" applyNumberFormat="1" applyFont="1" applyFill="1" applyBorder="1"/>
    <xf numFmtId="44" fontId="4" fillId="0" borderId="3" xfId="3" applyNumberFormat="1" applyFont="1" applyFill="1" applyBorder="1"/>
    <xf numFmtId="10" fontId="4" fillId="0" borderId="0" xfId="3" applyNumberFormat="1" applyFont="1" applyFill="1"/>
    <xf numFmtId="2" fontId="4" fillId="0" borderId="0" xfId="3" applyNumberFormat="1" applyFont="1" applyFill="1"/>
    <xf numFmtId="3" fontId="4" fillId="0" borderId="0" xfId="3" applyNumberFormat="1" applyFont="1" applyFill="1" applyAlignment="1">
      <alignment horizontal="right"/>
    </xf>
    <xf numFmtId="3" fontId="4" fillId="0" borderId="0" xfId="3" applyNumberFormat="1" applyFont="1" applyFill="1"/>
    <xf numFmtId="37" fontId="4" fillId="0" borderId="3" xfId="3" quotePrefix="1" applyNumberFormat="1" applyFont="1" applyFill="1" applyBorder="1"/>
    <xf numFmtId="49" fontId="4" fillId="0" borderId="0" xfId="3" applyNumberFormat="1" applyFont="1" applyFill="1"/>
    <xf numFmtId="44" fontId="4" fillId="0" borderId="0" xfId="3" applyNumberFormat="1" applyFont="1" applyFill="1"/>
    <xf numFmtId="4" fontId="4" fillId="0" borderId="0" xfId="3" applyNumberFormat="1" applyFont="1" applyFill="1"/>
    <xf numFmtId="39" fontId="4" fillId="0" borderId="9" xfId="3" applyNumberFormat="1" applyFont="1" applyFill="1" applyBorder="1"/>
    <xf numFmtId="49" fontId="9" fillId="0" borderId="1" xfId="3" applyNumberFormat="1" applyFont="1" applyFill="1" applyBorder="1" applyAlignment="1">
      <alignment horizontal="center" wrapText="1"/>
    </xf>
    <xf numFmtId="4" fontId="4" fillId="0" borderId="0" xfId="3" applyNumberFormat="1" applyFont="1" applyFill="1" applyAlignment="1">
      <alignment horizontal="center"/>
    </xf>
    <xf numFmtId="37" fontId="4" fillId="0" borderId="4" xfId="3" applyNumberFormat="1" applyFont="1" applyFill="1" applyBorder="1"/>
    <xf numFmtId="171" fontId="4" fillId="0" borderId="4" xfId="12" applyNumberFormat="1" applyFont="1" applyFill="1" applyBorder="1"/>
    <xf numFmtId="0" fontId="0" fillId="0" borderId="0" xfId="0" applyFill="1"/>
    <xf numFmtId="3" fontId="0" fillId="0" borderId="0" xfId="0" applyNumberFormat="1" applyFill="1"/>
    <xf numFmtId="185" fontId="0" fillId="0" borderId="0" xfId="0" applyNumberFormat="1" applyFill="1"/>
    <xf numFmtId="0" fontId="83" fillId="0" borderId="152" xfId="0" applyFont="1" applyFill="1" applyBorder="1"/>
    <xf numFmtId="0" fontId="83" fillId="0" borderId="153" xfId="0" applyFont="1" applyFill="1" applyBorder="1"/>
    <xf numFmtId="3" fontId="83" fillId="0" borderId="152" xfId="0" applyNumberFormat="1" applyFont="1" applyFill="1" applyBorder="1"/>
    <xf numFmtId="185" fontId="83" fillId="0" borderId="152" xfId="0" applyNumberFormat="1" applyFont="1" applyFill="1" applyBorder="1"/>
    <xf numFmtId="3" fontId="83" fillId="0" borderId="153" xfId="0" applyNumberFormat="1" applyFont="1" applyFill="1" applyBorder="1"/>
    <xf numFmtId="0" fontId="9" fillId="5" borderId="0" xfId="3" applyFont="1" applyFill="1" applyAlignment="1">
      <alignment horizontal="center"/>
    </xf>
    <xf numFmtId="166" fontId="18" fillId="0" borderId="3" xfId="1" applyNumberFormat="1" applyFont="1" applyFill="1" applyBorder="1"/>
    <xf numFmtId="0" fontId="83" fillId="0" borderId="0" xfId="20269" applyFont="1" applyAlignment="1">
      <alignment horizontal="left"/>
    </xf>
    <xf numFmtId="0" fontId="83" fillId="93" borderId="151" xfId="20269" applyFont="1" applyFill="1" applyBorder="1" applyAlignment="1">
      <alignment horizontal="left"/>
    </xf>
    <xf numFmtId="166" fontId="83" fillId="93" borderId="151" xfId="1" applyNumberFormat="1" applyFont="1" applyFill="1" applyBorder="1" applyAlignment="1">
      <alignment horizontal="right"/>
    </xf>
    <xf numFmtId="166" fontId="1" fillId="0" borderId="0" xfId="1" applyNumberFormat="1" applyFont="1"/>
    <xf numFmtId="185" fontId="83" fillId="93" borderId="151" xfId="20269" applyNumberFormat="1" applyFont="1" applyFill="1" applyBorder="1" applyAlignment="1">
      <alignment horizontal="right"/>
    </xf>
    <xf numFmtId="185" fontId="1" fillId="0" borderId="0" xfId="20269" applyNumberFormat="1"/>
    <xf numFmtId="0" fontId="83" fillId="0" borderId="0" xfId="20269" applyFont="1"/>
    <xf numFmtId="0" fontId="83" fillId="0" borderId="0" xfId="20269" applyFont="1" applyAlignment="1">
      <alignment horizontal="right"/>
    </xf>
    <xf numFmtId="185" fontId="4" fillId="0" borderId="3" xfId="8" applyNumberFormat="1" applyFont="1" applyFill="1" applyBorder="1"/>
    <xf numFmtId="166" fontId="157" fillId="0" borderId="0" xfId="1" applyNumberFormat="1" applyFont="1"/>
    <xf numFmtId="0" fontId="159" fillId="0" borderId="0" xfId="20269" applyFont="1"/>
    <xf numFmtId="184" fontId="1" fillId="0" borderId="0" xfId="20269" applyNumberFormat="1"/>
    <xf numFmtId="0" fontId="159" fillId="0" borderId="0" xfId="20269" applyFont="1" applyAlignment="1">
      <alignment horizontal="left" indent="1"/>
    </xf>
    <xf numFmtId="185" fontId="158" fillId="0" borderId="0" xfId="20269" applyNumberFormat="1" applyFont="1"/>
    <xf numFmtId="37" fontId="4" fillId="94" borderId="0" xfId="0" applyNumberFormat="1" applyFont="1" applyFill="1"/>
    <xf numFmtId="189" fontId="3" fillId="0" borderId="46" xfId="0" applyNumberFormat="1" applyFont="1" applyFill="1" applyBorder="1"/>
    <xf numFmtId="189" fontId="3" fillId="0" borderId="26" xfId="0" applyNumberFormat="1" applyFont="1" applyFill="1" applyBorder="1"/>
    <xf numFmtId="189" fontId="3" fillId="0" borderId="27" xfId="0" applyNumberFormat="1" applyFont="1" applyFill="1" applyBorder="1"/>
    <xf numFmtId="189" fontId="3" fillId="0" borderId="29" xfId="0" applyNumberFormat="1" applyFont="1" applyFill="1" applyBorder="1"/>
    <xf numFmtId="189" fontId="3" fillId="0" borderId="50" xfId="0" applyNumberFormat="1" applyFont="1" applyFill="1" applyBorder="1"/>
    <xf numFmtId="189" fontId="3" fillId="0" borderId="51" xfId="0" applyNumberFormat="1" applyFont="1" applyFill="1" applyBorder="1"/>
    <xf numFmtId="189" fontId="3" fillId="0" borderId="52" xfId="0" applyNumberFormat="1" applyFont="1" applyFill="1" applyBorder="1"/>
    <xf numFmtId="189" fontId="3" fillId="0" borderId="53" xfId="0" applyNumberFormat="1" applyFont="1" applyFill="1" applyBorder="1"/>
    <xf numFmtId="37" fontId="18" fillId="95" borderId="0" xfId="0" applyNumberFormat="1" applyFont="1" applyFill="1"/>
    <xf numFmtId="37" fontId="18" fillId="39" borderId="0" xfId="0" applyNumberFormat="1" applyFont="1" applyFill="1"/>
    <xf numFmtId="37" fontId="18" fillId="29" borderId="0" xfId="0" applyNumberFormat="1" applyFont="1" applyFill="1"/>
    <xf numFmtId="37" fontId="44" fillId="5" borderId="0" xfId="0" applyNumberFormat="1" applyFont="1" applyFill="1"/>
    <xf numFmtId="37" fontId="4" fillId="5" borderId="0" xfId="0" applyNumberFormat="1" applyFont="1" applyFill="1"/>
    <xf numFmtId="0" fontId="4" fillId="5" borderId="59" xfId="0" applyFont="1" applyFill="1" applyBorder="1"/>
    <xf numFmtId="44" fontId="4" fillId="0" borderId="0" xfId="0" applyNumberFormat="1" applyFont="1"/>
    <xf numFmtId="190" fontId="4" fillId="5" borderId="0" xfId="0" applyNumberFormat="1" applyFont="1" applyFill="1"/>
    <xf numFmtId="6" fontId="4" fillId="0" borderId="0" xfId="0" applyNumberFormat="1" applyFont="1"/>
    <xf numFmtId="37" fontId="4" fillId="96" borderId="0" xfId="0" applyNumberFormat="1" applyFont="1" applyFill="1"/>
    <xf numFmtId="6" fontId="4" fillId="96" borderId="0" xfId="0" applyNumberFormat="1" applyFont="1" applyFill="1"/>
    <xf numFmtId="0" fontId="4" fillId="96" borderId="0" xfId="0" applyFont="1" applyFill="1"/>
    <xf numFmtId="37" fontId="4" fillId="0" borderId="0" xfId="7" applyNumberFormat="1" applyFont="1" applyFill="1" applyAlignment="1">
      <alignment horizontal="right"/>
    </xf>
    <xf numFmtId="170" fontId="18" fillId="39" borderId="0" xfId="0" applyNumberFormat="1" applyFont="1" applyFill="1" applyProtection="1">
      <protection locked="0"/>
    </xf>
    <xf numFmtId="37" fontId="4" fillId="5" borderId="0" xfId="3" applyNumberFormat="1" applyFont="1" applyFill="1" applyProtection="1"/>
    <xf numFmtId="39" fontId="4" fillId="5" borderId="0" xfId="3" applyNumberFormat="1" applyFont="1" applyFill="1"/>
    <xf numFmtId="176" fontId="19" fillId="5" borderId="0" xfId="3" applyNumberFormat="1" applyFont="1" applyFill="1" applyAlignment="1" applyProtection="1">
      <alignment horizontal="center"/>
    </xf>
    <xf numFmtId="0" fontId="19" fillId="5" borderId="0" xfId="3" applyFont="1" applyFill="1" applyAlignment="1">
      <alignment horizontal="center"/>
    </xf>
    <xf numFmtId="171" fontId="19" fillId="5" borderId="0" xfId="3" applyNumberFormat="1" applyFont="1" applyFill="1" applyAlignment="1" applyProtection="1">
      <alignment horizontal="center"/>
    </xf>
    <xf numFmtId="0" fontId="9" fillId="0" borderId="1" xfId="3" applyFont="1" applyBorder="1" applyAlignment="1">
      <alignment horizontal="center"/>
    </xf>
    <xf numFmtId="0" fontId="9" fillId="0" borderId="0" xfId="3" applyFont="1" applyAlignment="1" applyProtection="1">
      <alignment horizontal="center"/>
    </xf>
    <xf numFmtId="37" fontId="9" fillId="0" borderId="1" xfId="3" applyNumberFormat="1" applyFont="1" applyBorder="1" applyAlignment="1" applyProtection="1">
      <alignment horizontal="center"/>
    </xf>
    <xf numFmtId="0" fontId="9" fillId="0" borderId="1" xfId="3" applyFont="1" applyBorder="1" applyAlignment="1" applyProtection="1">
      <alignment horizontal="center"/>
    </xf>
    <xf numFmtId="0" fontId="9" fillId="0" borderId="0" xfId="3" applyFont="1" applyAlignment="1">
      <alignment horizontal="center"/>
    </xf>
    <xf numFmtId="0" fontId="9" fillId="0" borderId="0" xfId="0" applyFont="1" applyBorder="1" applyAlignment="1">
      <alignment horizontal="center"/>
    </xf>
  </cellXfs>
  <cellStyles count="20271">
    <cellStyle name="20% - Accent1" xfId="125" builtinId="30" customBuiltin="1"/>
    <cellStyle name="20% - Accent1 10" xfId="2726" xr:uid="{00000000-0005-0000-0000-000001000000}"/>
    <cellStyle name="20% - Accent1 10 2" xfId="5128" xr:uid="{00000000-0005-0000-0000-000002000000}"/>
    <cellStyle name="20% - Accent1 10 2 2" xfId="10224" xr:uid="{00000000-0005-0000-0000-000003000000}"/>
    <cellStyle name="20% - Accent1 10 3" xfId="7829" xr:uid="{00000000-0005-0000-0000-000004000000}"/>
    <cellStyle name="20% - Accent1 11" xfId="3587" xr:uid="{00000000-0005-0000-0000-000005000000}"/>
    <cellStyle name="20% - Accent1 11 2" xfId="8690" xr:uid="{00000000-0005-0000-0000-000006000000}"/>
    <cellStyle name="20% - Accent1 12" xfId="6541" xr:uid="{00000000-0005-0000-0000-000007000000}"/>
    <cellStyle name="20% - Accent1 2" xfId="14" xr:uid="{00000000-0005-0000-0000-000008000000}"/>
    <cellStyle name="20% - Accent1 2 2" xfId="790" xr:uid="{00000000-0005-0000-0000-000009000000}"/>
    <cellStyle name="20% - Accent1 2 2 2" xfId="596" xr:uid="{00000000-0005-0000-0000-00000A000000}"/>
    <cellStyle name="20% - Accent1 2 2 2 2" xfId="1163" xr:uid="{00000000-0005-0000-0000-00000B000000}"/>
    <cellStyle name="20% - Accent1 2 2 2 2 2" xfId="2747" xr:uid="{00000000-0005-0000-0000-00000C000000}"/>
    <cellStyle name="20% - Accent1 2 2 2 2 2 2" xfId="5149" xr:uid="{00000000-0005-0000-0000-00000D000000}"/>
    <cellStyle name="20% - Accent1 2 2 2 2 2 2 2" xfId="10245" xr:uid="{00000000-0005-0000-0000-00000E000000}"/>
    <cellStyle name="20% - Accent1 2 2 2 2 2 3" xfId="7850" xr:uid="{00000000-0005-0000-0000-00000F000000}"/>
    <cellStyle name="20% - Accent1 2 2 2 2 3" xfId="3957" xr:uid="{00000000-0005-0000-0000-000010000000}"/>
    <cellStyle name="20% - Accent1 2 2 2 2 3 2" xfId="9053" xr:uid="{00000000-0005-0000-0000-000011000000}"/>
    <cellStyle name="20% - Accent1 2 2 2 2 4" xfId="6562" xr:uid="{00000000-0005-0000-0000-000012000000}"/>
    <cellStyle name="20% - Accent1 2 2 2 3" xfId="2402" xr:uid="{00000000-0005-0000-0000-000013000000}"/>
    <cellStyle name="20% - Accent1 2 2 2 3 2" xfId="4849" xr:uid="{00000000-0005-0000-0000-000014000000}"/>
    <cellStyle name="20% - Accent1 2 2 2 3 2 2" xfId="9945" xr:uid="{00000000-0005-0000-0000-000015000000}"/>
    <cellStyle name="20% - Accent1 2 2 2 3 3" xfId="7506" xr:uid="{00000000-0005-0000-0000-000016000000}"/>
    <cellStyle name="20% - Accent1 2 2 2 4" xfId="3666" xr:uid="{00000000-0005-0000-0000-000017000000}"/>
    <cellStyle name="20% - Accent1 2 2 2 4 2" xfId="8765" xr:uid="{00000000-0005-0000-0000-000018000000}"/>
    <cellStyle name="20% - Accent1 2 2 2 5" xfId="6246" xr:uid="{00000000-0005-0000-0000-000019000000}"/>
    <cellStyle name="20% - Accent1 2 2 3" xfId="1162" xr:uid="{00000000-0005-0000-0000-00001A000000}"/>
    <cellStyle name="20% - Accent1 2 2 3 2" xfId="2746" xr:uid="{00000000-0005-0000-0000-00001B000000}"/>
    <cellStyle name="20% - Accent1 2 2 3 2 2" xfId="5148" xr:uid="{00000000-0005-0000-0000-00001C000000}"/>
    <cellStyle name="20% - Accent1 2 2 3 2 2 2" xfId="10244" xr:uid="{00000000-0005-0000-0000-00001D000000}"/>
    <cellStyle name="20% - Accent1 2 2 3 2 3" xfId="7849" xr:uid="{00000000-0005-0000-0000-00001E000000}"/>
    <cellStyle name="20% - Accent1 2 2 3 3" xfId="3956" xr:uid="{00000000-0005-0000-0000-00001F000000}"/>
    <cellStyle name="20% - Accent1 2 2 3 3 2" xfId="9052" xr:uid="{00000000-0005-0000-0000-000020000000}"/>
    <cellStyle name="20% - Accent1 2 2 3 4" xfId="6561" xr:uid="{00000000-0005-0000-0000-000021000000}"/>
    <cellStyle name="20% - Accent1 2 3" xfId="623" xr:uid="{00000000-0005-0000-0000-000022000000}"/>
    <cellStyle name="20% - Accent1 2 3 2" xfId="1164" xr:uid="{00000000-0005-0000-0000-000023000000}"/>
    <cellStyle name="20% - Accent1 2 3 2 2" xfId="2748" xr:uid="{00000000-0005-0000-0000-000024000000}"/>
    <cellStyle name="20% - Accent1 2 3 2 2 2" xfId="5150" xr:uid="{00000000-0005-0000-0000-000025000000}"/>
    <cellStyle name="20% - Accent1 2 3 2 2 2 2" xfId="10246" xr:uid="{00000000-0005-0000-0000-000026000000}"/>
    <cellStyle name="20% - Accent1 2 3 2 2 3" xfId="7851" xr:uid="{00000000-0005-0000-0000-000027000000}"/>
    <cellStyle name="20% - Accent1 2 3 2 3" xfId="3958" xr:uid="{00000000-0005-0000-0000-000028000000}"/>
    <cellStyle name="20% - Accent1 2 3 2 3 2" xfId="9054" xr:uid="{00000000-0005-0000-0000-000029000000}"/>
    <cellStyle name="20% - Accent1 2 3 2 4" xfId="6563" xr:uid="{00000000-0005-0000-0000-00002A000000}"/>
    <cellStyle name="20% - Accent1 2 3 3" xfId="2429" xr:uid="{00000000-0005-0000-0000-00002B000000}"/>
    <cellStyle name="20% - Accent1 2 3 3 2" xfId="4876" xr:uid="{00000000-0005-0000-0000-00002C000000}"/>
    <cellStyle name="20% - Accent1 2 3 3 2 2" xfId="9972" xr:uid="{00000000-0005-0000-0000-00002D000000}"/>
    <cellStyle name="20% - Accent1 2 3 3 3" xfId="7533" xr:uid="{00000000-0005-0000-0000-00002E000000}"/>
    <cellStyle name="20% - Accent1 2 3 4" xfId="3693" xr:uid="{00000000-0005-0000-0000-00002F000000}"/>
    <cellStyle name="20% - Accent1 2 3 4 2" xfId="8792" xr:uid="{00000000-0005-0000-0000-000030000000}"/>
    <cellStyle name="20% - Accent1 2 3 5" xfId="6273" xr:uid="{00000000-0005-0000-0000-000031000000}"/>
    <cellStyle name="20% - Accent1 2 4" xfId="654" xr:uid="{00000000-0005-0000-0000-000032000000}"/>
    <cellStyle name="20% - Accent1 2 4 2" xfId="1165" xr:uid="{00000000-0005-0000-0000-000033000000}"/>
    <cellStyle name="20% - Accent1 2 4 2 2" xfId="2749" xr:uid="{00000000-0005-0000-0000-000034000000}"/>
    <cellStyle name="20% - Accent1 2 4 2 2 2" xfId="5151" xr:uid="{00000000-0005-0000-0000-000035000000}"/>
    <cellStyle name="20% - Accent1 2 4 2 2 2 2" xfId="10247" xr:uid="{00000000-0005-0000-0000-000036000000}"/>
    <cellStyle name="20% - Accent1 2 4 2 2 3" xfId="7852" xr:uid="{00000000-0005-0000-0000-000037000000}"/>
    <cellStyle name="20% - Accent1 2 4 2 3" xfId="3959" xr:uid="{00000000-0005-0000-0000-000038000000}"/>
    <cellStyle name="20% - Accent1 2 4 2 3 2" xfId="9055" xr:uid="{00000000-0005-0000-0000-000039000000}"/>
    <cellStyle name="20% - Accent1 2 4 2 4" xfId="6564" xr:uid="{00000000-0005-0000-0000-00003A000000}"/>
    <cellStyle name="20% - Accent1 2 4 3" xfId="2458" xr:uid="{00000000-0005-0000-0000-00003B000000}"/>
    <cellStyle name="20% - Accent1 2 4 3 2" xfId="4905" xr:uid="{00000000-0005-0000-0000-00003C000000}"/>
    <cellStyle name="20% - Accent1 2 4 3 2 2" xfId="10001" xr:uid="{00000000-0005-0000-0000-00003D000000}"/>
    <cellStyle name="20% - Accent1 2 4 3 3" xfId="7562" xr:uid="{00000000-0005-0000-0000-00003E000000}"/>
    <cellStyle name="20% - Accent1 2 4 4" xfId="3722" xr:uid="{00000000-0005-0000-0000-00003F000000}"/>
    <cellStyle name="20% - Accent1 2 4 4 2" xfId="8821" xr:uid="{00000000-0005-0000-0000-000040000000}"/>
    <cellStyle name="20% - Accent1 2 4 5" xfId="6302" xr:uid="{00000000-0005-0000-0000-000041000000}"/>
    <cellStyle name="20% - Accent1 2 5" xfId="907" xr:uid="{00000000-0005-0000-0000-000042000000}"/>
    <cellStyle name="20% - Accent1 2 5 2" xfId="2608" xr:uid="{00000000-0005-0000-0000-000043000000}"/>
    <cellStyle name="20% - Accent1 2 5 2 2" xfId="5052" xr:uid="{00000000-0005-0000-0000-000044000000}"/>
    <cellStyle name="20% - Accent1 2 5 2 2 2" xfId="10148" xr:uid="{00000000-0005-0000-0000-000045000000}"/>
    <cellStyle name="20% - Accent1 2 5 2 3" xfId="7711" xr:uid="{00000000-0005-0000-0000-000046000000}"/>
    <cellStyle name="20% - Accent1 2 5 3" xfId="3869" xr:uid="{00000000-0005-0000-0000-000047000000}"/>
    <cellStyle name="20% - Accent1 2 5 3 2" xfId="8968" xr:uid="{00000000-0005-0000-0000-000048000000}"/>
    <cellStyle name="20% - Accent1 2 5 4" xfId="6454" xr:uid="{00000000-0005-0000-0000-000049000000}"/>
    <cellStyle name="20% - Accent1 2 6" xfId="1161" xr:uid="{00000000-0005-0000-0000-00004A000000}"/>
    <cellStyle name="20% - Accent1 2 6 2" xfId="2745" xr:uid="{00000000-0005-0000-0000-00004B000000}"/>
    <cellStyle name="20% - Accent1 2 6 2 2" xfId="5147" xr:uid="{00000000-0005-0000-0000-00004C000000}"/>
    <cellStyle name="20% - Accent1 2 6 2 2 2" xfId="10243" xr:uid="{00000000-0005-0000-0000-00004D000000}"/>
    <cellStyle name="20% - Accent1 2 6 2 3" xfId="7848" xr:uid="{00000000-0005-0000-0000-00004E000000}"/>
    <cellStyle name="20% - Accent1 2 6 3" xfId="3955" xr:uid="{00000000-0005-0000-0000-00004F000000}"/>
    <cellStyle name="20% - Accent1 2 6 3 2" xfId="9051" xr:uid="{00000000-0005-0000-0000-000050000000}"/>
    <cellStyle name="20% - Accent1 2 6 4" xfId="6560" xr:uid="{00000000-0005-0000-0000-000051000000}"/>
    <cellStyle name="20% - Accent1 3" xfId="180" xr:uid="{00000000-0005-0000-0000-000052000000}"/>
    <cellStyle name="20% - Accent1 3 2" xfId="791" xr:uid="{00000000-0005-0000-0000-000053000000}"/>
    <cellStyle name="20% - Accent1 3 2 2" xfId="751" xr:uid="{00000000-0005-0000-0000-000054000000}"/>
    <cellStyle name="20% - Accent1 3 2 2 2" xfId="1168" xr:uid="{00000000-0005-0000-0000-000055000000}"/>
    <cellStyle name="20% - Accent1 3 2 2 2 2" xfId="2752" xr:uid="{00000000-0005-0000-0000-000056000000}"/>
    <cellStyle name="20% - Accent1 3 2 2 2 2 2" xfId="5154" xr:uid="{00000000-0005-0000-0000-000057000000}"/>
    <cellStyle name="20% - Accent1 3 2 2 2 2 2 2" xfId="10250" xr:uid="{00000000-0005-0000-0000-000058000000}"/>
    <cellStyle name="20% - Accent1 3 2 2 2 2 3" xfId="7855" xr:uid="{00000000-0005-0000-0000-000059000000}"/>
    <cellStyle name="20% - Accent1 3 2 2 2 3" xfId="3962" xr:uid="{00000000-0005-0000-0000-00005A000000}"/>
    <cellStyle name="20% - Accent1 3 2 2 2 3 2" xfId="9058" xr:uid="{00000000-0005-0000-0000-00005B000000}"/>
    <cellStyle name="20% - Accent1 3 2 2 2 4" xfId="6567" xr:uid="{00000000-0005-0000-0000-00005C000000}"/>
    <cellStyle name="20% - Accent1 3 2 2 3" xfId="2535" xr:uid="{00000000-0005-0000-0000-00005D000000}"/>
    <cellStyle name="20% - Accent1 3 2 2 3 2" xfId="4982" xr:uid="{00000000-0005-0000-0000-00005E000000}"/>
    <cellStyle name="20% - Accent1 3 2 2 3 2 2" xfId="10078" xr:uid="{00000000-0005-0000-0000-00005F000000}"/>
    <cellStyle name="20% - Accent1 3 2 2 3 3" xfId="7639" xr:uid="{00000000-0005-0000-0000-000060000000}"/>
    <cellStyle name="20% - Accent1 3 2 2 4" xfId="3799" xr:uid="{00000000-0005-0000-0000-000061000000}"/>
    <cellStyle name="20% - Accent1 3 2 2 4 2" xfId="8898" xr:uid="{00000000-0005-0000-0000-000062000000}"/>
    <cellStyle name="20% - Accent1 3 2 2 5" xfId="6379" xr:uid="{00000000-0005-0000-0000-000063000000}"/>
    <cellStyle name="20% - Accent1 3 2 3" xfId="1167" xr:uid="{00000000-0005-0000-0000-000064000000}"/>
    <cellStyle name="20% - Accent1 3 2 3 2" xfId="2751" xr:uid="{00000000-0005-0000-0000-000065000000}"/>
    <cellStyle name="20% - Accent1 3 2 3 2 2" xfId="5153" xr:uid="{00000000-0005-0000-0000-000066000000}"/>
    <cellStyle name="20% - Accent1 3 2 3 2 2 2" xfId="10249" xr:uid="{00000000-0005-0000-0000-000067000000}"/>
    <cellStyle name="20% - Accent1 3 2 3 2 3" xfId="7854" xr:uid="{00000000-0005-0000-0000-000068000000}"/>
    <cellStyle name="20% - Accent1 3 2 3 3" xfId="3961" xr:uid="{00000000-0005-0000-0000-000069000000}"/>
    <cellStyle name="20% - Accent1 3 2 3 3 2" xfId="9057" xr:uid="{00000000-0005-0000-0000-00006A000000}"/>
    <cellStyle name="20% - Accent1 3 2 3 4" xfId="6566" xr:uid="{00000000-0005-0000-0000-00006B000000}"/>
    <cellStyle name="20% - Accent1 3 3" xfId="875" xr:uid="{00000000-0005-0000-0000-00006C000000}"/>
    <cellStyle name="20% - Accent1 3 3 2" xfId="1169" xr:uid="{00000000-0005-0000-0000-00006D000000}"/>
    <cellStyle name="20% - Accent1 3 3 2 2" xfId="2753" xr:uid="{00000000-0005-0000-0000-00006E000000}"/>
    <cellStyle name="20% - Accent1 3 3 2 2 2" xfId="5155" xr:uid="{00000000-0005-0000-0000-00006F000000}"/>
    <cellStyle name="20% - Accent1 3 3 2 2 2 2" xfId="10251" xr:uid="{00000000-0005-0000-0000-000070000000}"/>
    <cellStyle name="20% - Accent1 3 3 2 2 3" xfId="7856" xr:uid="{00000000-0005-0000-0000-000071000000}"/>
    <cellStyle name="20% - Accent1 3 3 2 3" xfId="3963" xr:uid="{00000000-0005-0000-0000-000072000000}"/>
    <cellStyle name="20% - Accent1 3 3 2 3 2" xfId="9059" xr:uid="{00000000-0005-0000-0000-000073000000}"/>
    <cellStyle name="20% - Accent1 3 3 2 4" xfId="6568" xr:uid="{00000000-0005-0000-0000-000074000000}"/>
    <cellStyle name="20% - Accent1 3 3 3" xfId="2580" xr:uid="{00000000-0005-0000-0000-000075000000}"/>
    <cellStyle name="20% - Accent1 3 3 3 2" xfId="5024" xr:uid="{00000000-0005-0000-0000-000076000000}"/>
    <cellStyle name="20% - Accent1 3 3 3 2 2" xfId="10120" xr:uid="{00000000-0005-0000-0000-000077000000}"/>
    <cellStyle name="20% - Accent1 3 3 3 3" xfId="7683" xr:uid="{00000000-0005-0000-0000-000078000000}"/>
    <cellStyle name="20% - Accent1 3 3 4" xfId="3841" xr:uid="{00000000-0005-0000-0000-000079000000}"/>
    <cellStyle name="20% - Accent1 3 3 4 2" xfId="8940" xr:uid="{00000000-0005-0000-0000-00007A000000}"/>
    <cellStyle name="20% - Accent1 3 3 5" xfId="6426" xr:uid="{00000000-0005-0000-0000-00007B000000}"/>
    <cellStyle name="20% - Accent1 3 4" xfId="649" xr:uid="{00000000-0005-0000-0000-00007C000000}"/>
    <cellStyle name="20% - Accent1 3 4 2" xfId="1170" xr:uid="{00000000-0005-0000-0000-00007D000000}"/>
    <cellStyle name="20% - Accent1 3 4 2 2" xfId="2754" xr:uid="{00000000-0005-0000-0000-00007E000000}"/>
    <cellStyle name="20% - Accent1 3 4 2 2 2" xfId="5156" xr:uid="{00000000-0005-0000-0000-00007F000000}"/>
    <cellStyle name="20% - Accent1 3 4 2 2 2 2" xfId="10252" xr:uid="{00000000-0005-0000-0000-000080000000}"/>
    <cellStyle name="20% - Accent1 3 4 2 2 3" xfId="7857" xr:uid="{00000000-0005-0000-0000-000081000000}"/>
    <cellStyle name="20% - Accent1 3 4 2 3" xfId="3964" xr:uid="{00000000-0005-0000-0000-000082000000}"/>
    <cellStyle name="20% - Accent1 3 4 2 3 2" xfId="9060" xr:uid="{00000000-0005-0000-0000-000083000000}"/>
    <cellStyle name="20% - Accent1 3 4 2 4" xfId="6569" xr:uid="{00000000-0005-0000-0000-000084000000}"/>
    <cellStyle name="20% - Accent1 3 4 3" xfId="2453" xr:uid="{00000000-0005-0000-0000-000085000000}"/>
    <cellStyle name="20% - Accent1 3 4 3 2" xfId="4900" xr:uid="{00000000-0005-0000-0000-000086000000}"/>
    <cellStyle name="20% - Accent1 3 4 3 2 2" xfId="9996" xr:uid="{00000000-0005-0000-0000-000087000000}"/>
    <cellStyle name="20% - Accent1 3 4 3 3" xfId="7557" xr:uid="{00000000-0005-0000-0000-000088000000}"/>
    <cellStyle name="20% - Accent1 3 4 4" xfId="3717" xr:uid="{00000000-0005-0000-0000-000089000000}"/>
    <cellStyle name="20% - Accent1 3 4 4 2" xfId="8816" xr:uid="{00000000-0005-0000-0000-00008A000000}"/>
    <cellStyle name="20% - Accent1 3 4 5" xfId="6297" xr:uid="{00000000-0005-0000-0000-00008B000000}"/>
    <cellStyle name="20% - Accent1 3 5" xfId="700" xr:uid="{00000000-0005-0000-0000-00008C000000}"/>
    <cellStyle name="20% - Accent1 3 5 2" xfId="2502" xr:uid="{00000000-0005-0000-0000-00008D000000}"/>
    <cellStyle name="20% - Accent1 3 5 2 2" xfId="4949" xr:uid="{00000000-0005-0000-0000-00008E000000}"/>
    <cellStyle name="20% - Accent1 3 5 2 2 2" xfId="10045" xr:uid="{00000000-0005-0000-0000-00008F000000}"/>
    <cellStyle name="20% - Accent1 3 5 2 3" xfId="7606" xr:uid="{00000000-0005-0000-0000-000090000000}"/>
    <cellStyle name="20% - Accent1 3 5 3" xfId="3766" xr:uid="{00000000-0005-0000-0000-000091000000}"/>
    <cellStyle name="20% - Accent1 3 5 3 2" xfId="8865" xr:uid="{00000000-0005-0000-0000-000092000000}"/>
    <cellStyle name="20% - Accent1 3 5 4" xfId="6346" xr:uid="{00000000-0005-0000-0000-000093000000}"/>
    <cellStyle name="20% - Accent1 3 6" xfId="1166" xr:uid="{00000000-0005-0000-0000-000094000000}"/>
    <cellStyle name="20% - Accent1 3 6 2" xfId="2750" xr:uid="{00000000-0005-0000-0000-000095000000}"/>
    <cellStyle name="20% - Accent1 3 6 2 2" xfId="5152" xr:uid="{00000000-0005-0000-0000-000096000000}"/>
    <cellStyle name="20% - Accent1 3 6 2 2 2" xfId="10248" xr:uid="{00000000-0005-0000-0000-000097000000}"/>
    <cellStyle name="20% - Accent1 3 6 2 3" xfId="7853" xr:uid="{00000000-0005-0000-0000-000098000000}"/>
    <cellStyle name="20% - Accent1 3 6 3" xfId="3960" xr:uid="{00000000-0005-0000-0000-000099000000}"/>
    <cellStyle name="20% - Accent1 3 6 3 2" xfId="9056" xr:uid="{00000000-0005-0000-0000-00009A000000}"/>
    <cellStyle name="20% - Accent1 3 6 4" xfId="6565" xr:uid="{00000000-0005-0000-0000-00009B000000}"/>
    <cellStyle name="20% - Accent1 4" xfId="181" xr:uid="{00000000-0005-0000-0000-00009C000000}"/>
    <cellStyle name="20% - Accent1 4 2" xfId="585" xr:uid="{00000000-0005-0000-0000-00009D000000}"/>
    <cellStyle name="20% - Accent1 4 2 2" xfId="1172" xr:uid="{00000000-0005-0000-0000-00009E000000}"/>
    <cellStyle name="20% - Accent1 4 2 3" xfId="2391" xr:uid="{00000000-0005-0000-0000-00009F000000}"/>
    <cellStyle name="20% - Accent1 4 2 3 2" xfId="4838" xr:uid="{00000000-0005-0000-0000-0000A0000000}"/>
    <cellStyle name="20% - Accent1 4 2 3 2 2" xfId="9934" xr:uid="{00000000-0005-0000-0000-0000A1000000}"/>
    <cellStyle name="20% - Accent1 4 2 3 3" xfId="7495" xr:uid="{00000000-0005-0000-0000-0000A2000000}"/>
    <cellStyle name="20% - Accent1 4 2 4" xfId="3655" xr:uid="{00000000-0005-0000-0000-0000A3000000}"/>
    <cellStyle name="20% - Accent1 4 2 4 2" xfId="8754" xr:uid="{00000000-0005-0000-0000-0000A4000000}"/>
    <cellStyle name="20% - Accent1 4 2 5" xfId="6235" xr:uid="{00000000-0005-0000-0000-0000A5000000}"/>
    <cellStyle name="20% - Accent1 4 3" xfId="738" xr:uid="{00000000-0005-0000-0000-0000A6000000}"/>
    <cellStyle name="20% - Accent1 4 3 2" xfId="1173" xr:uid="{00000000-0005-0000-0000-0000A7000000}"/>
    <cellStyle name="20% - Accent1 4 3 2 2" xfId="2756" xr:uid="{00000000-0005-0000-0000-0000A8000000}"/>
    <cellStyle name="20% - Accent1 4 3 2 2 2" xfId="5158" xr:uid="{00000000-0005-0000-0000-0000A9000000}"/>
    <cellStyle name="20% - Accent1 4 3 2 2 2 2" xfId="10254" xr:uid="{00000000-0005-0000-0000-0000AA000000}"/>
    <cellStyle name="20% - Accent1 4 3 2 2 3" xfId="7859" xr:uid="{00000000-0005-0000-0000-0000AB000000}"/>
    <cellStyle name="20% - Accent1 4 3 2 3" xfId="3966" xr:uid="{00000000-0005-0000-0000-0000AC000000}"/>
    <cellStyle name="20% - Accent1 4 3 2 3 2" xfId="9062" xr:uid="{00000000-0005-0000-0000-0000AD000000}"/>
    <cellStyle name="20% - Accent1 4 3 2 4" xfId="6571" xr:uid="{00000000-0005-0000-0000-0000AE000000}"/>
    <cellStyle name="20% - Accent1 4 3 3" xfId="2524" xr:uid="{00000000-0005-0000-0000-0000AF000000}"/>
    <cellStyle name="20% - Accent1 4 3 3 2" xfId="4971" xr:uid="{00000000-0005-0000-0000-0000B0000000}"/>
    <cellStyle name="20% - Accent1 4 3 3 2 2" xfId="10067" xr:uid="{00000000-0005-0000-0000-0000B1000000}"/>
    <cellStyle name="20% - Accent1 4 3 3 3" xfId="7628" xr:uid="{00000000-0005-0000-0000-0000B2000000}"/>
    <cellStyle name="20% - Accent1 4 3 4" xfId="3788" xr:uid="{00000000-0005-0000-0000-0000B3000000}"/>
    <cellStyle name="20% - Accent1 4 3 4 2" xfId="8887" xr:uid="{00000000-0005-0000-0000-0000B4000000}"/>
    <cellStyle name="20% - Accent1 4 3 5" xfId="6368" xr:uid="{00000000-0005-0000-0000-0000B5000000}"/>
    <cellStyle name="20% - Accent1 4 4" xfId="641" xr:uid="{00000000-0005-0000-0000-0000B6000000}"/>
    <cellStyle name="20% - Accent1 4 4 2" xfId="2446" xr:uid="{00000000-0005-0000-0000-0000B7000000}"/>
    <cellStyle name="20% - Accent1 4 4 2 2" xfId="4893" xr:uid="{00000000-0005-0000-0000-0000B8000000}"/>
    <cellStyle name="20% - Accent1 4 4 2 2 2" xfId="9989" xr:uid="{00000000-0005-0000-0000-0000B9000000}"/>
    <cellStyle name="20% - Accent1 4 4 2 3" xfId="7550" xr:uid="{00000000-0005-0000-0000-0000BA000000}"/>
    <cellStyle name="20% - Accent1 4 4 3" xfId="3710" xr:uid="{00000000-0005-0000-0000-0000BB000000}"/>
    <cellStyle name="20% - Accent1 4 4 3 2" xfId="8809" xr:uid="{00000000-0005-0000-0000-0000BC000000}"/>
    <cellStyle name="20% - Accent1 4 4 4" xfId="6290" xr:uid="{00000000-0005-0000-0000-0000BD000000}"/>
    <cellStyle name="20% - Accent1 4 5" xfId="910" xr:uid="{00000000-0005-0000-0000-0000BE000000}"/>
    <cellStyle name="20% - Accent1 4 5 2" xfId="2611" xr:uid="{00000000-0005-0000-0000-0000BF000000}"/>
    <cellStyle name="20% - Accent1 4 5 2 2" xfId="5055" xr:uid="{00000000-0005-0000-0000-0000C0000000}"/>
    <cellStyle name="20% - Accent1 4 5 2 2 2" xfId="10151" xr:uid="{00000000-0005-0000-0000-0000C1000000}"/>
    <cellStyle name="20% - Accent1 4 5 2 3" xfId="7714" xr:uid="{00000000-0005-0000-0000-0000C2000000}"/>
    <cellStyle name="20% - Accent1 4 5 3" xfId="3872" xr:uid="{00000000-0005-0000-0000-0000C3000000}"/>
    <cellStyle name="20% - Accent1 4 5 3 2" xfId="8971" xr:uid="{00000000-0005-0000-0000-0000C4000000}"/>
    <cellStyle name="20% - Accent1 4 5 4" xfId="6457" xr:uid="{00000000-0005-0000-0000-0000C5000000}"/>
    <cellStyle name="20% - Accent1 4 6" xfId="1171" xr:uid="{00000000-0005-0000-0000-0000C6000000}"/>
    <cellStyle name="20% - Accent1 4 6 2" xfId="2755" xr:uid="{00000000-0005-0000-0000-0000C7000000}"/>
    <cellStyle name="20% - Accent1 4 6 2 2" xfId="5157" xr:uid="{00000000-0005-0000-0000-0000C8000000}"/>
    <cellStyle name="20% - Accent1 4 6 2 2 2" xfId="10253" xr:uid="{00000000-0005-0000-0000-0000C9000000}"/>
    <cellStyle name="20% - Accent1 4 6 2 3" xfId="7858" xr:uid="{00000000-0005-0000-0000-0000CA000000}"/>
    <cellStyle name="20% - Accent1 4 6 3" xfId="3965" xr:uid="{00000000-0005-0000-0000-0000CB000000}"/>
    <cellStyle name="20% - Accent1 4 6 3 2" xfId="9061" xr:uid="{00000000-0005-0000-0000-0000CC000000}"/>
    <cellStyle name="20% - Accent1 4 6 4" xfId="6570" xr:uid="{00000000-0005-0000-0000-0000CD000000}"/>
    <cellStyle name="20% - Accent1 5" xfId="182" xr:uid="{00000000-0005-0000-0000-0000CE000000}"/>
    <cellStyle name="20% - Accent1 5 2" xfId="635" xr:uid="{00000000-0005-0000-0000-0000CF000000}"/>
    <cellStyle name="20% - Accent1 5 2 2" xfId="2441" xr:uid="{00000000-0005-0000-0000-0000D0000000}"/>
    <cellStyle name="20% - Accent1 5 2 2 2" xfId="4888" xr:uid="{00000000-0005-0000-0000-0000D1000000}"/>
    <cellStyle name="20% - Accent1 5 2 2 2 2" xfId="9984" xr:uid="{00000000-0005-0000-0000-0000D2000000}"/>
    <cellStyle name="20% - Accent1 5 2 2 3" xfId="7545" xr:uid="{00000000-0005-0000-0000-0000D3000000}"/>
    <cellStyle name="20% - Accent1 5 2 3" xfId="3705" xr:uid="{00000000-0005-0000-0000-0000D4000000}"/>
    <cellStyle name="20% - Accent1 5 2 3 2" xfId="8804" xr:uid="{00000000-0005-0000-0000-0000D5000000}"/>
    <cellStyle name="20% - Accent1 5 2 4" xfId="6285" xr:uid="{00000000-0005-0000-0000-0000D6000000}"/>
    <cellStyle name="20% - Accent1 5 3" xfId="666" xr:uid="{00000000-0005-0000-0000-0000D7000000}"/>
    <cellStyle name="20% - Accent1 5 3 2" xfId="2470" xr:uid="{00000000-0005-0000-0000-0000D8000000}"/>
    <cellStyle name="20% - Accent1 5 3 2 2" xfId="4917" xr:uid="{00000000-0005-0000-0000-0000D9000000}"/>
    <cellStyle name="20% - Accent1 5 3 2 2 2" xfId="10013" xr:uid="{00000000-0005-0000-0000-0000DA000000}"/>
    <cellStyle name="20% - Accent1 5 3 2 3" xfId="7574" xr:uid="{00000000-0005-0000-0000-0000DB000000}"/>
    <cellStyle name="20% - Accent1 5 3 3" xfId="3734" xr:uid="{00000000-0005-0000-0000-0000DC000000}"/>
    <cellStyle name="20% - Accent1 5 3 3 2" xfId="8833" xr:uid="{00000000-0005-0000-0000-0000DD000000}"/>
    <cellStyle name="20% - Accent1 5 3 4" xfId="6314" xr:uid="{00000000-0005-0000-0000-0000DE000000}"/>
    <cellStyle name="20% - Accent1 5 4" xfId="1174" xr:uid="{00000000-0005-0000-0000-0000DF000000}"/>
    <cellStyle name="20% - Accent1 6" xfId="183" xr:uid="{00000000-0005-0000-0000-0000E0000000}"/>
    <cellStyle name="20% - Accent1 6 2" xfId="760" xr:uid="{00000000-0005-0000-0000-0000E1000000}"/>
    <cellStyle name="20% - Accent1 6 2 2" xfId="2541" xr:uid="{00000000-0005-0000-0000-0000E2000000}"/>
    <cellStyle name="20% - Accent1 6 2 2 2" xfId="4988" xr:uid="{00000000-0005-0000-0000-0000E3000000}"/>
    <cellStyle name="20% - Accent1 6 2 2 2 2" xfId="10084" xr:uid="{00000000-0005-0000-0000-0000E4000000}"/>
    <cellStyle name="20% - Accent1 6 2 2 3" xfId="7645" xr:uid="{00000000-0005-0000-0000-0000E5000000}"/>
    <cellStyle name="20% - Accent1 6 2 3" xfId="3805" xr:uid="{00000000-0005-0000-0000-0000E6000000}"/>
    <cellStyle name="20% - Accent1 6 2 3 2" xfId="8904" xr:uid="{00000000-0005-0000-0000-0000E7000000}"/>
    <cellStyle name="20% - Accent1 6 2 4" xfId="6385" xr:uid="{00000000-0005-0000-0000-0000E8000000}"/>
    <cellStyle name="20% - Accent1 6 3" xfId="1175" xr:uid="{00000000-0005-0000-0000-0000E9000000}"/>
    <cellStyle name="20% - Accent1 7" xfId="184" xr:uid="{00000000-0005-0000-0000-0000EA000000}"/>
    <cellStyle name="20% - Accent1 7 2" xfId="574" xr:uid="{00000000-0005-0000-0000-0000EB000000}"/>
    <cellStyle name="20% - Accent1 7 2 2" xfId="2380" xr:uid="{00000000-0005-0000-0000-0000EC000000}"/>
    <cellStyle name="20% - Accent1 7 2 2 2" xfId="4827" xr:uid="{00000000-0005-0000-0000-0000ED000000}"/>
    <cellStyle name="20% - Accent1 7 2 2 2 2" xfId="9923" xr:uid="{00000000-0005-0000-0000-0000EE000000}"/>
    <cellStyle name="20% - Accent1 7 2 2 3" xfId="7484" xr:uid="{00000000-0005-0000-0000-0000EF000000}"/>
    <cellStyle name="20% - Accent1 7 2 3" xfId="3644" xr:uid="{00000000-0005-0000-0000-0000F0000000}"/>
    <cellStyle name="20% - Accent1 7 2 3 2" xfId="8743" xr:uid="{00000000-0005-0000-0000-0000F1000000}"/>
    <cellStyle name="20% - Accent1 7 2 4" xfId="6224" xr:uid="{00000000-0005-0000-0000-0000F2000000}"/>
    <cellStyle name="20% - Accent1 7 3" xfId="1176" xr:uid="{00000000-0005-0000-0000-0000F3000000}"/>
    <cellStyle name="20% - Accent1 8" xfId="185" xr:uid="{00000000-0005-0000-0000-0000F4000000}"/>
    <cellStyle name="20% - Accent1 8 2" xfId="565" xr:uid="{00000000-0005-0000-0000-0000F5000000}"/>
    <cellStyle name="20% - Accent1 8 2 2" xfId="2371" xr:uid="{00000000-0005-0000-0000-0000F6000000}"/>
    <cellStyle name="20% - Accent1 8 2 2 2" xfId="4818" xr:uid="{00000000-0005-0000-0000-0000F7000000}"/>
    <cellStyle name="20% - Accent1 8 2 2 2 2" xfId="9914" xr:uid="{00000000-0005-0000-0000-0000F8000000}"/>
    <cellStyle name="20% - Accent1 8 2 2 3" xfId="7475" xr:uid="{00000000-0005-0000-0000-0000F9000000}"/>
    <cellStyle name="20% - Accent1 8 2 3" xfId="3635" xr:uid="{00000000-0005-0000-0000-0000FA000000}"/>
    <cellStyle name="20% - Accent1 8 2 3 2" xfId="8734" xr:uid="{00000000-0005-0000-0000-0000FB000000}"/>
    <cellStyle name="20% - Accent1 8 2 4" xfId="6215" xr:uid="{00000000-0005-0000-0000-0000FC000000}"/>
    <cellStyle name="20% - Accent1 8 3" xfId="1177" xr:uid="{00000000-0005-0000-0000-0000FD000000}"/>
    <cellStyle name="20% - Accent1 9" xfId="719" xr:uid="{00000000-0005-0000-0000-0000FE000000}"/>
    <cellStyle name="20% - Accent1 9 2" xfId="1043" xr:uid="{00000000-0005-0000-0000-0000FF000000}"/>
    <cellStyle name="20% - Accent1 9 2 2" xfId="2673" xr:uid="{00000000-0005-0000-0000-000000010000}"/>
    <cellStyle name="20% - Accent1 9 2 2 2" xfId="5082" xr:uid="{00000000-0005-0000-0000-000001010000}"/>
    <cellStyle name="20% - Accent1 9 2 2 2 2" xfId="10178" xr:uid="{00000000-0005-0000-0000-000002010000}"/>
    <cellStyle name="20% - Accent1 9 2 2 3" xfId="7776" xr:uid="{00000000-0005-0000-0000-000003010000}"/>
    <cellStyle name="20% - Accent1 9 2 3" xfId="3899" xr:uid="{00000000-0005-0000-0000-000004010000}"/>
    <cellStyle name="20% - Accent1 9 2 3 2" xfId="8998" xr:uid="{00000000-0005-0000-0000-000005010000}"/>
    <cellStyle name="20% - Accent1 9 2 4" xfId="6520" xr:uid="{00000000-0005-0000-0000-000006010000}"/>
    <cellStyle name="20% - Accent1 9 3" xfId="2514" xr:uid="{00000000-0005-0000-0000-000007010000}"/>
    <cellStyle name="20% - Accent1 9 3 2" xfId="4961" xr:uid="{00000000-0005-0000-0000-000008010000}"/>
    <cellStyle name="20% - Accent1 9 3 2 2" xfId="10057" xr:uid="{00000000-0005-0000-0000-000009010000}"/>
    <cellStyle name="20% - Accent1 9 3 3" xfId="7618" xr:uid="{00000000-0005-0000-0000-00000A010000}"/>
    <cellStyle name="20% - Accent1 9 4" xfId="3778" xr:uid="{00000000-0005-0000-0000-00000B010000}"/>
    <cellStyle name="20% - Accent1 9 4 2" xfId="8877" xr:uid="{00000000-0005-0000-0000-00000C010000}"/>
    <cellStyle name="20% - Accent1 9 5" xfId="6358" xr:uid="{00000000-0005-0000-0000-00000D010000}"/>
    <cellStyle name="20% - Accent2" xfId="129" builtinId="34" customBuiltin="1"/>
    <cellStyle name="20% - Accent2 10" xfId="2728" xr:uid="{00000000-0005-0000-0000-00000F010000}"/>
    <cellStyle name="20% - Accent2 10 2" xfId="5130" xr:uid="{00000000-0005-0000-0000-000010010000}"/>
    <cellStyle name="20% - Accent2 10 2 2" xfId="10226" xr:uid="{00000000-0005-0000-0000-000011010000}"/>
    <cellStyle name="20% - Accent2 10 3" xfId="7831" xr:uid="{00000000-0005-0000-0000-000012010000}"/>
    <cellStyle name="20% - Accent2 11" xfId="3589" xr:uid="{00000000-0005-0000-0000-000013010000}"/>
    <cellStyle name="20% - Accent2 11 2" xfId="8692" xr:uid="{00000000-0005-0000-0000-000014010000}"/>
    <cellStyle name="20% - Accent2 12" xfId="6543" xr:uid="{00000000-0005-0000-0000-000015010000}"/>
    <cellStyle name="20% - Accent2 2" xfId="15" xr:uid="{00000000-0005-0000-0000-000016010000}"/>
    <cellStyle name="20% - Accent2 2 2" xfId="792" xr:uid="{00000000-0005-0000-0000-000017010000}"/>
    <cellStyle name="20% - Accent2 2 2 2" xfId="735" xr:uid="{00000000-0005-0000-0000-000018010000}"/>
    <cellStyle name="20% - Accent2 2 2 2 2" xfId="1180" xr:uid="{00000000-0005-0000-0000-000019010000}"/>
    <cellStyle name="20% - Accent2 2 2 2 2 2" xfId="2759" xr:uid="{00000000-0005-0000-0000-00001A010000}"/>
    <cellStyle name="20% - Accent2 2 2 2 2 2 2" xfId="5161" xr:uid="{00000000-0005-0000-0000-00001B010000}"/>
    <cellStyle name="20% - Accent2 2 2 2 2 2 2 2" xfId="10257" xr:uid="{00000000-0005-0000-0000-00001C010000}"/>
    <cellStyle name="20% - Accent2 2 2 2 2 2 3" xfId="7862" xr:uid="{00000000-0005-0000-0000-00001D010000}"/>
    <cellStyle name="20% - Accent2 2 2 2 2 3" xfId="3969" xr:uid="{00000000-0005-0000-0000-00001E010000}"/>
    <cellStyle name="20% - Accent2 2 2 2 2 3 2" xfId="9065" xr:uid="{00000000-0005-0000-0000-00001F010000}"/>
    <cellStyle name="20% - Accent2 2 2 2 2 4" xfId="6574" xr:uid="{00000000-0005-0000-0000-000020010000}"/>
    <cellStyle name="20% - Accent2 2 2 2 3" xfId="2521" xr:uid="{00000000-0005-0000-0000-000021010000}"/>
    <cellStyle name="20% - Accent2 2 2 2 3 2" xfId="4968" xr:uid="{00000000-0005-0000-0000-000022010000}"/>
    <cellStyle name="20% - Accent2 2 2 2 3 2 2" xfId="10064" xr:uid="{00000000-0005-0000-0000-000023010000}"/>
    <cellStyle name="20% - Accent2 2 2 2 3 3" xfId="7625" xr:uid="{00000000-0005-0000-0000-000024010000}"/>
    <cellStyle name="20% - Accent2 2 2 2 4" xfId="3785" xr:uid="{00000000-0005-0000-0000-000025010000}"/>
    <cellStyle name="20% - Accent2 2 2 2 4 2" xfId="8884" xr:uid="{00000000-0005-0000-0000-000026010000}"/>
    <cellStyle name="20% - Accent2 2 2 2 5" xfId="6365" xr:uid="{00000000-0005-0000-0000-000027010000}"/>
    <cellStyle name="20% - Accent2 2 2 3" xfId="1179" xr:uid="{00000000-0005-0000-0000-000028010000}"/>
    <cellStyle name="20% - Accent2 2 2 3 2" xfId="2758" xr:uid="{00000000-0005-0000-0000-000029010000}"/>
    <cellStyle name="20% - Accent2 2 2 3 2 2" xfId="5160" xr:uid="{00000000-0005-0000-0000-00002A010000}"/>
    <cellStyle name="20% - Accent2 2 2 3 2 2 2" xfId="10256" xr:uid="{00000000-0005-0000-0000-00002B010000}"/>
    <cellStyle name="20% - Accent2 2 2 3 2 3" xfId="7861" xr:uid="{00000000-0005-0000-0000-00002C010000}"/>
    <cellStyle name="20% - Accent2 2 2 3 3" xfId="3968" xr:uid="{00000000-0005-0000-0000-00002D010000}"/>
    <cellStyle name="20% - Accent2 2 2 3 3 2" xfId="9064" xr:uid="{00000000-0005-0000-0000-00002E010000}"/>
    <cellStyle name="20% - Accent2 2 2 3 4" xfId="6573" xr:uid="{00000000-0005-0000-0000-00002F010000}"/>
    <cellStyle name="20% - Accent2 2 3" xfId="622" xr:uid="{00000000-0005-0000-0000-000030010000}"/>
    <cellStyle name="20% - Accent2 2 3 2" xfId="1181" xr:uid="{00000000-0005-0000-0000-000031010000}"/>
    <cellStyle name="20% - Accent2 2 3 2 2" xfId="2760" xr:uid="{00000000-0005-0000-0000-000032010000}"/>
    <cellStyle name="20% - Accent2 2 3 2 2 2" xfId="5162" xr:uid="{00000000-0005-0000-0000-000033010000}"/>
    <cellStyle name="20% - Accent2 2 3 2 2 2 2" xfId="10258" xr:uid="{00000000-0005-0000-0000-000034010000}"/>
    <cellStyle name="20% - Accent2 2 3 2 2 3" xfId="7863" xr:uid="{00000000-0005-0000-0000-000035010000}"/>
    <cellStyle name="20% - Accent2 2 3 2 3" xfId="3970" xr:uid="{00000000-0005-0000-0000-000036010000}"/>
    <cellStyle name="20% - Accent2 2 3 2 3 2" xfId="9066" xr:uid="{00000000-0005-0000-0000-000037010000}"/>
    <cellStyle name="20% - Accent2 2 3 2 4" xfId="6575" xr:uid="{00000000-0005-0000-0000-000038010000}"/>
    <cellStyle name="20% - Accent2 2 3 3" xfId="2428" xr:uid="{00000000-0005-0000-0000-000039010000}"/>
    <cellStyle name="20% - Accent2 2 3 3 2" xfId="4875" xr:uid="{00000000-0005-0000-0000-00003A010000}"/>
    <cellStyle name="20% - Accent2 2 3 3 2 2" xfId="9971" xr:uid="{00000000-0005-0000-0000-00003B010000}"/>
    <cellStyle name="20% - Accent2 2 3 3 3" xfId="7532" xr:uid="{00000000-0005-0000-0000-00003C010000}"/>
    <cellStyle name="20% - Accent2 2 3 4" xfId="3692" xr:uid="{00000000-0005-0000-0000-00003D010000}"/>
    <cellStyle name="20% - Accent2 2 3 4 2" xfId="8791" xr:uid="{00000000-0005-0000-0000-00003E010000}"/>
    <cellStyle name="20% - Accent2 2 3 5" xfId="6272" xr:uid="{00000000-0005-0000-0000-00003F010000}"/>
    <cellStyle name="20% - Accent2 2 4" xfId="653" xr:uid="{00000000-0005-0000-0000-000040010000}"/>
    <cellStyle name="20% - Accent2 2 4 2" xfId="1182" xr:uid="{00000000-0005-0000-0000-000041010000}"/>
    <cellStyle name="20% - Accent2 2 4 2 2" xfId="2761" xr:uid="{00000000-0005-0000-0000-000042010000}"/>
    <cellStyle name="20% - Accent2 2 4 2 2 2" xfId="5163" xr:uid="{00000000-0005-0000-0000-000043010000}"/>
    <cellStyle name="20% - Accent2 2 4 2 2 2 2" xfId="10259" xr:uid="{00000000-0005-0000-0000-000044010000}"/>
    <cellStyle name="20% - Accent2 2 4 2 2 3" xfId="7864" xr:uid="{00000000-0005-0000-0000-000045010000}"/>
    <cellStyle name="20% - Accent2 2 4 2 3" xfId="3971" xr:uid="{00000000-0005-0000-0000-000046010000}"/>
    <cellStyle name="20% - Accent2 2 4 2 3 2" xfId="9067" xr:uid="{00000000-0005-0000-0000-000047010000}"/>
    <cellStyle name="20% - Accent2 2 4 2 4" xfId="6576" xr:uid="{00000000-0005-0000-0000-000048010000}"/>
    <cellStyle name="20% - Accent2 2 4 3" xfId="2457" xr:uid="{00000000-0005-0000-0000-000049010000}"/>
    <cellStyle name="20% - Accent2 2 4 3 2" xfId="4904" xr:uid="{00000000-0005-0000-0000-00004A010000}"/>
    <cellStyle name="20% - Accent2 2 4 3 2 2" xfId="10000" xr:uid="{00000000-0005-0000-0000-00004B010000}"/>
    <cellStyle name="20% - Accent2 2 4 3 3" xfId="7561" xr:uid="{00000000-0005-0000-0000-00004C010000}"/>
    <cellStyle name="20% - Accent2 2 4 4" xfId="3721" xr:uid="{00000000-0005-0000-0000-00004D010000}"/>
    <cellStyle name="20% - Accent2 2 4 4 2" xfId="8820" xr:uid="{00000000-0005-0000-0000-00004E010000}"/>
    <cellStyle name="20% - Accent2 2 4 5" xfId="6301" xr:uid="{00000000-0005-0000-0000-00004F010000}"/>
    <cellStyle name="20% - Accent2 2 5" xfId="687" xr:uid="{00000000-0005-0000-0000-000050010000}"/>
    <cellStyle name="20% - Accent2 2 5 2" xfId="2489" xr:uid="{00000000-0005-0000-0000-000051010000}"/>
    <cellStyle name="20% - Accent2 2 5 2 2" xfId="4936" xr:uid="{00000000-0005-0000-0000-000052010000}"/>
    <cellStyle name="20% - Accent2 2 5 2 2 2" xfId="10032" xr:uid="{00000000-0005-0000-0000-000053010000}"/>
    <cellStyle name="20% - Accent2 2 5 2 3" xfId="7593" xr:uid="{00000000-0005-0000-0000-000054010000}"/>
    <cellStyle name="20% - Accent2 2 5 3" xfId="3753" xr:uid="{00000000-0005-0000-0000-000055010000}"/>
    <cellStyle name="20% - Accent2 2 5 3 2" xfId="8852" xr:uid="{00000000-0005-0000-0000-000056010000}"/>
    <cellStyle name="20% - Accent2 2 5 4" xfId="6333" xr:uid="{00000000-0005-0000-0000-000057010000}"/>
    <cellStyle name="20% - Accent2 2 6" xfId="1178" xr:uid="{00000000-0005-0000-0000-000058010000}"/>
    <cellStyle name="20% - Accent2 2 6 2" xfId="2757" xr:uid="{00000000-0005-0000-0000-000059010000}"/>
    <cellStyle name="20% - Accent2 2 6 2 2" xfId="5159" xr:uid="{00000000-0005-0000-0000-00005A010000}"/>
    <cellStyle name="20% - Accent2 2 6 2 2 2" xfId="10255" xr:uid="{00000000-0005-0000-0000-00005B010000}"/>
    <cellStyle name="20% - Accent2 2 6 2 3" xfId="7860" xr:uid="{00000000-0005-0000-0000-00005C010000}"/>
    <cellStyle name="20% - Accent2 2 6 3" xfId="3967" xr:uid="{00000000-0005-0000-0000-00005D010000}"/>
    <cellStyle name="20% - Accent2 2 6 3 2" xfId="9063" xr:uid="{00000000-0005-0000-0000-00005E010000}"/>
    <cellStyle name="20% - Accent2 2 6 4" xfId="6572" xr:uid="{00000000-0005-0000-0000-00005F010000}"/>
    <cellStyle name="20% - Accent2 3" xfId="186" xr:uid="{00000000-0005-0000-0000-000060010000}"/>
    <cellStyle name="20% - Accent2 3 2" xfId="793" xr:uid="{00000000-0005-0000-0000-000061010000}"/>
    <cellStyle name="20% - Accent2 3 2 2" xfId="604" xr:uid="{00000000-0005-0000-0000-000062010000}"/>
    <cellStyle name="20% - Accent2 3 2 2 2" xfId="1185" xr:uid="{00000000-0005-0000-0000-000063010000}"/>
    <cellStyle name="20% - Accent2 3 2 2 2 2" xfId="2764" xr:uid="{00000000-0005-0000-0000-000064010000}"/>
    <cellStyle name="20% - Accent2 3 2 2 2 2 2" xfId="5166" xr:uid="{00000000-0005-0000-0000-000065010000}"/>
    <cellStyle name="20% - Accent2 3 2 2 2 2 2 2" xfId="10262" xr:uid="{00000000-0005-0000-0000-000066010000}"/>
    <cellStyle name="20% - Accent2 3 2 2 2 2 3" xfId="7867" xr:uid="{00000000-0005-0000-0000-000067010000}"/>
    <cellStyle name="20% - Accent2 3 2 2 2 3" xfId="3974" xr:uid="{00000000-0005-0000-0000-000068010000}"/>
    <cellStyle name="20% - Accent2 3 2 2 2 3 2" xfId="9070" xr:uid="{00000000-0005-0000-0000-000069010000}"/>
    <cellStyle name="20% - Accent2 3 2 2 2 4" xfId="6579" xr:uid="{00000000-0005-0000-0000-00006A010000}"/>
    <cellStyle name="20% - Accent2 3 2 2 3" xfId="2410" xr:uid="{00000000-0005-0000-0000-00006B010000}"/>
    <cellStyle name="20% - Accent2 3 2 2 3 2" xfId="4857" xr:uid="{00000000-0005-0000-0000-00006C010000}"/>
    <cellStyle name="20% - Accent2 3 2 2 3 2 2" xfId="9953" xr:uid="{00000000-0005-0000-0000-00006D010000}"/>
    <cellStyle name="20% - Accent2 3 2 2 3 3" xfId="7514" xr:uid="{00000000-0005-0000-0000-00006E010000}"/>
    <cellStyle name="20% - Accent2 3 2 2 4" xfId="3674" xr:uid="{00000000-0005-0000-0000-00006F010000}"/>
    <cellStyle name="20% - Accent2 3 2 2 4 2" xfId="8773" xr:uid="{00000000-0005-0000-0000-000070010000}"/>
    <cellStyle name="20% - Accent2 3 2 2 5" xfId="6254" xr:uid="{00000000-0005-0000-0000-000071010000}"/>
    <cellStyle name="20% - Accent2 3 2 3" xfId="1184" xr:uid="{00000000-0005-0000-0000-000072010000}"/>
    <cellStyle name="20% - Accent2 3 2 3 2" xfId="2763" xr:uid="{00000000-0005-0000-0000-000073010000}"/>
    <cellStyle name="20% - Accent2 3 2 3 2 2" xfId="5165" xr:uid="{00000000-0005-0000-0000-000074010000}"/>
    <cellStyle name="20% - Accent2 3 2 3 2 2 2" xfId="10261" xr:uid="{00000000-0005-0000-0000-000075010000}"/>
    <cellStyle name="20% - Accent2 3 2 3 2 3" xfId="7866" xr:uid="{00000000-0005-0000-0000-000076010000}"/>
    <cellStyle name="20% - Accent2 3 2 3 3" xfId="3973" xr:uid="{00000000-0005-0000-0000-000077010000}"/>
    <cellStyle name="20% - Accent2 3 2 3 3 2" xfId="9069" xr:uid="{00000000-0005-0000-0000-000078010000}"/>
    <cellStyle name="20% - Accent2 3 2 3 4" xfId="6578" xr:uid="{00000000-0005-0000-0000-000079010000}"/>
    <cellStyle name="20% - Accent2 3 3" xfId="629" xr:uid="{00000000-0005-0000-0000-00007A010000}"/>
    <cellStyle name="20% - Accent2 3 3 2" xfId="1186" xr:uid="{00000000-0005-0000-0000-00007B010000}"/>
    <cellStyle name="20% - Accent2 3 3 2 2" xfId="2765" xr:uid="{00000000-0005-0000-0000-00007C010000}"/>
    <cellStyle name="20% - Accent2 3 3 2 2 2" xfId="5167" xr:uid="{00000000-0005-0000-0000-00007D010000}"/>
    <cellStyle name="20% - Accent2 3 3 2 2 2 2" xfId="10263" xr:uid="{00000000-0005-0000-0000-00007E010000}"/>
    <cellStyle name="20% - Accent2 3 3 2 2 3" xfId="7868" xr:uid="{00000000-0005-0000-0000-00007F010000}"/>
    <cellStyle name="20% - Accent2 3 3 2 3" xfId="3975" xr:uid="{00000000-0005-0000-0000-000080010000}"/>
    <cellStyle name="20% - Accent2 3 3 2 3 2" xfId="9071" xr:uid="{00000000-0005-0000-0000-000081010000}"/>
    <cellStyle name="20% - Accent2 3 3 2 4" xfId="6580" xr:uid="{00000000-0005-0000-0000-000082010000}"/>
    <cellStyle name="20% - Accent2 3 3 3" xfId="2435" xr:uid="{00000000-0005-0000-0000-000083010000}"/>
    <cellStyle name="20% - Accent2 3 3 3 2" xfId="4882" xr:uid="{00000000-0005-0000-0000-000084010000}"/>
    <cellStyle name="20% - Accent2 3 3 3 2 2" xfId="9978" xr:uid="{00000000-0005-0000-0000-000085010000}"/>
    <cellStyle name="20% - Accent2 3 3 3 3" xfId="7539" xr:uid="{00000000-0005-0000-0000-000086010000}"/>
    <cellStyle name="20% - Accent2 3 3 4" xfId="3699" xr:uid="{00000000-0005-0000-0000-000087010000}"/>
    <cellStyle name="20% - Accent2 3 3 4 2" xfId="8798" xr:uid="{00000000-0005-0000-0000-000088010000}"/>
    <cellStyle name="20% - Accent2 3 3 5" xfId="6279" xr:uid="{00000000-0005-0000-0000-000089010000}"/>
    <cellStyle name="20% - Accent2 3 4" xfId="647" xr:uid="{00000000-0005-0000-0000-00008A010000}"/>
    <cellStyle name="20% - Accent2 3 4 2" xfId="1187" xr:uid="{00000000-0005-0000-0000-00008B010000}"/>
    <cellStyle name="20% - Accent2 3 4 2 2" xfId="2766" xr:uid="{00000000-0005-0000-0000-00008C010000}"/>
    <cellStyle name="20% - Accent2 3 4 2 2 2" xfId="5168" xr:uid="{00000000-0005-0000-0000-00008D010000}"/>
    <cellStyle name="20% - Accent2 3 4 2 2 2 2" xfId="10264" xr:uid="{00000000-0005-0000-0000-00008E010000}"/>
    <cellStyle name="20% - Accent2 3 4 2 2 3" xfId="7869" xr:uid="{00000000-0005-0000-0000-00008F010000}"/>
    <cellStyle name="20% - Accent2 3 4 2 3" xfId="3976" xr:uid="{00000000-0005-0000-0000-000090010000}"/>
    <cellStyle name="20% - Accent2 3 4 2 3 2" xfId="9072" xr:uid="{00000000-0005-0000-0000-000091010000}"/>
    <cellStyle name="20% - Accent2 3 4 2 4" xfId="6581" xr:uid="{00000000-0005-0000-0000-000092010000}"/>
    <cellStyle name="20% - Accent2 3 4 3" xfId="2451" xr:uid="{00000000-0005-0000-0000-000093010000}"/>
    <cellStyle name="20% - Accent2 3 4 3 2" xfId="4898" xr:uid="{00000000-0005-0000-0000-000094010000}"/>
    <cellStyle name="20% - Accent2 3 4 3 2 2" xfId="9994" xr:uid="{00000000-0005-0000-0000-000095010000}"/>
    <cellStyle name="20% - Accent2 3 4 3 3" xfId="7555" xr:uid="{00000000-0005-0000-0000-000096010000}"/>
    <cellStyle name="20% - Accent2 3 4 4" xfId="3715" xr:uid="{00000000-0005-0000-0000-000097010000}"/>
    <cellStyle name="20% - Accent2 3 4 4 2" xfId="8814" xr:uid="{00000000-0005-0000-0000-000098010000}"/>
    <cellStyle name="20% - Accent2 3 4 5" xfId="6295" xr:uid="{00000000-0005-0000-0000-000099010000}"/>
    <cellStyle name="20% - Accent2 3 5" xfId="698" xr:uid="{00000000-0005-0000-0000-00009A010000}"/>
    <cellStyle name="20% - Accent2 3 5 2" xfId="2500" xr:uid="{00000000-0005-0000-0000-00009B010000}"/>
    <cellStyle name="20% - Accent2 3 5 2 2" xfId="4947" xr:uid="{00000000-0005-0000-0000-00009C010000}"/>
    <cellStyle name="20% - Accent2 3 5 2 2 2" xfId="10043" xr:uid="{00000000-0005-0000-0000-00009D010000}"/>
    <cellStyle name="20% - Accent2 3 5 2 3" xfId="7604" xr:uid="{00000000-0005-0000-0000-00009E010000}"/>
    <cellStyle name="20% - Accent2 3 5 3" xfId="3764" xr:uid="{00000000-0005-0000-0000-00009F010000}"/>
    <cellStyle name="20% - Accent2 3 5 3 2" xfId="8863" xr:uid="{00000000-0005-0000-0000-0000A0010000}"/>
    <cellStyle name="20% - Accent2 3 5 4" xfId="6344" xr:uid="{00000000-0005-0000-0000-0000A1010000}"/>
    <cellStyle name="20% - Accent2 3 6" xfId="1183" xr:uid="{00000000-0005-0000-0000-0000A2010000}"/>
    <cellStyle name="20% - Accent2 3 6 2" xfId="2762" xr:uid="{00000000-0005-0000-0000-0000A3010000}"/>
    <cellStyle name="20% - Accent2 3 6 2 2" xfId="5164" xr:uid="{00000000-0005-0000-0000-0000A4010000}"/>
    <cellStyle name="20% - Accent2 3 6 2 2 2" xfId="10260" xr:uid="{00000000-0005-0000-0000-0000A5010000}"/>
    <cellStyle name="20% - Accent2 3 6 2 3" xfId="7865" xr:uid="{00000000-0005-0000-0000-0000A6010000}"/>
    <cellStyle name="20% - Accent2 3 6 3" xfId="3972" xr:uid="{00000000-0005-0000-0000-0000A7010000}"/>
    <cellStyle name="20% - Accent2 3 6 3 2" xfId="9068" xr:uid="{00000000-0005-0000-0000-0000A8010000}"/>
    <cellStyle name="20% - Accent2 3 6 4" xfId="6577" xr:uid="{00000000-0005-0000-0000-0000A9010000}"/>
    <cellStyle name="20% - Accent2 4" xfId="187" xr:uid="{00000000-0005-0000-0000-0000AA010000}"/>
    <cellStyle name="20% - Accent2 4 2" xfId="583" xr:uid="{00000000-0005-0000-0000-0000AB010000}"/>
    <cellStyle name="20% - Accent2 4 2 2" xfId="1189" xr:uid="{00000000-0005-0000-0000-0000AC010000}"/>
    <cellStyle name="20% - Accent2 4 2 3" xfId="2389" xr:uid="{00000000-0005-0000-0000-0000AD010000}"/>
    <cellStyle name="20% - Accent2 4 2 3 2" xfId="4836" xr:uid="{00000000-0005-0000-0000-0000AE010000}"/>
    <cellStyle name="20% - Accent2 4 2 3 2 2" xfId="9932" xr:uid="{00000000-0005-0000-0000-0000AF010000}"/>
    <cellStyle name="20% - Accent2 4 2 3 3" xfId="7493" xr:uid="{00000000-0005-0000-0000-0000B0010000}"/>
    <cellStyle name="20% - Accent2 4 2 4" xfId="3653" xr:uid="{00000000-0005-0000-0000-0000B1010000}"/>
    <cellStyle name="20% - Accent2 4 2 4 2" xfId="8752" xr:uid="{00000000-0005-0000-0000-0000B2010000}"/>
    <cellStyle name="20% - Accent2 4 2 5" xfId="6233" xr:uid="{00000000-0005-0000-0000-0000B3010000}"/>
    <cellStyle name="20% - Accent2 4 3" xfId="737" xr:uid="{00000000-0005-0000-0000-0000B4010000}"/>
    <cellStyle name="20% - Accent2 4 3 2" xfId="1190" xr:uid="{00000000-0005-0000-0000-0000B5010000}"/>
    <cellStyle name="20% - Accent2 4 3 2 2" xfId="2768" xr:uid="{00000000-0005-0000-0000-0000B6010000}"/>
    <cellStyle name="20% - Accent2 4 3 2 2 2" xfId="5170" xr:uid="{00000000-0005-0000-0000-0000B7010000}"/>
    <cellStyle name="20% - Accent2 4 3 2 2 2 2" xfId="10266" xr:uid="{00000000-0005-0000-0000-0000B8010000}"/>
    <cellStyle name="20% - Accent2 4 3 2 2 3" xfId="7871" xr:uid="{00000000-0005-0000-0000-0000B9010000}"/>
    <cellStyle name="20% - Accent2 4 3 2 3" xfId="3978" xr:uid="{00000000-0005-0000-0000-0000BA010000}"/>
    <cellStyle name="20% - Accent2 4 3 2 3 2" xfId="9074" xr:uid="{00000000-0005-0000-0000-0000BB010000}"/>
    <cellStyle name="20% - Accent2 4 3 2 4" xfId="6583" xr:uid="{00000000-0005-0000-0000-0000BC010000}"/>
    <cellStyle name="20% - Accent2 4 3 3" xfId="2523" xr:uid="{00000000-0005-0000-0000-0000BD010000}"/>
    <cellStyle name="20% - Accent2 4 3 3 2" xfId="4970" xr:uid="{00000000-0005-0000-0000-0000BE010000}"/>
    <cellStyle name="20% - Accent2 4 3 3 2 2" xfId="10066" xr:uid="{00000000-0005-0000-0000-0000BF010000}"/>
    <cellStyle name="20% - Accent2 4 3 3 3" xfId="7627" xr:uid="{00000000-0005-0000-0000-0000C0010000}"/>
    <cellStyle name="20% - Accent2 4 3 4" xfId="3787" xr:uid="{00000000-0005-0000-0000-0000C1010000}"/>
    <cellStyle name="20% - Accent2 4 3 4 2" xfId="8886" xr:uid="{00000000-0005-0000-0000-0000C2010000}"/>
    <cellStyle name="20% - Accent2 4 3 5" xfId="6367" xr:uid="{00000000-0005-0000-0000-0000C3010000}"/>
    <cellStyle name="20% - Accent2 4 4" xfId="745" xr:uid="{00000000-0005-0000-0000-0000C4010000}"/>
    <cellStyle name="20% - Accent2 4 4 2" xfId="2530" xr:uid="{00000000-0005-0000-0000-0000C5010000}"/>
    <cellStyle name="20% - Accent2 4 4 2 2" xfId="4977" xr:uid="{00000000-0005-0000-0000-0000C6010000}"/>
    <cellStyle name="20% - Accent2 4 4 2 2 2" xfId="10073" xr:uid="{00000000-0005-0000-0000-0000C7010000}"/>
    <cellStyle name="20% - Accent2 4 4 2 3" xfId="7634" xr:uid="{00000000-0005-0000-0000-0000C8010000}"/>
    <cellStyle name="20% - Accent2 4 4 3" xfId="3794" xr:uid="{00000000-0005-0000-0000-0000C9010000}"/>
    <cellStyle name="20% - Accent2 4 4 3 2" xfId="8893" xr:uid="{00000000-0005-0000-0000-0000CA010000}"/>
    <cellStyle name="20% - Accent2 4 4 4" xfId="6374" xr:uid="{00000000-0005-0000-0000-0000CB010000}"/>
    <cellStyle name="20% - Accent2 4 5" xfId="675" xr:uid="{00000000-0005-0000-0000-0000CC010000}"/>
    <cellStyle name="20% - Accent2 4 5 2" xfId="2478" xr:uid="{00000000-0005-0000-0000-0000CD010000}"/>
    <cellStyle name="20% - Accent2 4 5 2 2" xfId="4925" xr:uid="{00000000-0005-0000-0000-0000CE010000}"/>
    <cellStyle name="20% - Accent2 4 5 2 2 2" xfId="10021" xr:uid="{00000000-0005-0000-0000-0000CF010000}"/>
    <cellStyle name="20% - Accent2 4 5 2 3" xfId="7582" xr:uid="{00000000-0005-0000-0000-0000D0010000}"/>
    <cellStyle name="20% - Accent2 4 5 3" xfId="3742" xr:uid="{00000000-0005-0000-0000-0000D1010000}"/>
    <cellStyle name="20% - Accent2 4 5 3 2" xfId="8841" xr:uid="{00000000-0005-0000-0000-0000D2010000}"/>
    <cellStyle name="20% - Accent2 4 5 4" xfId="6322" xr:uid="{00000000-0005-0000-0000-0000D3010000}"/>
    <cellStyle name="20% - Accent2 4 6" xfId="1188" xr:uid="{00000000-0005-0000-0000-0000D4010000}"/>
    <cellStyle name="20% - Accent2 4 6 2" xfId="2767" xr:uid="{00000000-0005-0000-0000-0000D5010000}"/>
    <cellStyle name="20% - Accent2 4 6 2 2" xfId="5169" xr:uid="{00000000-0005-0000-0000-0000D6010000}"/>
    <cellStyle name="20% - Accent2 4 6 2 2 2" xfId="10265" xr:uid="{00000000-0005-0000-0000-0000D7010000}"/>
    <cellStyle name="20% - Accent2 4 6 2 3" xfId="7870" xr:uid="{00000000-0005-0000-0000-0000D8010000}"/>
    <cellStyle name="20% - Accent2 4 6 3" xfId="3977" xr:uid="{00000000-0005-0000-0000-0000D9010000}"/>
    <cellStyle name="20% - Accent2 4 6 3 2" xfId="9073" xr:uid="{00000000-0005-0000-0000-0000DA010000}"/>
    <cellStyle name="20% - Accent2 4 6 4" xfId="6582" xr:uid="{00000000-0005-0000-0000-0000DB010000}"/>
    <cellStyle name="20% - Accent2 5" xfId="188" xr:uid="{00000000-0005-0000-0000-0000DC010000}"/>
    <cellStyle name="20% - Accent2 5 2" xfId="634" xr:uid="{00000000-0005-0000-0000-0000DD010000}"/>
    <cellStyle name="20% - Accent2 5 2 2" xfId="2440" xr:uid="{00000000-0005-0000-0000-0000DE010000}"/>
    <cellStyle name="20% - Accent2 5 2 2 2" xfId="4887" xr:uid="{00000000-0005-0000-0000-0000DF010000}"/>
    <cellStyle name="20% - Accent2 5 2 2 2 2" xfId="9983" xr:uid="{00000000-0005-0000-0000-0000E0010000}"/>
    <cellStyle name="20% - Accent2 5 2 2 3" xfId="7544" xr:uid="{00000000-0005-0000-0000-0000E1010000}"/>
    <cellStyle name="20% - Accent2 5 2 3" xfId="3704" xr:uid="{00000000-0005-0000-0000-0000E2010000}"/>
    <cellStyle name="20% - Accent2 5 2 3 2" xfId="8803" xr:uid="{00000000-0005-0000-0000-0000E3010000}"/>
    <cellStyle name="20% - Accent2 5 2 4" xfId="6284" xr:uid="{00000000-0005-0000-0000-0000E4010000}"/>
    <cellStyle name="20% - Accent2 5 3" xfId="885" xr:uid="{00000000-0005-0000-0000-0000E5010000}"/>
    <cellStyle name="20% - Accent2 5 3 2" xfId="2590" xr:uid="{00000000-0005-0000-0000-0000E6010000}"/>
    <cellStyle name="20% - Accent2 5 3 2 2" xfId="5034" xr:uid="{00000000-0005-0000-0000-0000E7010000}"/>
    <cellStyle name="20% - Accent2 5 3 2 2 2" xfId="10130" xr:uid="{00000000-0005-0000-0000-0000E8010000}"/>
    <cellStyle name="20% - Accent2 5 3 2 3" xfId="7693" xr:uid="{00000000-0005-0000-0000-0000E9010000}"/>
    <cellStyle name="20% - Accent2 5 3 3" xfId="3851" xr:uid="{00000000-0005-0000-0000-0000EA010000}"/>
    <cellStyle name="20% - Accent2 5 3 3 2" xfId="8950" xr:uid="{00000000-0005-0000-0000-0000EB010000}"/>
    <cellStyle name="20% - Accent2 5 3 4" xfId="6436" xr:uid="{00000000-0005-0000-0000-0000EC010000}"/>
    <cellStyle name="20% - Accent2 5 4" xfId="1191" xr:uid="{00000000-0005-0000-0000-0000ED010000}"/>
    <cellStyle name="20% - Accent2 6" xfId="189" xr:uid="{00000000-0005-0000-0000-0000EE010000}"/>
    <cellStyle name="20% - Accent2 6 2" xfId="537" xr:uid="{00000000-0005-0000-0000-0000EF010000}"/>
    <cellStyle name="20% - Accent2 6 2 2" xfId="2346" xr:uid="{00000000-0005-0000-0000-0000F0010000}"/>
    <cellStyle name="20% - Accent2 6 2 2 2" xfId="4793" xr:uid="{00000000-0005-0000-0000-0000F1010000}"/>
    <cellStyle name="20% - Accent2 6 2 2 2 2" xfId="9889" xr:uid="{00000000-0005-0000-0000-0000F2010000}"/>
    <cellStyle name="20% - Accent2 6 2 2 3" xfId="7450" xr:uid="{00000000-0005-0000-0000-0000F3010000}"/>
    <cellStyle name="20% - Accent2 6 2 3" xfId="3610" xr:uid="{00000000-0005-0000-0000-0000F4010000}"/>
    <cellStyle name="20% - Accent2 6 2 3 2" xfId="8709" xr:uid="{00000000-0005-0000-0000-0000F5010000}"/>
    <cellStyle name="20% - Accent2 6 2 4" xfId="6190" xr:uid="{00000000-0005-0000-0000-0000F6010000}"/>
    <cellStyle name="20% - Accent2 6 3" xfId="1192" xr:uid="{00000000-0005-0000-0000-0000F7010000}"/>
    <cellStyle name="20% - Accent2 7" xfId="190" xr:uid="{00000000-0005-0000-0000-0000F8010000}"/>
    <cellStyle name="20% - Accent2 7 2" xfId="572" xr:uid="{00000000-0005-0000-0000-0000F9010000}"/>
    <cellStyle name="20% - Accent2 7 2 2" xfId="2378" xr:uid="{00000000-0005-0000-0000-0000FA010000}"/>
    <cellStyle name="20% - Accent2 7 2 2 2" xfId="4825" xr:uid="{00000000-0005-0000-0000-0000FB010000}"/>
    <cellStyle name="20% - Accent2 7 2 2 2 2" xfId="9921" xr:uid="{00000000-0005-0000-0000-0000FC010000}"/>
    <cellStyle name="20% - Accent2 7 2 2 3" xfId="7482" xr:uid="{00000000-0005-0000-0000-0000FD010000}"/>
    <cellStyle name="20% - Accent2 7 2 3" xfId="3642" xr:uid="{00000000-0005-0000-0000-0000FE010000}"/>
    <cellStyle name="20% - Accent2 7 2 3 2" xfId="8741" xr:uid="{00000000-0005-0000-0000-0000FF010000}"/>
    <cellStyle name="20% - Accent2 7 2 4" xfId="6222" xr:uid="{00000000-0005-0000-0000-000000020000}"/>
    <cellStyle name="20% - Accent2 7 3" xfId="1193" xr:uid="{00000000-0005-0000-0000-000001020000}"/>
    <cellStyle name="20% - Accent2 8" xfId="191" xr:uid="{00000000-0005-0000-0000-000002020000}"/>
    <cellStyle name="20% - Accent2 8 2" xfId="564" xr:uid="{00000000-0005-0000-0000-000003020000}"/>
    <cellStyle name="20% - Accent2 8 2 2" xfId="2370" xr:uid="{00000000-0005-0000-0000-000004020000}"/>
    <cellStyle name="20% - Accent2 8 2 2 2" xfId="4817" xr:uid="{00000000-0005-0000-0000-000005020000}"/>
    <cellStyle name="20% - Accent2 8 2 2 2 2" xfId="9913" xr:uid="{00000000-0005-0000-0000-000006020000}"/>
    <cellStyle name="20% - Accent2 8 2 2 3" xfId="7474" xr:uid="{00000000-0005-0000-0000-000007020000}"/>
    <cellStyle name="20% - Accent2 8 2 3" xfId="3634" xr:uid="{00000000-0005-0000-0000-000008020000}"/>
    <cellStyle name="20% - Accent2 8 2 3 2" xfId="8733" xr:uid="{00000000-0005-0000-0000-000009020000}"/>
    <cellStyle name="20% - Accent2 8 2 4" xfId="6214" xr:uid="{00000000-0005-0000-0000-00000A020000}"/>
    <cellStyle name="20% - Accent2 8 3" xfId="1194" xr:uid="{00000000-0005-0000-0000-00000B020000}"/>
    <cellStyle name="20% - Accent2 9" xfId="905" xr:uid="{00000000-0005-0000-0000-00000C020000}"/>
    <cellStyle name="20% - Accent2 9 2" xfId="1045" xr:uid="{00000000-0005-0000-0000-00000D020000}"/>
    <cellStyle name="20% - Accent2 9 2 2" xfId="2675" xr:uid="{00000000-0005-0000-0000-00000E020000}"/>
    <cellStyle name="20% - Accent2 9 2 2 2" xfId="5084" xr:uid="{00000000-0005-0000-0000-00000F020000}"/>
    <cellStyle name="20% - Accent2 9 2 2 2 2" xfId="10180" xr:uid="{00000000-0005-0000-0000-000010020000}"/>
    <cellStyle name="20% - Accent2 9 2 2 3" xfId="7778" xr:uid="{00000000-0005-0000-0000-000011020000}"/>
    <cellStyle name="20% - Accent2 9 2 3" xfId="3901" xr:uid="{00000000-0005-0000-0000-000012020000}"/>
    <cellStyle name="20% - Accent2 9 2 3 2" xfId="9000" xr:uid="{00000000-0005-0000-0000-000013020000}"/>
    <cellStyle name="20% - Accent2 9 2 4" xfId="6522" xr:uid="{00000000-0005-0000-0000-000014020000}"/>
    <cellStyle name="20% - Accent2 9 3" xfId="2607" xr:uid="{00000000-0005-0000-0000-000015020000}"/>
    <cellStyle name="20% - Accent2 9 3 2" xfId="5051" xr:uid="{00000000-0005-0000-0000-000016020000}"/>
    <cellStyle name="20% - Accent2 9 3 2 2" xfId="10147" xr:uid="{00000000-0005-0000-0000-000017020000}"/>
    <cellStyle name="20% - Accent2 9 3 3" xfId="7710" xr:uid="{00000000-0005-0000-0000-000018020000}"/>
    <cellStyle name="20% - Accent2 9 4" xfId="3868" xr:uid="{00000000-0005-0000-0000-000019020000}"/>
    <cellStyle name="20% - Accent2 9 4 2" xfId="8967" xr:uid="{00000000-0005-0000-0000-00001A020000}"/>
    <cellStyle name="20% - Accent2 9 5" xfId="6453" xr:uid="{00000000-0005-0000-0000-00001B020000}"/>
    <cellStyle name="20% - Accent3" xfId="133" builtinId="38" customBuiltin="1"/>
    <cellStyle name="20% - Accent3 10" xfId="2730" xr:uid="{00000000-0005-0000-0000-00001D020000}"/>
    <cellStyle name="20% - Accent3 10 2" xfId="5132" xr:uid="{00000000-0005-0000-0000-00001E020000}"/>
    <cellStyle name="20% - Accent3 10 2 2" xfId="10228" xr:uid="{00000000-0005-0000-0000-00001F020000}"/>
    <cellStyle name="20% - Accent3 10 3" xfId="7833" xr:uid="{00000000-0005-0000-0000-000020020000}"/>
    <cellStyle name="20% - Accent3 11" xfId="3591" xr:uid="{00000000-0005-0000-0000-000021020000}"/>
    <cellStyle name="20% - Accent3 11 2" xfId="8694" xr:uid="{00000000-0005-0000-0000-000022020000}"/>
    <cellStyle name="20% - Accent3 12" xfId="6545" xr:uid="{00000000-0005-0000-0000-000023020000}"/>
    <cellStyle name="20% - Accent3 2" xfId="16" xr:uid="{00000000-0005-0000-0000-000024020000}"/>
    <cellStyle name="20% - Accent3 2 2" xfId="794" xr:uid="{00000000-0005-0000-0000-000025020000}"/>
    <cellStyle name="20% - Accent3 2 2 2" xfId="552" xr:uid="{00000000-0005-0000-0000-000026020000}"/>
    <cellStyle name="20% - Accent3 2 2 2 2" xfId="1197" xr:uid="{00000000-0005-0000-0000-000027020000}"/>
    <cellStyle name="20% - Accent3 2 2 2 2 2" xfId="2771" xr:uid="{00000000-0005-0000-0000-000028020000}"/>
    <cellStyle name="20% - Accent3 2 2 2 2 2 2" xfId="5173" xr:uid="{00000000-0005-0000-0000-000029020000}"/>
    <cellStyle name="20% - Accent3 2 2 2 2 2 2 2" xfId="10269" xr:uid="{00000000-0005-0000-0000-00002A020000}"/>
    <cellStyle name="20% - Accent3 2 2 2 2 2 3" xfId="7874" xr:uid="{00000000-0005-0000-0000-00002B020000}"/>
    <cellStyle name="20% - Accent3 2 2 2 2 3" xfId="3981" xr:uid="{00000000-0005-0000-0000-00002C020000}"/>
    <cellStyle name="20% - Accent3 2 2 2 2 3 2" xfId="9077" xr:uid="{00000000-0005-0000-0000-00002D020000}"/>
    <cellStyle name="20% - Accent3 2 2 2 2 4" xfId="6589" xr:uid="{00000000-0005-0000-0000-00002E020000}"/>
    <cellStyle name="20% - Accent3 2 2 2 3" xfId="2358" xr:uid="{00000000-0005-0000-0000-00002F020000}"/>
    <cellStyle name="20% - Accent3 2 2 2 3 2" xfId="4805" xr:uid="{00000000-0005-0000-0000-000030020000}"/>
    <cellStyle name="20% - Accent3 2 2 2 3 2 2" xfId="9901" xr:uid="{00000000-0005-0000-0000-000031020000}"/>
    <cellStyle name="20% - Accent3 2 2 2 3 3" xfId="7462" xr:uid="{00000000-0005-0000-0000-000032020000}"/>
    <cellStyle name="20% - Accent3 2 2 2 4" xfId="3622" xr:uid="{00000000-0005-0000-0000-000033020000}"/>
    <cellStyle name="20% - Accent3 2 2 2 4 2" xfId="8721" xr:uid="{00000000-0005-0000-0000-000034020000}"/>
    <cellStyle name="20% - Accent3 2 2 2 5" xfId="6202" xr:uid="{00000000-0005-0000-0000-000035020000}"/>
    <cellStyle name="20% - Accent3 2 2 3" xfId="1196" xr:uid="{00000000-0005-0000-0000-000036020000}"/>
    <cellStyle name="20% - Accent3 2 2 3 2" xfId="2770" xr:uid="{00000000-0005-0000-0000-000037020000}"/>
    <cellStyle name="20% - Accent3 2 2 3 2 2" xfId="5172" xr:uid="{00000000-0005-0000-0000-000038020000}"/>
    <cellStyle name="20% - Accent3 2 2 3 2 2 2" xfId="10268" xr:uid="{00000000-0005-0000-0000-000039020000}"/>
    <cellStyle name="20% - Accent3 2 2 3 2 3" xfId="7873" xr:uid="{00000000-0005-0000-0000-00003A020000}"/>
    <cellStyle name="20% - Accent3 2 2 3 3" xfId="3980" xr:uid="{00000000-0005-0000-0000-00003B020000}"/>
    <cellStyle name="20% - Accent3 2 2 3 3 2" xfId="9076" xr:uid="{00000000-0005-0000-0000-00003C020000}"/>
    <cellStyle name="20% - Accent3 2 2 3 4" xfId="6588" xr:uid="{00000000-0005-0000-0000-00003D020000}"/>
    <cellStyle name="20% - Accent3 2 3" xfId="620" xr:uid="{00000000-0005-0000-0000-00003E020000}"/>
    <cellStyle name="20% - Accent3 2 3 2" xfId="1198" xr:uid="{00000000-0005-0000-0000-00003F020000}"/>
    <cellStyle name="20% - Accent3 2 3 2 2" xfId="2772" xr:uid="{00000000-0005-0000-0000-000040020000}"/>
    <cellStyle name="20% - Accent3 2 3 2 2 2" xfId="5174" xr:uid="{00000000-0005-0000-0000-000041020000}"/>
    <cellStyle name="20% - Accent3 2 3 2 2 2 2" xfId="10270" xr:uid="{00000000-0005-0000-0000-000042020000}"/>
    <cellStyle name="20% - Accent3 2 3 2 2 3" xfId="7875" xr:uid="{00000000-0005-0000-0000-000043020000}"/>
    <cellStyle name="20% - Accent3 2 3 2 3" xfId="3982" xr:uid="{00000000-0005-0000-0000-000044020000}"/>
    <cellStyle name="20% - Accent3 2 3 2 3 2" xfId="9078" xr:uid="{00000000-0005-0000-0000-000045020000}"/>
    <cellStyle name="20% - Accent3 2 3 2 4" xfId="6590" xr:uid="{00000000-0005-0000-0000-000046020000}"/>
    <cellStyle name="20% - Accent3 2 3 3" xfId="2426" xr:uid="{00000000-0005-0000-0000-000047020000}"/>
    <cellStyle name="20% - Accent3 2 3 3 2" xfId="4873" xr:uid="{00000000-0005-0000-0000-000048020000}"/>
    <cellStyle name="20% - Accent3 2 3 3 2 2" xfId="9969" xr:uid="{00000000-0005-0000-0000-000049020000}"/>
    <cellStyle name="20% - Accent3 2 3 3 3" xfId="7530" xr:uid="{00000000-0005-0000-0000-00004A020000}"/>
    <cellStyle name="20% - Accent3 2 3 4" xfId="3690" xr:uid="{00000000-0005-0000-0000-00004B020000}"/>
    <cellStyle name="20% - Accent3 2 3 4 2" xfId="8789" xr:uid="{00000000-0005-0000-0000-00004C020000}"/>
    <cellStyle name="20% - Accent3 2 3 5" xfId="6270" xr:uid="{00000000-0005-0000-0000-00004D020000}"/>
    <cellStyle name="20% - Accent3 2 4" xfId="778" xr:uid="{00000000-0005-0000-0000-00004E020000}"/>
    <cellStyle name="20% - Accent3 2 4 2" xfId="1199" xr:uid="{00000000-0005-0000-0000-00004F020000}"/>
    <cellStyle name="20% - Accent3 2 4 2 2" xfId="2773" xr:uid="{00000000-0005-0000-0000-000050020000}"/>
    <cellStyle name="20% - Accent3 2 4 2 2 2" xfId="5175" xr:uid="{00000000-0005-0000-0000-000051020000}"/>
    <cellStyle name="20% - Accent3 2 4 2 2 2 2" xfId="10271" xr:uid="{00000000-0005-0000-0000-000052020000}"/>
    <cellStyle name="20% - Accent3 2 4 2 2 3" xfId="7876" xr:uid="{00000000-0005-0000-0000-000053020000}"/>
    <cellStyle name="20% - Accent3 2 4 2 3" xfId="3983" xr:uid="{00000000-0005-0000-0000-000054020000}"/>
    <cellStyle name="20% - Accent3 2 4 2 3 2" xfId="9079" xr:uid="{00000000-0005-0000-0000-000055020000}"/>
    <cellStyle name="20% - Accent3 2 4 2 4" xfId="6591" xr:uid="{00000000-0005-0000-0000-000056020000}"/>
    <cellStyle name="20% - Accent3 2 4 3" xfId="2559" xr:uid="{00000000-0005-0000-0000-000057020000}"/>
    <cellStyle name="20% - Accent3 2 4 3 2" xfId="5006" xr:uid="{00000000-0005-0000-0000-000058020000}"/>
    <cellStyle name="20% - Accent3 2 4 3 2 2" xfId="10102" xr:uid="{00000000-0005-0000-0000-000059020000}"/>
    <cellStyle name="20% - Accent3 2 4 3 3" xfId="7663" xr:uid="{00000000-0005-0000-0000-00005A020000}"/>
    <cellStyle name="20% - Accent3 2 4 4" xfId="3823" xr:uid="{00000000-0005-0000-0000-00005B020000}"/>
    <cellStyle name="20% - Accent3 2 4 4 2" xfId="8922" xr:uid="{00000000-0005-0000-0000-00005C020000}"/>
    <cellStyle name="20% - Accent3 2 4 5" xfId="6403" xr:uid="{00000000-0005-0000-0000-00005D020000}"/>
    <cellStyle name="20% - Accent3 2 5" xfId="685" xr:uid="{00000000-0005-0000-0000-00005E020000}"/>
    <cellStyle name="20% - Accent3 2 5 2" xfId="2487" xr:uid="{00000000-0005-0000-0000-00005F020000}"/>
    <cellStyle name="20% - Accent3 2 5 2 2" xfId="4934" xr:uid="{00000000-0005-0000-0000-000060020000}"/>
    <cellStyle name="20% - Accent3 2 5 2 2 2" xfId="10030" xr:uid="{00000000-0005-0000-0000-000061020000}"/>
    <cellStyle name="20% - Accent3 2 5 2 3" xfId="7591" xr:uid="{00000000-0005-0000-0000-000062020000}"/>
    <cellStyle name="20% - Accent3 2 5 3" xfId="3751" xr:uid="{00000000-0005-0000-0000-000063020000}"/>
    <cellStyle name="20% - Accent3 2 5 3 2" xfId="8850" xr:uid="{00000000-0005-0000-0000-000064020000}"/>
    <cellStyle name="20% - Accent3 2 5 4" xfId="6331" xr:uid="{00000000-0005-0000-0000-000065020000}"/>
    <cellStyle name="20% - Accent3 2 6" xfId="1195" xr:uid="{00000000-0005-0000-0000-000066020000}"/>
    <cellStyle name="20% - Accent3 2 6 2" xfId="2769" xr:uid="{00000000-0005-0000-0000-000067020000}"/>
    <cellStyle name="20% - Accent3 2 6 2 2" xfId="5171" xr:uid="{00000000-0005-0000-0000-000068020000}"/>
    <cellStyle name="20% - Accent3 2 6 2 2 2" xfId="10267" xr:uid="{00000000-0005-0000-0000-000069020000}"/>
    <cellStyle name="20% - Accent3 2 6 2 3" xfId="7872" xr:uid="{00000000-0005-0000-0000-00006A020000}"/>
    <cellStyle name="20% - Accent3 2 6 3" xfId="3979" xr:uid="{00000000-0005-0000-0000-00006B020000}"/>
    <cellStyle name="20% - Accent3 2 6 3 2" xfId="9075" xr:uid="{00000000-0005-0000-0000-00006C020000}"/>
    <cellStyle name="20% - Accent3 2 6 4" xfId="6587" xr:uid="{00000000-0005-0000-0000-00006D020000}"/>
    <cellStyle name="20% - Accent3 3" xfId="192" xr:uid="{00000000-0005-0000-0000-00006E020000}"/>
    <cellStyle name="20% - Accent3 3 2" xfId="795" xr:uid="{00000000-0005-0000-0000-00006F020000}"/>
    <cellStyle name="20% - Accent3 3 2 2" xfId="602" xr:uid="{00000000-0005-0000-0000-000070020000}"/>
    <cellStyle name="20% - Accent3 3 2 2 2" xfId="1202" xr:uid="{00000000-0005-0000-0000-000071020000}"/>
    <cellStyle name="20% - Accent3 3 2 2 2 2" xfId="2776" xr:uid="{00000000-0005-0000-0000-000072020000}"/>
    <cellStyle name="20% - Accent3 3 2 2 2 2 2" xfId="5178" xr:uid="{00000000-0005-0000-0000-000073020000}"/>
    <cellStyle name="20% - Accent3 3 2 2 2 2 2 2" xfId="10274" xr:uid="{00000000-0005-0000-0000-000074020000}"/>
    <cellStyle name="20% - Accent3 3 2 2 2 2 3" xfId="7879" xr:uid="{00000000-0005-0000-0000-000075020000}"/>
    <cellStyle name="20% - Accent3 3 2 2 2 3" xfId="3986" xr:uid="{00000000-0005-0000-0000-000076020000}"/>
    <cellStyle name="20% - Accent3 3 2 2 2 3 2" xfId="9082" xr:uid="{00000000-0005-0000-0000-000077020000}"/>
    <cellStyle name="20% - Accent3 3 2 2 2 4" xfId="6594" xr:uid="{00000000-0005-0000-0000-000078020000}"/>
    <cellStyle name="20% - Accent3 3 2 2 3" xfId="2408" xr:uid="{00000000-0005-0000-0000-000079020000}"/>
    <cellStyle name="20% - Accent3 3 2 2 3 2" xfId="4855" xr:uid="{00000000-0005-0000-0000-00007A020000}"/>
    <cellStyle name="20% - Accent3 3 2 2 3 2 2" xfId="9951" xr:uid="{00000000-0005-0000-0000-00007B020000}"/>
    <cellStyle name="20% - Accent3 3 2 2 3 3" xfId="7512" xr:uid="{00000000-0005-0000-0000-00007C020000}"/>
    <cellStyle name="20% - Accent3 3 2 2 4" xfId="3672" xr:uid="{00000000-0005-0000-0000-00007D020000}"/>
    <cellStyle name="20% - Accent3 3 2 2 4 2" xfId="8771" xr:uid="{00000000-0005-0000-0000-00007E020000}"/>
    <cellStyle name="20% - Accent3 3 2 2 5" xfId="6252" xr:uid="{00000000-0005-0000-0000-00007F020000}"/>
    <cellStyle name="20% - Accent3 3 2 3" xfId="1201" xr:uid="{00000000-0005-0000-0000-000080020000}"/>
    <cellStyle name="20% - Accent3 3 2 3 2" xfId="2775" xr:uid="{00000000-0005-0000-0000-000081020000}"/>
    <cellStyle name="20% - Accent3 3 2 3 2 2" xfId="5177" xr:uid="{00000000-0005-0000-0000-000082020000}"/>
    <cellStyle name="20% - Accent3 3 2 3 2 2 2" xfId="10273" xr:uid="{00000000-0005-0000-0000-000083020000}"/>
    <cellStyle name="20% - Accent3 3 2 3 2 3" xfId="7878" xr:uid="{00000000-0005-0000-0000-000084020000}"/>
    <cellStyle name="20% - Accent3 3 2 3 3" xfId="3985" xr:uid="{00000000-0005-0000-0000-000085020000}"/>
    <cellStyle name="20% - Accent3 3 2 3 3 2" xfId="9081" xr:uid="{00000000-0005-0000-0000-000086020000}"/>
    <cellStyle name="20% - Accent3 3 2 3 4" xfId="6593" xr:uid="{00000000-0005-0000-0000-000087020000}"/>
    <cellStyle name="20% - Accent3 3 3" xfId="627" xr:uid="{00000000-0005-0000-0000-000088020000}"/>
    <cellStyle name="20% - Accent3 3 3 2" xfId="1203" xr:uid="{00000000-0005-0000-0000-000089020000}"/>
    <cellStyle name="20% - Accent3 3 3 2 2" xfId="2777" xr:uid="{00000000-0005-0000-0000-00008A020000}"/>
    <cellStyle name="20% - Accent3 3 3 2 2 2" xfId="5179" xr:uid="{00000000-0005-0000-0000-00008B020000}"/>
    <cellStyle name="20% - Accent3 3 3 2 2 2 2" xfId="10275" xr:uid="{00000000-0005-0000-0000-00008C020000}"/>
    <cellStyle name="20% - Accent3 3 3 2 2 3" xfId="7880" xr:uid="{00000000-0005-0000-0000-00008D020000}"/>
    <cellStyle name="20% - Accent3 3 3 2 3" xfId="3987" xr:uid="{00000000-0005-0000-0000-00008E020000}"/>
    <cellStyle name="20% - Accent3 3 3 2 3 2" xfId="9083" xr:uid="{00000000-0005-0000-0000-00008F020000}"/>
    <cellStyle name="20% - Accent3 3 3 2 4" xfId="6595" xr:uid="{00000000-0005-0000-0000-000090020000}"/>
    <cellStyle name="20% - Accent3 3 3 3" xfId="2433" xr:uid="{00000000-0005-0000-0000-000091020000}"/>
    <cellStyle name="20% - Accent3 3 3 3 2" xfId="4880" xr:uid="{00000000-0005-0000-0000-000092020000}"/>
    <cellStyle name="20% - Accent3 3 3 3 2 2" xfId="9976" xr:uid="{00000000-0005-0000-0000-000093020000}"/>
    <cellStyle name="20% - Accent3 3 3 3 3" xfId="7537" xr:uid="{00000000-0005-0000-0000-000094020000}"/>
    <cellStyle name="20% - Accent3 3 3 4" xfId="3697" xr:uid="{00000000-0005-0000-0000-000095020000}"/>
    <cellStyle name="20% - Accent3 3 3 4 2" xfId="8796" xr:uid="{00000000-0005-0000-0000-000096020000}"/>
    <cellStyle name="20% - Accent3 3 3 5" xfId="6277" xr:uid="{00000000-0005-0000-0000-000097020000}"/>
    <cellStyle name="20% - Accent3 3 4" xfId="870" xr:uid="{00000000-0005-0000-0000-000098020000}"/>
    <cellStyle name="20% - Accent3 3 4 2" xfId="1204" xr:uid="{00000000-0005-0000-0000-000099020000}"/>
    <cellStyle name="20% - Accent3 3 4 2 2" xfId="2778" xr:uid="{00000000-0005-0000-0000-00009A020000}"/>
    <cellStyle name="20% - Accent3 3 4 2 2 2" xfId="5180" xr:uid="{00000000-0005-0000-0000-00009B020000}"/>
    <cellStyle name="20% - Accent3 3 4 2 2 2 2" xfId="10276" xr:uid="{00000000-0005-0000-0000-00009C020000}"/>
    <cellStyle name="20% - Accent3 3 4 2 2 3" xfId="7881" xr:uid="{00000000-0005-0000-0000-00009D020000}"/>
    <cellStyle name="20% - Accent3 3 4 2 3" xfId="3988" xr:uid="{00000000-0005-0000-0000-00009E020000}"/>
    <cellStyle name="20% - Accent3 3 4 2 3 2" xfId="9084" xr:uid="{00000000-0005-0000-0000-00009F020000}"/>
    <cellStyle name="20% - Accent3 3 4 2 4" xfId="6596" xr:uid="{00000000-0005-0000-0000-0000A0020000}"/>
    <cellStyle name="20% - Accent3 3 4 3" xfId="2575" xr:uid="{00000000-0005-0000-0000-0000A1020000}"/>
    <cellStyle name="20% - Accent3 3 4 3 2" xfId="5019" xr:uid="{00000000-0005-0000-0000-0000A2020000}"/>
    <cellStyle name="20% - Accent3 3 4 3 2 2" xfId="10115" xr:uid="{00000000-0005-0000-0000-0000A3020000}"/>
    <cellStyle name="20% - Accent3 3 4 3 3" xfId="7678" xr:uid="{00000000-0005-0000-0000-0000A4020000}"/>
    <cellStyle name="20% - Accent3 3 4 4" xfId="3836" xr:uid="{00000000-0005-0000-0000-0000A5020000}"/>
    <cellStyle name="20% - Accent3 3 4 4 2" xfId="8935" xr:uid="{00000000-0005-0000-0000-0000A6020000}"/>
    <cellStyle name="20% - Accent3 3 4 5" xfId="6421" xr:uid="{00000000-0005-0000-0000-0000A7020000}"/>
    <cellStyle name="20% - Accent3 3 5" xfId="696" xr:uid="{00000000-0005-0000-0000-0000A8020000}"/>
    <cellStyle name="20% - Accent3 3 5 2" xfId="2498" xr:uid="{00000000-0005-0000-0000-0000A9020000}"/>
    <cellStyle name="20% - Accent3 3 5 2 2" xfId="4945" xr:uid="{00000000-0005-0000-0000-0000AA020000}"/>
    <cellStyle name="20% - Accent3 3 5 2 2 2" xfId="10041" xr:uid="{00000000-0005-0000-0000-0000AB020000}"/>
    <cellStyle name="20% - Accent3 3 5 2 3" xfId="7602" xr:uid="{00000000-0005-0000-0000-0000AC020000}"/>
    <cellStyle name="20% - Accent3 3 5 3" xfId="3762" xr:uid="{00000000-0005-0000-0000-0000AD020000}"/>
    <cellStyle name="20% - Accent3 3 5 3 2" xfId="8861" xr:uid="{00000000-0005-0000-0000-0000AE020000}"/>
    <cellStyle name="20% - Accent3 3 5 4" xfId="6342" xr:uid="{00000000-0005-0000-0000-0000AF020000}"/>
    <cellStyle name="20% - Accent3 3 6" xfId="1200" xr:uid="{00000000-0005-0000-0000-0000B0020000}"/>
    <cellStyle name="20% - Accent3 3 6 2" xfId="2774" xr:uid="{00000000-0005-0000-0000-0000B1020000}"/>
    <cellStyle name="20% - Accent3 3 6 2 2" xfId="5176" xr:uid="{00000000-0005-0000-0000-0000B2020000}"/>
    <cellStyle name="20% - Accent3 3 6 2 2 2" xfId="10272" xr:uid="{00000000-0005-0000-0000-0000B3020000}"/>
    <cellStyle name="20% - Accent3 3 6 2 3" xfId="7877" xr:uid="{00000000-0005-0000-0000-0000B4020000}"/>
    <cellStyle name="20% - Accent3 3 6 3" xfId="3984" xr:uid="{00000000-0005-0000-0000-0000B5020000}"/>
    <cellStyle name="20% - Accent3 3 6 3 2" xfId="9080" xr:uid="{00000000-0005-0000-0000-0000B6020000}"/>
    <cellStyle name="20% - Accent3 3 6 4" xfId="6592" xr:uid="{00000000-0005-0000-0000-0000B7020000}"/>
    <cellStyle name="20% - Accent3 4" xfId="193" xr:uid="{00000000-0005-0000-0000-0000B8020000}"/>
    <cellStyle name="20% - Accent3 4 2" xfId="582" xr:uid="{00000000-0005-0000-0000-0000B9020000}"/>
    <cellStyle name="20% - Accent3 4 2 2" xfId="1206" xr:uid="{00000000-0005-0000-0000-0000BA020000}"/>
    <cellStyle name="20% - Accent3 4 2 3" xfId="2388" xr:uid="{00000000-0005-0000-0000-0000BB020000}"/>
    <cellStyle name="20% - Accent3 4 2 3 2" xfId="4835" xr:uid="{00000000-0005-0000-0000-0000BC020000}"/>
    <cellStyle name="20% - Accent3 4 2 3 2 2" xfId="9931" xr:uid="{00000000-0005-0000-0000-0000BD020000}"/>
    <cellStyle name="20% - Accent3 4 2 3 3" xfId="7492" xr:uid="{00000000-0005-0000-0000-0000BE020000}"/>
    <cellStyle name="20% - Accent3 4 2 4" xfId="3652" xr:uid="{00000000-0005-0000-0000-0000BF020000}"/>
    <cellStyle name="20% - Accent3 4 2 4 2" xfId="8751" xr:uid="{00000000-0005-0000-0000-0000C0020000}"/>
    <cellStyle name="20% - Accent3 4 2 5" xfId="6232" xr:uid="{00000000-0005-0000-0000-0000C1020000}"/>
    <cellStyle name="20% - Accent3 4 3" xfId="614" xr:uid="{00000000-0005-0000-0000-0000C2020000}"/>
    <cellStyle name="20% - Accent3 4 3 2" xfId="1207" xr:uid="{00000000-0005-0000-0000-0000C3020000}"/>
    <cellStyle name="20% - Accent3 4 3 2 2" xfId="2780" xr:uid="{00000000-0005-0000-0000-0000C4020000}"/>
    <cellStyle name="20% - Accent3 4 3 2 2 2" xfId="5182" xr:uid="{00000000-0005-0000-0000-0000C5020000}"/>
    <cellStyle name="20% - Accent3 4 3 2 2 2 2" xfId="10278" xr:uid="{00000000-0005-0000-0000-0000C6020000}"/>
    <cellStyle name="20% - Accent3 4 3 2 2 3" xfId="7883" xr:uid="{00000000-0005-0000-0000-0000C7020000}"/>
    <cellStyle name="20% - Accent3 4 3 2 3" xfId="3990" xr:uid="{00000000-0005-0000-0000-0000C8020000}"/>
    <cellStyle name="20% - Accent3 4 3 2 3 2" xfId="9086" xr:uid="{00000000-0005-0000-0000-0000C9020000}"/>
    <cellStyle name="20% - Accent3 4 3 2 4" xfId="6598" xr:uid="{00000000-0005-0000-0000-0000CA020000}"/>
    <cellStyle name="20% - Accent3 4 3 3" xfId="2420" xr:uid="{00000000-0005-0000-0000-0000CB020000}"/>
    <cellStyle name="20% - Accent3 4 3 3 2" xfId="4867" xr:uid="{00000000-0005-0000-0000-0000CC020000}"/>
    <cellStyle name="20% - Accent3 4 3 3 2 2" xfId="9963" xr:uid="{00000000-0005-0000-0000-0000CD020000}"/>
    <cellStyle name="20% - Accent3 4 3 3 3" xfId="7524" xr:uid="{00000000-0005-0000-0000-0000CE020000}"/>
    <cellStyle name="20% - Accent3 4 3 4" xfId="3684" xr:uid="{00000000-0005-0000-0000-0000CF020000}"/>
    <cellStyle name="20% - Accent3 4 3 4 2" xfId="8783" xr:uid="{00000000-0005-0000-0000-0000D0020000}"/>
    <cellStyle name="20% - Accent3 4 3 5" xfId="6264" xr:uid="{00000000-0005-0000-0000-0000D1020000}"/>
    <cellStyle name="20% - Accent3 4 4" xfId="759" xr:uid="{00000000-0005-0000-0000-0000D2020000}"/>
    <cellStyle name="20% - Accent3 4 4 2" xfId="2540" xr:uid="{00000000-0005-0000-0000-0000D3020000}"/>
    <cellStyle name="20% - Accent3 4 4 2 2" xfId="4987" xr:uid="{00000000-0005-0000-0000-0000D4020000}"/>
    <cellStyle name="20% - Accent3 4 4 2 2 2" xfId="10083" xr:uid="{00000000-0005-0000-0000-0000D5020000}"/>
    <cellStyle name="20% - Accent3 4 4 2 3" xfId="7644" xr:uid="{00000000-0005-0000-0000-0000D6020000}"/>
    <cellStyle name="20% - Accent3 4 4 3" xfId="3804" xr:uid="{00000000-0005-0000-0000-0000D7020000}"/>
    <cellStyle name="20% - Accent3 4 4 3 2" xfId="8903" xr:uid="{00000000-0005-0000-0000-0000D8020000}"/>
    <cellStyle name="20% - Accent3 4 4 4" xfId="6384" xr:uid="{00000000-0005-0000-0000-0000D9020000}"/>
    <cellStyle name="20% - Accent3 4 5" xfId="674" xr:uid="{00000000-0005-0000-0000-0000DA020000}"/>
    <cellStyle name="20% - Accent3 4 5 2" xfId="2477" xr:uid="{00000000-0005-0000-0000-0000DB020000}"/>
    <cellStyle name="20% - Accent3 4 5 2 2" xfId="4924" xr:uid="{00000000-0005-0000-0000-0000DC020000}"/>
    <cellStyle name="20% - Accent3 4 5 2 2 2" xfId="10020" xr:uid="{00000000-0005-0000-0000-0000DD020000}"/>
    <cellStyle name="20% - Accent3 4 5 2 3" xfId="7581" xr:uid="{00000000-0005-0000-0000-0000DE020000}"/>
    <cellStyle name="20% - Accent3 4 5 3" xfId="3741" xr:uid="{00000000-0005-0000-0000-0000DF020000}"/>
    <cellStyle name="20% - Accent3 4 5 3 2" xfId="8840" xr:uid="{00000000-0005-0000-0000-0000E0020000}"/>
    <cellStyle name="20% - Accent3 4 5 4" xfId="6321" xr:uid="{00000000-0005-0000-0000-0000E1020000}"/>
    <cellStyle name="20% - Accent3 4 6" xfId="1205" xr:uid="{00000000-0005-0000-0000-0000E2020000}"/>
    <cellStyle name="20% - Accent3 4 6 2" xfId="2779" xr:uid="{00000000-0005-0000-0000-0000E3020000}"/>
    <cellStyle name="20% - Accent3 4 6 2 2" xfId="5181" xr:uid="{00000000-0005-0000-0000-0000E4020000}"/>
    <cellStyle name="20% - Accent3 4 6 2 2 2" xfId="10277" xr:uid="{00000000-0005-0000-0000-0000E5020000}"/>
    <cellStyle name="20% - Accent3 4 6 2 3" xfId="7882" xr:uid="{00000000-0005-0000-0000-0000E6020000}"/>
    <cellStyle name="20% - Accent3 4 6 3" xfId="3989" xr:uid="{00000000-0005-0000-0000-0000E7020000}"/>
    <cellStyle name="20% - Accent3 4 6 3 2" xfId="9085" xr:uid="{00000000-0005-0000-0000-0000E8020000}"/>
    <cellStyle name="20% - Accent3 4 6 4" xfId="6597" xr:uid="{00000000-0005-0000-0000-0000E9020000}"/>
    <cellStyle name="20% - Accent3 5" xfId="194" xr:uid="{00000000-0005-0000-0000-0000EA020000}"/>
    <cellStyle name="20% - Accent3 5 2" xfId="874" xr:uid="{00000000-0005-0000-0000-0000EB020000}"/>
    <cellStyle name="20% - Accent3 5 2 2" xfId="2579" xr:uid="{00000000-0005-0000-0000-0000EC020000}"/>
    <cellStyle name="20% - Accent3 5 2 2 2" xfId="5023" xr:uid="{00000000-0005-0000-0000-0000ED020000}"/>
    <cellStyle name="20% - Accent3 5 2 2 2 2" xfId="10119" xr:uid="{00000000-0005-0000-0000-0000EE020000}"/>
    <cellStyle name="20% - Accent3 5 2 2 3" xfId="7682" xr:uid="{00000000-0005-0000-0000-0000EF020000}"/>
    <cellStyle name="20% - Accent3 5 2 3" xfId="3840" xr:uid="{00000000-0005-0000-0000-0000F0020000}"/>
    <cellStyle name="20% - Accent3 5 2 3 2" xfId="8939" xr:uid="{00000000-0005-0000-0000-0000F1020000}"/>
    <cellStyle name="20% - Accent3 5 2 4" xfId="6425" xr:uid="{00000000-0005-0000-0000-0000F2020000}"/>
    <cellStyle name="20% - Accent3 5 3" xfId="538" xr:uid="{00000000-0005-0000-0000-0000F3020000}"/>
    <cellStyle name="20% - Accent3 5 3 2" xfId="2347" xr:uid="{00000000-0005-0000-0000-0000F4020000}"/>
    <cellStyle name="20% - Accent3 5 3 2 2" xfId="4794" xr:uid="{00000000-0005-0000-0000-0000F5020000}"/>
    <cellStyle name="20% - Accent3 5 3 2 2 2" xfId="9890" xr:uid="{00000000-0005-0000-0000-0000F6020000}"/>
    <cellStyle name="20% - Accent3 5 3 2 3" xfId="7451" xr:uid="{00000000-0005-0000-0000-0000F7020000}"/>
    <cellStyle name="20% - Accent3 5 3 3" xfId="3611" xr:uid="{00000000-0005-0000-0000-0000F8020000}"/>
    <cellStyle name="20% - Accent3 5 3 3 2" xfId="8710" xr:uid="{00000000-0005-0000-0000-0000F9020000}"/>
    <cellStyle name="20% - Accent3 5 3 4" xfId="6191" xr:uid="{00000000-0005-0000-0000-0000FA020000}"/>
    <cellStyle name="20% - Accent3 5 4" xfId="1208" xr:uid="{00000000-0005-0000-0000-0000FB020000}"/>
    <cellStyle name="20% - Accent3 6" xfId="195" xr:uid="{00000000-0005-0000-0000-0000FC020000}"/>
    <cellStyle name="20% - Accent3 6 2" xfId="780" xr:uid="{00000000-0005-0000-0000-0000FD020000}"/>
    <cellStyle name="20% - Accent3 6 2 2" xfId="2561" xr:uid="{00000000-0005-0000-0000-0000FE020000}"/>
    <cellStyle name="20% - Accent3 6 2 2 2" xfId="5008" xr:uid="{00000000-0005-0000-0000-0000FF020000}"/>
    <cellStyle name="20% - Accent3 6 2 2 2 2" xfId="10104" xr:uid="{00000000-0005-0000-0000-000000030000}"/>
    <cellStyle name="20% - Accent3 6 2 2 3" xfId="7665" xr:uid="{00000000-0005-0000-0000-000001030000}"/>
    <cellStyle name="20% - Accent3 6 2 3" xfId="3825" xr:uid="{00000000-0005-0000-0000-000002030000}"/>
    <cellStyle name="20% - Accent3 6 2 3 2" xfId="8924" xr:uid="{00000000-0005-0000-0000-000003030000}"/>
    <cellStyle name="20% - Accent3 6 2 4" xfId="6405" xr:uid="{00000000-0005-0000-0000-000004030000}"/>
    <cellStyle name="20% - Accent3 6 3" xfId="1209" xr:uid="{00000000-0005-0000-0000-000005030000}"/>
    <cellStyle name="20% - Accent3 7" xfId="196" xr:uid="{00000000-0005-0000-0000-000006030000}"/>
    <cellStyle name="20% - Accent3 7 2" xfId="731" xr:uid="{00000000-0005-0000-0000-000007030000}"/>
    <cellStyle name="20% - Accent3 7 2 2" xfId="2517" xr:uid="{00000000-0005-0000-0000-000008030000}"/>
    <cellStyle name="20% - Accent3 7 2 2 2" xfId="4964" xr:uid="{00000000-0005-0000-0000-000009030000}"/>
    <cellStyle name="20% - Accent3 7 2 2 2 2" xfId="10060" xr:uid="{00000000-0005-0000-0000-00000A030000}"/>
    <cellStyle name="20% - Accent3 7 2 2 3" xfId="7621" xr:uid="{00000000-0005-0000-0000-00000B030000}"/>
    <cellStyle name="20% - Accent3 7 2 3" xfId="3781" xr:uid="{00000000-0005-0000-0000-00000C030000}"/>
    <cellStyle name="20% - Accent3 7 2 3 2" xfId="8880" xr:uid="{00000000-0005-0000-0000-00000D030000}"/>
    <cellStyle name="20% - Accent3 7 2 4" xfId="6361" xr:uid="{00000000-0005-0000-0000-00000E030000}"/>
    <cellStyle name="20% - Accent3 7 3" xfId="1210" xr:uid="{00000000-0005-0000-0000-00000F030000}"/>
    <cellStyle name="20% - Accent3 8" xfId="197" xr:uid="{00000000-0005-0000-0000-000010030000}"/>
    <cellStyle name="20% - Accent3 8 2" xfId="563" xr:uid="{00000000-0005-0000-0000-000011030000}"/>
    <cellStyle name="20% - Accent3 8 2 2" xfId="2369" xr:uid="{00000000-0005-0000-0000-000012030000}"/>
    <cellStyle name="20% - Accent3 8 2 2 2" xfId="4816" xr:uid="{00000000-0005-0000-0000-000013030000}"/>
    <cellStyle name="20% - Accent3 8 2 2 2 2" xfId="9912" xr:uid="{00000000-0005-0000-0000-000014030000}"/>
    <cellStyle name="20% - Accent3 8 2 2 3" xfId="7473" xr:uid="{00000000-0005-0000-0000-000015030000}"/>
    <cellStyle name="20% - Accent3 8 2 3" xfId="3633" xr:uid="{00000000-0005-0000-0000-000016030000}"/>
    <cellStyle name="20% - Accent3 8 2 3 2" xfId="8732" xr:uid="{00000000-0005-0000-0000-000017030000}"/>
    <cellStyle name="20% - Accent3 8 2 4" xfId="6213" xr:uid="{00000000-0005-0000-0000-000018030000}"/>
    <cellStyle name="20% - Accent3 8 3" xfId="1211" xr:uid="{00000000-0005-0000-0000-000019030000}"/>
    <cellStyle name="20% - Accent3 9" xfId="546" xr:uid="{00000000-0005-0000-0000-00001A030000}"/>
    <cellStyle name="20% - Accent3 9 2" xfId="1047" xr:uid="{00000000-0005-0000-0000-00001B030000}"/>
    <cellStyle name="20% - Accent3 9 2 2" xfId="2677" xr:uid="{00000000-0005-0000-0000-00001C030000}"/>
    <cellStyle name="20% - Accent3 9 2 2 2" xfId="5086" xr:uid="{00000000-0005-0000-0000-00001D030000}"/>
    <cellStyle name="20% - Accent3 9 2 2 2 2" xfId="10182" xr:uid="{00000000-0005-0000-0000-00001E030000}"/>
    <cellStyle name="20% - Accent3 9 2 2 3" xfId="7780" xr:uid="{00000000-0005-0000-0000-00001F030000}"/>
    <cellStyle name="20% - Accent3 9 2 3" xfId="3903" xr:uid="{00000000-0005-0000-0000-000020030000}"/>
    <cellStyle name="20% - Accent3 9 2 3 2" xfId="9002" xr:uid="{00000000-0005-0000-0000-000021030000}"/>
    <cellStyle name="20% - Accent3 9 2 4" xfId="6524" xr:uid="{00000000-0005-0000-0000-000022030000}"/>
    <cellStyle name="20% - Accent3 9 3" xfId="2355" xr:uid="{00000000-0005-0000-0000-000023030000}"/>
    <cellStyle name="20% - Accent3 9 3 2" xfId="4802" xr:uid="{00000000-0005-0000-0000-000024030000}"/>
    <cellStyle name="20% - Accent3 9 3 2 2" xfId="9898" xr:uid="{00000000-0005-0000-0000-000025030000}"/>
    <cellStyle name="20% - Accent3 9 3 3" xfId="7459" xr:uid="{00000000-0005-0000-0000-000026030000}"/>
    <cellStyle name="20% - Accent3 9 4" xfId="3619" xr:uid="{00000000-0005-0000-0000-000027030000}"/>
    <cellStyle name="20% - Accent3 9 4 2" xfId="8718" xr:uid="{00000000-0005-0000-0000-000028030000}"/>
    <cellStyle name="20% - Accent3 9 5" xfId="6199" xr:uid="{00000000-0005-0000-0000-000029030000}"/>
    <cellStyle name="20% - Accent4" xfId="137" builtinId="42" customBuiltin="1"/>
    <cellStyle name="20% - Accent4 10" xfId="2732" xr:uid="{00000000-0005-0000-0000-00002B030000}"/>
    <cellStyle name="20% - Accent4 10 2" xfId="5134" xr:uid="{00000000-0005-0000-0000-00002C030000}"/>
    <cellStyle name="20% - Accent4 10 2 2" xfId="10230" xr:uid="{00000000-0005-0000-0000-00002D030000}"/>
    <cellStyle name="20% - Accent4 10 3" xfId="7835" xr:uid="{00000000-0005-0000-0000-00002E030000}"/>
    <cellStyle name="20% - Accent4 11" xfId="3593" xr:uid="{00000000-0005-0000-0000-00002F030000}"/>
    <cellStyle name="20% - Accent4 11 2" xfId="8696" xr:uid="{00000000-0005-0000-0000-000030030000}"/>
    <cellStyle name="20% - Accent4 12" xfId="6547" xr:uid="{00000000-0005-0000-0000-000031030000}"/>
    <cellStyle name="20% - Accent4 2" xfId="17" xr:uid="{00000000-0005-0000-0000-000032030000}"/>
    <cellStyle name="20% - Accent4 2 2" xfId="796" xr:uid="{00000000-0005-0000-0000-000033030000}"/>
    <cellStyle name="20% - Accent4 2 2 2" xfId="593" xr:uid="{00000000-0005-0000-0000-000034030000}"/>
    <cellStyle name="20% - Accent4 2 2 2 2" xfId="1214" xr:uid="{00000000-0005-0000-0000-000035030000}"/>
    <cellStyle name="20% - Accent4 2 2 2 2 2" xfId="2783" xr:uid="{00000000-0005-0000-0000-000036030000}"/>
    <cellStyle name="20% - Accent4 2 2 2 2 2 2" xfId="5185" xr:uid="{00000000-0005-0000-0000-000037030000}"/>
    <cellStyle name="20% - Accent4 2 2 2 2 2 2 2" xfId="10281" xr:uid="{00000000-0005-0000-0000-000038030000}"/>
    <cellStyle name="20% - Accent4 2 2 2 2 2 3" xfId="7886" xr:uid="{00000000-0005-0000-0000-000039030000}"/>
    <cellStyle name="20% - Accent4 2 2 2 2 3" xfId="3993" xr:uid="{00000000-0005-0000-0000-00003A030000}"/>
    <cellStyle name="20% - Accent4 2 2 2 2 3 2" xfId="9089" xr:uid="{00000000-0005-0000-0000-00003B030000}"/>
    <cellStyle name="20% - Accent4 2 2 2 2 4" xfId="6601" xr:uid="{00000000-0005-0000-0000-00003C030000}"/>
    <cellStyle name="20% - Accent4 2 2 2 3" xfId="2399" xr:uid="{00000000-0005-0000-0000-00003D030000}"/>
    <cellStyle name="20% - Accent4 2 2 2 3 2" xfId="4846" xr:uid="{00000000-0005-0000-0000-00003E030000}"/>
    <cellStyle name="20% - Accent4 2 2 2 3 2 2" xfId="9942" xr:uid="{00000000-0005-0000-0000-00003F030000}"/>
    <cellStyle name="20% - Accent4 2 2 2 3 3" xfId="7503" xr:uid="{00000000-0005-0000-0000-000040030000}"/>
    <cellStyle name="20% - Accent4 2 2 2 4" xfId="3663" xr:uid="{00000000-0005-0000-0000-000041030000}"/>
    <cellStyle name="20% - Accent4 2 2 2 4 2" xfId="8762" xr:uid="{00000000-0005-0000-0000-000042030000}"/>
    <cellStyle name="20% - Accent4 2 2 2 5" xfId="6243" xr:uid="{00000000-0005-0000-0000-000043030000}"/>
    <cellStyle name="20% - Accent4 2 2 3" xfId="1213" xr:uid="{00000000-0005-0000-0000-000044030000}"/>
    <cellStyle name="20% - Accent4 2 2 3 2" xfId="2782" xr:uid="{00000000-0005-0000-0000-000045030000}"/>
    <cellStyle name="20% - Accent4 2 2 3 2 2" xfId="5184" xr:uid="{00000000-0005-0000-0000-000046030000}"/>
    <cellStyle name="20% - Accent4 2 2 3 2 2 2" xfId="10280" xr:uid="{00000000-0005-0000-0000-000047030000}"/>
    <cellStyle name="20% - Accent4 2 2 3 2 3" xfId="7885" xr:uid="{00000000-0005-0000-0000-000048030000}"/>
    <cellStyle name="20% - Accent4 2 2 3 3" xfId="3992" xr:uid="{00000000-0005-0000-0000-000049030000}"/>
    <cellStyle name="20% - Accent4 2 2 3 3 2" xfId="9088" xr:uid="{00000000-0005-0000-0000-00004A030000}"/>
    <cellStyle name="20% - Accent4 2 2 3 4" xfId="6600" xr:uid="{00000000-0005-0000-0000-00004B030000}"/>
    <cellStyle name="20% - Accent4 2 3" xfId="619" xr:uid="{00000000-0005-0000-0000-00004C030000}"/>
    <cellStyle name="20% - Accent4 2 3 2" xfId="1215" xr:uid="{00000000-0005-0000-0000-00004D030000}"/>
    <cellStyle name="20% - Accent4 2 3 2 2" xfId="2784" xr:uid="{00000000-0005-0000-0000-00004E030000}"/>
    <cellStyle name="20% - Accent4 2 3 2 2 2" xfId="5186" xr:uid="{00000000-0005-0000-0000-00004F030000}"/>
    <cellStyle name="20% - Accent4 2 3 2 2 2 2" xfId="10282" xr:uid="{00000000-0005-0000-0000-000050030000}"/>
    <cellStyle name="20% - Accent4 2 3 2 2 3" xfId="7887" xr:uid="{00000000-0005-0000-0000-000051030000}"/>
    <cellStyle name="20% - Accent4 2 3 2 3" xfId="3994" xr:uid="{00000000-0005-0000-0000-000052030000}"/>
    <cellStyle name="20% - Accent4 2 3 2 3 2" xfId="9090" xr:uid="{00000000-0005-0000-0000-000053030000}"/>
    <cellStyle name="20% - Accent4 2 3 2 4" xfId="6602" xr:uid="{00000000-0005-0000-0000-000054030000}"/>
    <cellStyle name="20% - Accent4 2 3 3" xfId="2425" xr:uid="{00000000-0005-0000-0000-000055030000}"/>
    <cellStyle name="20% - Accent4 2 3 3 2" xfId="4872" xr:uid="{00000000-0005-0000-0000-000056030000}"/>
    <cellStyle name="20% - Accent4 2 3 3 2 2" xfId="9968" xr:uid="{00000000-0005-0000-0000-000057030000}"/>
    <cellStyle name="20% - Accent4 2 3 3 3" xfId="7529" xr:uid="{00000000-0005-0000-0000-000058030000}"/>
    <cellStyle name="20% - Accent4 2 3 4" xfId="3689" xr:uid="{00000000-0005-0000-0000-000059030000}"/>
    <cellStyle name="20% - Accent4 2 3 4 2" xfId="8788" xr:uid="{00000000-0005-0000-0000-00005A030000}"/>
    <cellStyle name="20% - Accent4 2 3 5" xfId="6269" xr:uid="{00000000-0005-0000-0000-00005B030000}"/>
    <cellStyle name="20% - Accent4 2 4" xfId="536" xr:uid="{00000000-0005-0000-0000-00005C030000}"/>
    <cellStyle name="20% - Accent4 2 4 2" xfId="1216" xr:uid="{00000000-0005-0000-0000-00005D030000}"/>
    <cellStyle name="20% - Accent4 2 4 2 2" xfId="2785" xr:uid="{00000000-0005-0000-0000-00005E030000}"/>
    <cellStyle name="20% - Accent4 2 4 2 2 2" xfId="5187" xr:uid="{00000000-0005-0000-0000-00005F030000}"/>
    <cellStyle name="20% - Accent4 2 4 2 2 2 2" xfId="10283" xr:uid="{00000000-0005-0000-0000-000060030000}"/>
    <cellStyle name="20% - Accent4 2 4 2 2 3" xfId="7888" xr:uid="{00000000-0005-0000-0000-000061030000}"/>
    <cellStyle name="20% - Accent4 2 4 2 3" xfId="3995" xr:uid="{00000000-0005-0000-0000-000062030000}"/>
    <cellStyle name="20% - Accent4 2 4 2 3 2" xfId="9091" xr:uid="{00000000-0005-0000-0000-000063030000}"/>
    <cellStyle name="20% - Accent4 2 4 2 4" xfId="6603" xr:uid="{00000000-0005-0000-0000-000064030000}"/>
    <cellStyle name="20% - Accent4 2 4 3" xfId="2345" xr:uid="{00000000-0005-0000-0000-000065030000}"/>
    <cellStyle name="20% - Accent4 2 4 3 2" xfId="4792" xr:uid="{00000000-0005-0000-0000-000066030000}"/>
    <cellStyle name="20% - Accent4 2 4 3 2 2" xfId="9888" xr:uid="{00000000-0005-0000-0000-000067030000}"/>
    <cellStyle name="20% - Accent4 2 4 3 3" xfId="7449" xr:uid="{00000000-0005-0000-0000-000068030000}"/>
    <cellStyle name="20% - Accent4 2 4 4" xfId="3609" xr:uid="{00000000-0005-0000-0000-000069030000}"/>
    <cellStyle name="20% - Accent4 2 4 4 2" xfId="8708" xr:uid="{00000000-0005-0000-0000-00006A030000}"/>
    <cellStyle name="20% - Accent4 2 4 5" xfId="6189" xr:uid="{00000000-0005-0000-0000-00006B030000}"/>
    <cellStyle name="20% - Accent4 2 5" xfId="683" xr:uid="{00000000-0005-0000-0000-00006C030000}"/>
    <cellStyle name="20% - Accent4 2 5 2" xfId="2485" xr:uid="{00000000-0005-0000-0000-00006D030000}"/>
    <cellStyle name="20% - Accent4 2 5 2 2" xfId="4932" xr:uid="{00000000-0005-0000-0000-00006E030000}"/>
    <cellStyle name="20% - Accent4 2 5 2 2 2" xfId="10028" xr:uid="{00000000-0005-0000-0000-00006F030000}"/>
    <cellStyle name="20% - Accent4 2 5 2 3" xfId="7589" xr:uid="{00000000-0005-0000-0000-000070030000}"/>
    <cellStyle name="20% - Accent4 2 5 3" xfId="3749" xr:uid="{00000000-0005-0000-0000-000071030000}"/>
    <cellStyle name="20% - Accent4 2 5 3 2" xfId="8848" xr:uid="{00000000-0005-0000-0000-000072030000}"/>
    <cellStyle name="20% - Accent4 2 5 4" xfId="6329" xr:uid="{00000000-0005-0000-0000-000073030000}"/>
    <cellStyle name="20% - Accent4 2 6" xfId="1212" xr:uid="{00000000-0005-0000-0000-000074030000}"/>
    <cellStyle name="20% - Accent4 2 6 2" xfId="2781" xr:uid="{00000000-0005-0000-0000-000075030000}"/>
    <cellStyle name="20% - Accent4 2 6 2 2" xfId="5183" xr:uid="{00000000-0005-0000-0000-000076030000}"/>
    <cellStyle name="20% - Accent4 2 6 2 2 2" xfId="10279" xr:uid="{00000000-0005-0000-0000-000077030000}"/>
    <cellStyle name="20% - Accent4 2 6 2 3" xfId="7884" xr:uid="{00000000-0005-0000-0000-000078030000}"/>
    <cellStyle name="20% - Accent4 2 6 3" xfId="3991" xr:uid="{00000000-0005-0000-0000-000079030000}"/>
    <cellStyle name="20% - Accent4 2 6 3 2" xfId="9087" xr:uid="{00000000-0005-0000-0000-00007A030000}"/>
    <cellStyle name="20% - Accent4 2 6 4" xfId="6599" xr:uid="{00000000-0005-0000-0000-00007B030000}"/>
    <cellStyle name="20% - Accent4 3" xfId="198" xr:uid="{00000000-0005-0000-0000-00007C030000}"/>
    <cellStyle name="20% - Accent4 3 2" xfId="866" xr:uid="{00000000-0005-0000-0000-00007D030000}"/>
    <cellStyle name="20% - Accent4 3 2 2" xfId="766" xr:uid="{00000000-0005-0000-0000-00007E030000}"/>
    <cellStyle name="20% - Accent4 3 2 2 2" xfId="1219" xr:uid="{00000000-0005-0000-0000-00007F030000}"/>
    <cellStyle name="20% - Accent4 3 2 2 2 2" xfId="2788" xr:uid="{00000000-0005-0000-0000-000080030000}"/>
    <cellStyle name="20% - Accent4 3 2 2 2 2 2" xfId="5190" xr:uid="{00000000-0005-0000-0000-000081030000}"/>
    <cellStyle name="20% - Accent4 3 2 2 2 2 2 2" xfId="10286" xr:uid="{00000000-0005-0000-0000-000082030000}"/>
    <cellStyle name="20% - Accent4 3 2 2 2 2 3" xfId="7891" xr:uid="{00000000-0005-0000-0000-000083030000}"/>
    <cellStyle name="20% - Accent4 3 2 2 2 3" xfId="3998" xr:uid="{00000000-0005-0000-0000-000084030000}"/>
    <cellStyle name="20% - Accent4 3 2 2 2 3 2" xfId="9094" xr:uid="{00000000-0005-0000-0000-000085030000}"/>
    <cellStyle name="20% - Accent4 3 2 2 2 4" xfId="6606" xr:uid="{00000000-0005-0000-0000-000086030000}"/>
    <cellStyle name="20% - Accent4 3 2 2 3" xfId="2547" xr:uid="{00000000-0005-0000-0000-000087030000}"/>
    <cellStyle name="20% - Accent4 3 2 2 3 2" xfId="4994" xr:uid="{00000000-0005-0000-0000-000088030000}"/>
    <cellStyle name="20% - Accent4 3 2 2 3 2 2" xfId="10090" xr:uid="{00000000-0005-0000-0000-000089030000}"/>
    <cellStyle name="20% - Accent4 3 2 2 3 3" xfId="7651" xr:uid="{00000000-0005-0000-0000-00008A030000}"/>
    <cellStyle name="20% - Accent4 3 2 2 4" xfId="3811" xr:uid="{00000000-0005-0000-0000-00008B030000}"/>
    <cellStyle name="20% - Accent4 3 2 2 4 2" xfId="8910" xr:uid="{00000000-0005-0000-0000-00008C030000}"/>
    <cellStyle name="20% - Accent4 3 2 2 5" xfId="6391" xr:uid="{00000000-0005-0000-0000-00008D030000}"/>
    <cellStyle name="20% - Accent4 3 2 3" xfId="1218" xr:uid="{00000000-0005-0000-0000-00008E030000}"/>
    <cellStyle name="20% - Accent4 3 2 3 2" xfId="2787" xr:uid="{00000000-0005-0000-0000-00008F030000}"/>
    <cellStyle name="20% - Accent4 3 2 3 2 2" xfId="5189" xr:uid="{00000000-0005-0000-0000-000090030000}"/>
    <cellStyle name="20% - Accent4 3 2 3 2 2 2" xfId="10285" xr:uid="{00000000-0005-0000-0000-000091030000}"/>
    <cellStyle name="20% - Accent4 3 2 3 2 3" xfId="7890" xr:uid="{00000000-0005-0000-0000-000092030000}"/>
    <cellStyle name="20% - Accent4 3 2 3 3" xfId="3997" xr:uid="{00000000-0005-0000-0000-000093030000}"/>
    <cellStyle name="20% - Accent4 3 2 3 3 2" xfId="9093" xr:uid="{00000000-0005-0000-0000-000094030000}"/>
    <cellStyle name="20% - Accent4 3 2 3 4" xfId="6605" xr:uid="{00000000-0005-0000-0000-000095030000}"/>
    <cellStyle name="20% - Accent4 3 3" xfId="556" xr:uid="{00000000-0005-0000-0000-000096030000}"/>
    <cellStyle name="20% - Accent4 3 3 2" xfId="1220" xr:uid="{00000000-0005-0000-0000-000097030000}"/>
    <cellStyle name="20% - Accent4 3 3 2 2" xfId="2789" xr:uid="{00000000-0005-0000-0000-000098030000}"/>
    <cellStyle name="20% - Accent4 3 3 2 2 2" xfId="5191" xr:uid="{00000000-0005-0000-0000-000099030000}"/>
    <cellStyle name="20% - Accent4 3 3 2 2 2 2" xfId="10287" xr:uid="{00000000-0005-0000-0000-00009A030000}"/>
    <cellStyle name="20% - Accent4 3 3 2 2 3" xfId="7892" xr:uid="{00000000-0005-0000-0000-00009B030000}"/>
    <cellStyle name="20% - Accent4 3 3 2 3" xfId="3999" xr:uid="{00000000-0005-0000-0000-00009C030000}"/>
    <cellStyle name="20% - Accent4 3 3 2 3 2" xfId="9095" xr:uid="{00000000-0005-0000-0000-00009D030000}"/>
    <cellStyle name="20% - Accent4 3 3 2 4" xfId="6607" xr:uid="{00000000-0005-0000-0000-00009E030000}"/>
    <cellStyle name="20% - Accent4 3 3 3" xfId="2362" xr:uid="{00000000-0005-0000-0000-00009F030000}"/>
    <cellStyle name="20% - Accent4 3 3 3 2" xfId="4809" xr:uid="{00000000-0005-0000-0000-0000A0030000}"/>
    <cellStyle name="20% - Accent4 3 3 3 2 2" xfId="9905" xr:uid="{00000000-0005-0000-0000-0000A1030000}"/>
    <cellStyle name="20% - Accent4 3 3 3 3" xfId="7466" xr:uid="{00000000-0005-0000-0000-0000A2030000}"/>
    <cellStyle name="20% - Accent4 3 3 4" xfId="3626" xr:uid="{00000000-0005-0000-0000-0000A3030000}"/>
    <cellStyle name="20% - Accent4 3 3 4 2" xfId="8725" xr:uid="{00000000-0005-0000-0000-0000A4030000}"/>
    <cellStyle name="20% - Accent4 3 3 5" xfId="6206" xr:uid="{00000000-0005-0000-0000-0000A5030000}"/>
    <cellStyle name="20% - Accent4 3 4" xfId="646" xr:uid="{00000000-0005-0000-0000-0000A6030000}"/>
    <cellStyle name="20% - Accent4 3 4 2" xfId="1221" xr:uid="{00000000-0005-0000-0000-0000A7030000}"/>
    <cellStyle name="20% - Accent4 3 4 2 2" xfId="2790" xr:uid="{00000000-0005-0000-0000-0000A8030000}"/>
    <cellStyle name="20% - Accent4 3 4 2 2 2" xfId="5192" xr:uid="{00000000-0005-0000-0000-0000A9030000}"/>
    <cellStyle name="20% - Accent4 3 4 2 2 2 2" xfId="10288" xr:uid="{00000000-0005-0000-0000-0000AA030000}"/>
    <cellStyle name="20% - Accent4 3 4 2 2 3" xfId="7893" xr:uid="{00000000-0005-0000-0000-0000AB030000}"/>
    <cellStyle name="20% - Accent4 3 4 2 3" xfId="4000" xr:uid="{00000000-0005-0000-0000-0000AC030000}"/>
    <cellStyle name="20% - Accent4 3 4 2 3 2" xfId="9096" xr:uid="{00000000-0005-0000-0000-0000AD030000}"/>
    <cellStyle name="20% - Accent4 3 4 2 4" xfId="6608" xr:uid="{00000000-0005-0000-0000-0000AE030000}"/>
    <cellStyle name="20% - Accent4 3 4 3" xfId="2450" xr:uid="{00000000-0005-0000-0000-0000AF030000}"/>
    <cellStyle name="20% - Accent4 3 4 3 2" xfId="4897" xr:uid="{00000000-0005-0000-0000-0000B0030000}"/>
    <cellStyle name="20% - Accent4 3 4 3 2 2" xfId="9993" xr:uid="{00000000-0005-0000-0000-0000B1030000}"/>
    <cellStyle name="20% - Accent4 3 4 3 3" xfId="7554" xr:uid="{00000000-0005-0000-0000-0000B2030000}"/>
    <cellStyle name="20% - Accent4 3 4 4" xfId="3714" xr:uid="{00000000-0005-0000-0000-0000B3030000}"/>
    <cellStyle name="20% - Accent4 3 4 4 2" xfId="8813" xr:uid="{00000000-0005-0000-0000-0000B4030000}"/>
    <cellStyle name="20% - Accent4 3 4 5" xfId="6294" xr:uid="{00000000-0005-0000-0000-0000B5030000}"/>
    <cellStyle name="20% - Accent4 3 5" xfId="695" xr:uid="{00000000-0005-0000-0000-0000B6030000}"/>
    <cellStyle name="20% - Accent4 3 5 2" xfId="2497" xr:uid="{00000000-0005-0000-0000-0000B7030000}"/>
    <cellStyle name="20% - Accent4 3 5 2 2" xfId="4944" xr:uid="{00000000-0005-0000-0000-0000B8030000}"/>
    <cellStyle name="20% - Accent4 3 5 2 2 2" xfId="10040" xr:uid="{00000000-0005-0000-0000-0000B9030000}"/>
    <cellStyle name="20% - Accent4 3 5 2 3" xfId="7601" xr:uid="{00000000-0005-0000-0000-0000BA030000}"/>
    <cellStyle name="20% - Accent4 3 5 3" xfId="3761" xr:uid="{00000000-0005-0000-0000-0000BB030000}"/>
    <cellStyle name="20% - Accent4 3 5 3 2" xfId="8860" xr:uid="{00000000-0005-0000-0000-0000BC030000}"/>
    <cellStyle name="20% - Accent4 3 5 4" xfId="6341" xr:uid="{00000000-0005-0000-0000-0000BD030000}"/>
    <cellStyle name="20% - Accent4 3 6" xfId="1217" xr:uid="{00000000-0005-0000-0000-0000BE030000}"/>
    <cellStyle name="20% - Accent4 3 6 2" xfId="2786" xr:uid="{00000000-0005-0000-0000-0000BF030000}"/>
    <cellStyle name="20% - Accent4 3 6 2 2" xfId="5188" xr:uid="{00000000-0005-0000-0000-0000C0030000}"/>
    <cellStyle name="20% - Accent4 3 6 2 2 2" xfId="10284" xr:uid="{00000000-0005-0000-0000-0000C1030000}"/>
    <cellStyle name="20% - Accent4 3 6 2 3" xfId="7889" xr:uid="{00000000-0005-0000-0000-0000C2030000}"/>
    <cellStyle name="20% - Accent4 3 6 3" xfId="3996" xr:uid="{00000000-0005-0000-0000-0000C3030000}"/>
    <cellStyle name="20% - Accent4 3 6 3 2" xfId="9092" xr:uid="{00000000-0005-0000-0000-0000C4030000}"/>
    <cellStyle name="20% - Accent4 3 6 4" xfId="6604" xr:uid="{00000000-0005-0000-0000-0000C5030000}"/>
    <cellStyle name="20% - Accent4 4" xfId="199" xr:uid="{00000000-0005-0000-0000-0000C6030000}"/>
    <cellStyle name="20% - Accent4 4 2" xfId="581" xr:uid="{00000000-0005-0000-0000-0000C7030000}"/>
    <cellStyle name="20% - Accent4 4 2 2" xfId="1223" xr:uid="{00000000-0005-0000-0000-0000C8030000}"/>
    <cellStyle name="20% - Accent4 4 2 3" xfId="2387" xr:uid="{00000000-0005-0000-0000-0000C9030000}"/>
    <cellStyle name="20% - Accent4 4 2 3 2" xfId="4834" xr:uid="{00000000-0005-0000-0000-0000CA030000}"/>
    <cellStyle name="20% - Accent4 4 2 3 2 2" xfId="9930" xr:uid="{00000000-0005-0000-0000-0000CB030000}"/>
    <cellStyle name="20% - Accent4 4 2 3 3" xfId="7491" xr:uid="{00000000-0005-0000-0000-0000CC030000}"/>
    <cellStyle name="20% - Accent4 4 2 4" xfId="3651" xr:uid="{00000000-0005-0000-0000-0000CD030000}"/>
    <cellStyle name="20% - Accent4 4 2 4 2" xfId="8750" xr:uid="{00000000-0005-0000-0000-0000CE030000}"/>
    <cellStyle name="20% - Accent4 4 2 5" xfId="6231" xr:uid="{00000000-0005-0000-0000-0000CF030000}"/>
    <cellStyle name="20% - Accent4 4 3" xfId="890" xr:uid="{00000000-0005-0000-0000-0000D0030000}"/>
    <cellStyle name="20% - Accent4 4 3 2" xfId="1224" xr:uid="{00000000-0005-0000-0000-0000D1030000}"/>
    <cellStyle name="20% - Accent4 4 3 2 2" xfId="2792" xr:uid="{00000000-0005-0000-0000-0000D2030000}"/>
    <cellStyle name="20% - Accent4 4 3 2 2 2" xfId="5194" xr:uid="{00000000-0005-0000-0000-0000D3030000}"/>
    <cellStyle name="20% - Accent4 4 3 2 2 2 2" xfId="10290" xr:uid="{00000000-0005-0000-0000-0000D4030000}"/>
    <cellStyle name="20% - Accent4 4 3 2 2 3" xfId="7895" xr:uid="{00000000-0005-0000-0000-0000D5030000}"/>
    <cellStyle name="20% - Accent4 4 3 2 3" xfId="4002" xr:uid="{00000000-0005-0000-0000-0000D6030000}"/>
    <cellStyle name="20% - Accent4 4 3 2 3 2" xfId="9098" xr:uid="{00000000-0005-0000-0000-0000D7030000}"/>
    <cellStyle name="20% - Accent4 4 3 2 4" xfId="6610" xr:uid="{00000000-0005-0000-0000-0000D8030000}"/>
    <cellStyle name="20% - Accent4 4 3 3" xfId="2595" xr:uid="{00000000-0005-0000-0000-0000D9030000}"/>
    <cellStyle name="20% - Accent4 4 3 3 2" xfId="5039" xr:uid="{00000000-0005-0000-0000-0000DA030000}"/>
    <cellStyle name="20% - Accent4 4 3 3 2 2" xfId="10135" xr:uid="{00000000-0005-0000-0000-0000DB030000}"/>
    <cellStyle name="20% - Accent4 4 3 3 3" xfId="7698" xr:uid="{00000000-0005-0000-0000-0000DC030000}"/>
    <cellStyle name="20% - Accent4 4 3 4" xfId="3856" xr:uid="{00000000-0005-0000-0000-0000DD030000}"/>
    <cellStyle name="20% - Accent4 4 3 4 2" xfId="8955" xr:uid="{00000000-0005-0000-0000-0000DE030000}"/>
    <cellStyle name="20% - Accent4 4 3 5" xfId="6441" xr:uid="{00000000-0005-0000-0000-0000DF030000}"/>
    <cellStyle name="20% - Accent4 4 4" xfId="918" xr:uid="{00000000-0005-0000-0000-0000E0030000}"/>
    <cellStyle name="20% - Accent4 4 4 2" xfId="2619" xr:uid="{00000000-0005-0000-0000-0000E1030000}"/>
    <cellStyle name="20% - Accent4 4 4 2 2" xfId="5063" xr:uid="{00000000-0005-0000-0000-0000E2030000}"/>
    <cellStyle name="20% - Accent4 4 4 2 2 2" xfId="10159" xr:uid="{00000000-0005-0000-0000-0000E3030000}"/>
    <cellStyle name="20% - Accent4 4 4 2 3" xfId="7722" xr:uid="{00000000-0005-0000-0000-0000E4030000}"/>
    <cellStyle name="20% - Accent4 4 4 3" xfId="3880" xr:uid="{00000000-0005-0000-0000-0000E5030000}"/>
    <cellStyle name="20% - Accent4 4 4 3 2" xfId="8979" xr:uid="{00000000-0005-0000-0000-0000E6030000}"/>
    <cellStyle name="20% - Accent4 4 4 4" xfId="6465" xr:uid="{00000000-0005-0000-0000-0000E7030000}"/>
    <cellStyle name="20% - Accent4 4 5" xfId="672" xr:uid="{00000000-0005-0000-0000-0000E8030000}"/>
    <cellStyle name="20% - Accent4 4 5 2" xfId="2475" xr:uid="{00000000-0005-0000-0000-0000E9030000}"/>
    <cellStyle name="20% - Accent4 4 5 2 2" xfId="4922" xr:uid="{00000000-0005-0000-0000-0000EA030000}"/>
    <cellStyle name="20% - Accent4 4 5 2 2 2" xfId="10018" xr:uid="{00000000-0005-0000-0000-0000EB030000}"/>
    <cellStyle name="20% - Accent4 4 5 2 3" xfId="7579" xr:uid="{00000000-0005-0000-0000-0000EC030000}"/>
    <cellStyle name="20% - Accent4 4 5 3" xfId="3739" xr:uid="{00000000-0005-0000-0000-0000ED030000}"/>
    <cellStyle name="20% - Accent4 4 5 3 2" xfId="8838" xr:uid="{00000000-0005-0000-0000-0000EE030000}"/>
    <cellStyle name="20% - Accent4 4 5 4" xfId="6319" xr:uid="{00000000-0005-0000-0000-0000EF030000}"/>
    <cellStyle name="20% - Accent4 4 6" xfId="1222" xr:uid="{00000000-0005-0000-0000-0000F0030000}"/>
    <cellStyle name="20% - Accent4 4 6 2" xfId="2791" xr:uid="{00000000-0005-0000-0000-0000F1030000}"/>
    <cellStyle name="20% - Accent4 4 6 2 2" xfId="5193" xr:uid="{00000000-0005-0000-0000-0000F2030000}"/>
    <cellStyle name="20% - Accent4 4 6 2 2 2" xfId="10289" xr:uid="{00000000-0005-0000-0000-0000F3030000}"/>
    <cellStyle name="20% - Accent4 4 6 2 3" xfId="7894" xr:uid="{00000000-0005-0000-0000-0000F4030000}"/>
    <cellStyle name="20% - Accent4 4 6 3" xfId="4001" xr:uid="{00000000-0005-0000-0000-0000F5030000}"/>
    <cellStyle name="20% - Accent4 4 6 3 2" xfId="9097" xr:uid="{00000000-0005-0000-0000-0000F6030000}"/>
    <cellStyle name="20% - Accent4 4 6 4" xfId="6609" xr:uid="{00000000-0005-0000-0000-0000F7030000}"/>
    <cellStyle name="20% - Accent4 5" xfId="200" xr:uid="{00000000-0005-0000-0000-0000F8030000}"/>
    <cellStyle name="20% - Accent4 5 2" xfId="633" xr:uid="{00000000-0005-0000-0000-0000F9030000}"/>
    <cellStyle name="20% - Accent4 5 2 2" xfId="2439" xr:uid="{00000000-0005-0000-0000-0000FA030000}"/>
    <cellStyle name="20% - Accent4 5 2 2 2" xfId="4886" xr:uid="{00000000-0005-0000-0000-0000FB030000}"/>
    <cellStyle name="20% - Accent4 5 2 2 2 2" xfId="9982" xr:uid="{00000000-0005-0000-0000-0000FC030000}"/>
    <cellStyle name="20% - Accent4 5 2 2 3" xfId="7543" xr:uid="{00000000-0005-0000-0000-0000FD030000}"/>
    <cellStyle name="20% - Accent4 5 2 3" xfId="3703" xr:uid="{00000000-0005-0000-0000-0000FE030000}"/>
    <cellStyle name="20% - Accent4 5 2 3 2" xfId="8802" xr:uid="{00000000-0005-0000-0000-0000FF030000}"/>
    <cellStyle name="20% - Accent4 5 2 4" xfId="6283" xr:uid="{00000000-0005-0000-0000-000000040000}"/>
    <cellStyle name="20% - Accent4 5 3" xfId="781" xr:uid="{00000000-0005-0000-0000-000001040000}"/>
    <cellStyle name="20% - Accent4 5 3 2" xfId="2562" xr:uid="{00000000-0005-0000-0000-000002040000}"/>
    <cellStyle name="20% - Accent4 5 3 2 2" xfId="5009" xr:uid="{00000000-0005-0000-0000-000003040000}"/>
    <cellStyle name="20% - Accent4 5 3 2 2 2" xfId="10105" xr:uid="{00000000-0005-0000-0000-000004040000}"/>
    <cellStyle name="20% - Accent4 5 3 2 3" xfId="7666" xr:uid="{00000000-0005-0000-0000-000005040000}"/>
    <cellStyle name="20% - Accent4 5 3 3" xfId="3826" xr:uid="{00000000-0005-0000-0000-000006040000}"/>
    <cellStyle name="20% - Accent4 5 3 3 2" xfId="8925" xr:uid="{00000000-0005-0000-0000-000007040000}"/>
    <cellStyle name="20% - Accent4 5 3 4" xfId="6406" xr:uid="{00000000-0005-0000-0000-000008040000}"/>
    <cellStyle name="20% - Accent4 5 4" xfId="1225" xr:uid="{00000000-0005-0000-0000-000009040000}"/>
    <cellStyle name="20% - Accent4 6" xfId="201" xr:uid="{00000000-0005-0000-0000-00000A040000}"/>
    <cellStyle name="20% - Accent4 6 2" xfId="555" xr:uid="{00000000-0005-0000-0000-00000B040000}"/>
    <cellStyle name="20% - Accent4 6 2 2" xfId="2361" xr:uid="{00000000-0005-0000-0000-00000C040000}"/>
    <cellStyle name="20% - Accent4 6 2 2 2" xfId="4808" xr:uid="{00000000-0005-0000-0000-00000D040000}"/>
    <cellStyle name="20% - Accent4 6 2 2 2 2" xfId="9904" xr:uid="{00000000-0005-0000-0000-00000E040000}"/>
    <cellStyle name="20% - Accent4 6 2 2 3" xfId="7465" xr:uid="{00000000-0005-0000-0000-00000F040000}"/>
    <cellStyle name="20% - Accent4 6 2 3" xfId="3625" xr:uid="{00000000-0005-0000-0000-000010040000}"/>
    <cellStyle name="20% - Accent4 6 2 3 2" xfId="8724" xr:uid="{00000000-0005-0000-0000-000011040000}"/>
    <cellStyle name="20% - Accent4 6 2 4" xfId="6205" xr:uid="{00000000-0005-0000-0000-000012040000}"/>
    <cellStyle name="20% - Accent4 6 3" xfId="1226" xr:uid="{00000000-0005-0000-0000-000013040000}"/>
    <cellStyle name="20% - Accent4 7" xfId="202" xr:uid="{00000000-0005-0000-0000-000014040000}"/>
    <cellStyle name="20% - Accent4 7 2" xfId="752" xr:uid="{00000000-0005-0000-0000-000015040000}"/>
    <cellStyle name="20% - Accent4 7 2 2" xfId="2536" xr:uid="{00000000-0005-0000-0000-000016040000}"/>
    <cellStyle name="20% - Accent4 7 2 2 2" xfId="4983" xr:uid="{00000000-0005-0000-0000-000017040000}"/>
    <cellStyle name="20% - Accent4 7 2 2 2 2" xfId="10079" xr:uid="{00000000-0005-0000-0000-000018040000}"/>
    <cellStyle name="20% - Accent4 7 2 2 3" xfId="7640" xr:uid="{00000000-0005-0000-0000-000019040000}"/>
    <cellStyle name="20% - Accent4 7 2 3" xfId="3800" xr:uid="{00000000-0005-0000-0000-00001A040000}"/>
    <cellStyle name="20% - Accent4 7 2 3 2" xfId="8899" xr:uid="{00000000-0005-0000-0000-00001B040000}"/>
    <cellStyle name="20% - Accent4 7 2 4" xfId="6380" xr:uid="{00000000-0005-0000-0000-00001C040000}"/>
    <cellStyle name="20% - Accent4 7 3" xfId="1227" xr:uid="{00000000-0005-0000-0000-00001D040000}"/>
    <cellStyle name="20% - Accent4 8" xfId="203" xr:uid="{00000000-0005-0000-0000-00001E040000}"/>
    <cellStyle name="20% - Accent4 8 2" xfId="562" xr:uid="{00000000-0005-0000-0000-00001F040000}"/>
    <cellStyle name="20% - Accent4 8 2 2" xfId="2368" xr:uid="{00000000-0005-0000-0000-000020040000}"/>
    <cellStyle name="20% - Accent4 8 2 2 2" xfId="4815" xr:uid="{00000000-0005-0000-0000-000021040000}"/>
    <cellStyle name="20% - Accent4 8 2 2 2 2" xfId="9911" xr:uid="{00000000-0005-0000-0000-000022040000}"/>
    <cellStyle name="20% - Accent4 8 2 2 3" xfId="7472" xr:uid="{00000000-0005-0000-0000-000023040000}"/>
    <cellStyle name="20% - Accent4 8 2 3" xfId="3632" xr:uid="{00000000-0005-0000-0000-000024040000}"/>
    <cellStyle name="20% - Accent4 8 2 3 2" xfId="8731" xr:uid="{00000000-0005-0000-0000-000025040000}"/>
    <cellStyle name="20% - Accent4 8 2 4" xfId="6212" xr:uid="{00000000-0005-0000-0000-000026040000}"/>
    <cellStyle name="20% - Accent4 8 3" xfId="1228" xr:uid="{00000000-0005-0000-0000-000027040000}"/>
    <cellStyle name="20% - Accent4 9" xfId="712" xr:uid="{00000000-0005-0000-0000-000028040000}"/>
    <cellStyle name="20% - Accent4 9 2" xfId="1049" xr:uid="{00000000-0005-0000-0000-000029040000}"/>
    <cellStyle name="20% - Accent4 9 2 2" xfId="2679" xr:uid="{00000000-0005-0000-0000-00002A040000}"/>
    <cellStyle name="20% - Accent4 9 2 2 2" xfId="5088" xr:uid="{00000000-0005-0000-0000-00002B040000}"/>
    <cellStyle name="20% - Accent4 9 2 2 2 2" xfId="10184" xr:uid="{00000000-0005-0000-0000-00002C040000}"/>
    <cellStyle name="20% - Accent4 9 2 2 3" xfId="7782" xr:uid="{00000000-0005-0000-0000-00002D040000}"/>
    <cellStyle name="20% - Accent4 9 2 3" xfId="3905" xr:uid="{00000000-0005-0000-0000-00002E040000}"/>
    <cellStyle name="20% - Accent4 9 2 3 2" xfId="9004" xr:uid="{00000000-0005-0000-0000-00002F040000}"/>
    <cellStyle name="20% - Accent4 9 2 4" xfId="6526" xr:uid="{00000000-0005-0000-0000-000030040000}"/>
    <cellStyle name="20% - Accent4 9 3" xfId="2510" xr:uid="{00000000-0005-0000-0000-000031040000}"/>
    <cellStyle name="20% - Accent4 9 3 2" xfId="4957" xr:uid="{00000000-0005-0000-0000-000032040000}"/>
    <cellStyle name="20% - Accent4 9 3 2 2" xfId="10053" xr:uid="{00000000-0005-0000-0000-000033040000}"/>
    <cellStyle name="20% - Accent4 9 3 3" xfId="7614" xr:uid="{00000000-0005-0000-0000-000034040000}"/>
    <cellStyle name="20% - Accent4 9 4" xfId="3774" xr:uid="{00000000-0005-0000-0000-000035040000}"/>
    <cellStyle name="20% - Accent4 9 4 2" xfId="8873" xr:uid="{00000000-0005-0000-0000-000036040000}"/>
    <cellStyle name="20% - Accent4 9 5" xfId="6354" xr:uid="{00000000-0005-0000-0000-000037040000}"/>
    <cellStyle name="20% - Accent5" xfId="141" builtinId="46" customBuiltin="1"/>
    <cellStyle name="20% - Accent5 10" xfId="2734" xr:uid="{00000000-0005-0000-0000-000039040000}"/>
    <cellStyle name="20% - Accent5 10 2" xfId="5136" xr:uid="{00000000-0005-0000-0000-00003A040000}"/>
    <cellStyle name="20% - Accent5 10 2 2" xfId="10232" xr:uid="{00000000-0005-0000-0000-00003B040000}"/>
    <cellStyle name="20% - Accent5 10 3" xfId="7837" xr:uid="{00000000-0005-0000-0000-00003C040000}"/>
    <cellStyle name="20% - Accent5 11" xfId="3595" xr:uid="{00000000-0005-0000-0000-00003D040000}"/>
    <cellStyle name="20% - Accent5 11 2" xfId="8698" xr:uid="{00000000-0005-0000-0000-00003E040000}"/>
    <cellStyle name="20% - Accent5 12" xfId="6549" xr:uid="{00000000-0005-0000-0000-00003F040000}"/>
    <cellStyle name="20% - Accent5 2" xfId="18" xr:uid="{00000000-0005-0000-0000-000040040000}"/>
    <cellStyle name="20% - Accent5 2 2" xfId="797" xr:uid="{00000000-0005-0000-0000-000041040000}"/>
    <cellStyle name="20% - Accent5 2 2 2" xfId="591" xr:uid="{00000000-0005-0000-0000-000042040000}"/>
    <cellStyle name="20% - Accent5 2 2 2 2" xfId="1231" xr:uid="{00000000-0005-0000-0000-000043040000}"/>
    <cellStyle name="20% - Accent5 2 2 2 2 2" xfId="2795" xr:uid="{00000000-0005-0000-0000-000044040000}"/>
    <cellStyle name="20% - Accent5 2 2 2 2 2 2" xfId="5197" xr:uid="{00000000-0005-0000-0000-000045040000}"/>
    <cellStyle name="20% - Accent5 2 2 2 2 2 2 2" xfId="10293" xr:uid="{00000000-0005-0000-0000-000046040000}"/>
    <cellStyle name="20% - Accent5 2 2 2 2 2 3" xfId="7898" xr:uid="{00000000-0005-0000-0000-000047040000}"/>
    <cellStyle name="20% - Accent5 2 2 2 2 3" xfId="4005" xr:uid="{00000000-0005-0000-0000-000048040000}"/>
    <cellStyle name="20% - Accent5 2 2 2 2 3 2" xfId="9101" xr:uid="{00000000-0005-0000-0000-000049040000}"/>
    <cellStyle name="20% - Accent5 2 2 2 2 4" xfId="6613" xr:uid="{00000000-0005-0000-0000-00004A040000}"/>
    <cellStyle name="20% - Accent5 2 2 2 3" xfId="2397" xr:uid="{00000000-0005-0000-0000-00004B040000}"/>
    <cellStyle name="20% - Accent5 2 2 2 3 2" xfId="4844" xr:uid="{00000000-0005-0000-0000-00004C040000}"/>
    <cellStyle name="20% - Accent5 2 2 2 3 2 2" xfId="9940" xr:uid="{00000000-0005-0000-0000-00004D040000}"/>
    <cellStyle name="20% - Accent5 2 2 2 3 3" xfId="7501" xr:uid="{00000000-0005-0000-0000-00004E040000}"/>
    <cellStyle name="20% - Accent5 2 2 2 4" xfId="3661" xr:uid="{00000000-0005-0000-0000-00004F040000}"/>
    <cellStyle name="20% - Accent5 2 2 2 4 2" xfId="8760" xr:uid="{00000000-0005-0000-0000-000050040000}"/>
    <cellStyle name="20% - Accent5 2 2 2 5" xfId="6241" xr:uid="{00000000-0005-0000-0000-000051040000}"/>
    <cellStyle name="20% - Accent5 2 2 3" xfId="1230" xr:uid="{00000000-0005-0000-0000-000052040000}"/>
    <cellStyle name="20% - Accent5 2 2 3 2" xfId="2794" xr:uid="{00000000-0005-0000-0000-000053040000}"/>
    <cellStyle name="20% - Accent5 2 2 3 2 2" xfId="5196" xr:uid="{00000000-0005-0000-0000-000054040000}"/>
    <cellStyle name="20% - Accent5 2 2 3 2 2 2" xfId="10292" xr:uid="{00000000-0005-0000-0000-000055040000}"/>
    <cellStyle name="20% - Accent5 2 2 3 2 3" xfId="7897" xr:uid="{00000000-0005-0000-0000-000056040000}"/>
    <cellStyle name="20% - Accent5 2 2 3 3" xfId="4004" xr:uid="{00000000-0005-0000-0000-000057040000}"/>
    <cellStyle name="20% - Accent5 2 2 3 3 2" xfId="9100" xr:uid="{00000000-0005-0000-0000-000058040000}"/>
    <cellStyle name="20% - Accent5 2 2 3 4" xfId="6612" xr:uid="{00000000-0005-0000-0000-000059040000}"/>
    <cellStyle name="20% - Accent5 2 3" xfId="880" xr:uid="{00000000-0005-0000-0000-00005A040000}"/>
    <cellStyle name="20% - Accent5 2 3 2" xfId="1232" xr:uid="{00000000-0005-0000-0000-00005B040000}"/>
    <cellStyle name="20% - Accent5 2 3 2 2" xfId="2796" xr:uid="{00000000-0005-0000-0000-00005C040000}"/>
    <cellStyle name="20% - Accent5 2 3 2 2 2" xfId="5198" xr:uid="{00000000-0005-0000-0000-00005D040000}"/>
    <cellStyle name="20% - Accent5 2 3 2 2 2 2" xfId="10294" xr:uid="{00000000-0005-0000-0000-00005E040000}"/>
    <cellStyle name="20% - Accent5 2 3 2 2 3" xfId="7899" xr:uid="{00000000-0005-0000-0000-00005F040000}"/>
    <cellStyle name="20% - Accent5 2 3 2 3" xfId="4006" xr:uid="{00000000-0005-0000-0000-000060040000}"/>
    <cellStyle name="20% - Accent5 2 3 2 3 2" xfId="9102" xr:uid="{00000000-0005-0000-0000-000061040000}"/>
    <cellStyle name="20% - Accent5 2 3 2 4" xfId="6614" xr:uid="{00000000-0005-0000-0000-000062040000}"/>
    <cellStyle name="20% - Accent5 2 3 3" xfId="2585" xr:uid="{00000000-0005-0000-0000-000063040000}"/>
    <cellStyle name="20% - Accent5 2 3 3 2" xfId="5029" xr:uid="{00000000-0005-0000-0000-000064040000}"/>
    <cellStyle name="20% - Accent5 2 3 3 2 2" xfId="10125" xr:uid="{00000000-0005-0000-0000-000065040000}"/>
    <cellStyle name="20% - Accent5 2 3 3 3" xfId="7688" xr:uid="{00000000-0005-0000-0000-000066040000}"/>
    <cellStyle name="20% - Accent5 2 3 4" xfId="3846" xr:uid="{00000000-0005-0000-0000-000067040000}"/>
    <cellStyle name="20% - Accent5 2 3 4 2" xfId="8945" xr:uid="{00000000-0005-0000-0000-000068040000}"/>
    <cellStyle name="20% - Accent5 2 3 5" xfId="6431" xr:uid="{00000000-0005-0000-0000-000069040000}"/>
    <cellStyle name="20% - Accent5 2 4" xfId="748" xr:uid="{00000000-0005-0000-0000-00006A040000}"/>
    <cellStyle name="20% - Accent5 2 4 2" xfId="1233" xr:uid="{00000000-0005-0000-0000-00006B040000}"/>
    <cellStyle name="20% - Accent5 2 4 2 2" xfId="2797" xr:uid="{00000000-0005-0000-0000-00006C040000}"/>
    <cellStyle name="20% - Accent5 2 4 2 2 2" xfId="5199" xr:uid="{00000000-0005-0000-0000-00006D040000}"/>
    <cellStyle name="20% - Accent5 2 4 2 2 2 2" xfId="10295" xr:uid="{00000000-0005-0000-0000-00006E040000}"/>
    <cellStyle name="20% - Accent5 2 4 2 2 3" xfId="7900" xr:uid="{00000000-0005-0000-0000-00006F040000}"/>
    <cellStyle name="20% - Accent5 2 4 2 3" xfId="4007" xr:uid="{00000000-0005-0000-0000-000070040000}"/>
    <cellStyle name="20% - Accent5 2 4 2 3 2" xfId="9103" xr:uid="{00000000-0005-0000-0000-000071040000}"/>
    <cellStyle name="20% - Accent5 2 4 2 4" xfId="6615" xr:uid="{00000000-0005-0000-0000-000072040000}"/>
    <cellStyle name="20% - Accent5 2 4 3" xfId="2533" xr:uid="{00000000-0005-0000-0000-000073040000}"/>
    <cellStyle name="20% - Accent5 2 4 3 2" xfId="4980" xr:uid="{00000000-0005-0000-0000-000074040000}"/>
    <cellStyle name="20% - Accent5 2 4 3 2 2" xfId="10076" xr:uid="{00000000-0005-0000-0000-000075040000}"/>
    <cellStyle name="20% - Accent5 2 4 3 3" xfId="7637" xr:uid="{00000000-0005-0000-0000-000076040000}"/>
    <cellStyle name="20% - Accent5 2 4 4" xfId="3797" xr:uid="{00000000-0005-0000-0000-000077040000}"/>
    <cellStyle name="20% - Accent5 2 4 4 2" xfId="8896" xr:uid="{00000000-0005-0000-0000-000078040000}"/>
    <cellStyle name="20% - Accent5 2 4 5" xfId="6377" xr:uid="{00000000-0005-0000-0000-000079040000}"/>
    <cellStyle name="20% - Accent5 2 5" xfId="908" xr:uid="{00000000-0005-0000-0000-00007A040000}"/>
    <cellStyle name="20% - Accent5 2 5 2" xfId="2609" xr:uid="{00000000-0005-0000-0000-00007B040000}"/>
    <cellStyle name="20% - Accent5 2 5 2 2" xfId="5053" xr:uid="{00000000-0005-0000-0000-00007C040000}"/>
    <cellStyle name="20% - Accent5 2 5 2 2 2" xfId="10149" xr:uid="{00000000-0005-0000-0000-00007D040000}"/>
    <cellStyle name="20% - Accent5 2 5 2 3" xfId="7712" xr:uid="{00000000-0005-0000-0000-00007E040000}"/>
    <cellStyle name="20% - Accent5 2 5 3" xfId="3870" xr:uid="{00000000-0005-0000-0000-00007F040000}"/>
    <cellStyle name="20% - Accent5 2 5 3 2" xfId="8969" xr:uid="{00000000-0005-0000-0000-000080040000}"/>
    <cellStyle name="20% - Accent5 2 5 4" xfId="6455" xr:uid="{00000000-0005-0000-0000-000081040000}"/>
    <cellStyle name="20% - Accent5 2 6" xfId="1229" xr:uid="{00000000-0005-0000-0000-000082040000}"/>
    <cellStyle name="20% - Accent5 2 6 2" xfId="2793" xr:uid="{00000000-0005-0000-0000-000083040000}"/>
    <cellStyle name="20% - Accent5 2 6 2 2" xfId="5195" xr:uid="{00000000-0005-0000-0000-000084040000}"/>
    <cellStyle name="20% - Accent5 2 6 2 2 2" xfId="10291" xr:uid="{00000000-0005-0000-0000-000085040000}"/>
    <cellStyle name="20% - Accent5 2 6 2 3" xfId="7896" xr:uid="{00000000-0005-0000-0000-000086040000}"/>
    <cellStyle name="20% - Accent5 2 6 3" xfId="4003" xr:uid="{00000000-0005-0000-0000-000087040000}"/>
    <cellStyle name="20% - Accent5 2 6 3 2" xfId="9099" xr:uid="{00000000-0005-0000-0000-000088040000}"/>
    <cellStyle name="20% - Accent5 2 6 4" xfId="6611" xr:uid="{00000000-0005-0000-0000-000089040000}"/>
    <cellStyle name="20% - Accent5 3" xfId="204" xr:uid="{00000000-0005-0000-0000-00008A040000}"/>
    <cellStyle name="20% - Accent5 3 2" xfId="798" xr:uid="{00000000-0005-0000-0000-00008B040000}"/>
    <cellStyle name="20% - Accent5 3 2 2" xfId="765" xr:uid="{00000000-0005-0000-0000-00008C040000}"/>
    <cellStyle name="20% - Accent5 3 2 2 2" xfId="1236" xr:uid="{00000000-0005-0000-0000-00008D040000}"/>
    <cellStyle name="20% - Accent5 3 2 2 2 2" xfId="2800" xr:uid="{00000000-0005-0000-0000-00008E040000}"/>
    <cellStyle name="20% - Accent5 3 2 2 2 2 2" xfId="5202" xr:uid="{00000000-0005-0000-0000-00008F040000}"/>
    <cellStyle name="20% - Accent5 3 2 2 2 2 2 2" xfId="10298" xr:uid="{00000000-0005-0000-0000-000090040000}"/>
    <cellStyle name="20% - Accent5 3 2 2 2 2 3" xfId="7903" xr:uid="{00000000-0005-0000-0000-000091040000}"/>
    <cellStyle name="20% - Accent5 3 2 2 2 3" xfId="4010" xr:uid="{00000000-0005-0000-0000-000092040000}"/>
    <cellStyle name="20% - Accent5 3 2 2 2 3 2" xfId="9106" xr:uid="{00000000-0005-0000-0000-000093040000}"/>
    <cellStyle name="20% - Accent5 3 2 2 2 4" xfId="6618" xr:uid="{00000000-0005-0000-0000-000094040000}"/>
    <cellStyle name="20% - Accent5 3 2 2 3" xfId="2546" xr:uid="{00000000-0005-0000-0000-000095040000}"/>
    <cellStyle name="20% - Accent5 3 2 2 3 2" xfId="4993" xr:uid="{00000000-0005-0000-0000-000096040000}"/>
    <cellStyle name="20% - Accent5 3 2 2 3 2 2" xfId="10089" xr:uid="{00000000-0005-0000-0000-000097040000}"/>
    <cellStyle name="20% - Accent5 3 2 2 3 3" xfId="7650" xr:uid="{00000000-0005-0000-0000-000098040000}"/>
    <cellStyle name="20% - Accent5 3 2 2 4" xfId="3810" xr:uid="{00000000-0005-0000-0000-000099040000}"/>
    <cellStyle name="20% - Accent5 3 2 2 4 2" xfId="8909" xr:uid="{00000000-0005-0000-0000-00009A040000}"/>
    <cellStyle name="20% - Accent5 3 2 2 5" xfId="6390" xr:uid="{00000000-0005-0000-0000-00009B040000}"/>
    <cellStyle name="20% - Accent5 3 2 3" xfId="1235" xr:uid="{00000000-0005-0000-0000-00009C040000}"/>
    <cellStyle name="20% - Accent5 3 2 3 2" xfId="2799" xr:uid="{00000000-0005-0000-0000-00009D040000}"/>
    <cellStyle name="20% - Accent5 3 2 3 2 2" xfId="5201" xr:uid="{00000000-0005-0000-0000-00009E040000}"/>
    <cellStyle name="20% - Accent5 3 2 3 2 2 2" xfId="10297" xr:uid="{00000000-0005-0000-0000-00009F040000}"/>
    <cellStyle name="20% - Accent5 3 2 3 2 3" xfId="7902" xr:uid="{00000000-0005-0000-0000-0000A0040000}"/>
    <cellStyle name="20% - Accent5 3 2 3 3" xfId="4009" xr:uid="{00000000-0005-0000-0000-0000A1040000}"/>
    <cellStyle name="20% - Accent5 3 2 3 3 2" xfId="9105" xr:uid="{00000000-0005-0000-0000-0000A2040000}"/>
    <cellStyle name="20% - Accent5 3 2 3 4" xfId="6617" xr:uid="{00000000-0005-0000-0000-0000A3040000}"/>
    <cellStyle name="20% - Accent5 3 3" xfId="922" xr:uid="{00000000-0005-0000-0000-0000A4040000}"/>
    <cellStyle name="20% - Accent5 3 3 2" xfId="1237" xr:uid="{00000000-0005-0000-0000-0000A5040000}"/>
    <cellStyle name="20% - Accent5 3 3 2 2" xfId="2801" xr:uid="{00000000-0005-0000-0000-0000A6040000}"/>
    <cellStyle name="20% - Accent5 3 3 2 2 2" xfId="5203" xr:uid="{00000000-0005-0000-0000-0000A7040000}"/>
    <cellStyle name="20% - Accent5 3 3 2 2 2 2" xfId="10299" xr:uid="{00000000-0005-0000-0000-0000A8040000}"/>
    <cellStyle name="20% - Accent5 3 3 2 2 3" xfId="7904" xr:uid="{00000000-0005-0000-0000-0000A9040000}"/>
    <cellStyle name="20% - Accent5 3 3 2 3" xfId="4011" xr:uid="{00000000-0005-0000-0000-0000AA040000}"/>
    <cellStyle name="20% - Accent5 3 3 2 3 2" xfId="9107" xr:uid="{00000000-0005-0000-0000-0000AB040000}"/>
    <cellStyle name="20% - Accent5 3 3 2 4" xfId="6619" xr:uid="{00000000-0005-0000-0000-0000AC040000}"/>
    <cellStyle name="20% - Accent5 3 3 3" xfId="2623" xr:uid="{00000000-0005-0000-0000-0000AD040000}"/>
    <cellStyle name="20% - Accent5 3 3 3 2" xfId="5067" xr:uid="{00000000-0005-0000-0000-0000AE040000}"/>
    <cellStyle name="20% - Accent5 3 3 3 2 2" xfId="10163" xr:uid="{00000000-0005-0000-0000-0000AF040000}"/>
    <cellStyle name="20% - Accent5 3 3 3 3" xfId="7726" xr:uid="{00000000-0005-0000-0000-0000B0040000}"/>
    <cellStyle name="20% - Accent5 3 3 4" xfId="3884" xr:uid="{00000000-0005-0000-0000-0000B1040000}"/>
    <cellStyle name="20% - Accent5 3 3 4 2" xfId="8983" xr:uid="{00000000-0005-0000-0000-0000B2040000}"/>
    <cellStyle name="20% - Accent5 3 3 5" xfId="6469" xr:uid="{00000000-0005-0000-0000-0000B3040000}"/>
    <cellStyle name="20% - Accent5 3 4" xfId="871" xr:uid="{00000000-0005-0000-0000-0000B4040000}"/>
    <cellStyle name="20% - Accent5 3 4 2" xfId="1238" xr:uid="{00000000-0005-0000-0000-0000B5040000}"/>
    <cellStyle name="20% - Accent5 3 4 2 2" xfId="2802" xr:uid="{00000000-0005-0000-0000-0000B6040000}"/>
    <cellStyle name="20% - Accent5 3 4 2 2 2" xfId="5204" xr:uid="{00000000-0005-0000-0000-0000B7040000}"/>
    <cellStyle name="20% - Accent5 3 4 2 2 2 2" xfId="10300" xr:uid="{00000000-0005-0000-0000-0000B8040000}"/>
    <cellStyle name="20% - Accent5 3 4 2 2 3" xfId="7905" xr:uid="{00000000-0005-0000-0000-0000B9040000}"/>
    <cellStyle name="20% - Accent5 3 4 2 3" xfId="4012" xr:uid="{00000000-0005-0000-0000-0000BA040000}"/>
    <cellStyle name="20% - Accent5 3 4 2 3 2" xfId="9108" xr:uid="{00000000-0005-0000-0000-0000BB040000}"/>
    <cellStyle name="20% - Accent5 3 4 2 4" xfId="6620" xr:uid="{00000000-0005-0000-0000-0000BC040000}"/>
    <cellStyle name="20% - Accent5 3 4 3" xfId="2576" xr:uid="{00000000-0005-0000-0000-0000BD040000}"/>
    <cellStyle name="20% - Accent5 3 4 3 2" xfId="5020" xr:uid="{00000000-0005-0000-0000-0000BE040000}"/>
    <cellStyle name="20% - Accent5 3 4 3 2 2" xfId="10116" xr:uid="{00000000-0005-0000-0000-0000BF040000}"/>
    <cellStyle name="20% - Accent5 3 4 3 3" xfId="7679" xr:uid="{00000000-0005-0000-0000-0000C0040000}"/>
    <cellStyle name="20% - Accent5 3 4 4" xfId="3837" xr:uid="{00000000-0005-0000-0000-0000C1040000}"/>
    <cellStyle name="20% - Accent5 3 4 4 2" xfId="8936" xr:uid="{00000000-0005-0000-0000-0000C2040000}"/>
    <cellStyle name="20% - Accent5 3 4 5" xfId="6422" xr:uid="{00000000-0005-0000-0000-0000C3040000}"/>
    <cellStyle name="20% - Accent5 3 5" xfId="694" xr:uid="{00000000-0005-0000-0000-0000C4040000}"/>
    <cellStyle name="20% - Accent5 3 5 2" xfId="2496" xr:uid="{00000000-0005-0000-0000-0000C5040000}"/>
    <cellStyle name="20% - Accent5 3 5 2 2" xfId="4943" xr:uid="{00000000-0005-0000-0000-0000C6040000}"/>
    <cellStyle name="20% - Accent5 3 5 2 2 2" xfId="10039" xr:uid="{00000000-0005-0000-0000-0000C7040000}"/>
    <cellStyle name="20% - Accent5 3 5 2 3" xfId="7600" xr:uid="{00000000-0005-0000-0000-0000C8040000}"/>
    <cellStyle name="20% - Accent5 3 5 3" xfId="3760" xr:uid="{00000000-0005-0000-0000-0000C9040000}"/>
    <cellStyle name="20% - Accent5 3 5 3 2" xfId="8859" xr:uid="{00000000-0005-0000-0000-0000CA040000}"/>
    <cellStyle name="20% - Accent5 3 5 4" xfId="6340" xr:uid="{00000000-0005-0000-0000-0000CB040000}"/>
    <cellStyle name="20% - Accent5 3 6" xfId="1234" xr:uid="{00000000-0005-0000-0000-0000CC040000}"/>
    <cellStyle name="20% - Accent5 3 6 2" xfId="2798" xr:uid="{00000000-0005-0000-0000-0000CD040000}"/>
    <cellStyle name="20% - Accent5 3 6 2 2" xfId="5200" xr:uid="{00000000-0005-0000-0000-0000CE040000}"/>
    <cellStyle name="20% - Accent5 3 6 2 2 2" xfId="10296" xr:uid="{00000000-0005-0000-0000-0000CF040000}"/>
    <cellStyle name="20% - Accent5 3 6 2 3" xfId="7901" xr:uid="{00000000-0005-0000-0000-0000D0040000}"/>
    <cellStyle name="20% - Accent5 3 6 3" xfId="4008" xr:uid="{00000000-0005-0000-0000-0000D1040000}"/>
    <cellStyle name="20% - Accent5 3 6 3 2" xfId="9104" xr:uid="{00000000-0005-0000-0000-0000D2040000}"/>
    <cellStyle name="20% - Accent5 3 6 4" xfId="6616" xr:uid="{00000000-0005-0000-0000-0000D3040000}"/>
    <cellStyle name="20% - Accent5 4" xfId="205" xr:uid="{00000000-0005-0000-0000-0000D4040000}"/>
    <cellStyle name="20% - Accent5 4 2" xfId="579" xr:uid="{00000000-0005-0000-0000-0000D5040000}"/>
    <cellStyle name="20% - Accent5 4 2 2" xfId="1240" xr:uid="{00000000-0005-0000-0000-0000D6040000}"/>
    <cellStyle name="20% - Accent5 4 2 3" xfId="2385" xr:uid="{00000000-0005-0000-0000-0000D7040000}"/>
    <cellStyle name="20% - Accent5 4 2 3 2" xfId="4832" xr:uid="{00000000-0005-0000-0000-0000D8040000}"/>
    <cellStyle name="20% - Accent5 4 2 3 2 2" xfId="9928" xr:uid="{00000000-0005-0000-0000-0000D9040000}"/>
    <cellStyle name="20% - Accent5 4 2 3 3" xfId="7489" xr:uid="{00000000-0005-0000-0000-0000DA040000}"/>
    <cellStyle name="20% - Accent5 4 2 4" xfId="3649" xr:uid="{00000000-0005-0000-0000-0000DB040000}"/>
    <cellStyle name="20% - Accent5 4 2 4 2" xfId="8748" xr:uid="{00000000-0005-0000-0000-0000DC040000}"/>
    <cellStyle name="20% - Accent5 4 2 5" xfId="6229" xr:uid="{00000000-0005-0000-0000-0000DD040000}"/>
    <cellStyle name="20% - Accent5 4 3" xfId="768" xr:uid="{00000000-0005-0000-0000-0000DE040000}"/>
    <cellStyle name="20% - Accent5 4 3 2" xfId="1241" xr:uid="{00000000-0005-0000-0000-0000DF040000}"/>
    <cellStyle name="20% - Accent5 4 3 2 2" xfId="2804" xr:uid="{00000000-0005-0000-0000-0000E0040000}"/>
    <cellStyle name="20% - Accent5 4 3 2 2 2" xfId="5206" xr:uid="{00000000-0005-0000-0000-0000E1040000}"/>
    <cellStyle name="20% - Accent5 4 3 2 2 2 2" xfId="10302" xr:uid="{00000000-0005-0000-0000-0000E2040000}"/>
    <cellStyle name="20% - Accent5 4 3 2 2 3" xfId="7907" xr:uid="{00000000-0005-0000-0000-0000E3040000}"/>
    <cellStyle name="20% - Accent5 4 3 2 3" xfId="4014" xr:uid="{00000000-0005-0000-0000-0000E4040000}"/>
    <cellStyle name="20% - Accent5 4 3 2 3 2" xfId="9110" xr:uid="{00000000-0005-0000-0000-0000E5040000}"/>
    <cellStyle name="20% - Accent5 4 3 2 4" xfId="6622" xr:uid="{00000000-0005-0000-0000-0000E6040000}"/>
    <cellStyle name="20% - Accent5 4 3 3" xfId="2549" xr:uid="{00000000-0005-0000-0000-0000E7040000}"/>
    <cellStyle name="20% - Accent5 4 3 3 2" xfId="4996" xr:uid="{00000000-0005-0000-0000-0000E8040000}"/>
    <cellStyle name="20% - Accent5 4 3 3 2 2" xfId="10092" xr:uid="{00000000-0005-0000-0000-0000E9040000}"/>
    <cellStyle name="20% - Accent5 4 3 3 3" xfId="7653" xr:uid="{00000000-0005-0000-0000-0000EA040000}"/>
    <cellStyle name="20% - Accent5 4 3 4" xfId="3813" xr:uid="{00000000-0005-0000-0000-0000EB040000}"/>
    <cellStyle name="20% - Accent5 4 3 4 2" xfId="8912" xr:uid="{00000000-0005-0000-0000-0000EC040000}"/>
    <cellStyle name="20% - Accent5 4 3 5" xfId="6393" xr:uid="{00000000-0005-0000-0000-0000ED040000}"/>
    <cellStyle name="20% - Accent5 4 4" xfId="638" xr:uid="{00000000-0005-0000-0000-0000EE040000}"/>
    <cellStyle name="20% - Accent5 4 4 2" xfId="2443" xr:uid="{00000000-0005-0000-0000-0000EF040000}"/>
    <cellStyle name="20% - Accent5 4 4 2 2" xfId="4890" xr:uid="{00000000-0005-0000-0000-0000F0040000}"/>
    <cellStyle name="20% - Accent5 4 4 2 2 2" xfId="9986" xr:uid="{00000000-0005-0000-0000-0000F1040000}"/>
    <cellStyle name="20% - Accent5 4 4 2 3" xfId="7547" xr:uid="{00000000-0005-0000-0000-0000F2040000}"/>
    <cellStyle name="20% - Accent5 4 4 3" xfId="3707" xr:uid="{00000000-0005-0000-0000-0000F3040000}"/>
    <cellStyle name="20% - Accent5 4 4 3 2" xfId="8806" xr:uid="{00000000-0005-0000-0000-0000F4040000}"/>
    <cellStyle name="20% - Accent5 4 4 4" xfId="6287" xr:uid="{00000000-0005-0000-0000-0000F5040000}"/>
    <cellStyle name="20% - Accent5 4 5" xfId="671" xr:uid="{00000000-0005-0000-0000-0000F6040000}"/>
    <cellStyle name="20% - Accent5 4 5 2" xfId="2474" xr:uid="{00000000-0005-0000-0000-0000F7040000}"/>
    <cellStyle name="20% - Accent5 4 5 2 2" xfId="4921" xr:uid="{00000000-0005-0000-0000-0000F8040000}"/>
    <cellStyle name="20% - Accent5 4 5 2 2 2" xfId="10017" xr:uid="{00000000-0005-0000-0000-0000F9040000}"/>
    <cellStyle name="20% - Accent5 4 5 2 3" xfId="7578" xr:uid="{00000000-0005-0000-0000-0000FA040000}"/>
    <cellStyle name="20% - Accent5 4 5 3" xfId="3738" xr:uid="{00000000-0005-0000-0000-0000FB040000}"/>
    <cellStyle name="20% - Accent5 4 5 3 2" xfId="8837" xr:uid="{00000000-0005-0000-0000-0000FC040000}"/>
    <cellStyle name="20% - Accent5 4 5 4" xfId="6318" xr:uid="{00000000-0005-0000-0000-0000FD040000}"/>
    <cellStyle name="20% - Accent5 4 6" xfId="1239" xr:uid="{00000000-0005-0000-0000-0000FE040000}"/>
    <cellStyle name="20% - Accent5 4 6 2" xfId="2803" xr:uid="{00000000-0005-0000-0000-0000FF040000}"/>
    <cellStyle name="20% - Accent5 4 6 2 2" xfId="5205" xr:uid="{00000000-0005-0000-0000-000000050000}"/>
    <cellStyle name="20% - Accent5 4 6 2 2 2" xfId="10301" xr:uid="{00000000-0005-0000-0000-000001050000}"/>
    <cellStyle name="20% - Accent5 4 6 2 3" xfId="7906" xr:uid="{00000000-0005-0000-0000-000002050000}"/>
    <cellStyle name="20% - Accent5 4 6 3" xfId="4013" xr:uid="{00000000-0005-0000-0000-000003050000}"/>
    <cellStyle name="20% - Accent5 4 6 3 2" xfId="9109" xr:uid="{00000000-0005-0000-0000-000004050000}"/>
    <cellStyle name="20% - Accent5 4 6 4" xfId="6621" xr:uid="{00000000-0005-0000-0000-000005050000}"/>
    <cellStyle name="20% - Accent5 5" xfId="206" xr:uid="{00000000-0005-0000-0000-000006050000}"/>
    <cellStyle name="20% - Accent5 5 2" xfId="920" xr:uid="{00000000-0005-0000-0000-000007050000}"/>
    <cellStyle name="20% - Accent5 5 2 2" xfId="2621" xr:uid="{00000000-0005-0000-0000-000008050000}"/>
    <cellStyle name="20% - Accent5 5 2 2 2" xfId="5065" xr:uid="{00000000-0005-0000-0000-000009050000}"/>
    <cellStyle name="20% - Accent5 5 2 2 2 2" xfId="10161" xr:uid="{00000000-0005-0000-0000-00000A050000}"/>
    <cellStyle name="20% - Accent5 5 2 2 3" xfId="7724" xr:uid="{00000000-0005-0000-0000-00000B050000}"/>
    <cellStyle name="20% - Accent5 5 2 3" xfId="3882" xr:uid="{00000000-0005-0000-0000-00000C050000}"/>
    <cellStyle name="20% - Accent5 5 2 3 2" xfId="8981" xr:uid="{00000000-0005-0000-0000-00000D050000}"/>
    <cellStyle name="20% - Accent5 5 2 4" xfId="6467" xr:uid="{00000000-0005-0000-0000-00000E050000}"/>
    <cellStyle name="20% - Accent5 5 3" xfId="663" xr:uid="{00000000-0005-0000-0000-00000F050000}"/>
    <cellStyle name="20% - Accent5 5 3 2" xfId="2467" xr:uid="{00000000-0005-0000-0000-000010050000}"/>
    <cellStyle name="20% - Accent5 5 3 2 2" xfId="4914" xr:uid="{00000000-0005-0000-0000-000011050000}"/>
    <cellStyle name="20% - Accent5 5 3 2 2 2" xfId="10010" xr:uid="{00000000-0005-0000-0000-000012050000}"/>
    <cellStyle name="20% - Accent5 5 3 2 3" xfId="7571" xr:uid="{00000000-0005-0000-0000-000013050000}"/>
    <cellStyle name="20% - Accent5 5 3 3" xfId="3731" xr:uid="{00000000-0005-0000-0000-000014050000}"/>
    <cellStyle name="20% - Accent5 5 3 3 2" xfId="8830" xr:uid="{00000000-0005-0000-0000-000015050000}"/>
    <cellStyle name="20% - Accent5 5 3 4" xfId="6311" xr:uid="{00000000-0005-0000-0000-000016050000}"/>
    <cellStyle name="20% - Accent5 5 4" xfId="1242" xr:uid="{00000000-0005-0000-0000-000017050000}"/>
    <cellStyle name="20% - Accent5 6" xfId="207" xr:uid="{00000000-0005-0000-0000-000018050000}"/>
    <cellStyle name="20% - Accent5 6 2" xfId="749" xr:uid="{00000000-0005-0000-0000-000019050000}"/>
    <cellStyle name="20% - Accent5 6 2 2" xfId="2534" xr:uid="{00000000-0005-0000-0000-00001A050000}"/>
    <cellStyle name="20% - Accent5 6 2 2 2" xfId="4981" xr:uid="{00000000-0005-0000-0000-00001B050000}"/>
    <cellStyle name="20% - Accent5 6 2 2 2 2" xfId="10077" xr:uid="{00000000-0005-0000-0000-00001C050000}"/>
    <cellStyle name="20% - Accent5 6 2 2 3" xfId="7638" xr:uid="{00000000-0005-0000-0000-00001D050000}"/>
    <cellStyle name="20% - Accent5 6 2 3" xfId="3798" xr:uid="{00000000-0005-0000-0000-00001E050000}"/>
    <cellStyle name="20% - Accent5 6 2 3 2" xfId="8897" xr:uid="{00000000-0005-0000-0000-00001F050000}"/>
    <cellStyle name="20% - Accent5 6 2 4" xfId="6378" xr:uid="{00000000-0005-0000-0000-000020050000}"/>
    <cellStyle name="20% - Accent5 6 3" xfId="1243" xr:uid="{00000000-0005-0000-0000-000021050000}"/>
    <cellStyle name="20% - Accent5 7" xfId="208" xr:uid="{00000000-0005-0000-0000-000022050000}"/>
    <cellStyle name="20% - Accent5 7 2" xfId="891" xr:uid="{00000000-0005-0000-0000-000023050000}"/>
    <cellStyle name="20% - Accent5 7 2 2" xfId="2596" xr:uid="{00000000-0005-0000-0000-000024050000}"/>
    <cellStyle name="20% - Accent5 7 2 2 2" xfId="5040" xr:uid="{00000000-0005-0000-0000-000025050000}"/>
    <cellStyle name="20% - Accent5 7 2 2 2 2" xfId="10136" xr:uid="{00000000-0005-0000-0000-000026050000}"/>
    <cellStyle name="20% - Accent5 7 2 2 3" xfId="7699" xr:uid="{00000000-0005-0000-0000-000027050000}"/>
    <cellStyle name="20% - Accent5 7 2 3" xfId="3857" xr:uid="{00000000-0005-0000-0000-000028050000}"/>
    <cellStyle name="20% - Accent5 7 2 3 2" xfId="8956" xr:uid="{00000000-0005-0000-0000-000029050000}"/>
    <cellStyle name="20% - Accent5 7 2 4" xfId="6442" xr:uid="{00000000-0005-0000-0000-00002A050000}"/>
    <cellStyle name="20% - Accent5 7 3" xfId="1244" xr:uid="{00000000-0005-0000-0000-00002B050000}"/>
    <cellStyle name="20% - Accent5 8" xfId="209" xr:uid="{00000000-0005-0000-0000-00002C050000}"/>
    <cellStyle name="20% - Accent5 8 2" xfId="550" xr:uid="{00000000-0005-0000-0000-00002D050000}"/>
    <cellStyle name="20% - Accent5 8 2 2" xfId="2356" xr:uid="{00000000-0005-0000-0000-00002E050000}"/>
    <cellStyle name="20% - Accent5 8 2 2 2" xfId="4803" xr:uid="{00000000-0005-0000-0000-00002F050000}"/>
    <cellStyle name="20% - Accent5 8 2 2 2 2" xfId="9899" xr:uid="{00000000-0005-0000-0000-000030050000}"/>
    <cellStyle name="20% - Accent5 8 2 2 3" xfId="7460" xr:uid="{00000000-0005-0000-0000-000031050000}"/>
    <cellStyle name="20% - Accent5 8 2 3" xfId="3620" xr:uid="{00000000-0005-0000-0000-000032050000}"/>
    <cellStyle name="20% - Accent5 8 2 3 2" xfId="8719" xr:uid="{00000000-0005-0000-0000-000033050000}"/>
    <cellStyle name="20% - Accent5 8 2 4" xfId="6200" xr:uid="{00000000-0005-0000-0000-000034050000}"/>
    <cellStyle name="20% - Accent5 8 3" xfId="1245" xr:uid="{00000000-0005-0000-0000-000035050000}"/>
    <cellStyle name="20% - Accent5 9" xfId="545" xr:uid="{00000000-0005-0000-0000-000036050000}"/>
    <cellStyle name="20% - Accent5 9 2" xfId="1051" xr:uid="{00000000-0005-0000-0000-000037050000}"/>
    <cellStyle name="20% - Accent5 9 2 2" xfId="2681" xr:uid="{00000000-0005-0000-0000-000038050000}"/>
    <cellStyle name="20% - Accent5 9 2 2 2" xfId="5090" xr:uid="{00000000-0005-0000-0000-000039050000}"/>
    <cellStyle name="20% - Accent5 9 2 2 2 2" xfId="10186" xr:uid="{00000000-0005-0000-0000-00003A050000}"/>
    <cellStyle name="20% - Accent5 9 2 2 3" xfId="7784" xr:uid="{00000000-0005-0000-0000-00003B050000}"/>
    <cellStyle name="20% - Accent5 9 2 3" xfId="3907" xr:uid="{00000000-0005-0000-0000-00003C050000}"/>
    <cellStyle name="20% - Accent5 9 2 3 2" xfId="9006" xr:uid="{00000000-0005-0000-0000-00003D050000}"/>
    <cellStyle name="20% - Accent5 9 2 4" xfId="6528" xr:uid="{00000000-0005-0000-0000-00003E050000}"/>
    <cellStyle name="20% - Accent5 9 3" xfId="2354" xr:uid="{00000000-0005-0000-0000-00003F050000}"/>
    <cellStyle name="20% - Accent5 9 3 2" xfId="4801" xr:uid="{00000000-0005-0000-0000-000040050000}"/>
    <cellStyle name="20% - Accent5 9 3 2 2" xfId="9897" xr:uid="{00000000-0005-0000-0000-000041050000}"/>
    <cellStyle name="20% - Accent5 9 3 3" xfId="7458" xr:uid="{00000000-0005-0000-0000-000042050000}"/>
    <cellStyle name="20% - Accent5 9 4" xfId="3618" xr:uid="{00000000-0005-0000-0000-000043050000}"/>
    <cellStyle name="20% - Accent5 9 4 2" xfId="8717" xr:uid="{00000000-0005-0000-0000-000044050000}"/>
    <cellStyle name="20% - Accent5 9 5" xfId="6198" xr:uid="{00000000-0005-0000-0000-000045050000}"/>
    <cellStyle name="20% - Accent6" xfId="145" builtinId="50" customBuiltin="1"/>
    <cellStyle name="20% - Accent6 10" xfId="2736" xr:uid="{00000000-0005-0000-0000-000047050000}"/>
    <cellStyle name="20% - Accent6 10 2" xfId="5138" xr:uid="{00000000-0005-0000-0000-000048050000}"/>
    <cellStyle name="20% - Accent6 10 2 2" xfId="10234" xr:uid="{00000000-0005-0000-0000-000049050000}"/>
    <cellStyle name="20% - Accent6 10 3" xfId="7839" xr:uid="{00000000-0005-0000-0000-00004A050000}"/>
    <cellStyle name="20% - Accent6 11" xfId="3597" xr:uid="{00000000-0005-0000-0000-00004B050000}"/>
    <cellStyle name="20% - Accent6 11 2" xfId="8700" xr:uid="{00000000-0005-0000-0000-00004C050000}"/>
    <cellStyle name="20% - Accent6 12" xfId="6551" xr:uid="{00000000-0005-0000-0000-00004D050000}"/>
    <cellStyle name="20% - Accent6 2" xfId="19" xr:uid="{00000000-0005-0000-0000-00004E050000}"/>
    <cellStyle name="20% - Accent6 2 2" xfId="789" xr:uid="{00000000-0005-0000-0000-00004F050000}"/>
    <cellStyle name="20% - Accent6 2 2 2" xfId="589" xr:uid="{00000000-0005-0000-0000-000050050000}"/>
    <cellStyle name="20% - Accent6 2 2 2 2" xfId="1248" xr:uid="{00000000-0005-0000-0000-000051050000}"/>
    <cellStyle name="20% - Accent6 2 2 2 2 2" xfId="2807" xr:uid="{00000000-0005-0000-0000-000052050000}"/>
    <cellStyle name="20% - Accent6 2 2 2 2 2 2" xfId="5209" xr:uid="{00000000-0005-0000-0000-000053050000}"/>
    <cellStyle name="20% - Accent6 2 2 2 2 2 2 2" xfId="10305" xr:uid="{00000000-0005-0000-0000-000054050000}"/>
    <cellStyle name="20% - Accent6 2 2 2 2 2 3" xfId="7910" xr:uid="{00000000-0005-0000-0000-000055050000}"/>
    <cellStyle name="20% - Accent6 2 2 2 2 3" xfId="4017" xr:uid="{00000000-0005-0000-0000-000056050000}"/>
    <cellStyle name="20% - Accent6 2 2 2 2 3 2" xfId="9113" xr:uid="{00000000-0005-0000-0000-000057050000}"/>
    <cellStyle name="20% - Accent6 2 2 2 2 4" xfId="6625" xr:uid="{00000000-0005-0000-0000-000058050000}"/>
    <cellStyle name="20% - Accent6 2 2 2 3" xfId="2395" xr:uid="{00000000-0005-0000-0000-000059050000}"/>
    <cellStyle name="20% - Accent6 2 2 2 3 2" xfId="4842" xr:uid="{00000000-0005-0000-0000-00005A050000}"/>
    <cellStyle name="20% - Accent6 2 2 2 3 2 2" xfId="9938" xr:uid="{00000000-0005-0000-0000-00005B050000}"/>
    <cellStyle name="20% - Accent6 2 2 2 3 3" xfId="7499" xr:uid="{00000000-0005-0000-0000-00005C050000}"/>
    <cellStyle name="20% - Accent6 2 2 2 4" xfId="3659" xr:uid="{00000000-0005-0000-0000-00005D050000}"/>
    <cellStyle name="20% - Accent6 2 2 2 4 2" xfId="8758" xr:uid="{00000000-0005-0000-0000-00005E050000}"/>
    <cellStyle name="20% - Accent6 2 2 2 5" xfId="6239" xr:uid="{00000000-0005-0000-0000-00005F050000}"/>
    <cellStyle name="20% - Accent6 2 2 3" xfId="1247" xr:uid="{00000000-0005-0000-0000-000060050000}"/>
    <cellStyle name="20% - Accent6 2 2 3 2" xfId="2806" xr:uid="{00000000-0005-0000-0000-000061050000}"/>
    <cellStyle name="20% - Accent6 2 2 3 2 2" xfId="5208" xr:uid="{00000000-0005-0000-0000-000062050000}"/>
    <cellStyle name="20% - Accent6 2 2 3 2 2 2" xfId="10304" xr:uid="{00000000-0005-0000-0000-000063050000}"/>
    <cellStyle name="20% - Accent6 2 2 3 2 3" xfId="7909" xr:uid="{00000000-0005-0000-0000-000064050000}"/>
    <cellStyle name="20% - Accent6 2 2 3 3" xfId="4016" xr:uid="{00000000-0005-0000-0000-000065050000}"/>
    <cellStyle name="20% - Accent6 2 2 3 3 2" xfId="9112" xr:uid="{00000000-0005-0000-0000-000066050000}"/>
    <cellStyle name="20% - Accent6 2 2 3 4" xfId="6624" xr:uid="{00000000-0005-0000-0000-000067050000}"/>
    <cellStyle name="20% - Accent6 2 3" xfId="739" xr:uid="{00000000-0005-0000-0000-000068050000}"/>
    <cellStyle name="20% - Accent6 2 3 2" xfId="1249" xr:uid="{00000000-0005-0000-0000-000069050000}"/>
    <cellStyle name="20% - Accent6 2 3 2 2" xfId="2808" xr:uid="{00000000-0005-0000-0000-00006A050000}"/>
    <cellStyle name="20% - Accent6 2 3 2 2 2" xfId="5210" xr:uid="{00000000-0005-0000-0000-00006B050000}"/>
    <cellStyle name="20% - Accent6 2 3 2 2 2 2" xfId="10306" xr:uid="{00000000-0005-0000-0000-00006C050000}"/>
    <cellStyle name="20% - Accent6 2 3 2 2 3" xfId="7911" xr:uid="{00000000-0005-0000-0000-00006D050000}"/>
    <cellStyle name="20% - Accent6 2 3 2 3" xfId="4018" xr:uid="{00000000-0005-0000-0000-00006E050000}"/>
    <cellStyle name="20% - Accent6 2 3 2 3 2" xfId="9114" xr:uid="{00000000-0005-0000-0000-00006F050000}"/>
    <cellStyle name="20% - Accent6 2 3 2 4" xfId="6626" xr:uid="{00000000-0005-0000-0000-000070050000}"/>
    <cellStyle name="20% - Accent6 2 3 3" xfId="2525" xr:uid="{00000000-0005-0000-0000-000071050000}"/>
    <cellStyle name="20% - Accent6 2 3 3 2" xfId="4972" xr:uid="{00000000-0005-0000-0000-000072050000}"/>
    <cellStyle name="20% - Accent6 2 3 3 2 2" xfId="10068" xr:uid="{00000000-0005-0000-0000-000073050000}"/>
    <cellStyle name="20% - Accent6 2 3 3 3" xfId="7629" xr:uid="{00000000-0005-0000-0000-000074050000}"/>
    <cellStyle name="20% - Accent6 2 3 4" xfId="3789" xr:uid="{00000000-0005-0000-0000-000075050000}"/>
    <cellStyle name="20% - Accent6 2 3 4 2" xfId="8888" xr:uid="{00000000-0005-0000-0000-000076050000}"/>
    <cellStyle name="20% - Accent6 2 3 5" xfId="6369" xr:uid="{00000000-0005-0000-0000-000077050000}"/>
    <cellStyle name="20% - Accent6 2 4" xfId="784" xr:uid="{00000000-0005-0000-0000-000078050000}"/>
    <cellStyle name="20% - Accent6 2 4 2" xfId="1250" xr:uid="{00000000-0005-0000-0000-000079050000}"/>
    <cellStyle name="20% - Accent6 2 4 2 2" xfId="2809" xr:uid="{00000000-0005-0000-0000-00007A050000}"/>
    <cellStyle name="20% - Accent6 2 4 2 2 2" xfId="5211" xr:uid="{00000000-0005-0000-0000-00007B050000}"/>
    <cellStyle name="20% - Accent6 2 4 2 2 2 2" xfId="10307" xr:uid="{00000000-0005-0000-0000-00007C050000}"/>
    <cellStyle name="20% - Accent6 2 4 2 2 3" xfId="7912" xr:uid="{00000000-0005-0000-0000-00007D050000}"/>
    <cellStyle name="20% - Accent6 2 4 2 3" xfId="4019" xr:uid="{00000000-0005-0000-0000-00007E050000}"/>
    <cellStyle name="20% - Accent6 2 4 2 3 2" xfId="9115" xr:uid="{00000000-0005-0000-0000-00007F050000}"/>
    <cellStyle name="20% - Accent6 2 4 2 4" xfId="6627" xr:uid="{00000000-0005-0000-0000-000080050000}"/>
    <cellStyle name="20% - Accent6 2 4 3" xfId="2565" xr:uid="{00000000-0005-0000-0000-000081050000}"/>
    <cellStyle name="20% - Accent6 2 4 3 2" xfId="5012" xr:uid="{00000000-0005-0000-0000-000082050000}"/>
    <cellStyle name="20% - Accent6 2 4 3 2 2" xfId="10108" xr:uid="{00000000-0005-0000-0000-000083050000}"/>
    <cellStyle name="20% - Accent6 2 4 3 3" xfId="7669" xr:uid="{00000000-0005-0000-0000-000084050000}"/>
    <cellStyle name="20% - Accent6 2 4 4" xfId="3829" xr:uid="{00000000-0005-0000-0000-000085050000}"/>
    <cellStyle name="20% - Accent6 2 4 4 2" xfId="8928" xr:uid="{00000000-0005-0000-0000-000086050000}"/>
    <cellStyle name="20% - Accent6 2 4 5" xfId="6409" xr:uid="{00000000-0005-0000-0000-000087050000}"/>
    <cellStyle name="20% - Accent6 2 5" xfId="909" xr:uid="{00000000-0005-0000-0000-000088050000}"/>
    <cellStyle name="20% - Accent6 2 5 2" xfId="2610" xr:uid="{00000000-0005-0000-0000-000089050000}"/>
    <cellStyle name="20% - Accent6 2 5 2 2" xfId="5054" xr:uid="{00000000-0005-0000-0000-00008A050000}"/>
    <cellStyle name="20% - Accent6 2 5 2 2 2" xfId="10150" xr:uid="{00000000-0005-0000-0000-00008B050000}"/>
    <cellStyle name="20% - Accent6 2 5 2 3" xfId="7713" xr:uid="{00000000-0005-0000-0000-00008C050000}"/>
    <cellStyle name="20% - Accent6 2 5 3" xfId="3871" xr:uid="{00000000-0005-0000-0000-00008D050000}"/>
    <cellStyle name="20% - Accent6 2 5 3 2" xfId="8970" xr:uid="{00000000-0005-0000-0000-00008E050000}"/>
    <cellStyle name="20% - Accent6 2 5 4" xfId="6456" xr:uid="{00000000-0005-0000-0000-00008F050000}"/>
    <cellStyle name="20% - Accent6 2 6" xfId="1246" xr:uid="{00000000-0005-0000-0000-000090050000}"/>
    <cellStyle name="20% - Accent6 2 6 2" xfId="2805" xr:uid="{00000000-0005-0000-0000-000091050000}"/>
    <cellStyle name="20% - Accent6 2 6 2 2" xfId="5207" xr:uid="{00000000-0005-0000-0000-000092050000}"/>
    <cellStyle name="20% - Accent6 2 6 2 2 2" xfId="10303" xr:uid="{00000000-0005-0000-0000-000093050000}"/>
    <cellStyle name="20% - Accent6 2 6 2 3" xfId="7908" xr:uid="{00000000-0005-0000-0000-000094050000}"/>
    <cellStyle name="20% - Accent6 2 6 3" xfId="4015" xr:uid="{00000000-0005-0000-0000-000095050000}"/>
    <cellStyle name="20% - Accent6 2 6 3 2" xfId="9111" xr:uid="{00000000-0005-0000-0000-000096050000}"/>
    <cellStyle name="20% - Accent6 2 6 4" xfId="6623" xr:uid="{00000000-0005-0000-0000-000097050000}"/>
    <cellStyle name="20% - Accent6 3" xfId="210" xr:uid="{00000000-0005-0000-0000-000098050000}"/>
    <cellStyle name="20% - Accent6 3 2" xfId="799" xr:uid="{00000000-0005-0000-0000-000099050000}"/>
    <cellStyle name="20% - Accent6 3 2 2" xfId="929" xr:uid="{00000000-0005-0000-0000-00009A050000}"/>
    <cellStyle name="20% - Accent6 3 2 2 2" xfId="1253" xr:uid="{00000000-0005-0000-0000-00009B050000}"/>
    <cellStyle name="20% - Accent6 3 2 2 2 2" xfId="2812" xr:uid="{00000000-0005-0000-0000-00009C050000}"/>
    <cellStyle name="20% - Accent6 3 2 2 2 2 2" xfId="5214" xr:uid="{00000000-0005-0000-0000-00009D050000}"/>
    <cellStyle name="20% - Accent6 3 2 2 2 2 2 2" xfId="10310" xr:uid="{00000000-0005-0000-0000-00009E050000}"/>
    <cellStyle name="20% - Accent6 3 2 2 2 2 3" xfId="7915" xr:uid="{00000000-0005-0000-0000-00009F050000}"/>
    <cellStyle name="20% - Accent6 3 2 2 2 3" xfId="4022" xr:uid="{00000000-0005-0000-0000-0000A0050000}"/>
    <cellStyle name="20% - Accent6 3 2 2 2 3 2" xfId="9118" xr:uid="{00000000-0005-0000-0000-0000A1050000}"/>
    <cellStyle name="20% - Accent6 3 2 2 2 4" xfId="6630" xr:uid="{00000000-0005-0000-0000-0000A2050000}"/>
    <cellStyle name="20% - Accent6 3 2 2 3" xfId="2629" xr:uid="{00000000-0005-0000-0000-0000A3050000}"/>
    <cellStyle name="20% - Accent6 3 2 2 3 2" xfId="5073" xr:uid="{00000000-0005-0000-0000-0000A4050000}"/>
    <cellStyle name="20% - Accent6 3 2 2 3 2 2" xfId="10169" xr:uid="{00000000-0005-0000-0000-0000A5050000}"/>
    <cellStyle name="20% - Accent6 3 2 2 3 3" xfId="7732" xr:uid="{00000000-0005-0000-0000-0000A6050000}"/>
    <cellStyle name="20% - Accent6 3 2 2 4" xfId="3890" xr:uid="{00000000-0005-0000-0000-0000A7050000}"/>
    <cellStyle name="20% - Accent6 3 2 2 4 2" xfId="8989" xr:uid="{00000000-0005-0000-0000-0000A8050000}"/>
    <cellStyle name="20% - Accent6 3 2 2 5" xfId="6475" xr:uid="{00000000-0005-0000-0000-0000A9050000}"/>
    <cellStyle name="20% - Accent6 3 2 3" xfId="1252" xr:uid="{00000000-0005-0000-0000-0000AA050000}"/>
    <cellStyle name="20% - Accent6 3 2 3 2" xfId="2811" xr:uid="{00000000-0005-0000-0000-0000AB050000}"/>
    <cellStyle name="20% - Accent6 3 2 3 2 2" xfId="5213" xr:uid="{00000000-0005-0000-0000-0000AC050000}"/>
    <cellStyle name="20% - Accent6 3 2 3 2 2 2" xfId="10309" xr:uid="{00000000-0005-0000-0000-0000AD050000}"/>
    <cellStyle name="20% - Accent6 3 2 3 2 3" xfId="7914" xr:uid="{00000000-0005-0000-0000-0000AE050000}"/>
    <cellStyle name="20% - Accent6 3 2 3 3" xfId="4021" xr:uid="{00000000-0005-0000-0000-0000AF050000}"/>
    <cellStyle name="20% - Accent6 3 2 3 3 2" xfId="9117" xr:uid="{00000000-0005-0000-0000-0000B0050000}"/>
    <cellStyle name="20% - Accent6 3 2 3 4" xfId="6629" xr:uid="{00000000-0005-0000-0000-0000B1050000}"/>
    <cellStyle name="20% - Accent6 3 3" xfId="876" xr:uid="{00000000-0005-0000-0000-0000B2050000}"/>
    <cellStyle name="20% - Accent6 3 3 2" xfId="1254" xr:uid="{00000000-0005-0000-0000-0000B3050000}"/>
    <cellStyle name="20% - Accent6 3 3 2 2" xfId="2813" xr:uid="{00000000-0005-0000-0000-0000B4050000}"/>
    <cellStyle name="20% - Accent6 3 3 2 2 2" xfId="5215" xr:uid="{00000000-0005-0000-0000-0000B5050000}"/>
    <cellStyle name="20% - Accent6 3 3 2 2 2 2" xfId="10311" xr:uid="{00000000-0005-0000-0000-0000B6050000}"/>
    <cellStyle name="20% - Accent6 3 3 2 2 3" xfId="7916" xr:uid="{00000000-0005-0000-0000-0000B7050000}"/>
    <cellStyle name="20% - Accent6 3 3 2 3" xfId="4023" xr:uid="{00000000-0005-0000-0000-0000B8050000}"/>
    <cellStyle name="20% - Accent6 3 3 2 3 2" xfId="9119" xr:uid="{00000000-0005-0000-0000-0000B9050000}"/>
    <cellStyle name="20% - Accent6 3 3 2 4" xfId="6631" xr:uid="{00000000-0005-0000-0000-0000BA050000}"/>
    <cellStyle name="20% - Accent6 3 3 3" xfId="2581" xr:uid="{00000000-0005-0000-0000-0000BB050000}"/>
    <cellStyle name="20% - Accent6 3 3 3 2" xfId="5025" xr:uid="{00000000-0005-0000-0000-0000BC050000}"/>
    <cellStyle name="20% - Accent6 3 3 3 2 2" xfId="10121" xr:uid="{00000000-0005-0000-0000-0000BD050000}"/>
    <cellStyle name="20% - Accent6 3 3 3 3" xfId="7684" xr:uid="{00000000-0005-0000-0000-0000BE050000}"/>
    <cellStyle name="20% - Accent6 3 3 4" xfId="3842" xr:uid="{00000000-0005-0000-0000-0000BF050000}"/>
    <cellStyle name="20% - Accent6 3 3 4 2" xfId="8941" xr:uid="{00000000-0005-0000-0000-0000C0050000}"/>
    <cellStyle name="20% - Accent6 3 3 5" xfId="6427" xr:uid="{00000000-0005-0000-0000-0000C1050000}"/>
    <cellStyle name="20% - Accent6 3 4" xfId="916" xr:uid="{00000000-0005-0000-0000-0000C2050000}"/>
    <cellStyle name="20% - Accent6 3 4 2" xfId="1255" xr:uid="{00000000-0005-0000-0000-0000C3050000}"/>
    <cellStyle name="20% - Accent6 3 4 2 2" xfId="2814" xr:uid="{00000000-0005-0000-0000-0000C4050000}"/>
    <cellStyle name="20% - Accent6 3 4 2 2 2" xfId="5216" xr:uid="{00000000-0005-0000-0000-0000C5050000}"/>
    <cellStyle name="20% - Accent6 3 4 2 2 2 2" xfId="10312" xr:uid="{00000000-0005-0000-0000-0000C6050000}"/>
    <cellStyle name="20% - Accent6 3 4 2 2 3" xfId="7917" xr:uid="{00000000-0005-0000-0000-0000C7050000}"/>
    <cellStyle name="20% - Accent6 3 4 2 3" xfId="4024" xr:uid="{00000000-0005-0000-0000-0000C8050000}"/>
    <cellStyle name="20% - Accent6 3 4 2 3 2" xfId="9120" xr:uid="{00000000-0005-0000-0000-0000C9050000}"/>
    <cellStyle name="20% - Accent6 3 4 2 4" xfId="6632" xr:uid="{00000000-0005-0000-0000-0000CA050000}"/>
    <cellStyle name="20% - Accent6 3 4 3" xfId="2617" xr:uid="{00000000-0005-0000-0000-0000CB050000}"/>
    <cellStyle name="20% - Accent6 3 4 3 2" xfId="5061" xr:uid="{00000000-0005-0000-0000-0000CC050000}"/>
    <cellStyle name="20% - Accent6 3 4 3 2 2" xfId="10157" xr:uid="{00000000-0005-0000-0000-0000CD050000}"/>
    <cellStyle name="20% - Accent6 3 4 3 3" xfId="7720" xr:uid="{00000000-0005-0000-0000-0000CE050000}"/>
    <cellStyle name="20% - Accent6 3 4 4" xfId="3878" xr:uid="{00000000-0005-0000-0000-0000CF050000}"/>
    <cellStyle name="20% - Accent6 3 4 4 2" xfId="8977" xr:uid="{00000000-0005-0000-0000-0000D0050000}"/>
    <cellStyle name="20% - Accent6 3 4 5" xfId="6463" xr:uid="{00000000-0005-0000-0000-0000D1050000}"/>
    <cellStyle name="20% - Accent6 3 5" xfId="692" xr:uid="{00000000-0005-0000-0000-0000D2050000}"/>
    <cellStyle name="20% - Accent6 3 5 2" xfId="2494" xr:uid="{00000000-0005-0000-0000-0000D3050000}"/>
    <cellStyle name="20% - Accent6 3 5 2 2" xfId="4941" xr:uid="{00000000-0005-0000-0000-0000D4050000}"/>
    <cellStyle name="20% - Accent6 3 5 2 2 2" xfId="10037" xr:uid="{00000000-0005-0000-0000-0000D5050000}"/>
    <cellStyle name="20% - Accent6 3 5 2 3" xfId="7598" xr:uid="{00000000-0005-0000-0000-0000D6050000}"/>
    <cellStyle name="20% - Accent6 3 5 3" xfId="3758" xr:uid="{00000000-0005-0000-0000-0000D7050000}"/>
    <cellStyle name="20% - Accent6 3 5 3 2" xfId="8857" xr:uid="{00000000-0005-0000-0000-0000D8050000}"/>
    <cellStyle name="20% - Accent6 3 5 4" xfId="6338" xr:uid="{00000000-0005-0000-0000-0000D9050000}"/>
    <cellStyle name="20% - Accent6 3 6" xfId="1251" xr:uid="{00000000-0005-0000-0000-0000DA050000}"/>
    <cellStyle name="20% - Accent6 3 6 2" xfId="2810" xr:uid="{00000000-0005-0000-0000-0000DB050000}"/>
    <cellStyle name="20% - Accent6 3 6 2 2" xfId="5212" xr:uid="{00000000-0005-0000-0000-0000DC050000}"/>
    <cellStyle name="20% - Accent6 3 6 2 2 2" xfId="10308" xr:uid="{00000000-0005-0000-0000-0000DD050000}"/>
    <cellStyle name="20% - Accent6 3 6 2 3" xfId="7913" xr:uid="{00000000-0005-0000-0000-0000DE050000}"/>
    <cellStyle name="20% - Accent6 3 6 3" xfId="4020" xr:uid="{00000000-0005-0000-0000-0000DF050000}"/>
    <cellStyle name="20% - Accent6 3 6 3 2" xfId="9116" xr:uid="{00000000-0005-0000-0000-0000E0050000}"/>
    <cellStyle name="20% - Accent6 3 6 4" xfId="6628" xr:uid="{00000000-0005-0000-0000-0000E1050000}"/>
    <cellStyle name="20% - Accent6 4" xfId="211" xr:uid="{00000000-0005-0000-0000-0000E2050000}"/>
    <cellStyle name="20% - Accent6 4 2" xfId="764" xr:uid="{00000000-0005-0000-0000-0000E3050000}"/>
    <cellStyle name="20% - Accent6 4 2 2" xfId="1257" xr:uid="{00000000-0005-0000-0000-0000E4050000}"/>
    <cellStyle name="20% - Accent6 4 2 3" xfId="2545" xr:uid="{00000000-0005-0000-0000-0000E5050000}"/>
    <cellStyle name="20% - Accent6 4 2 3 2" xfId="4992" xr:uid="{00000000-0005-0000-0000-0000E6050000}"/>
    <cellStyle name="20% - Accent6 4 2 3 2 2" xfId="10088" xr:uid="{00000000-0005-0000-0000-0000E7050000}"/>
    <cellStyle name="20% - Accent6 4 2 3 3" xfId="7649" xr:uid="{00000000-0005-0000-0000-0000E8050000}"/>
    <cellStyle name="20% - Accent6 4 2 4" xfId="3809" xr:uid="{00000000-0005-0000-0000-0000E9050000}"/>
    <cellStyle name="20% - Accent6 4 2 4 2" xfId="8908" xr:uid="{00000000-0005-0000-0000-0000EA050000}"/>
    <cellStyle name="20% - Accent6 4 2 5" xfId="6389" xr:uid="{00000000-0005-0000-0000-0000EB050000}"/>
    <cellStyle name="20% - Accent6 4 3" xfId="611" xr:uid="{00000000-0005-0000-0000-0000EC050000}"/>
    <cellStyle name="20% - Accent6 4 3 2" xfId="1258" xr:uid="{00000000-0005-0000-0000-0000ED050000}"/>
    <cellStyle name="20% - Accent6 4 3 2 2" xfId="2816" xr:uid="{00000000-0005-0000-0000-0000EE050000}"/>
    <cellStyle name="20% - Accent6 4 3 2 2 2" xfId="5218" xr:uid="{00000000-0005-0000-0000-0000EF050000}"/>
    <cellStyle name="20% - Accent6 4 3 2 2 2 2" xfId="10314" xr:uid="{00000000-0005-0000-0000-0000F0050000}"/>
    <cellStyle name="20% - Accent6 4 3 2 2 3" xfId="7919" xr:uid="{00000000-0005-0000-0000-0000F1050000}"/>
    <cellStyle name="20% - Accent6 4 3 2 3" xfId="4026" xr:uid="{00000000-0005-0000-0000-0000F2050000}"/>
    <cellStyle name="20% - Accent6 4 3 2 3 2" xfId="9122" xr:uid="{00000000-0005-0000-0000-0000F3050000}"/>
    <cellStyle name="20% - Accent6 4 3 2 4" xfId="6634" xr:uid="{00000000-0005-0000-0000-0000F4050000}"/>
    <cellStyle name="20% - Accent6 4 3 3" xfId="2417" xr:uid="{00000000-0005-0000-0000-0000F5050000}"/>
    <cellStyle name="20% - Accent6 4 3 3 2" xfId="4864" xr:uid="{00000000-0005-0000-0000-0000F6050000}"/>
    <cellStyle name="20% - Accent6 4 3 3 2 2" xfId="9960" xr:uid="{00000000-0005-0000-0000-0000F7050000}"/>
    <cellStyle name="20% - Accent6 4 3 3 3" xfId="7521" xr:uid="{00000000-0005-0000-0000-0000F8050000}"/>
    <cellStyle name="20% - Accent6 4 3 4" xfId="3681" xr:uid="{00000000-0005-0000-0000-0000F9050000}"/>
    <cellStyle name="20% - Accent6 4 3 4 2" xfId="8780" xr:uid="{00000000-0005-0000-0000-0000FA050000}"/>
    <cellStyle name="20% - Accent6 4 3 5" xfId="6261" xr:uid="{00000000-0005-0000-0000-0000FB050000}"/>
    <cellStyle name="20% - Accent6 4 4" xfId="919" xr:uid="{00000000-0005-0000-0000-0000FC050000}"/>
    <cellStyle name="20% - Accent6 4 4 2" xfId="2620" xr:uid="{00000000-0005-0000-0000-0000FD050000}"/>
    <cellStyle name="20% - Accent6 4 4 2 2" xfId="5064" xr:uid="{00000000-0005-0000-0000-0000FE050000}"/>
    <cellStyle name="20% - Accent6 4 4 2 2 2" xfId="10160" xr:uid="{00000000-0005-0000-0000-0000FF050000}"/>
    <cellStyle name="20% - Accent6 4 4 2 3" xfId="7723" xr:uid="{00000000-0005-0000-0000-000000060000}"/>
    <cellStyle name="20% - Accent6 4 4 3" xfId="3881" xr:uid="{00000000-0005-0000-0000-000001060000}"/>
    <cellStyle name="20% - Accent6 4 4 3 2" xfId="8980" xr:uid="{00000000-0005-0000-0000-000002060000}"/>
    <cellStyle name="20% - Accent6 4 4 4" xfId="6466" xr:uid="{00000000-0005-0000-0000-000003060000}"/>
    <cellStyle name="20% - Accent6 4 5" xfId="782" xr:uid="{00000000-0005-0000-0000-000004060000}"/>
    <cellStyle name="20% - Accent6 4 5 2" xfId="2563" xr:uid="{00000000-0005-0000-0000-000005060000}"/>
    <cellStyle name="20% - Accent6 4 5 2 2" xfId="5010" xr:uid="{00000000-0005-0000-0000-000006060000}"/>
    <cellStyle name="20% - Accent6 4 5 2 2 2" xfId="10106" xr:uid="{00000000-0005-0000-0000-000007060000}"/>
    <cellStyle name="20% - Accent6 4 5 2 3" xfId="7667" xr:uid="{00000000-0005-0000-0000-000008060000}"/>
    <cellStyle name="20% - Accent6 4 5 3" xfId="3827" xr:uid="{00000000-0005-0000-0000-000009060000}"/>
    <cellStyle name="20% - Accent6 4 5 3 2" xfId="8926" xr:uid="{00000000-0005-0000-0000-00000A060000}"/>
    <cellStyle name="20% - Accent6 4 5 4" xfId="6407" xr:uid="{00000000-0005-0000-0000-00000B060000}"/>
    <cellStyle name="20% - Accent6 4 6" xfId="1256" xr:uid="{00000000-0005-0000-0000-00000C060000}"/>
    <cellStyle name="20% - Accent6 4 6 2" xfId="2815" xr:uid="{00000000-0005-0000-0000-00000D060000}"/>
    <cellStyle name="20% - Accent6 4 6 2 2" xfId="5217" xr:uid="{00000000-0005-0000-0000-00000E060000}"/>
    <cellStyle name="20% - Accent6 4 6 2 2 2" xfId="10313" xr:uid="{00000000-0005-0000-0000-00000F060000}"/>
    <cellStyle name="20% - Accent6 4 6 2 3" xfId="7918" xr:uid="{00000000-0005-0000-0000-000010060000}"/>
    <cellStyle name="20% - Accent6 4 6 3" xfId="4025" xr:uid="{00000000-0005-0000-0000-000011060000}"/>
    <cellStyle name="20% - Accent6 4 6 3 2" xfId="9121" xr:uid="{00000000-0005-0000-0000-000012060000}"/>
    <cellStyle name="20% - Accent6 4 6 4" xfId="6633" xr:uid="{00000000-0005-0000-0000-000013060000}"/>
    <cellStyle name="20% - Accent6 5" xfId="212" xr:uid="{00000000-0005-0000-0000-000014060000}"/>
    <cellStyle name="20% - Accent6 5 2" xfId="772" xr:uid="{00000000-0005-0000-0000-000015060000}"/>
    <cellStyle name="20% - Accent6 5 2 2" xfId="2553" xr:uid="{00000000-0005-0000-0000-000016060000}"/>
    <cellStyle name="20% - Accent6 5 2 2 2" xfId="5000" xr:uid="{00000000-0005-0000-0000-000017060000}"/>
    <cellStyle name="20% - Accent6 5 2 2 2 2" xfId="10096" xr:uid="{00000000-0005-0000-0000-000018060000}"/>
    <cellStyle name="20% - Accent6 5 2 2 3" xfId="7657" xr:uid="{00000000-0005-0000-0000-000019060000}"/>
    <cellStyle name="20% - Accent6 5 2 3" xfId="3817" xr:uid="{00000000-0005-0000-0000-00001A060000}"/>
    <cellStyle name="20% - Accent6 5 2 3 2" xfId="8916" xr:uid="{00000000-0005-0000-0000-00001B060000}"/>
    <cellStyle name="20% - Accent6 5 2 4" xfId="6397" xr:uid="{00000000-0005-0000-0000-00001C060000}"/>
    <cellStyle name="20% - Accent6 5 3" xfId="661" xr:uid="{00000000-0005-0000-0000-00001D060000}"/>
    <cellStyle name="20% - Accent6 5 3 2" xfId="2465" xr:uid="{00000000-0005-0000-0000-00001E060000}"/>
    <cellStyle name="20% - Accent6 5 3 2 2" xfId="4912" xr:uid="{00000000-0005-0000-0000-00001F060000}"/>
    <cellStyle name="20% - Accent6 5 3 2 2 2" xfId="10008" xr:uid="{00000000-0005-0000-0000-000020060000}"/>
    <cellStyle name="20% - Accent6 5 3 2 3" xfId="7569" xr:uid="{00000000-0005-0000-0000-000021060000}"/>
    <cellStyle name="20% - Accent6 5 3 3" xfId="3729" xr:uid="{00000000-0005-0000-0000-000022060000}"/>
    <cellStyle name="20% - Accent6 5 3 3 2" xfId="8828" xr:uid="{00000000-0005-0000-0000-000023060000}"/>
    <cellStyle name="20% - Accent6 5 3 4" xfId="6309" xr:uid="{00000000-0005-0000-0000-000024060000}"/>
    <cellStyle name="20% - Accent6 5 4" xfId="1259" xr:uid="{00000000-0005-0000-0000-000025060000}"/>
    <cellStyle name="20% - Accent6 6" xfId="213" xr:uid="{00000000-0005-0000-0000-000026060000}"/>
    <cellStyle name="20% - Accent6 6 2" xfId="658" xr:uid="{00000000-0005-0000-0000-000027060000}"/>
    <cellStyle name="20% - Accent6 6 2 2" xfId="2462" xr:uid="{00000000-0005-0000-0000-000028060000}"/>
    <cellStyle name="20% - Accent6 6 2 2 2" xfId="4909" xr:uid="{00000000-0005-0000-0000-000029060000}"/>
    <cellStyle name="20% - Accent6 6 2 2 2 2" xfId="10005" xr:uid="{00000000-0005-0000-0000-00002A060000}"/>
    <cellStyle name="20% - Accent6 6 2 2 3" xfId="7566" xr:uid="{00000000-0005-0000-0000-00002B060000}"/>
    <cellStyle name="20% - Accent6 6 2 3" xfId="3726" xr:uid="{00000000-0005-0000-0000-00002C060000}"/>
    <cellStyle name="20% - Accent6 6 2 3 2" xfId="8825" xr:uid="{00000000-0005-0000-0000-00002D060000}"/>
    <cellStyle name="20% - Accent6 6 2 4" xfId="6306" xr:uid="{00000000-0005-0000-0000-00002E060000}"/>
    <cellStyle name="20% - Accent6 6 3" xfId="1260" xr:uid="{00000000-0005-0000-0000-00002F060000}"/>
    <cellStyle name="20% - Accent6 7" xfId="214" xr:uid="{00000000-0005-0000-0000-000030060000}"/>
    <cellStyle name="20% - Accent6 7 2" xfId="568" xr:uid="{00000000-0005-0000-0000-000031060000}"/>
    <cellStyle name="20% - Accent6 7 2 2" xfId="2374" xr:uid="{00000000-0005-0000-0000-000032060000}"/>
    <cellStyle name="20% - Accent6 7 2 2 2" xfId="4821" xr:uid="{00000000-0005-0000-0000-000033060000}"/>
    <cellStyle name="20% - Accent6 7 2 2 2 2" xfId="9917" xr:uid="{00000000-0005-0000-0000-000034060000}"/>
    <cellStyle name="20% - Accent6 7 2 2 3" xfId="7478" xr:uid="{00000000-0005-0000-0000-000035060000}"/>
    <cellStyle name="20% - Accent6 7 2 3" xfId="3638" xr:uid="{00000000-0005-0000-0000-000036060000}"/>
    <cellStyle name="20% - Accent6 7 2 3 2" xfId="8737" xr:uid="{00000000-0005-0000-0000-000037060000}"/>
    <cellStyle name="20% - Accent6 7 2 4" xfId="6218" xr:uid="{00000000-0005-0000-0000-000038060000}"/>
    <cellStyle name="20% - Accent6 7 3" xfId="1261" xr:uid="{00000000-0005-0000-0000-000039060000}"/>
    <cellStyle name="20% - Accent6 8" xfId="215" xr:uid="{00000000-0005-0000-0000-00003A060000}"/>
    <cellStyle name="20% - Accent6 8 2" xfId="729" xr:uid="{00000000-0005-0000-0000-00003B060000}"/>
    <cellStyle name="20% - Accent6 8 2 2" xfId="2515" xr:uid="{00000000-0005-0000-0000-00003C060000}"/>
    <cellStyle name="20% - Accent6 8 2 2 2" xfId="4962" xr:uid="{00000000-0005-0000-0000-00003D060000}"/>
    <cellStyle name="20% - Accent6 8 2 2 2 2" xfId="10058" xr:uid="{00000000-0005-0000-0000-00003E060000}"/>
    <cellStyle name="20% - Accent6 8 2 2 3" xfId="7619" xr:uid="{00000000-0005-0000-0000-00003F060000}"/>
    <cellStyle name="20% - Accent6 8 2 3" xfId="3779" xr:uid="{00000000-0005-0000-0000-000040060000}"/>
    <cellStyle name="20% - Accent6 8 2 3 2" xfId="8878" xr:uid="{00000000-0005-0000-0000-000041060000}"/>
    <cellStyle name="20% - Accent6 8 2 4" xfId="6359" xr:uid="{00000000-0005-0000-0000-000042060000}"/>
    <cellStyle name="20% - Accent6 8 3" xfId="1262" xr:uid="{00000000-0005-0000-0000-000043060000}"/>
    <cellStyle name="20% - Accent6 9" xfId="706" xr:uid="{00000000-0005-0000-0000-000044060000}"/>
    <cellStyle name="20% - Accent6 9 2" xfId="1053" xr:uid="{00000000-0005-0000-0000-000045060000}"/>
    <cellStyle name="20% - Accent6 9 2 2" xfId="2683" xr:uid="{00000000-0005-0000-0000-000046060000}"/>
    <cellStyle name="20% - Accent6 9 2 2 2" xfId="5092" xr:uid="{00000000-0005-0000-0000-000047060000}"/>
    <cellStyle name="20% - Accent6 9 2 2 2 2" xfId="10188" xr:uid="{00000000-0005-0000-0000-000048060000}"/>
    <cellStyle name="20% - Accent6 9 2 2 3" xfId="7786" xr:uid="{00000000-0005-0000-0000-000049060000}"/>
    <cellStyle name="20% - Accent6 9 2 3" xfId="3909" xr:uid="{00000000-0005-0000-0000-00004A060000}"/>
    <cellStyle name="20% - Accent6 9 2 3 2" xfId="9008" xr:uid="{00000000-0005-0000-0000-00004B060000}"/>
    <cellStyle name="20% - Accent6 9 2 4" xfId="6530" xr:uid="{00000000-0005-0000-0000-00004C060000}"/>
    <cellStyle name="20% - Accent6 9 3" xfId="2507" xr:uid="{00000000-0005-0000-0000-00004D060000}"/>
    <cellStyle name="20% - Accent6 9 3 2" xfId="4954" xr:uid="{00000000-0005-0000-0000-00004E060000}"/>
    <cellStyle name="20% - Accent6 9 3 2 2" xfId="10050" xr:uid="{00000000-0005-0000-0000-00004F060000}"/>
    <cellStyle name="20% - Accent6 9 3 3" xfId="7611" xr:uid="{00000000-0005-0000-0000-000050060000}"/>
    <cellStyle name="20% - Accent6 9 4" xfId="3771" xr:uid="{00000000-0005-0000-0000-000051060000}"/>
    <cellStyle name="20% - Accent6 9 4 2" xfId="8870" xr:uid="{00000000-0005-0000-0000-000052060000}"/>
    <cellStyle name="20% - Accent6 9 5" xfId="6351" xr:uid="{00000000-0005-0000-0000-000053060000}"/>
    <cellStyle name="40% - Accent1" xfId="126" builtinId="31" customBuiltin="1"/>
    <cellStyle name="40% - Accent1 10" xfId="2727" xr:uid="{00000000-0005-0000-0000-000055060000}"/>
    <cellStyle name="40% - Accent1 10 2" xfId="5129" xr:uid="{00000000-0005-0000-0000-000056060000}"/>
    <cellStyle name="40% - Accent1 10 2 2" xfId="10225" xr:uid="{00000000-0005-0000-0000-000057060000}"/>
    <cellStyle name="40% - Accent1 10 3" xfId="7830" xr:uid="{00000000-0005-0000-0000-000058060000}"/>
    <cellStyle name="40% - Accent1 11" xfId="3588" xr:uid="{00000000-0005-0000-0000-000059060000}"/>
    <cellStyle name="40% - Accent1 11 2" xfId="8691" xr:uid="{00000000-0005-0000-0000-00005A060000}"/>
    <cellStyle name="40% - Accent1 12" xfId="6542" xr:uid="{00000000-0005-0000-0000-00005B060000}"/>
    <cellStyle name="40% - Accent1 2" xfId="20" xr:uid="{00000000-0005-0000-0000-00005C060000}"/>
    <cellStyle name="40% - Accent1 2 2" xfId="800" xr:uid="{00000000-0005-0000-0000-00005D060000}"/>
    <cellStyle name="40% - Accent1 2 2 2" xfId="787" xr:uid="{00000000-0005-0000-0000-00005E060000}"/>
    <cellStyle name="40% - Accent1 2 2 2 2" xfId="1265" xr:uid="{00000000-0005-0000-0000-00005F060000}"/>
    <cellStyle name="40% - Accent1 2 2 2 2 2" xfId="2819" xr:uid="{00000000-0005-0000-0000-000060060000}"/>
    <cellStyle name="40% - Accent1 2 2 2 2 2 2" xfId="5221" xr:uid="{00000000-0005-0000-0000-000061060000}"/>
    <cellStyle name="40% - Accent1 2 2 2 2 2 2 2" xfId="10317" xr:uid="{00000000-0005-0000-0000-000062060000}"/>
    <cellStyle name="40% - Accent1 2 2 2 2 2 3" xfId="7922" xr:uid="{00000000-0005-0000-0000-000063060000}"/>
    <cellStyle name="40% - Accent1 2 2 2 2 3" xfId="4029" xr:uid="{00000000-0005-0000-0000-000064060000}"/>
    <cellStyle name="40% - Accent1 2 2 2 2 3 2" xfId="9125" xr:uid="{00000000-0005-0000-0000-000065060000}"/>
    <cellStyle name="40% - Accent1 2 2 2 2 4" xfId="6637" xr:uid="{00000000-0005-0000-0000-000066060000}"/>
    <cellStyle name="40% - Accent1 2 2 2 3" xfId="2568" xr:uid="{00000000-0005-0000-0000-000067060000}"/>
    <cellStyle name="40% - Accent1 2 2 2 3 2" xfId="5015" xr:uid="{00000000-0005-0000-0000-000068060000}"/>
    <cellStyle name="40% - Accent1 2 2 2 3 2 2" xfId="10111" xr:uid="{00000000-0005-0000-0000-000069060000}"/>
    <cellStyle name="40% - Accent1 2 2 2 3 3" xfId="7672" xr:uid="{00000000-0005-0000-0000-00006A060000}"/>
    <cellStyle name="40% - Accent1 2 2 2 4" xfId="3832" xr:uid="{00000000-0005-0000-0000-00006B060000}"/>
    <cellStyle name="40% - Accent1 2 2 2 4 2" xfId="8931" xr:uid="{00000000-0005-0000-0000-00006C060000}"/>
    <cellStyle name="40% - Accent1 2 2 2 5" xfId="6412" xr:uid="{00000000-0005-0000-0000-00006D060000}"/>
    <cellStyle name="40% - Accent1 2 2 3" xfId="1264" xr:uid="{00000000-0005-0000-0000-00006E060000}"/>
    <cellStyle name="40% - Accent1 2 2 3 2" xfId="2818" xr:uid="{00000000-0005-0000-0000-00006F060000}"/>
    <cellStyle name="40% - Accent1 2 2 3 2 2" xfId="5220" xr:uid="{00000000-0005-0000-0000-000070060000}"/>
    <cellStyle name="40% - Accent1 2 2 3 2 2 2" xfId="10316" xr:uid="{00000000-0005-0000-0000-000071060000}"/>
    <cellStyle name="40% - Accent1 2 2 3 2 3" xfId="7921" xr:uid="{00000000-0005-0000-0000-000072060000}"/>
    <cellStyle name="40% - Accent1 2 2 3 3" xfId="4028" xr:uid="{00000000-0005-0000-0000-000073060000}"/>
    <cellStyle name="40% - Accent1 2 2 3 3 2" xfId="9124" xr:uid="{00000000-0005-0000-0000-000074060000}"/>
    <cellStyle name="40% - Accent1 2 2 3 4" xfId="6636" xr:uid="{00000000-0005-0000-0000-000075060000}"/>
    <cellStyle name="40% - Accent1 2 3" xfId="740" xr:uid="{00000000-0005-0000-0000-000076060000}"/>
    <cellStyle name="40% - Accent1 2 3 2" xfId="1266" xr:uid="{00000000-0005-0000-0000-000077060000}"/>
    <cellStyle name="40% - Accent1 2 3 2 2" xfId="2820" xr:uid="{00000000-0005-0000-0000-000078060000}"/>
    <cellStyle name="40% - Accent1 2 3 2 2 2" xfId="5222" xr:uid="{00000000-0005-0000-0000-000079060000}"/>
    <cellStyle name="40% - Accent1 2 3 2 2 2 2" xfId="10318" xr:uid="{00000000-0005-0000-0000-00007A060000}"/>
    <cellStyle name="40% - Accent1 2 3 2 2 3" xfId="7923" xr:uid="{00000000-0005-0000-0000-00007B060000}"/>
    <cellStyle name="40% - Accent1 2 3 2 3" xfId="4030" xr:uid="{00000000-0005-0000-0000-00007C060000}"/>
    <cellStyle name="40% - Accent1 2 3 2 3 2" xfId="9126" xr:uid="{00000000-0005-0000-0000-00007D060000}"/>
    <cellStyle name="40% - Accent1 2 3 2 4" xfId="6638" xr:uid="{00000000-0005-0000-0000-00007E060000}"/>
    <cellStyle name="40% - Accent1 2 3 3" xfId="2526" xr:uid="{00000000-0005-0000-0000-00007F060000}"/>
    <cellStyle name="40% - Accent1 2 3 3 2" xfId="4973" xr:uid="{00000000-0005-0000-0000-000080060000}"/>
    <cellStyle name="40% - Accent1 2 3 3 2 2" xfId="10069" xr:uid="{00000000-0005-0000-0000-000081060000}"/>
    <cellStyle name="40% - Accent1 2 3 3 3" xfId="7630" xr:uid="{00000000-0005-0000-0000-000082060000}"/>
    <cellStyle name="40% - Accent1 2 3 4" xfId="3790" xr:uid="{00000000-0005-0000-0000-000083060000}"/>
    <cellStyle name="40% - Accent1 2 3 4 2" xfId="8889" xr:uid="{00000000-0005-0000-0000-000084060000}"/>
    <cellStyle name="40% - Accent1 2 3 5" xfId="6370" xr:uid="{00000000-0005-0000-0000-000085060000}"/>
    <cellStyle name="40% - Accent1 2 4" xfId="897" xr:uid="{00000000-0005-0000-0000-000086060000}"/>
    <cellStyle name="40% - Accent1 2 4 2" xfId="1267" xr:uid="{00000000-0005-0000-0000-000087060000}"/>
    <cellStyle name="40% - Accent1 2 4 2 2" xfId="2821" xr:uid="{00000000-0005-0000-0000-000088060000}"/>
    <cellStyle name="40% - Accent1 2 4 2 2 2" xfId="5223" xr:uid="{00000000-0005-0000-0000-000089060000}"/>
    <cellStyle name="40% - Accent1 2 4 2 2 2 2" xfId="10319" xr:uid="{00000000-0005-0000-0000-00008A060000}"/>
    <cellStyle name="40% - Accent1 2 4 2 2 3" xfId="7924" xr:uid="{00000000-0005-0000-0000-00008B060000}"/>
    <cellStyle name="40% - Accent1 2 4 2 3" xfId="4031" xr:uid="{00000000-0005-0000-0000-00008C060000}"/>
    <cellStyle name="40% - Accent1 2 4 2 3 2" xfId="9127" xr:uid="{00000000-0005-0000-0000-00008D060000}"/>
    <cellStyle name="40% - Accent1 2 4 2 4" xfId="6639" xr:uid="{00000000-0005-0000-0000-00008E060000}"/>
    <cellStyle name="40% - Accent1 2 4 3" xfId="2602" xr:uid="{00000000-0005-0000-0000-00008F060000}"/>
    <cellStyle name="40% - Accent1 2 4 3 2" xfId="5046" xr:uid="{00000000-0005-0000-0000-000090060000}"/>
    <cellStyle name="40% - Accent1 2 4 3 2 2" xfId="10142" xr:uid="{00000000-0005-0000-0000-000091060000}"/>
    <cellStyle name="40% - Accent1 2 4 3 3" xfId="7705" xr:uid="{00000000-0005-0000-0000-000092060000}"/>
    <cellStyle name="40% - Accent1 2 4 4" xfId="3863" xr:uid="{00000000-0005-0000-0000-000093060000}"/>
    <cellStyle name="40% - Accent1 2 4 4 2" xfId="8962" xr:uid="{00000000-0005-0000-0000-000094060000}"/>
    <cellStyle name="40% - Accent1 2 4 5" xfId="6448" xr:uid="{00000000-0005-0000-0000-000095060000}"/>
    <cellStyle name="40% - Accent1 2 5" xfId="688" xr:uid="{00000000-0005-0000-0000-000096060000}"/>
    <cellStyle name="40% - Accent1 2 5 2" xfId="2490" xr:uid="{00000000-0005-0000-0000-000097060000}"/>
    <cellStyle name="40% - Accent1 2 5 2 2" xfId="4937" xr:uid="{00000000-0005-0000-0000-000098060000}"/>
    <cellStyle name="40% - Accent1 2 5 2 2 2" xfId="10033" xr:uid="{00000000-0005-0000-0000-000099060000}"/>
    <cellStyle name="40% - Accent1 2 5 2 3" xfId="7594" xr:uid="{00000000-0005-0000-0000-00009A060000}"/>
    <cellStyle name="40% - Accent1 2 5 3" xfId="3754" xr:uid="{00000000-0005-0000-0000-00009B060000}"/>
    <cellStyle name="40% - Accent1 2 5 3 2" xfId="8853" xr:uid="{00000000-0005-0000-0000-00009C060000}"/>
    <cellStyle name="40% - Accent1 2 5 4" xfId="6334" xr:uid="{00000000-0005-0000-0000-00009D060000}"/>
    <cellStyle name="40% - Accent1 2 6" xfId="1263" xr:uid="{00000000-0005-0000-0000-00009E060000}"/>
    <cellStyle name="40% - Accent1 2 6 2" xfId="2817" xr:uid="{00000000-0005-0000-0000-00009F060000}"/>
    <cellStyle name="40% - Accent1 2 6 2 2" xfId="5219" xr:uid="{00000000-0005-0000-0000-0000A0060000}"/>
    <cellStyle name="40% - Accent1 2 6 2 2 2" xfId="10315" xr:uid="{00000000-0005-0000-0000-0000A1060000}"/>
    <cellStyle name="40% - Accent1 2 6 2 3" xfId="7920" xr:uid="{00000000-0005-0000-0000-0000A2060000}"/>
    <cellStyle name="40% - Accent1 2 6 3" xfId="4027" xr:uid="{00000000-0005-0000-0000-0000A3060000}"/>
    <cellStyle name="40% - Accent1 2 6 3 2" xfId="9123" xr:uid="{00000000-0005-0000-0000-0000A4060000}"/>
    <cellStyle name="40% - Accent1 2 6 4" xfId="6635" xr:uid="{00000000-0005-0000-0000-0000A5060000}"/>
    <cellStyle name="40% - Accent1 3" xfId="216" xr:uid="{00000000-0005-0000-0000-0000A6060000}"/>
    <cellStyle name="40% - Accent1 3 2" xfId="801" xr:uid="{00000000-0005-0000-0000-0000A7060000}"/>
    <cellStyle name="40% - Accent1 3 2 2" xfId="605" xr:uid="{00000000-0005-0000-0000-0000A8060000}"/>
    <cellStyle name="40% - Accent1 3 2 2 2" xfId="1270" xr:uid="{00000000-0005-0000-0000-0000A9060000}"/>
    <cellStyle name="40% - Accent1 3 2 2 2 2" xfId="2824" xr:uid="{00000000-0005-0000-0000-0000AA060000}"/>
    <cellStyle name="40% - Accent1 3 2 2 2 2 2" xfId="5226" xr:uid="{00000000-0005-0000-0000-0000AB060000}"/>
    <cellStyle name="40% - Accent1 3 2 2 2 2 2 2" xfId="10322" xr:uid="{00000000-0005-0000-0000-0000AC060000}"/>
    <cellStyle name="40% - Accent1 3 2 2 2 2 3" xfId="7927" xr:uid="{00000000-0005-0000-0000-0000AD060000}"/>
    <cellStyle name="40% - Accent1 3 2 2 2 3" xfId="4034" xr:uid="{00000000-0005-0000-0000-0000AE060000}"/>
    <cellStyle name="40% - Accent1 3 2 2 2 3 2" xfId="9130" xr:uid="{00000000-0005-0000-0000-0000AF060000}"/>
    <cellStyle name="40% - Accent1 3 2 2 2 4" xfId="6642" xr:uid="{00000000-0005-0000-0000-0000B0060000}"/>
    <cellStyle name="40% - Accent1 3 2 2 3" xfId="2411" xr:uid="{00000000-0005-0000-0000-0000B1060000}"/>
    <cellStyle name="40% - Accent1 3 2 2 3 2" xfId="4858" xr:uid="{00000000-0005-0000-0000-0000B2060000}"/>
    <cellStyle name="40% - Accent1 3 2 2 3 2 2" xfId="9954" xr:uid="{00000000-0005-0000-0000-0000B3060000}"/>
    <cellStyle name="40% - Accent1 3 2 2 3 3" xfId="7515" xr:uid="{00000000-0005-0000-0000-0000B4060000}"/>
    <cellStyle name="40% - Accent1 3 2 2 4" xfId="3675" xr:uid="{00000000-0005-0000-0000-0000B5060000}"/>
    <cellStyle name="40% - Accent1 3 2 2 4 2" xfId="8774" xr:uid="{00000000-0005-0000-0000-0000B6060000}"/>
    <cellStyle name="40% - Accent1 3 2 2 5" xfId="6255" xr:uid="{00000000-0005-0000-0000-0000B7060000}"/>
    <cellStyle name="40% - Accent1 3 2 3" xfId="1269" xr:uid="{00000000-0005-0000-0000-0000B8060000}"/>
    <cellStyle name="40% - Accent1 3 2 3 2" xfId="2823" xr:uid="{00000000-0005-0000-0000-0000B9060000}"/>
    <cellStyle name="40% - Accent1 3 2 3 2 2" xfId="5225" xr:uid="{00000000-0005-0000-0000-0000BA060000}"/>
    <cellStyle name="40% - Accent1 3 2 3 2 2 2" xfId="10321" xr:uid="{00000000-0005-0000-0000-0000BB060000}"/>
    <cellStyle name="40% - Accent1 3 2 3 2 3" xfId="7926" xr:uid="{00000000-0005-0000-0000-0000BC060000}"/>
    <cellStyle name="40% - Accent1 3 2 3 3" xfId="4033" xr:uid="{00000000-0005-0000-0000-0000BD060000}"/>
    <cellStyle name="40% - Accent1 3 2 3 3 2" xfId="9129" xr:uid="{00000000-0005-0000-0000-0000BE060000}"/>
    <cellStyle name="40% - Accent1 3 2 3 4" xfId="6641" xr:uid="{00000000-0005-0000-0000-0000BF060000}"/>
    <cellStyle name="40% - Accent1 3 3" xfId="630" xr:uid="{00000000-0005-0000-0000-0000C0060000}"/>
    <cellStyle name="40% - Accent1 3 3 2" xfId="1271" xr:uid="{00000000-0005-0000-0000-0000C1060000}"/>
    <cellStyle name="40% - Accent1 3 3 2 2" xfId="2825" xr:uid="{00000000-0005-0000-0000-0000C2060000}"/>
    <cellStyle name="40% - Accent1 3 3 2 2 2" xfId="5227" xr:uid="{00000000-0005-0000-0000-0000C3060000}"/>
    <cellStyle name="40% - Accent1 3 3 2 2 2 2" xfId="10323" xr:uid="{00000000-0005-0000-0000-0000C4060000}"/>
    <cellStyle name="40% - Accent1 3 3 2 2 3" xfId="7928" xr:uid="{00000000-0005-0000-0000-0000C5060000}"/>
    <cellStyle name="40% - Accent1 3 3 2 3" xfId="4035" xr:uid="{00000000-0005-0000-0000-0000C6060000}"/>
    <cellStyle name="40% - Accent1 3 3 2 3 2" xfId="9131" xr:uid="{00000000-0005-0000-0000-0000C7060000}"/>
    <cellStyle name="40% - Accent1 3 3 2 4" xfId="6643" xr:uid="{00000000-0005-0000-0000-0000C8060000}"/>
    <cellStyle name="40% - Accent1 3 3 3" xfId="2436" xr:uid="{00000000-0005-0000-0000-0000C9060000}"/>
    <cellStyle name="40% - Accent1 3 3 3 2" xfId="4883" xr:uid="{00000000-0005-0000-0000-0000CA060000}"/>
    <cellStyle name="40% - Accent1 3 3 3 2 2" xfId="9979" xr:uid="{00000000-0005-0000-0000-0000CB060000}"/>
    <cellStyle name="40% - Accent1 3 3 3 3" xfId="7540" xr:uid="{00000000-0005-0000-0000-0000CC060000}"/>
    <cellStyle name="40% - Accent1 3 3 4" xfId="3700" xr:uid="{00000000-0005-0000-0000-0000CD060000}"/>
    <cellStyle name="40% - Accent1 3 3 4 2" xfId="8799" xr:uid="{00000000-0005-0000-0000-0000CE060000}"/>
    <cellStyle name="40% - Accent1 3 3 5" xfId="6280" xr:uid="{00000000-0005-0000-0000-0000CF060000}"/>
    <cellStyle name="40% - Accent1 3 4" xfId="648" xr:uid="{00000000-0005-0000-0000-0000D0060000}"/>
    <cellStyle name="40% - Accent1 3 4 2" xfId="1272" xr:uid="{00000000-0005-0000-0000-0000D1060000}"/>
    <cellStyle name="40% - Accent1 3 4 2 2" xfId="2826" xr:uid="{00000000-0005-0000-0000-0000D2060000}"/>
    <cellStyle name="40% - Accent1 3 4 2 2 2" xfId="5228" xr:uid="{00000000-0005-0000-0000-0000D3060000}"/>
    <cellStyle name="40% - Accent1 3 4 2 2 2 2" xfId="10324" xr:uid="{00000000-0005-0000-0000-0000D4060000}"/>
    <cellStyle name="40% - Accent1 3 4 2 2 3" xfId="7929" xr:uid="{00000000-0005-0000-0000-0000D5060000}"/>
    <cellStyle name="40% - Accent1 3 4 2 3" xfId="4036" xr:uid="{00000000-0005-0000-0000-0000D6060000}"/>
    <cellStyle name="40% - Accent1 3 4 2 3 2" xfId="9132" xr:uid="{00000000-0005-0000-0000-0000D7060000}"/>
    <cellStyle name="40% - Accent1 3 4 2 4" xfId="6644" xr:uid="{00000000-0005-0000-0000-0000D8060000}"/>
    <cellStyle name="40% - Accent1 3 4 3" xfId="2452" xr:uid="{00000000-0005-0000-0000-0000D9060000}"/>
    <cellStyle name="40% - Accent1 3 4 3 2" xfId="4899" xr:uid="{00000000-0005-0000-0000-0000DA060000}"/>
    <cellStyle name="40% - Accent1 3 4 3 2 2" xfId="9995" xr:uid="{00000000-0005-0000-0000-0000DB060000}"/>
    <cellStyle name="40% - Accent1 3 4 3 3" xfId="7556" xr:uid="{00000000-0005-0000-0000-0000DC060000}"/>
    <cellStyle name="40% - Accent1 3 4 4" xfId="3716" xr:uid="{00000000-0005-0000-0000-0000DD060000}"/>
    <cellStyle name="40% - Accent1 3 4 4 2" xfId="8815" xr:uid="{00000000-0005-0000-0000-0000DE060000}"/>
    <cellStyle name="40% - Accent1 3 4 5" xfId="6296" xr:uid="{00000000-0005-0000-0000-0000DF060000}"/>
    <cellStyle name="40% - Accent1 3 5" xfId="699" xr:uid="{00000000-0005-0000-0000-0000E0060000}"/>
    <cellStyle name="40% - Accent1 3 5 2" xfId="2501" xr:uid="{00000000-0005-0000-0000-0000E1060000}"/>
    <cellStyle name="40% - Accent1 3 5 2 2" xfId="4948" xr:uid="{00000000-0005-0000-0000-0000E2060000}"/>
    <cellStyle name="40% - Accent1 3 5 2 2 2" xfId="10044" xr:uid="{00000000-0005-0000-0000-0000E3060000}"/>
    <cellStyle name="40% - Accent1 3 5 2 3" xfId="7605" xr:uid="{00000000-0005-0000-0000-0000E4060000}"/>
    <cellStyle name="40% - Accent1 3 5 3" xfId="3765" xr:uid="{00000000-0005-0000-0000-0000E5060000}"/>
    <cellStyle name="40% - Accent1 3 5 3 2" xfId="8864" xr:uid="{00000000-0005-0000-0000-0000E6060000}"/>
    <cellStyle name="40% - Accent1 3 5 4" xfId="6345" xr:uid="{00000000-0005-0000-0000-0000E7060000}"/>
    <cellStyle name="40% - Accent1 3 6" xfId="1268" xr:uid="{00000000-0005-0000-0000-0000E8060000}"/>
    <cellStyle name="40% - Accent1 3 6 2" xfId="2822" xr:uid="{00000000-0005-0000-0000-0000E9060000}"/>
    <cellStyle name="40% - Accent1 3 6 2 2" xfId="5224" xr:uid="{00000000-0005-0000-0000-0000EA060000}"/>
    <cellStyle name="40% - Accent1 3 6 2 2 2" xfId="10320" xr:uid="{00000000-0005-0000-0000-0000EB060000}"/>
    <cellStyle name="40% - Accent1 3 6 2 3" xfId="7925" xr:uid="{00000000-0005-0000-0000-0000EC060000}"/>
    <cellStyle name="40% - Accent1 3 6 3" xfId="4032" xr:uid="{00000000-0005-0000-0000-0000ED060000}"/>
    <cellStyle name="40% - Accent1 3 6 3 2" xfId="9128" xr:uid="{00000000-0005-0000-0000-0000EE060000}"/>
    <cellStyle name="40% - Accent1 3 6 4" xfId="6640" xr:uid="{00000000-0005-0000-0000-0000EF060000}"/>
    <cellStyle name="40% - Accent1 4" xfId="217" xr:uid="{00000000-0005-0000-0000-0000F0060000}"/>
    <cellStyle name="40% - Accent1 4 2" xfId="584" xr:uid="{00000000-0005-0000-0000-0000F1060000}"/>
    <cellStyle name="40% - Accent1 4 2 2" xfId="1274" xr:uid="{00000000-0005-0000-0000-0000F2060000}"/>
    <cellStyle name="40% - Accent1 4 2 3" xfId="2390" xr:uid="{00000000-0005-0000-0000-0000F3060000}"/>
    <cellStyle name="40% - Accent1 4 2 3 2" xfId="4837" xr:uid="{00000000-0005-0000-0000-0000F4060000}"/>
    <cellStyle name="40% - Accent1 4 2 3 2 2" xfId="9933" xr:uid="{00000000-0005-0000-0000-0000F5060000}"/>
    <cellStyle name="40% - Accent1 4 2 3 3" xfId="7494" xr:uid="{00000000-0005-0000-0000-0000F6060000}"/>
    <cellStyle name="40% - Accent1 4 2 4" xfId="3654" xr:uid="{00000000-0005-0000-0000-0000F7060000}"/>
    <cellStyle name="40% - Accent1 4 2 4 2" xfId="8753" xr:uid="{00000000-0005-0000-0000-0000F8060000}"/>
    <cellStyle name="40% - Accent1 4 2 5" xfId="6234" xr:uid="{00000000-0005-0000-0000-0000F9060000}"/>
    <cellStyle name="40% - Accent1 4 3" xfId="925" xr:uid="{00000000-0005-0000-0000-0000FA060000}"/>
    <cellStyle name="40% - Accent1 4 3 2" xfId="1275" xr:uid="{00000000-0005-0000-0000-0000FB060000}"/>
    <cellStyle name="40% - Accent1 4 3 2 2" xfId="2828" xr:uid="{00000000-0005-0000-0000-0000FC060000}"/>
    <cellStyle name="40% - Accent1 4 3 2 2 2" xfId="5230" xr:uid="{00000000-0005-0000-0000-0000FD060000}"/>
    <cellStyle name="40% - Accent1 4 3 2 2 2 2" xfId="10326" xr:uid="{00000000-0005-0000-0000-0000FE060000}"/>
    <cellStyle name="40% - Accent1 4 3 2 2 3" xfId="7931" xr:uid="{00000000-0005-0000-0000-0000FF060000}"/>
    <cellStyle name="40% - Accent1 4 3 2 3" xfId="4038" xr:uid="{00000000-0005-0000-0000-000000070000}"/>
    <cellStyle name="40% - Accent1 4 3 2 3 2" xfId="9134" xr:uid="{00000000-0005-0000-0000-000001070000}"/>
    <cellStyle name="40% - Accent1 4 3 2 4" xfId="6646" xr:uid="{00000000-0005-0000-0000-000002070000}"/>
    <cellStyle name="40% - Accent1 4 3 3" xfId="2626" xr:uid="{00000000-0005-0000-0000-000003070000}"/>
    <cellStyle name="40% - Accent1 4 3 3 2" xfId="5070" xr:uid="{00000000-0005-0000-0000-000004070000}"/>
    <cellStyle name="40% - Accent1 4 3 3 2 2" xfId="10166" xr:uid="{00000000-0005-0000-0000-000005070000}"/>
    <cellStyle name="40% - Accent1 4 3 3 3" xfId="7729" xr:uid="{00000000-0005-0000-0000-000006070000}"/>
    <cellStyle name="40% - Accent1 4 3 4" xfId="3887" xr:uid="{00000000-0005-0000-0000-000007070000}"/>
    <cellStyle name="40% - Accent1 4 3 4 2" xfId="8986" xr:uid="{00000000-0005-0000-0000-000008070000}"/>
    <cellStyle name="40% - Accent1 4 3 5" xfId="6472" xr:uid="{00000000-0005-0000-0000-000009070000}"/>
    <cellStyle name="40% - Accent1 4 4" xfId="889" xr:uid="{00000000-0005-0000-0000-00000A070000}"/>
    <cellStyle name="40% - Accent1 4 4 2" xfId="2594" xr:uid="{00000000-0005-0000-0000-00000B070000}"/>
    <cellStyle name="40% - Accent1 4 4 2 2" xfId="5038" xr:uid="{00000000-0005-0000-0000-00000C070000}"/>
    <cellStyle name="40% - Accent1 4 4 2 2 2" xfId="10134" xr:uid="{00000000-0005-0000-0000-00000D070000}"/>
    <cellStyle name="40% - Accent1 4 4 2 3" xfId="7697" xr:uid="{00000000-0005-0000-0000-00000E070000}"/>
    <cellStyle name="40% - Accent1 4 4 3" xfId="3855" xr:uid="{00000000-0005-0000-0000-00000F070000}"/>
    <cellStyle name="40% - Accent1 4 4 3 2" xfId="8954" xr:uid="{00000000-0005-0000-0000-000010070000}"/>
    <cellStyle name="40% - Accent1 4 4 4" xfId="6440" xr:uid="{00000000-0005-0000-0000-000011070000}"/>
    <cellStyle name="40% - Accent1 4 5" xfId="883" xr:uid="{00000000-0005-0000-0000-000012070000}"/>
    <cellStyle name="40% - Accent1 4 5 2" xfId="2588" xr:uid="{00000000-0005-0000-0000-000013070000}"/>
    <cellStyle name="40% - Accent1 4 5 2 2" xfId="5032" xr:uid="{00000000-0005-0000-0000-000014070000}"/>
    <cellStyle name="40% - Accent1 4 5 2 2 2" xfId="10128" xr:uid="{00000000-0005-0000-0000-000015070000}"/>
    <cellStyle name="40% - Accent1 4 5 2 3" xfId="7691" xr:uid="{00000000-0005-0000-0000-000016070000}"/>
    <cellStyle name="40% - Accent1 4 5 3" xfId="3849" xr:uid="{00000000-0005-0000-0000-000017070000}"/>
    <cellStyle name="40% - Accent1 4 5 3 2" xfId="8948" xr:uid="{00000000-0005-0000-0000-000018070000}"/>
    <cellStyle name="40% - Accent1 4 5 4" xfId="6434" xr:uid="{00000000-0005-0000-0000-000019070000}"/>
    <cellStyle name="40% - Accent1 4 6" xfId="1273" xr:uid="{00000000-0005-0000-0000-00001A070000}"/>
    <cellStyle name="40% - Accent1 4 6 2" xfId="2827" xr:uid="{00000000-0005-0000-0000-00001B070000}"/>
    <cellStyle name="40% - Accent1 4 6 2 2" xfId="5229" xr:uid="{00000000-0005-0000-0000-00001C070000}"/>
    <cellStyle name="40% - Accent1 4 6 2 2 2" xfId="10325" xr:uid="{00000000-0005-0000-0000-00001D070000}"/>
    <cellStyle name="40% - Accent1 4 6 2 3" xfId="7930" xr:uid="{00000000-0005-0000-0000-00001E070000}"/>
    <cellStyle name="40% - Accent1 4 6 3" xfId="4037" xr:uid="{00000000-0005-0000-0000-00001F070000}"/>
    <cellStyle name="40% - Accent1 4 6 3 2" xfId="9133" xr:uid="{00000000-0005-0000-0000-000020070000}"/>
    <cellStyle name="40% - Accent1 4 6 4" xfId="6645" xr:uid="{00000000-0005-0000-0000-000021070000}"/>
    <cellStyle name="40% - Accent1 5" xfId="218" xr:uid="{00000000-0005-0000-0000-000022070000}"/>
    <cellStyle name="40% - Accent1 5 2" xfId="930" xr:uid="{00000000-0005-0000-0000-000023070000}"/>
    <cellStyle name="40% - Accent1 5 2 2" xfId="2630" xr:uid="{00000000-0005-0000-0000-000024070000}"/>
    <cellStyle name="40% - Accent1 5 2 2 2" xfId="5074" xr:uid="{00000000-0005-0000-0000-000025070000}"/>
    <cellStyle name="40% - Accent1 5 2 2 2 2" xfId="10170" xr:uid="{00000000-0005-0000-0000-000026070000}"/>
    <cellStyle name="40% - Accent1 5 2 2 3" xfId="7733" xr:uid="{00000000-0005-0000-0000-000027070000}"/>
    <cellStyle name="40% - Accent1 5 2 3" xfId="3891" xr:uid="{00000000-0005-0000-0000-000028070000}"/>
    <cellStyle name="40% - Accent1 5 2 3 2" xfId="8990" xr:uid="{00000000-0005-0000-0000-000029070000}"/>
    <cellStyle name="40% - Accent1 5 2 4" xfId="6476" xr:uid="{00000000-0005-0000-0000-00002A070000}"/>
    <cellStyle name="40% - Accent1 5 3" xfId="558" xr:uid="{00000000-0005-0000-0000-00002B070000}"/>
    <cellStyle name="40% - Accent1 5 3 2" xfId="2364" xr:uid="{00000000-0005-0000-0000-00002C070000}"/>
    <cellStyle name="40% - Accent1 5 3 2 2" xfId="4811" xr:uid="{00000000-0005-0000-0000-00002D070000}"/>
    <cellStyle name="40% - Accent1 5 3 2 2 2" xfId="9907" xr:uid="{00000000-0005-0000-0000-00002E070000}"/>
    <cellStyle name="40% - Accent1 5 3 2 3" xfId="7468" xr:uid="{00000000-0005-0000-0000-00002F070000}"/>
    <cellStyle name="40% - Accent1 5 3 3" xfId="3628" xr:uid="{00000000-0005-0000-0000-000030070000}"/>
    <cellStyle name="40% - Accent1 5 3 3 2" xfId="8727" xr:uid="{00000000-0005-0000-0000-000031070000}"/>
    <cellStyle name="40% - Accent1 5 3 4" xfId="6208" xr:uid="{00000000-0005-0000-0000-000032070000}"/>
    <cellStyle name="40% - Accent1 5 4" xfId="1276" xr:uid="{00000000-0005-0000-0000-000033070000}"/>
    <cellStyle name="40% - Accent1 6" xfId="219" xr:uid="{00000000-0005-0000-0000-000034070000}"/>
    <cellStyle name="40% - Accent1 6 2" xfId="912" xr:uid="{00000000-0005-0000-0000-000035070000}"/>
    <cellStyle name="40% - Accent1 6 2 2" xfId="2613" xr:uid="{00000000-0005-0000-0000-000036070000}"/>
    <cellStyle name="40% - Accent1 6 2 2 2" xfId="5057" xr:uid="{00000000-0005-0000-0000-000037070000}"/>
    <cellStyle name="40% - Accent1 6 2 2 2 2" xfId="10153" xr:uid="{00000000-0005-0000-0000-000038070000}"/>
    <cellStyle name="40% - Accent1 6 2 2 3" xfId="7716" xr:uid="{00000000-0005-0000-0000-000039070000}"/>
    <cellStyle name="40% - Accent1 6 2 3" xfId="3874" xr:uid="{00000000-0005-0000-0000-00003A070000}"/>
    <cellStyle name="40% - Accent1 6 2 3 2" xfId="8973" xr:uid="{00000000-0005-0000-0000-00003B070000}"/>
    <cellStyle name="40% - Accent1 6 2 4" xfId="6459" xr:uid="{00000000-0005-0000-0000-00003C070000}"/>
    <cellStyle name="40% - Accent1 6 3" xfId="1277" xr:uid="{00000000-0005-0000-0000-00003D070000}"/>
    <cellStyle name="40% - Accent1 7" xfId="220" xr:uid="{00000000-0005-0000-0000-00003E070000}"/>
    <cellStyle name="40% - Accent1 7 2" xfId="573" xr:uid="{00000000-0005-0000-0000-00003F070000}"/>
    <cellStyle name="40% - Accent1 7 2 2" xfId="2379" xr:uid="{00000000-0005-0000-0000-000040070000}"/>
    <cellStyle name="40% - Accent1 7 2 2 2" xfId="4826" xr:uid="{00000000-0005-0000-0000-000041070000}"/>
    <cellStyle name="40% - Accent1 7 2 2 2 2" xfId="9922" xr:uid="{00000000-0005-0000-0000-000042070000}"/>
    <cellStyle name="40% - Accent1 7 2 2 3" xfId="7483" xr:uid="{00000000-0005-0000-0000-000043070000}"/>
    <cellStyle name="40% - Accent1 7 2 3" xfId="3643" xr:uid="{00000000-0005-0000-0000-000044070000}"/>
    <cellStyle name="40% - Accent1 7 2 3 2" xfId="8742" xr:uid="{00000000-0005-0000-0000-000045070000}"/>
    <cellStyle name="40% - Accent1 7 2 4" xfId="6223" xr:uid="{00000000-0005-0000-0000-000046070000}"/>
    <cellStyle name="40% - Accent1 7 3" xfId="1278" xr:uid="{00000000-0005-0000-0000-000047070000}"/>
    <cellStyle name="40% - Accent1 8" xfId="221" xr:uid="{00000000-0005-0000-0000-000048070000}"/>
    <cellStyle name="40% - Accent1 8 2" xfId="730" xr:uid="{00000000-0005-0000-0000-000049070000}"/>
    <cellStyle name="40% - Accent1 8 2 2" xfId="2516" xr:uid="{00000000-0005-0000-0000-00004A070000}"/>
    <cellStyle name="40% - Accent1 8 2 2 2" xfId="4963" xr:uid="{00000000-0005-0000-0000-00004B070000}"/>
    <cellStyle name="40% - Accent1 8 2 2 2 2" xfId="10059" xr:uid="{00000000-0005-0000-0000-00004C070000}"/>
    <cellStyle name="40% - Accent1 8 2 2 3" xfId="7620" xr:uid="{00000000-0005-0000-0000-00004D070000}"/>
    <cellStyle name="40% - Accent1 8 2 3" xfId="3780" xr:uid="{00000000-0005-0000-0000-00004E070000}"/>
    <cellStyle name="40% - Accent1 8 2 3 2" xfId="8879" xr:uid="{00000000-0005-0000-0000-00004F070000}"/>
    <cellStyle name="40% - Accent1 8 2 4" xfId="6360" xr:uid="{00000000-0005-0000-0000-000050070000}"/>
    <cellStyle name="40% - Accent1 8 3" xfId="1279" xr:uid="{00000000-0005-0000-0000-000051070000}"/>
    <cellStyle name="40% - Accent1 9" xfId="718" xr:uid="{00000000-0005-0000-0000-000052070000}"/>
    <cellStyle name="40% - Accent1 9 2" xfId="1044" xr:uid="{00000000-0005-0000-0000-000053070000}"/>
    <cellStyle name="40% - Accent1 9 2 2" xfId="2674" xr:uid="{00000000-0005-0000-0000-000054070000}"/>
    <cellStyle name="40% - Accent1 9 2 2 2" xfId="5083" xr:uid="{00000000-0005-0000-0000-000055070000}"/>
    <cellStyle name="40% - Accent1 9 2 2 2 2" xfId="10179" xr:uid="{00000000-0005-0000-0000-000056070000}"/>
    <cellStyle name="40% - Accent1 9 2 2 3" xfId="7777" xr:uid="{00000000-0005-0000-0000-000057070000}"/>
    <cellStyle name="40% - Accent1 9 2 3" xfId="3900" xr:uid="{00000000-0005-0000-0000-000058070000}"/>
    <cellStyle name="40% - Accent1 9 2 3 2" xfId="8999" xr:uid="{00000000-0005-0000-0000-000059070000}"/>
    <cellStyle name="40% - Accent1 9 2 4" xfId="6521" xr:uid="{00000000-0005-0000-0000-00005A070000}"/>
    <cellStyle name="40% - Accent1 9 3" xfId="2513" xr:uid="{00000000-0005-0000-0000-00005B070000}"/>
    <cellStyle name="40% - Accent1 9 3 2" xfId="4960" xr:uid="{00000000-0005-0000-0000-00005C070000}"/>
    <cellStyle name="40% - Accent1 9 3 2 2" xfId="10056" xr:uid="{00000000-0005-0000-0000-00005D070000}"/>
    <cellStyle name="40% - Accent1 9 3 3" xfId="7617" xr:uid="{00000000-0005-0000-0000-00005E070000}"/>
    <cellStyle name="40% - Accent1 9 4" xfId="3777" xr:uid="{00000000-0005-0000-0000-00005F070000}"/>
    <cellStyle name="40% - Accent1 9 4 2" xfId="8876" xr:uid="{00000000-0005-0000-0000-000060070000}"/>
    <cellStyle name="40% - Accent1 9 5" xfId="6357" xr:uid="{00000000-0005-0000-0000-000061070000}"/>
    <cellStyle name="40% - Accent2" xfId="130" builtinId="35" customBuiltin="1"/>
    <cellStyle name="40% - Accent2 10" xfId="2729" xr:uid="{00000000-0005-0000-0000-000063070000}"/>
    <cellStyle name="40% - Accent2 10 2" xfId="5131" xr:uid="{00000000-0005-0000-0000-000064070000}"/>
    <cellStyle name="40% - Accent2 10 2 2" xfId="10227" xr:uid="{00000000-0005-0000-0000-000065070000}"/>
    <cellStyle name="40% - Accent2 10 3" xfId="7832" xr:uid="{00000000-0005-0000-0000-000066070000}"/>
    <cellStyle name="40% - Accent2 11" xfId="3590" xr:uid="{00000000-0005-0000-0000-000067070000}"/>
    <cellStyle name="40% - Accent2 11 2" xfId="8693" xr:uid="{00000000-0005-0000-0000-000068070000}"/>
    <cellStyle name="40% - Accent2 12" xfId="6544" xr:uid="{00000000-0005-0000-0000-000069070000}"/>
    <cellStyle name="40% - Accent2 2" xfId="21" xr:uid="{00000000-0005-0000-0000-00006A070000}"/>
    <cellStyle name="40% - Accent2 2 2" xfId="802" xr:uid="{00000000-0005-0000-0000-00006B070000}"/>
    <cellStyle name="40% - Accent2 2 2 2" xfId="595" xr:uid="{00000000-0005-0000-0000-00006C070000}"/>
    <cellStyle name="40% - Accent2 2 2 2 2" xfId="1282" xr:uid="{00000000-0005-0000-0000-00006D070000}"/>
    <cellStyle name="40% - Accent2 2 2 2 2 2" xfId="2831" xr:uid="{00000000-0005-0000-0000-00006E070000}"/>
    <cellStyle name="40% - Accent2 2 2 2 2 2 2" xfId="5233" xr:uid="{00000000-0005-0000-0000-00006F070000}"/>
    <cellStyle name="40% - Accent2 2 2 2 2 2 2 2" xfId="10329" xr:uid="{00000000-0005-0000-0000-000070070000}"/>
    <cellStyle name="40% - Accent2 2 2 2 2 2 3" xfId="7934" xr:uid="{00000000-0005-0000-0000-000071070000}"/>
    <cellStyle name="40% - Accent2 2 2 2 2 3" xfId="4041" xr:uid="{00000000-0005-0000-0000-000072070000}"/>
    <cellStyle name="40% - Accent2 2 2 2 2 3 2" xfId="9137" xr:uid="{00000000-0005-0000-0000-000073070000}"/>
    <cellStyle name="40% - Accent2 2 2 2 2 4" xfId="6649" xr:uid="{00000000-0005-0000-0000-000074070000}"/>
    <cellStyle name="40% - Accent2 2 2 2 3" xfId="2401" xr:uid="{00000000-0005-0000-0000-000075070000}"/>
    <cellStyle name="40% - Accent2 2 2 2 3 2" xfId="4848" xr:uid="{00000000-0005-0000-0000-000076070000}"/>
    <cellStyle name="40% - Accent2 2 2 2 3 2 2" xfId="9944" xr:uid="{00000000-0005-0000-0000-000077070000}"/>
    <cellStyle name="40% - Accent2 2 2 2 3 3" xfId="7505" xr:uid="{00000000-0005-0000-0000-000078070000}"/>
    <cellStyle name="40% - Accent2 2 2 2 4" xfId="3665" xr:uid="{00000000-0005-0000-0000-000079070000}"/>
    <cellStyle name="40% - Accent2 2 2 2 4 2" xfId="8764" xr:uid="{00000000-0005-0000-0000-00007A070000}"/>
    <cellStyle name="40% - Accent2 2 2 2 5" xfId="6245" xr:uid="{00000000-0005-0000-0000-00007B070000}"/>
    <cellStyle name="40% - Accent2 2 2 3" xfId="1281" xr:uid="{00000000-0005-0000-0000-00007C070000}"/>
    <cellStyle name="40% - Accent2 2 2 3 2" xfId="2830" xr:uid="{00000000-0005-0000-0000-00007D070000}"/>
    <cellStyle name="40% - Accent2 2 2 3 2 2" xfId="5232" xr:uid="{00000000-0005-0000-0000-00007E070000}"/>
    <cellStyle name="40% - Accent2 2 2 3 2 2 2" xfId="10328" xr:uid="{00000000-0005-0000-0000-00007F070000}"/>
    <cellStyle name="40% - Accent2 2 2 3 2 3" xfId="7933" xr:uid="{00000000-0005-0000-0000-000080070000}"/>
    <cellStyle name="40% - Accent2 2 2 3 3" xfId="4040" xr:uid="{00000000-0005-0000-0000-000081070000}"/>
    <cellStyle name="40% - Accent2 2 2 3 3 2" xfId="9136" xr:uid="{00000000-0005-0000-0000-000082070000}"/>
    <cellStyle name="40% - Accent2 2 2 3 4" xfId="6648" xr:uid="{00000000-0005-0000-0000-000083070000}"/>
    <cellStyle name="40% - Accent2 2 3" xfId="621" xr:uid="{00000000-0005-0000-0000-000084070000}"/>
    <cellStyle name="40% - Accent2 2 3 2" xfId="1283" xr:uid="{00000000-0005-0000-0000-000085070000}"/>
    <cellStyle name="40% - Accent2 2 3 2 2" xfId="2832" xr:uid="{00000000-0005-0000-0000-000086070000}"/>
    <cellStyle name="40% - Accent2 2 3 2 2 2" xfId="5234" xr:uid="{00000000-0005-0000-0000-000087070000}"/>
    <cellStyle name="40% - Accent2 2 3 2 2 2 2" xfId="10330" xr:uid="{00000000-0005-0000-0000-000088070000}"/>
    <cellStyle name="40% - Accent2 2 3 2 2 3" xfId="7935" xr:uid="{00000000-0005-0000-0000-000089070000}"/>
    <cellStyle name="40% - Accent2 2 3 2 3" xfId="4042" xr:uid="{00000000-0005-0000-0000-00008A070000}"/>
    <cellStyle name="40% - Accent2 2 3 2 3 2" xfId="9138" xr:uid="{00000000-0005-0000-0000-00008B070000}"/>
    <cellStyle name="40% - Accent2 2 3 2 4" xfId="6650" xr:uid="{00000000-0005-0000-0000-00008C070000}"/>
    <cellStyle name="40% - Accent2 2 3 3" xfId="2427" xr:uid="{00000000-0005-0000-0000-00008D070000}"/>
    <cellStyle name="40% - Accent2 2 3 3 2" xfId="4874" xr:uid="{00000000-0005-0000-0000-00008E070000}"/>
    <cellStyle name="40% - Accent2 2 3 3 2 2" xfId="9970" xr:uid="{00000000-0005-0000-0000-00008F070000}"/>
    <cellStyle name="40% - Accent2 2 3 3 3" xfId="7531" xr:uid="{00000000-0005-0000-0000-000090070000}"/>
    <cellStyle name="40% - Accent2 2 3 4" xfId="3691" xr:uid="{00000000-0005-0000-0000-000091070000}"/>
    <cellStyle name="40% - Accent2 2 3 4 2" xfId="8790" xr:uid="{00000000-0005-0000-0000-000092070000}"/>
    <cellStyle name="40% - Accent2 2 3 5" xfId="6271" xr:uid="{00000000-0005-0000-0000-000093070000}"/>
    <cellStyle name="40% - Accent2 2 4" xfId="914" xr:uid="{00000000-0005-0000-0000-000094070000}"/>
    <cellStyle name="40% - Accent2 2 4 2" xfId="1284" xr:uid="{00000000-0005-0000-0000-000095070000}"/>
    <cellStyle name="40% - Accent2 2 4 2 2" xfId="2833" xr:uid="{00000000-0005-0000-0000-000096070000}"/>
    <cellStyle name="40% - Accent2 2 4 2 2 2" xfId="5235" xr:uid="{00000000-0005-0000-0000-000097070000}"/>
    <cellStyle name="40% - Accent2 2 4 2 2 2 2" xfId="10331" xr:uid="{00000000-0005-0000-0000-000098070000}"/>
    <cellStyle name="40% - Accent2 2 4 2 2 3" xfId="7936" xr:uid="{00000000-0005-0000-0000-000099070000}"/>
    <cellStyle name="40% - Accent2 2 4 2 3" xfId="4043" xr:uid="{00000000-0005-0000-0000-00009A070000}"/>
    <cellStyle name="40% - Accent2 2 4 2 3 2" xfId="9139" xr:uid="{00000000-0005-0000-0000-00009B070000}"/>
    <cellStyle name="40% - Accent2 2 4 2 4" xfId="6651" xr:uid="{00000000-0005-0000-0000-00009C070000}"/>
    <cellStyle name="40% - Accent2 2 4 3" xfId="2615" xr:uid="{00000000-0005-0000-0000-00009D070000}"/>
    <cellStyle name="40% - Accent2 2 4 3 2" xfId="5059" xr:uid="{00000000-0005-0000-0000-00009E070000}"/>
    <cellStyle name="40% - Accent2 2 4 3 2 2" xfId="10155" xr:uid="{00000000-0005-0000-0000-00009F070000}"/>
    <cellStyle name="40% - Accent2 2 4 3 3" xfId="7718" xr:uid="{00000000-0005-0000-0000-0000A0070000}"/>
    <cellStyle name="40% - Accent2 2 4 4" xfId="3876" xr:uid="{00000000-0005-0000-0000-0000A1070000}"/>
    <cellStyle name="40% - Accent2 2 4 4 2" xfId="8975" xr:uid="{00000000-0005-0000-0000-0000A2070000}"/>
    <cellStyle name="40% - Accent2 2 4 5" xfId="6461" xr:uid="{00000000-0005-0000-0000-0000A3070000}"/>
    <cellStyle name="40% - Accent2 2 5" xfId="686" xr:uid="{00000000-0005-0000-0000-0000A4070000}"/>
    <cellStyle name="40% - Accent2 2 5 2" xfId="2488" xr:uid="{00000000-0005-0000-0000-0000A5070000}"/>
    <cellStyle name="40% - Accent2 2 5 2 2" xfId="4935" xr:uid="{00000000-0005-0000-0000-0000A6070000}"/>
    <cellStyle name="40% - Accent2 2 5 2 2 2" xfId="10031" xr:uid="{00000000-0005-0000-0000-0000A7070000}"/>
    <cellStyle name="40% - Accent2 2 5 2 3" xfId="7592" xr:uid="{00000000-0005-0000-0000-0000A8070000}"/>
    <cellStyle name="40% - Accent2 2 5 3" xfId="3752" xr:uid="{00000000-0005-0000-0000-0000A9070000}"/>
    <cellStyle name="40% - Accent2 2 5 3 2" xfId="8851" xr:uid="{00000000-0005-0000-0000-0000AA070000}"/>
    <cellStyle name="40% - Accent2 2 5 4" xfId="6332" xr:uid="{00000000-0005-0000-0000-0000AB070000}"/>
    <cellStyle name="40% - Accent2 2 6" xfId="1280" xr:uid="{00000000-0005-0000-0000-0000AC070000}"/>
    <cellStyle name="40% - Accent2 2 6 2" xfId="2829" xr:uid="{00000000-0005-0000-0000-0000AD070000}"/>
    <cellStyle name="40% - Accent2 2 6 2 2" xfId="5231" xr:uid="{00000000-0005-0000-0000-0000AE070000}"/>
    <cellStyle name="40% - Accent2 2 6 2 2 2" xfId="10327" xr:uid="{00000000-0005-0000-0000-0000AF070000}"/>
    <cellStyle name="40% - Accent2 2 6 2 3" xfId="7932" xr:uid="{00000000-0005-0000-0000-0000B0070000}"/>
    <cellStyle name="40% - Accent2 2 6 3" xfId="4039" xr:uid="{00000000-0005-0000-0000-0000B1070000}"/>
    <cellStyle name="40% - Accent2 2 6 3 2" xfId="9135" xr:uid="{00000000-0005-0000-0000-0000B2070000}"/>
    <cellStyle name="40% - Accent2 2 6 4" xfId="6647" xr:uid="{00000000-0005-0000-0000-0000B3070000}"/>
    <cellStyle name="40% - Accent2 3" xfId="222" xr:uid="{00000000-0005-0000-0000-0000B4070000}"/>
    <cellStyle name="40% - Accent2 3 2" xfId="803" xr:uid="{00000000-0005-0000-0000-0000B5070000}"/>
    <cellStyle name="40% - Accent2 3 2 2" xfId="603" xr:uid="{00000000-0005-0000-0000-0000B6070000}"/>
    <cellStyle name="40% - Accent2 3 2 2 2" xfId="1287" xr:uid="{00000000-0005-0000-0000-0000B7070000}"/>
    <cellStyle name="40% - Accent2 3 2 2 2 2" xfId="2836" xr:uid="{00000000-0005-0000-0000-0000B8070000}"/>
    <cellStyle name="40% - Accent2 3 2 2 2 2 2" xfId="5238" xr:uid="{00000000-0005-0000-0000-0000B9070000}"/>
    <cellStyle name="40% - Accent2 3 2 2 2 2 2 2" xfId="10334" xr:uid="{00000000-0005-0000-0000-0000BA070000}"/>
    <cellStyle name="40% - Accent2 3 2 2 2 2 3" xfId="7939" xr:uid="{00000000-0005-0000-0000-0000BB070000}"/>
    <cellStyle name="40% - Accent2 3 2 2 2 3" xfId="4046" xr:uid="{00000000-0005-0000-0000-0000BC070000}"/>
    <cellStyle name="40% - Accent2 3 2 2 2 3 2" xfId="9142" xr:uid="{00000000-0005-0000-0000-0000BD070000}"/>
    <cellStyle name="40% - Accent2 3 2 2 2 4" xfId="6654" xr:uid="{00000000-0005-0000-0000-0000BE070000}"/>
    <cellStyle name="40% - Accent2 3 2 2 3" xfId="2409" xr:uid="{00000000-0005-0000-0000-0000BF070000}"/>
    <cellStyle name="40% - Accent2 3 2 2 3 2" xfId="4856" xr:uid="{00000000-0005-0000-0000-0000C0070000}"/>
    <cellStyle name="40% - Accent2 3 2 2 3 2 2" xfId="9952" xr:uid="{00000000-0005-0000-0000-0000C1070000}"/>
    <cellStyle name="40% - Accent2 3 2 2 3 3" xfId="7513" xr:uid="{00000000-0005-0000-0000-0000C2070000}"/>
    <cellStyle name="40% - Accent2 3 2 2 4" xfId="3673" xr:uid="{00000000-0005-0000-0000-0000C3070000}"/>
    <cellStyle name="40% - Accent2 3 2 2 4 2" xfId="8772" xr:uid="{00000000-0005-0000-0000-0000C4070000}"/>
    <cellStyle name="40% - Accent2 3 2 2 5" xfId="6253" xr:uid="{00000000-0005-0000-0000-0000C5070000}"/>
    <cellStyle name="40% - Accent2 3 2 3" xfId="1286" xr:uid="{00000000-0005-0000-0000-0000C6070000}"/>
    <cellStyle name="40% - Accent2 3 2 3 2" xfId="2835" xr:uid="{00000000-0005-0000-0000-0000C7070000}"/>
    <cellStyle name="40% - Accent2 3 2 3 2 2" xfId="5237" xr:uid="{00000000-0005-0000-0000-0000C8070000}"/>
    <cellStyle name="40% - Accent2 3 2 3 2 2 2" xfId="10333" xr:uid="{00000000-0005-0000-0000-0000C9070000}"/>
    <cellStyle name="40% - Accent2 3 2 3 2 3" xfId="7938" xr:uid="{00000000-0005-0000-0000-0000CA070000}"/>
    <cellStyle name="40% - Accent2 3 2 3 3" xfId="4045" xr:uid="{00000000-0005-0000-0000-0000CB070000}"/>
    <cellStyle name="40% - Accent2 3 2 3 3 2" xfId="9141" xr:uid="{00000000-0005-0000-0000-0000CC070000}"/>
    <cellStyle name="40% - Accent2 3 2 3 4" xfId="6653" xr:uid="{00000000-0005-0000-0000-0000CD070000}"/>
    <cellStyle name="40% - Accent2 3 3" xfId="628" xr:uid="{00000000-0005-0000-0000-0000CE070000}"/>
    <cellStyle name="40% - Accent2 3 3 2" xfId="1288" xr:uid="{00000000-0005-0000-0000-0000CF070000}"/>
    <cellStyle name="40% - Accent2 3 3 2 2" xfId="2837" xr:uid="{00000000-0005-0000-0000-0000D0070000}"/>
    <cellStyle name="40% - Accent2 3 3 2 2 2" xfId="5239" xr:uid="{00000000-0005-0000-0000-0000D1070000}"/>
    <cellStyle name="40% - Accent2 3 3 2 2 2 2" xfId="10335" xr:uid="{00000000-0005-0000-0000-0000D2070000}"/>
    <cellStyle name="40% - Accent2 3 3 2 2 3" xfId="7940" xr:uid="{00000000-0005-0000-0000-0000D3070000}"/>
    <cellStyle name="40% - Accent2 3 3 2 3" xfId="4047" xr:uid="{00000000-0005-0000-0000-0000D4070000}"/>
    <cellStyle name="40% - Accent2 3 3 2 3 2" xfId="9143" xr:uid="{00000000-0005-0000-0000-0000D5070000}"/>
    <cellStyle name="40% - Accent2 3 3 2 4" xfId="6655" xr:uid="{00000000-0005-0000-0000-0000D6070000}"/>
    <cellStyle name="40% - Accent2 3 3 3" xfId="2434" xr:uid="{00000000-0005-0000-0000-0000D7070000}"/>
    <cellStyle name="40% - Accent2 3 3 3 2" xfId="4881" xr:uid="{00000000-0005-0000-0000-0000D8070000}"/>
    <cellStyle name="40% - Accent2 3 3 3 2 2" xfId="9977" xr:uid="{00000000-0005-0000-0000-0000D9070000}"/>
    <cellStyle name="40% - Accent2 3 3 3 3" xfId="7538" xr:uid="{00000000-0005-0000-0000-0000DA070000}"/>
    <cellStyle name="40% - Accent2 3 3 4" xfId="3698" xr:uid="{00000000-0005-0000-0000-0000DB070000}"/>
    <cellStyle name="40% - Accent2 3 3 4 2" xfId="8797" xr:uid="{00000000-0005-0000-0000-0000DC070000}"/>
    <cellStyle name="40% - Accent2 3 3 5" xfId="6278" xr:uid="{00000000-0005-0000-0000-0000DD070000}"/>
    <cellStyle name="40% - Accent2 3 4" xfId="776" xr:uid="{00000000-0005-0000-0000-0000DE070000}"/>
    <cellStyle name="40% - Accent2 3 4 2" xfId="1289" xr:uid="{00000000-0005-0000-0000-0000DF070000}"/>
    <cellStyle name="40% - Accent2 3 4 2 2" xfId="2838" xr:uid="{00000000-0005-0000-0000-0000E0070000}"/>
    <cellStyle name="40% - Accent2 3 4 2 2 2" xfId="5240" xr:uid="{00000000-0005-0000-0000-0000E1070000}"/>
    <cellStyle name="40% - Accent2 3 4 2 2 2 2" xfId="10336" xr:uid="{00000000-0005-0000-0000-0000E2070000}"/>
    <cellStyle name="40% - Accent2 3 4 2 2 3" xfId="7941" xr:uid="{00000000-0005-0000-0000-0000E3070000}"/>
    <cellStyle name="40% - Accent2 3 4 2 3" xfId="4048" xr:uid="{00000000-0005-0000-0000-0000E4070000}"/>
    <cellStyle name="40% - Accent2 3 4 2 3 2" xfId="9144" xr:uid="{00000000-0005-0000-0000-0000E5070000}"/>
    <cellStyle name="40% - Accent2 3 4 2 4" xfId="6656" xr:uid="{00000000-0005-0000-0000-0000E6070000}"/>
    <cellStyle name="40% - Accent2 3 4 3" xfId="2557" xr:uid="{00000000-0005-0000-0000-0000E7070000}"/>
    <cellStyle name="40% - Accent2 3 4 3 2" xfId="5004" xr:uid="{00000000-0005-0000-0000-0000E8070000}"/>
    <cellStyle name="40% - Accent2 3 4 3 2 2" xfId="10100" xr:uid="{00000000-0005-0000-0000-0000E9070000}"/>
    <cellStyle name="40% - Accent2 3 4 3 3" xfId="7661" xr:uid="{00000000-0005-0000-0000-0000EA070000}"/>
    <cellStyle name="40% - Accent2 3 4 4" xfId="3821" xr:uid="{00000000-0005-0000-0000-0000EB070000}"/>
    <cellStyle name="40% - Accent2 3 4 4 2" xfId="8920" xr:uid="{00000000-0005-0000-0000-0000EC070000}"/>
    <cellStyle name="40% - Accent2 3 4 5" xfId="6401" xr:uid="{00000000-0005-0000-0000-0000ED070000}"/>
    <cellStyle name="40% - Accent2 3 5" xfId="697" xr:uid="{00000000-0005-0000-0000-0000EE070000}"/>
    <cellStyle name="40% - Accent2 3 5 2" xfId="2499" xr:uid="{00000000-0005-0000-0000-0000EF070000}"/>
    <cellStyle name="40% - Accent2 3 5 2 2" xfId="4946" xr:uid="{00000000-0005-0000-0000-0000F0070000}"/>
    <cellStyle name="40% - Accent2 3 5 2 2 2" xfId="10042" xr:uid="{00000000-0005-0000-0000-0000F1070000}"/>
    <cellStyle name="40% - Accent2 3 5 2 3" xfId="7603" xr:uid="{00000000-0005-0000-0000-0000F2070000}"/>
    <cellStyle name="40% - Accent2 3 5 3" xfId="3763" xr:uid="{00000000-0005-0000-0000-0000F3070000}"/>
    <cellStyle name="40% - Accent2 3 5 3 2" xfId="8862" xr:uid="{00000000-0005-0000-0000-0000F4070000}"/>
    <cellStyle name="40% - Accent2 3 5 4" xfId="6343" xr:uid="{00000000-0005-0000-0000-0000F5070000}"/>
    <cellStyle name="40% - Accent2 3 6" xfId="1285" xr:uid="{00000000-0005-0000-0000-0000F6070000}"/>
    <cellStyle name="40% - Accent2 3 6 2" xfId="2834" xr:uid="{00000000-0005-0000-0000-0000F7070000}"/>
    <cellStyle name="40% - Accent2 3 6 2 2" xfId="5236" xr:uid="{00000000-0005-0000-0000-0000F8070000}"/>
    <cellStyle name="40% - Accent2 3 6 2 2 2" xfId="10332" xr:uid="{00000000-0005-0000-0000-0000F9070000}"/>
    <cellStyle name="40% - Accent2 3 6 2 3" xfId="7937" xr:uid="{00000000-0005-0000-0000-0000FA070000}"/>
    <cellStyle name="40% - Accent2 3 6 3" xfId="4044" xr:uid="{00000000-0005-0000-0000-0000FB070000}"/>
    <cellStyle name="40% - Accent2 3 6 3 2" xfId="9140" xr:uid="{00000000-0005-0000-0000-0000FC070000}"/>
    <cellStyle name="40% - Accent2 3 6 4" xfId="6652" xr:uid="{00000000-0005-0000-0000-0000FD070000}"/>
    <cellStyle name="40% - Accent2 4" xfId="223" xr:uid="{00000000-0005-0000-0000-0000FE070000}"/>
    <cellStyle name="40% - Accent2 4 2" xfId="734" xr:uid="{00000000-0005-0000-0000-0000FF070000}"/>
    <cellStyle name="40% - Accent2 4 2 2" xfId="1291" xr:uid="{00000000-0005-0000-0000-000000080000}"/>
    <cellStyle name="40% - Accent2 4 2 3" xfId="2520" xr:uid="{00000000-0005-0000-0000-000001080000}"/>
    <cellStyle name="40% - Accent2 4 2 3 2" xfId="4967" xr:uid="{00000000-0005-0000-0000-000002080000}"/>
    <cellStyle name="40% - Accent2 4 2 3 2 2" xfId="10063" xr:uid="{00000000-0005-0000-0000-000003080000}"/>
    <cellStyle name="40% - Accent2 4 2 3 3" xfId="7624" xr:uid="{00000000-0005-0000-0000-000004080000}"/>
    <cellStyle name="40% - Accent2 4 2 4" xfId="3784" xr:uid="{00000000-0005-0000-0000-000005080000}"/>
    <cellStyle name="40% - Accent2 4 2 4 2" xfId="8883" xr:uid="{00000000-0005-0000-0000-000006080000}"/>
    <cellStyle name="40% - Accent2 4 2 5" xfId="6364" xr:uid="{00000000-0005-0000-0000-000007080000}"/>
    <cellStyle name="40% - Accent2 4 3" xfId="879" xr:uid="{00000000-0005-0000-0000-000008080000}"/>
    <cellStyle name="40% - Accent2 4 3 2" xfId="1292" xr:uid="{00000000-0005-0000-0000-000009080000}"/>
    <cellStyle name="40% - Accent2 4 3 2 2" xfId="2840" xr:uid="{00000000-0005-0000-0000-00000A080000}"/>
    <cellStyle name="40% - Accent2 4 3 2 2 2" xfId="5242" xr:uid="{00000000-0005-0000-0000-00000B080000}"/>
    <cellStyle name="40% - Accent2 4 3 2 2 2 2" xfId="10338" xr:uid="{00000000-0005-0000-0000-00000C080000}"/>
    <cellStyle name="40% - Accent2 4 3 2 2 3" xfId="7943" xr:uid="{00000000-0005-0000-0000-00000D080000}"/>
    <cellStyle name="40% - Accent2 4 3 2 3" xfId="4050" xr:uid="{00000000-0005-0000-0000-00000E080000}"/>
    <cellStyle name="40% - Accent2 4 3 2 3 2" xfId="9146" xr:uid="{00000000-0005-0000-0000-00000F080000}"/>
    <cellStyle name="40% - Accent2 4 3 2 4" xfId="6658" xr:uid="{00000000-0005-0000-0000-000010080000}"/>
    <cellStyle name="40% - Accent2 4 3 3" xfId="2584" xr:uid="{00000000-0005-0000-0000-000011080000}"/>
    <cellStyle name="40% - Accent2 4 3 3 2" xfId="5028" xr:uid="{00000000-0005-0000-0000-000012080000}"/>
    <cellStyle name="40% - Accent2 4 3 3 2 2" xfId="10124" xr:uid="{00000000-0005-0000-0000-000013080000}"/>
    <cellStyle name="40% - Accent2 4 3 3 3" xfId="7687" xr:uid="{00000000-0005-0000-0000-000014080000}"/>
    <cellStyle name="40% - Accent2 4 3 4" xfId="3845" xr:uid="{00000000-0005-0000-0000-000015080000}"/>
    <cellStyle name="40% - Accent2 4 3 4 2" xfId="8944" xr:uid="{00000000-0005-0000-0000-000016080000}"/>
    <cellStyle name="40% - Accent2 4 3 5" xfId="6430" xr:uid="{00000000-0005-0000-0000-000017080000}"/>
    <cellStyle name="40% - Accent2 4 4" xfId="640" xr:uid="{00000000-0005-0000-0000-000018080000}"/>
    <cellStyle name="40% - Accent2 4 4 2" xfId="2445" xr:uid="{00000000-0005-0000-0000-000019080000}"/>
    <cellStyle name="40% - Accent2 4 4 2 2" xfId="4892" xr:uid="{00000000-0005-0000-0000-00001A080000}"/>
    <cellStyle name="40% - Accent2 4 4 2 2 2" xfId="9988" xr:uid="{00000000-0005-0000-0000-00001B080000}"/>
    <cellStyle name="40% - Accent2 4 4 2 3" xfId="7549" xr:uid="{00000000-0005-0000-0000-00001C080000}"/>
    <cellStyle name="40% - Accent2 4 4 3" xfId="3709" xr:uid="{00000000-0005-0000-0000-00001D080000}"/>
    <cellStyle name="40% - Accent2 4 4 3 2" xfId="8808" xr:uid="{00000000-0005-0000-0000-00001E080000}"/>
    <cellStyle name="40% - Accent2 4 4 4" xfId="6289" xr:uid="{00000000-0005-0000-0000-00001F080000}"/>
    <cellStyle name="40% - Accent2 4 5" xfId="911" xr:uid="{00000000-0005-0000-0000-000020080000}"/>
    <cellStyle name="40% - Accent2 4 5 2" xfId="2612" xr:uid="{00000000-0005-0000-0000-000021080000}"/>
    <cellStyle name="40% - Accent2 4 5 2 2" xfId="5056" xr:uid="{00000000-0005-0000-0000-000022080000}"/>
    <cellStyle name="40% - Accent2 4 5 2 2 2" xfId="10152" xr:uid="{00000000-0005-0000-0000-000023080000}"/>
    <cellStyle name="40% - Accent2 4 5 2 3" xfId="7715" xr:uid="{00000000-0005-0000-0000-000024080000}"/>
    <cellStyle name="40% - Accent2 4 5 3" xfId="3873" xr:uid="{00000000-0005-0000-0000-000025080000}"/>
    <cellStyle name="40% - Accent2 4 5 3 2" xfId="8972" xr:uid="{00000000-0005-0000-0000-000026080000}"/>
    <cellStyle name="40% - Accent2 4 5 4" xfId="6458" xr:uid="{00000000-0005-0000-0000-000027080000}"/>
    <cellStyle name="40% - Accent2 4 6" xfId="1290" xr:uid="{00000000-0005-0000-0000-000028080000}"/>
    <cellStyle name="40% - Accent2 4 6 2" xfId="2839" xr:uid="{00000000-0005-0000-0000-000029080000}"/>
    <cellStyle name="40% - Accent2 4 6 2 2" xfId="5241" xr:uid="{00000000-0005-0000-0000-00002A080000}"/>
    <cellStyle name="40% - Accent2 4 6 2 2 2" xfId="10337" xr:uid="{00000000-0005-0000-0000-00002B080000}"/>
    <cellStyle name="40% - Accent2 4 6 2 3" xfId="7942" xr:uid="{00000000-0005-0000-0000-00002C080000}"/>
    <cellStyle name="40% - Accent2 4 6 3" xfId="4049" xr:uid="{00000000-0005-0000-0000-00002D080000}"/>
    <cellStyle name="40% - Accent2 4 6 3 2" xfId="9145" xr:uid="{00000000-0005-0000-0000-00002E080000}"/>
    <cellStyle name="40% - Accent2 4 6 4" xfId="6657" xr:uid="{00000000-0005-0000-0000-00002F080000}"/>
    <cellStyle name="40% - Accent2 5" xfId="224" xr:uid="{00000000-0005-0000-0000-000030080000}"/>
    <cellStyle name="40% - Accent2 5 2" xfId="898" xr:uid="{00000000-0005-0000-0000-000031080000}"/>
    <cellStyle name="40% - Accent2 5 2 2" xfId="2603" xr:uid="{00000000-0005-0000-0000-000032080000}"/>
    <cellStyle name="40% - Accent2 5 2 2 2" xfId="5047" xr:uid="{00000000-0005-0000-0000-000033080000}"/>
    <cellStyle name="40% - Accent2 5 2 2 2 2" xfId="10143" xr:uid="{00000000-0005-0000-0000-000034080000}"/>
    <cellStyle name="40% - Accent2 5 2 2 3" xfId="7706" xr:uid="{00000000-0005-0000-0000-000035080000}"/>
    <cellStyle name="40% - Accent2 5 2 3" xfId="3864" xr:uid="{00000000-0005-0000-0000-000036080000}"/>
    <cellStyle name="40% - Accent2 5 2 3 2" xfId="8963" xr:uid="{00000000-0005-0000-0000-000037080000}"/>
    <cellStyle name="40% - Accent2 5 2 4" xfId="6449" xr:uid="{00000000-0005-0000-0000-000038080000}"/>
    <cellStyle name="40% - Accent2 5 3" xfId="887" xr:uid="{00000000-0005-0000-0000-000039080000}"/>
    <cellStyle name="40% - Accent2 5 3 2" xfId="2592" xr:uid="{00000000-0005-0000-0000-00003A080000}"/>
    <cellStyle name="40% - Accent2 5 3 2 2" xfId="5036" xr:uid="{00000000-0005-0000-0000-00003B080000}"/>
    <cellStyle name="40% - Accent2 5 3 2 2 2" xfId="10132" xr:uid="{00000000-0005-0000-0000-00003C080000}"/>
    <cellStyle name="40% - Accent2 5 3 2 3" xfId="7695" xr:uid="{00000000-0005-0000-0000-00003D080000}"/>
    <cellStyle name="40% - Accent2 5 3 3" xfId="3853" xr:uid="{00000000-0005-0000-0000-00003E080000}"/>
    <cellStyle name="40% - Accent2 5 3 3 2" xfId="8952" xr:uid="{00000000-0005-0000-0000-00003F080000}"/>
    <cellStyle name="40% - Accent2 5 3 4" xfId="6438" xr:uid="{00000000-0005-0000-0000-000040080000}"/>
    <cellStyle name="40% - Accent2 5 4" xfId="1293" xr:uid="{00000000-0005-0000-0000-000041080000}"/>
    <cellStyle name="40% - Accent2 6" xfId="225" xr:uid="{00000000-0005-0000-0000-000042080000}"/>
    <cellStyle name="40% - Accent2 6 2" xfId="660" xr:uid="{00000000-0005-0000-0000-000043080000}"/>
    <cellStyle name="40% - Accent2 6 2 2" xfId="2464" xr:uid="{00000000-0005-0000-0000-000044080000}"/>
    <cellStyle name="40% - Accent2 6 2 2 2" xfId="4911" xr:uid="{00000000-0005-0000-0000-000045080000}"/>
    <cellStyle name="40% - Accent2 6 2 2 2 2" xfId="10007" xr:uid="{00000000-0005-0000-0000-000046080000}"/>
    <cellStyle name="40% - Accent2 6 2 2 3" xfId="7568" xr:uid="{00000000-0005-0000-0000-000047080000}"/>
    <cellStyle name="40% - Accent2 6 2 3" xfId="3728" xr:uid="{00000000-0005-0000-0000-000048080000}"/>
    <cellStyle name="40% - Accent2 6 2 3 2" xfId="8827" xr:uid="{00000000-0005-0000-0000-000049080000}"/>
    <cellStyle name="40% - Accent2 6 2 4" xfId="6308" xr:uid="{00000000-0005-0000-0000-00004A080000}"/>
    <cellStyle name="40% - Accent2 6 3" xfId="1294" xr:uid="{00000000-0005-0000-0000-00004B080000}"/>
    <cellStyle name="40% - Accent2 7" xfId="226" xr:uid="{00000000-0005-0000-0000-00004C080000}"/>
    <cellStyle name="40% - Accent2 7 2" xfId="571" xr:uid="{00000000-0005-0000-0000-00004D080000}"/>
    <cellStyle name="40% - Accent2 7 2 2" xfId="2377" xr:uid="{00000000-0005-0000-0000-00004E080000}"/>
    <cellStyle name="40% - Accent2 7 2 2 2" xfId="4824" xr:uid="{00000000-0005-0000-0000-00004F080000}"/>
    <cellStyle name="40% - Accent2 7 2 2 2 2" xfId="9920" xr:uid="{00000000-0005-0000-0000-000050080000}"/>
    <cellStyle name="40% - Accent2 7 2 2 3" xfId="7481" xr:uid="{00000000-0005-0000-0000-000051080000}"/>
    <cellStyle name="40% - Accent2 7 2 3" xfId="3641" xr:uid="{00000000-0005-0000-0000-000052080000}"/>
    <cellStyle name="40% - Accent2 7 2 3 2" xfId="8740" xr:uid="{00000000-0005-0000-0000-000053080000}"/>
    <cellStyle name="40% - Accent2 7 2 4" xfId="6221" xr:uid="{00000000-0005-0000-0000-000054080000}"/>
    <cellStyle name="40% - Accent2 7 3" xfId="1295" xr:uid="{00000000-0005-0000-0000-000055080000}"/>
    <cellStyle name="40% - Accent2 8" xfId="227" xr:uid="{00000000-0005-0000-0000-000056080000}"/>
    <cellStyle name="40% - Accent2 8 2" xfId="761" xr:uid="{00000000-0005-0000-0000-000057080000}"/>
    <cellStyle name="40% - Accent2 8 2 2" xfId="2542" xr:uid="{00000000-0005-0000-0000-000058080000}"/>
    <cellStyle name="40% - Accent2 8 2 2 2" xfId="4989" xr:uid="{00000000-0005-0000-0000-000059080000}"/>
    <cellStyle name="40% - Accent2 8 2 2 2 2" xfId="10085" xr:uid="{00000000-0005-0000-0000-00005A080000}"/>
    <cellStyle name="40% - Accent2 8 2 2 3" xfId="7646" xr:uid="{00000000-0005-0000-0000-00005B080000}"/>
    <cellStyle name="40% - Accent2 8 2 3" xfId="3806" xr:uid="{00000000-0005-0000-0000-00005C080000}"/>
    <cellStyle name="40% - Accent2 8 2 3 2" xfId="8905" xr:uid="{00000000-0005-0000-0000-00005D080000}"/>
    <cellStyle name="40% - Accent2 8 2 4" xfId="6386" xr:uid="{00000000-0005-0000-0000-00005E080000}"/>
    <cellStyle name="40% - Accent2 8 3" xfId="1296" xr:uid="{00000000-0005-0000-0000-00005F080000}"/>
    <cellStyle name="40% - Accent2 9" xfId="715" xr:uid="{00000000-0005-0000-0000-000060080000}"/>
    <cellStyle name="40% - Accent2 9 2" xfId="1046" xr:uid="{00000000-0005-0000-0000-000061080000}"/>
    <cellStyle name="40% - Accent2 9 2 2" xfId="2676" xr:uid="{00000000-0005-0000-0000-000062080000}"/>
    <cellStyle name="40% - Accent2 9 2 2 2" xfId="5085" xr:uid="{00000000-0005-0000-0000-000063080000}"/>
    <cellStyle name="40% - Accent2 9 2 2 2 2" xfId="10181" xr:uid="{00000000-0005-0000-0000-000064080000}"/>
    <cellStyle name="40% - Accent2 9 2 2 3" xfId="7779" xr:uid="{00000000-0005-0000-0000-000065080000}"/>
    <cellStyle name="40% - Accent2 9 2 3" xfId="3902" xr:uid="{00000000-0005-0000-0000-000066080000}"/>
    <cellStyle name="40% - Accent2 9 2 3 2" xfId="9001" xr:uid="{00000000-0005-0000-0000-000067080000}"/>
    <cellStyle name="40% - Accent2 9 2 4" xfId="6523" xr:uid="{00000000-0005-0000-0000-000068080000}"/>
    <cellStyle name="40% - Accent2 9 3" xfId="2512" xr:uid="{00000000-0005-0000-0000-000069080000}"/>
    <cellStyle name="40% - Accent2 9 3 2" xfId="4959" xr:uid="{00000000-0005-0000-0000-00006A080000}"/>
    <cellStyle name="40% - Accent2 9 3 2 2" xfId="10055" xr:uid="{00000000-0005-0000-0000-00006B080000}"/>
    <cellStyle name="40% - Accent2 9 3 3" xfId="7616" xr:uid="{00000000-0005-0000-0000-00006C080000}"/>
    <cellStyle name="40% - Accent2 9 4" xfId="3776" xr:uid="{00000000-0005-0000-0000-00006D080000}"/>
    <cellStyle name="40% - Accent2 9 4 2" xfId="8875" xr:uid="{00000000-0005-0000-0000-00006E080000}"/>
    <cellStyle name="40% - Accent2 9 5" xfId="6356" xr:uid="{00000000-0005-0000-0000-00006F080000}"/>
    <cellStyle name="40% - Accent3" xfId="134" builtinId="39" customBuiltin="1"/>
    <cellStyle name="40% - Accent3 10" xfId="2731" xr:uid="{00000000-0005-0000-0000-000071080000}"/>
    <cellStyle name="40% - Accent3 10 2" xfId="5133" xr:uid="{00000000-0005-0000-0000-000072080000}"/>
    <cellStyle name="40% - Accent3 10 2 2" xfId="10229" xr:uid="{00000000-0005-0000-0000-000073080000}"/>
    <cellStyle name="40% - Accent3 10 3" xfId="7834" xr:uid="{00000000-0005-0000-0000-000074080000}"/>
    <cellStyle name="40% - Accent3 11" xfId="3592" xr:uid="{00000000-0005-0000-0000-000075080000}"/>
    <cellStyle name="40% - Accent3 11 2" xfId="8695" xr:uid="{00000000-0005-0000-0000-000076080000}"/>
    <cellStyle name="40% - Accent3 12" xfId="6546" xr:uid="{00000000-0005-0000-0000-000077080000}"/>
    <cellStyle name="40% - Accent3 2" xfId="22" xr:uid="{00000000-0005-0000-0000-000078080000}"/>
    <cellStyle name="40% - Accent3 2 2" xfId="804" xr:uid="{00000000-0005-0000-0000-000079080000}"/>
    <cellStyle name="40% - Accent3 2 2 2" xfId="594" xr:uid="{00000000-0005-0000-0000-00007A080000}"/>
    <cellStyle name="40% - Accent3 2 2 2 2" xfId="1299" xr:uid="{00000000-0005-0000-0000-00007B080000}"/>
    <cellStyle name="40% - Accent3 2 2 2 2 2" xfId="2844" xr:uid="{00000000-0005-0000-0000-00007C080000}"/>
    <cellStyle name="40% - Accent3 2 2 2 2 2 2" xfId="5245" xr:uid="{00000000-0005-0000-0000-00007D080000}"/>
    <cellStyle name="40% - Accent3 2 2 2 2 2 2 2" xfId="10341" xr:uid="{00000000-0005-0000-0000-00007E080000}"/>
    <cellStyle name="40% - Accent3 2 2 2 2 2 3" xfId="7947" xr:uid="{00000000-0005-0000-0000-00007F080000}"/>
    <cellStyle name="40% - Accent3 2 2 2 2 3" xfId="4053" xr:uid="{00000000-0005-0000-0000-000080080000}"/>
    <cellStyle name="40% - Accent3 2 2 2 2 3 2" xfId="9149" xr:uid="{00000000-0005-0000-0000-000081080000}"/>
    <cellStyle name="40% - Accent3 2 2 2 2 4" xfId="6661" xr:uid="{00000000-0005-0000-0000-000082080000}"/>
    <cellStyle name="40% - Accent3 2 2 2 3" xfId="2400" xr:uid="{00000000-0005-0000-0000-000083080000}"/>
    <cellStyle name="40% - Accent3 2 2 2 3 2" xfId="4847" xr:uid="{00000000-0005-0000-0000-000084080000}"/>
    <cellStyle name="40% - Accent3 2 2 2 3 2 2" xfId="9943" xr:uid="{00000000-0005-0000-0000-000085080000}"/>
    <cellStyle name="40% - Accent3 2 2 2 3 3" xfId="7504" xr:uid="{00000000-0005-0000-0000-000086080000}"/>
    <cellStyle name="40% - Accent3 2 2 2 4" xfId="3664" xr:uid="{00000000-0005-0000-0000-000087080000}"/>
    <cellStyle name="40% - Accent3 2 2 2 4 2" xfId="8763" xr:uid="{00000000-0005-0000-0000-000088080000}"/>
    <cellStyle name="40% - Accent3 2 2 2 5" xfId="6244" xr:uid="{00000000-0005-0000-0000-000089080000}"/>
    <cellStyle name="40% - Accent3 2 2 3" xfId="1298" xr:uid="{00000000-0005-0000-0000-00008A080000}"/>
    <cellStyle name="40% - Accent3 2 2 3 2" xfId="2843" xr:uid="{00000000-0005-0000-0000-00008B080000}"/>
    <cellStyle name="40% - Accent3 2 2 3 2 2" xfId="5244" xr:uid="{00000000-0005-0000-0000-00008C080000}"/>
    <cellStyle name="40% - Accent3 2 2 3 2 2 2" xfId="10340" xr:uid="{00000000-0005-0000-0000-00008D080000}"/>
    <cellStyle name="40% - Accent3 2 2 3 2 3" xfId="7946" xr:uid="{00000000-0005-0000-0000-00008E080000}"/>
    <cellStyle name="40% - Accent3 2 2 3 3" xfId="4052" xr:uid="{00000000-0005-0000-0000-00008F080000}"/>
    <cellStyle name="40% - Accent3 2 2 3 3 2" xfId="9148" xr:uid="{00000000-0005-0000-0000-000090080000}"/>
    <cellStyle name="40% - Accent3 2 2 3 4" xfId="6660" xr:uid="{00000000-0005-0000-0000-000091080000}"/>
    <cellStyle name="40% - Accent3 2 3" xfId="755" xr:uid="{00000000-0005-0000-0000-000092080000}"/>
    <cellStyle name="40% - Accent3 2 3 2" xfId="1300" xr:uid="{00000000-0005-0000-0000-000093080000}"/>
    <cellStyle name="40% - Accent3 2 3 2 2" xfId="2845" xr:uid="{00000000-0005-0000-0000-000094080000}"/>
    <cellStyle name="40% - Accent3 2 3 2 2 2" xfId="5246" xr:uid="{00000000-0005-0000-0000-000095080000}"/>
    <cellStyle name="40% - Accent3 2 3 2 2 2 2" xfId="10342" xr:uid="{00000000-0005-0000-0000-000096080000}"/>
    <cellStyle name="40% - Accent3 2 3 2 2 3" xfId="7948" xr:uid="{00000000-0005-0000-0000-000097080000}"/>
    <cellStyle name="40% - Accent3 2 3 2 3" xfId="4054" xr:uid="{00000000-0005-0000-0000-000098080000}"/>
    <cellStyle name="40% - Accent3 2 3 2 3 2" xfId="9150" xr:uid="{00000000-0005-0000-0000-000099080000}"/>
    <cellStyle name="40% - Accent3 2 3 2 4" xfId="6662" xr:uid="{00000000-0005-0000-0000-00009A080000}"/>
    <cellStyle name="40% - Accent3 2 3 3" xfId="2538" xr:uid="{00000000-0005-0000-0000-00009B080000}"/>
    <cellStyle name="40% - Accent3 2 3 3 2" xfId="4985" xr:uid="{00000000-0005-0000-0000-00009C080000}"/>
    <cellStyle name="40% - Accent3 2 3 3 2 2" xfId="10081" xr:uid="{00000000-0005-0000-0000-00009D080000}"/>
    <cellStyle name="40% - Accent3 2 3 3 3" xfId="7642" xr:uid="{00000000-0005-0000-0000-00009E080000}"/>
    <cellStyle name="40% - Accent3 2 3 4" xfId="3802" xr:uid="{00000000-0005-0000-0000-00009F080000}"/>
    <cellStyle name="40% - Accent3 2 3 4 2" xfId="8901" xr:uid="{00000000-0005-0000-0000-0000A0080000}"/>
    <cellStyle name="40% - Accent3 2 3 5" xfId="6382" xr:uid="{00000000-0005-0000-0000-0000A1080000}"/>
    <cellStyle name="40% - Accent3 2 4" xfId="652" xr:uid="{00000000-0005-0000-0000-0000A2080000}"/>
    <cellStyle name="40% - Accent3 2 4 2" xfId="1301" xr:uid="{00000000-0005-0000-0000-0000A3080000}"/>
    <cellStyle name="40% - Accent3 2 4 2 2" xfId="2846" xr:uid="{00000000-0005-0000-0000-0000A4080000}"/>
    <cellStyle name="40% - Accent3 2 4 2 2 2" xfId="5247" xr:uid="{00000000-0005-0000-0000-0000A5080000}"/>
    <cellStyle name="40% - Accent3 2 4 2 2 2 2" xfId="10343" xr:uid="{00000000-0005-0000-0000-0000A6080000}"/>
    <cellStyle name="40% - Accent3 2 4 2 2 3" xfId="7949" xr:uid="{00000000-0005-0000-0000-0000A7080000}"/>
    <cellStyle name="40% - Accent3 2 4 2 3" xfId="4055" xr:uid="{00000000-0005-0000-0000-0000A8080000}"/>
    <cellStyle name="40% - Accent3 2 4 2 3 2" xfId="9151" xr:uid="{00000000-0005-0000-0000-0000A9080000}"/>
    <cellStyle name="40% - Accent3 2 4 2 4" xfId="6663" xr:uid="{00000000-0005-0000-0000-0000AA080000}"/>
    <cellStyle name="40% - Accent3 2 4 3" xfId="2456" xr:uid="{00000000-0005-0000-0000-0000AB080000}"/>
    <cellStyle name="40% - Accent3 2 4 3 2" xfId="4903" xr:uid="{00000000-0005-0000-0000-0000AC080000}"/>
    <cellStyle name="40% - Accent3 2 4 3 2 2" xfId="9999" xr:uid="{00000000-0005-0000-0000-0000AD080000}"/>
    <cellStyle name="40% - Accent3 2 4 3 3" xfId="7560" xr:uid="{00000000-0005-0000-0000-0000AE080000}"/>
    <cellStyle name="40% - Accent3 2 4 4" xfId="3720" xr:uid="{00000000-0005-0000-0000-0000AF080000}"/>
    <cellStyle name="40% - Accent3 2 4 4 2" xfId="8819" xr:uid="{00000000-0005-0000-0000-0000B0080000}"/>
    <cellStyle name="40% - Accent3 2 4 5" xfId="6300" xr:uid="{00000000-0005-0000-0000-0000B1080000}"/>
    <cellStyle name="40% - Accent3 2 5" xfId="684" xr:uid="{00000000-0005-0000-0000-0000B2080000}"/>
    <cellStyle name="40% - Accent3 2 5 2" xfId="2486" xr:uid="{00000000-0005-0000-0000-0000B3080000}"/>
    <cellStyle name="40% - Accent3 2 5 2 2" xfId="4933" xr:uid="{00000000-0005-0000-0000-0000B4080000}"/>
    <cellStyle name="40% - Accent3 2 5 2 2 2" xfId="10029" xr:uid="{00000000-0005-0000-0000-0000B5080000}"/>
    <cellStyle name="40% - Accent3 2 5 2 3" xfId="7590" xr:uid="{00000000-0005-0000-0000-0000B6080000}"/>
    <cellStyle name="40% - Accent3 2 5 3" xfId="3750" xr:uid="{00000000-0005-0000-0000-0000B7080000}"/>
    <cellStyle name="40% - Accent3 2 5 3 2" xfId="8849" xr:uid="{00000000-0005-0000-0000-0000B8080000}"/>
    <cellStyle name="40% - Accent3 2 5 4" xfId="6330" xr:uid="{00000000-0005-0000-0000-0000B9080000}"/>
    <cellStyle name="40% - Accent3 2 6" xfId="1297" xr:uid="{00000000-0005-0000-0000-0000BA080000}"/>
    <cellStyle name="40% - Accent3 2 6 2" xfId="2842" xr:uid="{00000000-0005-0000-0000-0000BB080000}"/>
    <cellStyle name="40% - Accent3 2 6 2 2" xfId="5243" xr:uid="{00000000-0005-0000-0000-0000BC080000}"/>
    <cellStyle name="40% - Accent3 2 6 2 2 2" xfId="10339" xr:uid="{00000000-0005-0000-0000-0000BD080000}"/>
    <cellStyle name="40% - Accent3 2 6 2 3" xfId="7945" xr:uid="{00000000-0005-0000-0000-0000BE080000}"/>
    <cellStyle name="40% - Accent3 2 6 3" xfId="4051" xr:uid="{00000000-0005-0000-0000-0000BF080000}"/>
    <cellStyle name="40% - Accent3 2 6 3 2" xfId="9147" xr:uid="{00000000-0005-0000-0000-0000C0080000}"/>
    <cellStyle name="40% - Accent3 2 6 4" xfId="6659" xr:uid="{00000000-0005-0000-0000-0000C1080000}"/>
    <cellStyle name="40% - Accent3 3" xfId="228" xr:uid="{00000000-0005-0000-0000-0000C2080000}"/>
    <cellStyle name="40% - Accent3 3 2" xfId="805" xr:uid="{00000000-0005-0000-0000-0000C3080000}"/>
    <cellStyle name="40% - Accent3 3 2 2" xfId="928" xr:uid="{00000000-0005-0000-0000-0000C4080000}"/>
    <cellStyle name="40% - Accent3 3 2 2 2" xfId="1304" xr:uid="{00000000-0005-0000-0000-0000C5080000}"/>
    <cellStyle name="40% - Accent3 3 2 2 2 2" xfId="2849" xr:uid="{00000000-0005-0000-0000-0000C6080000}"/>
    <cellStyle name="40% - Accent3 3 2 2 2 2 2" xfId="5250" xr:uid="{00000000-0005-0000-0000-0000C7080000}"/>
    <cellStyle name="40% - Accent3 3 2 2 2 2 2 2" xfId="10346" xr:uid="{00000000-0005-0000-0000-0000C8080000}"/>
    <cellStyle name="40% - Accent3 3 2 2 2 2 3" xfId="7952" xr:uid="{00000000-0005-0000-0000-0000C9080000}"/>
    <cellStyle name="40% - Accent3 3 2 2 2 3" xfId="4058" xr:uid="{00000000-0005-0000-0000-0000CA080000}"/>
    <cellStyle name="40% - Accent3 3 2 2 2 3 2" xfId="9154" xr:uid="{00000000-0005-0000-0000-0000CB080000}"/>
    <cellStyle name="40% - Accent3 3 2 2 2 4" xfId="6666" xr:uid="{00000000-0005-0000-0000-0000CC080000}"/>
    <cellStyle name="40% - Accent3 3 2 2 3" xfId="2628" xr:uid="{00000000-0005-0000-0000-0000CD080000}"/>
    <cellStyle name="40% - Accent3 3 2 2 3 2" xfId="5072" xr:uid="{00000000-0005-0000-0000-0000CE080000}"/>
    <cellStyle name="40% - Accent3 3 2 2 3 2 2" xfId="10168" xr:uid="{00000000-0005-0000-0000-0000CF080000}"/>
    <cellStyle name="40% - Accent3 3 2 2 3 3" xfId="7731" xr:uid="{00000000-0005-0000-0000-0000D0080000}"/>
    <cellStyle name="40% - Accent3 3 2 2 4" xfId="3889" xr:uid="{00000000-0005-0000-0000-0000D1080000}"/>
    <cellStyle name="40% - Accent3 3 2 2 4 2" xfId="8988" xr:uid="{00000000-0005-0000-0000-0000D2080000}"/>
    <cellStyle name="40% - Accent3 3 2 2 5" xfId="6474" xr:uid="{00000000-0005-0000-0000-0000D3080000}"/>
    <cellStyle name="40% - Accent3 3 2 3" xfId="1303" xr:uid="{00000000-0005-0000-0000-0000D4080000}"/>
    <cellStyle name="40% - Accent3 3 2 3 2" xfId="2848" xr:uid="{00000000-0005-0000-0000-0000D5080000}"/>
    <cellStyle name="40% - Accent3 3 2 3 2 2" xfId="5249" xr:uid="{00000000-0005-0000-0000-0000D6080000}"/>
    <cellStyle name="40% - Accent3 3 2 3 2 2 2" xfId="10345" xr:uid="{00000000-0005-0000-0000-0000D7080000}"/>
    <cellStyle name="40% - Accent3 3 2 3 2 3" xfId="7951" xr:uid="{00000000-0005-0000-0000-0000D8080000}"/>
    <cellStyle name="40% - Accent3 3 2 3 3" xfId="4057" xr:uid="{00000000-0005-0000-0000-0000D9080000}"/>
    <cellStyle name="40% - Accent3 3 2 3 3 2" xfId="9153" xr:uid="{00000000-0005-0000-0000-0000DA080000}"/>
    <cellStyle name="40% - Accent3 3 2 3 4" xfId="6665" xr:uid="{00000000-0005-0000-0000-0000DB080000}"/>
    <cellStyle name="40% - Accent3 3 3" xfId="626" xr:uid="{00000000-0005-0000-0000-0000DC080000}"/>
    <cellStyle name="40% - Accent3 3 3 2" xfId="1305" xr:uid="{00000000-0005-0000-0000-0000DD080000}"/>
    <cellStyle name="40% - Accent3 3 3 2 2" xfId="2850" xr:uid="{00000000-0005-0000-0000-0000DE080000}"/>
    <cellStyle name="40% - Accent3 3 3 2 2 2" xfId="5251" xr:uid="{00000000-0005-0000-0000-0000DF080000}"/>
    <cellStyle name="40% - Accent3 3 3 2 2 2 2" xfId="10347" xr:uid="{00000000-0005-0000-0000-0000E0080000}"/>
    <cellStyle name="40% - Accent3 3 3 2 2 3" xfId="7953" xr:uid="{00000000-0005-0000-0000-0000E1080000}"/>
    <cellStyle name="40% - Accent3 3 3 2 3" xfId="4059" xr:uid="{00000000-0005-0000-0000-0000E2080000}"/>
    <cellStyle name="40% - Accent3 3 3 2 3 2" xfId="9155" xr:uid="{00000000-0005-0000-0000-0000E3080000}"/>
    <cellStyle name="40% - Accent3 3 3 2 4" xfId="6667" xr:uid="{00000000-0005-0000-0000-0000E4080000}"/>
    <cellStyle name="40% - Accent3 3 3 3" xfId="2432" xr:uid="{00000000-0005-0000-0000-0000E5080000}"/>
    <cellStyle name="40% - Accent3 3 3 3 2" xfId="4879" xr:uid="{00000000-0005-0000-0000-0000E6080000}"/>
    <cellStyle name="40% - Accent3 3 3 3 2 2" xfId="9975" xr:uid="{00000000-0005-0000-0000-0000E7080000}"/>
    <cellStyle name="40% - Accent3 3 3 3 3" xfId="7536" xr:uid="{00000000-0005-0000-0000-0000E8080000}"/>
    <cellStyle name="40% - Accent3 3 3 4" xfId="3696" xr:uid="{00000000-0005-0000-0000-0000E9080000}"/>
    <cellStyle name="40% - Accent3 3 3 4 2" xfId="8795" xr:uid="{00000000-0005-0000-0000-0000EA080000}"/>
    <cellStyle name="40% - Accent3 3 3 5" xfId="6276" xr:uid="{00000000-0005-0000-0000-0000EB080000}"/>
    <cellStyle name="40% - Accent3 3 4" xfId="747" xr:uid="{00000000-0005-0000-0000-0000EC080000}"/>
    <cellStyle name="40% - Accent3 3 4 2" xfId="1306" xr:uid="{00000000-0005-0000-0000-0000ED080000}"/>
    <cellStyle name="40% - Accent3 3 4 2 2" xfId="2851" xr:uid="{00000000-0005-0000-0000-0000EE080000}"/>
    <cellStyle name="40% - Accent3 3 4 2 2 2" xfId="5252" xr:uid="{00000000-0005-0000-0000-0000EF080000}"/>
    <cellStyle name="40% - Accent3 3 4 2 2 2 2" xfId="10348" xr:uid="{00000000-0005-0000-0000-0000F0080000}"/>
    <cellStyle name="40% - Accent3 3 4 2 2 3" xfId="7954" xr:uid="{00000000-0005-0000-0000-0000F1080000}"/>
    <cellStyle name="40% - Accent3 3 4 2 3" xfId="4060" xr:uid="{00000000-0005-0000-0000-0000F2080000}"/>
    <cellStyle name="40% - Accent3 3 4 2 3 2" xfId="9156" xr:uid="{00000000-0005-0000-0000-0000F3080000}"/>
    <cellStyle name="40% - Accent3 3 4 2 4" xfId="6668" xr:uid="{00000000-0005-0000-0000-0000F4080000}"/>
    <cellStyle name="40% - Accent3 3 4 3" xfId="2532" xr:uid="{00000000-0005-0000-0000-0000F5080000}"/>
    <cellStyle name="40% - Accent3 3 4 3 2" xfId="4979" xr:uid="{00000000-0005-0000-0000-0000F6080000}"/>
    <cellStyle name="40% - Accent3 3 4 3 2 2" xfId="10075" xr:uid="{00000000-0005-0000-0000-0000F7080000}"/>
    <cellStyle name="40% - Accent3 3 4 3 3" xfId="7636" xr:uid="{00000000-0005-0000-0000-0000F8080000}"/>
    <cellStyle name="40% - Accent3 3 4 4" xfId="3796" xr:uid="{00000000-0005-0000-0000-0000F9080000}"/>
    <cellStyle name="40% - Accent3 3 4 4 2" xfId="8895" xr:uid="{00000000-0005-0000-0000-0000FA080000}"/>
    <cellStyle name="40% - Accent3 3 4 5" xfId="6376" xr:uid="{00000000-0005-0000-0000-0000FB080000}"/>
    <cellStyle name="40% - Accent3 3 5" xfId="544" xr:uid="{00000000-0005-0000-0000-0000FC080000}"/>
    <cellStyle name="40% - Accent3 3 5 2" xfId="2353" xr:uid="{00000000-0005-0000-0000-0000FD080000}"/>
    <cellStyle name="40% - Accent3 3 5 2 2" xfId="4800" xr:uid="{00000000-0005-0000-0000-0000FE080000}"/>
    <cellStyle name="40% - Accent3 3 5 2 2 2" xfId="9896" xr:uid="{00000000-0005-0000-0000-0000FF080000}"/>
    <cellStyle name="40% - Accent3 3 5 2 3" xfId="7457" xr:uid="{00000000-0005-0000-0000-000000090000}"/>
    <cellStyle name="40% - Accent3 3 5 3" xfId="3617" xr:uid="{00000000-0005-0000-0000-000001090000}"/>
    <cellStyle name="40% - Accent3 3 5 3 2" xfId="8716" xr:uid="{00000000-0005-0000-0000-000002090000}"/>
    <cellStyle name="40% - Accent3 3 5 4" xfId="6197" xr:uid="{00000000-0005-0000-0000-000003090000}"/>
    <cellStyle name="40% - Accent3 3 6" xfId="1302" xr:uid="{00000000-0005-0000-0000-000004090000}"/>
    <cellStyle name="40% - Accent3 3 6 2" xfId="2847" xr:uid="{00000000-0005-0000-0000-000005090000}"/>
    <cellStyle name="40% - Accent3 3 6 2 2" xfId="5248" xr:uid="{00000000-0005-0000-0000-000006090000}"/>
    <cellStyle name="40% - Accent3 3 6 2 2 2" xfId="10344" xr:uid="{00000000-0005-0000-0000-000007090000}"/>
    <cellStyle name="40% - Accent3 3 6 2 3" xfId="7950" xr:uid="{00000000-0005-0000-0000-000008090000}"/>
    <cellStyle name="40% - Accent3 3 6 3" xfId="4056" xr:uid="{00000000-0005-0000-0000-000009090000}"/>
    <cellStyle name="40% - Accent3 3 6 3 2" xfId="9152" xr:uid="{00000000-0005-0000-0000-00000A090000}"/>
    <cellStyle name="40% - Accent3 3 6 4" xfId="6664" xr:uid="{00000000-0005-0000-0000-00000B090000}"/>
    <cellStyle name="40% - Accent3 4" xfId="229" xr:uid="{00000000-0005-0000-0000-00000C090000}"/>
    <cellStyle name="40% - Accent3 4 2" xfId="785" xr:uid="{00000000-0005-0000-0000-00000D090000}"/>
    <cellStyle name="40% - Accent3 4 2 2" xfId="1308" xr:uid="{00000000-0005-0000-0000-00000E090000}"/>
    <cellStyle name="40% - Accent3 4 2 3" xfId="2566" xr:uid="{00000000-0005-0000-0000-00000F090000}"/>
    <cellStyle name="40% - Accent3 4 2 3 2" xfId="5013" xr:uid="{00000000-0005-0000-0000-000010090000}"/>
    <cellStyle name="40% - Accent3 4 2 3 2 2" xfId="10109" xr:uid="{00000000-0005-0000-0000-000011090000}"/>
    <cellStyle name="40% - Accent3 4 2 3 3" xfId="7670" xr:uid="{00000000-0005-0000-0000-000012090000}"/>
    <cellStyle name="40% - Accent3 4 2 4" xfId="3830" xr:uid="{00000000-0005-0000-0000-000013090000}"/>
    <cellStyle name="40% - Accent3 4 2 4 2" xfId="8929" xr:uid="{00000000-0005-0000-0000-000014090000}"/>
    <cellStyle name="40% - Accent3 4 2 5" xfId="6410" xr:uid="{00000000-0005-0000-0000-000015090000}"/>
    <cellStyle name="40% - Accent3 4 3" xfId="613" xr:uid="{00000000-0005-0000-0000-000016090000}"/>
    <cellStyle name="40% - Accent3 4 3 2" xfId="1309" xr:uid="{00000000-0005-0000-0000-000017090000}"/>
    <cellStyle name="40% - Accent3 4 3 2 2" xfId="2853" xr:uid="{00000000-0005-0000-0000-000018090000}"/>
    <cellStyle name="40% - Accent3 4 3 2 2 2" xfId="5254" xr:uid="{00000000-0005-0000-0000-000019090000}"/>
    <cellStyle name="40% - Accent3 4 3 2 2 2 2" xfId="10350" xr:uid="{00000000-0005-0000-0000-00001A090000}"/>
    <cellStyle name="40% - Accent3 4 3 2 2 3" xfId="7956" xr:uid="{00000000-0005-0000-0000-00001B090000}"/>
    <cellStyle name="40% - Accent3 4 3 2 3" xfId="4062" xr:uid="{00000000-0005-0000-0000-00001C090000}"/>
    <cellStyle name="40% - Accent3 4 3 2 3 2" xfId="9158" xr:uid="{00000000-0005-0000-0000-00001D090000}"/>
    <cellStyle name="40% - Accent3 4 3 2 4" xfId="6670" xr:uid="{00000000-0005-0000-0000-00001E090000}"/>
    <cellStyle name="40% - Accent3 4 3 3" xfId="2419" xr:uid="{00000000-0005-0000-0000-00001F090000}"/>
    <cellStyle name="40% - Accent3 4 3 3 2" xfId="4866" xr:uid="{00000000-0005-0000-0000-000020090000}"/>
    <cellStyle name="40% - Accent3 4 3 3 2 2" xfId="9962" xr:uid="{00000000-0005-0000-0000-000021090000}"/>
    <cellStyle name="40% - Accent3 4 3 3 3" xfId="7523" xr:uid="{00000000-0005-0000-0000-000022090000}"/>
    <cellStyle name="40% - Accent3 4 3 4" xfId="3683" xr:uid="{00000000-0005-0000-0000-000023090000}"/>
    <cellStyle name="40% - Accent3 4 3 4 2" xfId="8782" xr:uid="{00000000-0005-0000-0000-000024090000}"/>
    <cellStyle name="40% - Accent3 4 3 5" xfId="6263" xr:uid="{00000000-0005-0000-0000-000025090000}"/>
    <cellStyle name="40% - Accent3 4 4" xfId="639" xr:uid="{00000000-0005-0000-0000-000026090000}"/>
    <cellStyle name="40% - Accent3 4 4 2" xfId="2444" xr:uid="{00000000-0005-0000-0000-000027090000}"/>
    <cellStyle name="40% - Accent3 4 4 2 2" xfId="4891" xr:uid="{00000000-0005-0000-0000-000028090000}"/>
    <cellStyle name="40% - Accent3 4 4 2 2 2" xfId="9987" xr:uid="{00000000-0005-0000-0000-000029090000}"/>
    <cellStyle name="40% - Accent3 4 4 2 3" xfId="7548" xr:uid="{00000000-0005-0000-0000-00002A090000}"/>
    <cellStyle name="40% - Accent3 4 4 3" xfId="3708" xr:uid="{00000000-0005-0000-0000-00002B090000}"/>
    <cellStyle name="40% - Accent3 4 4 3 2" xfId="8807" xr:uid="{00000000-0005-0000-0000-00002C090000}"/>
    <cellStyle name="40% - Accent3 4 4 4" xfId="6288" xr:uid="{00000000-0005-0000-0000-00002D090000}"/>
    <cellStyle name="40% - Accent3 4 5" xfId="673" xr:uid="{00000000-0005-0000-0000-00002E090000}"/>
    <cellStyle name="40% - Accent3 4 5 2" xfId="2476" xr:uid="{00000000-0005-0000-0000-00002F090000}"/>
    <cellStyle name="40% - Accent3 4 5 2 2" xfId="4923" xr:uid="{00000000-0005-0000-0000-000030090000}"/>
    <cellStyle name="40% - Accent3 4 5 2 2 2" xfId="10019" xr:uid="{00000000-0005-0000-0000-000031090000}"/>
    <cellStyle name="40% - Accent3 4 5 2 3" xfId="7580" xr:uid="{00000000-0005-0000-0000-000032090000}"/>
    <cellStyle name="40% - Accent3 4 5 3" xfId="3740" xr:uid="{00000000-0005-0000-0000-000033090000}"/>
    <cellStyle name="40% - Accent3 4 5 3 2" xfId="8839" xr:uid="{00000000-0005-0000-0000-000034090000}"/>
    <cellStyle name="40% - Accent3 4 5 4" xfId="6320" xr:uid="{00000000-0005-0000-0000-000035090000}"/>
    <cellStyle name="40% - Accent3 4 6" xfId="1307" xr:uid="{00000000-0005-0000-0000-000036090000}"/>
    <cellStyle name="40% - Accent3 4 6 2" xfId="2852" xr:uid="{00000000-0005-0000-0000-000037090000}"/>
    <cellStyle name="40% - Accent3 4 6 2 2" xfId="5253" xr:uid="{00000000-0005-0000-0000-000038090000}"/>
    <cellStyle name="40% - Accent3 4 6 2 2 2" xfId="10349" xr:uid="{00000000-0005-0000-0000-000039090000}"/>
    <cellStyle name="40% - Accent3 4 6 2 3" xfId="7955" xr:uid="{00000000-0005-0000-0000-00003A090000}"/>
    <cellStyle name="40% - Accent3 4 6 3" xfId="4061" xr:uid="{00000000-0005-0000-0000-00003B090000}"/>
    <cellStyle name="40% - Accent3 4 6 3 2" xfId="9157" xr:uid="{00000000-0005-0000-0000-00003C090000}"/>
    <cellStyle name="40% - Accent3 4 6 4" xfId="6669" xr:uid="{00000000-0005-0000-0000-00003D090000}"/>
    <cellStyle name="40% - Accent3 5" xfId="230" xr:uid="{00000000-0005-0000-0000-00003E090000}"/>
    <cellStyle name="40% - Accent3 5 2" xfId="742" xr:uid="{00000000-0005-0000-0000-00003F090000}"/>
    <cellStyle name="40% - Accent3 5 2 2" xfId="2527" xr:uid="{00000000-0005-0000-0000-000040090000}"/>
    <cellStyle name="40% - Accent3 5 2 2 2" xfId="4974" xr:uid="{00000000-0005-0000-0000-000041090000}"/>
    <cellStyle name="40% - Accent3 5 2 2 2 2" xfId="10070" xr:uid="{00000000-0005-0000-0000-000042090000}"/>
    <cellStyle name="40% - Accent3 5 2 2 3" xfId="7631" xr:uid="{00000000-0005-0000-0000-000043090000}"/>
    <cellStyle name="40% - Accent3 5 2 3" xfId="3791" xr:uid="{00000000-0005-0000-0000-000044090000}"/>
    <cellStyle name="40% - Accent3 5 2 3 2" xfId="8890" xr:uid="{00000000-0005-0000-0000-000045090000}"/>
    <cellStyle name="40% - Accent3 5 2 4" xfId="6371" xr:uid="{00000000-0005-0000-0000-000046090000}"/>
    <cellStyle name="40% - Accent3 5 3" xfId="665" xr:uid="{00000000-0005-0000-0000-000047090000}"/>
    <cellStyle name="40% - Accent3 5 3 2" xfId="2469" xr:uid="{00000000-0005-0000-0000-000048090000}"/>
    <cellStyle name="40% - Accent3 5 3 2 2" xfId="4916" xr:uid="{00000000-0005-0000-0000-000049090000}"/>
    <cellStyle name="40% - Accent3 5 3 2 2 2" xfId="10012" xr:uid="{00000000-0005-0000-0000-00004A090000}"/>
    <cellStyle name="40% - Accent3 5 3 2 3" xfId="7573" xr:uid="{00000000-0005-0000-0000-00004B090000}"/>
    <cellStyle name="40% - Accent3 5 3 3" xfId="3733" xr:uid="{00000000-0005-0000-0000-00004C090000}"/>
    <cellStyle name="40% - Accent3 5 3 3 2" xfId="8832" xr:uid="{00000000-0005-0000-0000-00004D090000}"/>
    <cellStyle name="40% - Accent3 5 3 4" xfId="6313" xr:uid="{00000000-0005-0000-0000-00004E090000}"/>
    <cellStyle name="40% - Accent3 5 4" xfId="1310" xr:uid="{00000000-0005-0000-0000-00004F090000}"/>
    <cellStyle name="40% - Accent3 6" xfId="231" xr:uid="{00000000-0005-0000-0000-000050090000}"/>
    <cellStyle name="40% - Accent3 6 2" xfId="913" xr:uid="{00000000-0005-0000-0000-000051090000}"/>
    <cellStyle name="40% - Accent3 6 2 2" xfId="2614" xr:uid="{00000000-0005-0000-0000-000052090000}"/>
    <cellStyle name="40% - Accent3 6 2 2 2" xfId="5058" xr:uid="{00000000-0005-0000-0000-000053090000}"/>
    <cellStyle name="40% - Accent3 6 2 2 2 2" xfId="10154" xr:uid="{00000000-0005-0000-0000-000054090000}"/>
    <cellStyle name="40% - Accent3 6 2 2 3" xfId="7717" xr:uid="{00000000-0005-0000-0000-000055090000}"/>
    <cellStyle name="40% - Accent3 6 2 3" xfId="3875" xr:uid="{00000000-0005-0000-0000-000056090000}"/>
    <cellStyle name="40% - Accent3 6 2 3 2" xfId="8974" xr:uid="{00000000-0005-0000-0000-000057090000}"/>
    <cellStyle name="40% - Accent3 6 2 4" xfId="6460" xr:uid="{00000000-0005-0000-0000-000058090000}"/>
    <cellStyle name="40% - Accent3 6 3" xfId="1311" xr:uid="{00000000-0005-0000-0000-000059090000}"/>
    <cellStyle name="40% - Accent3 7" xfId="232" xr:uid="{00000000-0005-0000-0000-00005A090000}"/>
    <cellStyle name="40% - Accent3 7 2" xfId="762" xr:uid="{00000000-0005-0000-0000-00005B090000}"/>
    <cellStyle name="40% - Accent3 7 2 2" xfId="2543" xr:uid="{00000000-0005-0000-0000-00005C090000}"/>
    <cellStyle name="40% - Accent3 7 2 2 2" xfId="4990" xr:uid="{00000000-0005-0000-0000-00005D090000}"/>
    <cellStyle name="40% - Accent3 7 2 2 2 2" xfId="10086" xr:uid="{00000000-0005-0000-0000-00005E090000}"/>
    <cellStyle name="40% - Accent3 7 2 2 3" xfId="7647" xr:uid="{00000000-0005-0000-0000-00005F090000}"/>
    <cellStyle name="40% - Accent3 7 2 3" xfId="3807" xr:uid="{00000000-0005-0000-0000-000060090000}"/>
    <cellStyle name="40% - Accent3 7 2 3 2" xfId="8906" xr:uid="{00000000-0005-0000-0000-000061090000}"/>
    <cellStyle name="40% - Accent3 7 2 4" xfId="6387" xr:uid="{00000000-0005-0000-0000-000062090000}"/>
    <cellStyle name="40% - Accent3 7 3" xfId="1312" xr:uid="{00000000-0005-0000-0000-000063090000}"/>
    <cellStyle name="40% - Accent3 8" xfId="233" xr:uid="{00000000-0005-0000-0000-000064090000}"/>
    <cellStyle name="40% - Accent3 8 2" xfId="892" xr:uid="{00000000-0005-0000-0000-000065090000}"/>
    <cellStyle name="40% - Accent3 8 2 2" xfId="2597" xr:uid="{00000000-0005-0000-0000-000066090000}"/>
    <cellStyle name="40% - Accent3 8 2 2 2" xfId="5041" xr:uid="{00000000-0005-0000-0000-000067090000}"/>
    <cellStyle name="40% - Accent3 8 2 2 2 2" xfId="10137" xr:uid="{00000000-0005-0000-0000-000068090000}"/>
    <cellStyle name="40% - Accent3 8 2 2 3" xfId="7700" xr:uid="{00000000-0005-0000-0000-000069090000}"/>
    <cellStyle name="40% - Accent3 8 2 3" xfId="3858" xr:uid="{00000000-0005-0000-0000-00006A090000}"/>
    <cellStyle name="40% - Accent3 8 2 3 2" xfId="8957" xr:uid="{00000000-0005-0000-0000-00006B090000}"/>
    <cellStyle name="40% - Accent3 8 2 4" xfId="6443" xr:uid="{00000000-0005-0000-0000-00006C090000}"/>
    <cellStyle name="40% - Accent3 8 3" xfId="1313" xr:uid="{00000000-0005-0000-0000-00006D090000}"/>
    <cellStyle name="40% - Accent3 9" xfId="714" xr:uid="{00000000-0005-0000-0000-00006E090000}"/>
    <cellStyle name="40% - Accent3 9 2" xfId="1048" xr:uid="{00000000-0005-0000-0000-00006F090000}"/>
    <cellStyle name="40% - Accent3 9 2 2" xfId="2678" xr:uid="{00000000-0005-0000-0000-000070090000}"/>
    <cellStyle name="40% - Accent3 9 2 2 2" xfId="5087" xr:uid="{00000000-0005-0000-0000-000071090000}"/>
    <cellStyle name="40% - Accent3 9 2 2 2 2" xfId="10183" xr:uid="{00000000-0005-0000-0000-000072090000}"/>
    <cellStyle name="40% - Accent3 9 2 2 3" xfId="7781" xr:uid="{00000000-0005-0000-0000-000073090000}"/>
    <cellStyle name="40% - Accent3 9 2 3" xfId="3904" xr:uid="{00000000-0005-0000-0000-000074090000}"/>
    <cellStyle name="40% - Accent3 9 2 3 2" xfId="9003" xr:uid="{00000000-0005-0000-0000-000075090000}"/>
    <cellStyle name="40% - Accent3 9 2 4" xfId="6525" xr:uid="{00000000-0005-0000-0000-000076090000}"/>
    <cellStyle name="40% - Accent3 9 3" xfId="2511" xr:uid="{00000000-0005-0000-0000-000077090000}"/>
    <cellStyle name="40% - Accent3 9 3 2" xfId="4958" xr:uid="{00000000-0005-0000-0000-000078090000}"/>
    <cellStyle name="40% - Accent3 9 3 2 2" xfId="10054" xr:uid="{00000000-0005-0000-0000-000079090000}"/>
    <cellStyle name="40% - Accent3 9 3 3" xfId="7615" xr:uid="{00000000-0005-0000-0000-00007A090000}"/>
    <cellStyle name="40% - Accent3 9 4" xfId="3775" xr:uid="{00000000-0005-0000-0000-00007B090000}"/>
    <cellStyle name="40% - Accent3 9 4 2" xfId="8874" xr:uid="{00000000-0005-0000-0000-00007C090000}"/>
    <cellStyle name="40% - Accent3 9 5" xfId="6355" xr:uid="{00000000-0005-0000-0000-00007D090000}"/>
    <cellStyle name="40% - Accent4" xfId="138" builtinId="43" customBuiltin="1"/>
    <cellStyle name="40% - Accent4 10" xfId="2733" xr:uid="{00000000-0005-0000-0000-00007F090000}"/>
    <cellStyle name="40% - Accent4 10 2" xfId="5135" xr:uid="{00000000-0005-0000-0000-000080090000}"/>
    <cellStyle name="40% - Accent4 10 2 2" xfId="10231" xr:uid="{00000000-0005-0000-0000-000081090000}"/>
    <cellStyle name="40% - Accent4 10 3" xfId="7836" xr:uid="{00000000-0005-0000-0000-000082090000}"/>
    <cellStyle name="40% - Accent4 11" xfId="3594" xr:uid="{00000000-0005-0000-0000-000083090000}"/>
    <cellStyle name="40% - Accent4 11 2" xfId="8697" xr:uid="{00000000-0005-0000-0000-000084090000}"/>
    <cellStyle name="40% - Accent4 12" xfId="6548" xr:uid="{00000000-0005-0000-0000-000085090000}"/>
    <cellStyle name="40% - Accent4 2" xfId="23" xr:uid="{00000000-0005-0000-0000-000086090000}"/>
    <cellStyle name="40% - Accent4 2 2" xfId="806" xr:uid="{00000000-0005-0000-0000-000087090000}"/>
    <cellStyle name="40% - Accent4 2 2 2" xfId="592" xr:uid="{00000000-0005-0000-0000-000088090000}"/>
    <cellStyle name="40% - Accent4 2 2 2 2" xfId="1316" xr:uid="{00000000-0005-0000-0000-000089090000}"/>
    <cellStyle name="40% - Accent4 2 2 2 2 2" xfId="2856" xr:uid="{00000000-0005-0000-0000-00008A090000}"/>
    <cellStyle name="40% - Accent4 2 2 2 2 2 2" xfId="5257" xr:uid="{00000000-0005-0000-0000-00008B090000}"/>
    <cellStyle name="40% - Accent4 2 2 2 2 2 2 2" xfId="10353" xr:uid="{00000000-0005-0000-0000-00008C090000}"/>
    <cellStyle name="40% - Accent4 2 2 2 2 2 3" xfId="7959" xr:uid="{00000000-0005-0000-0000-00008D090000}"/>
    <cellStyle name="40% - Accent4 2 2 2 2 3" xfId="4065" xr:uid="{00000000-0005-0000-0000-00008E090000}"/>
    <cellStyle name="40% - Accent4 2 2 2 2 3 2" xfId="9161" xr:uid="{00000000-0005-0000-0000-00008F090000}"/>
    <cellStyle name="40% - Accent4 2 2 2 2 4" xfId="6676" xr:uid="{00000000-0005-0000-0000-000090090000}"/>
    <cellStyle name="40% - Accent4 2 2 2 3" xfId="2398" xr:uid="{00000000-0005-0000-0000-000091090000}"/>
    <cellStyle name="40% - Accent4 2 2 2 3 2" xfId="4845" xr:uid="{00000000-0005-0000-0000-000092090000}"/>
    <cellStyle name="40% - Accent4 2 2 2 3 2 2" xfId="9941" xr:uid="{00000000-0005-0000-0000-000093090000}"/>
    <cellStyle name="40% - Accent4 2 2 2 3 3" xfId="7502" xr:uid="{00000000-0005-0000-0000-000094090000}"/>
    <cellStyle name="40% - Accent4 2 2 2 4" xfId="3662" xr:uid="{00000000-0005-0000-0000-000095090000}"/>
    <cellStyle name="40% - Accent4 2 2 2 4 2" xfId="8761" xr:uid="{00000000-0005-0000-0000-000096090000}"/>
    <cellStyle name="40% - Accent4 2 2 2 5" xfId="6242" xr:uid="{00000000-0005-0000-0000-000097090000}"/>
    <cellStyle name="40% - Accent4 2 2 3" xfId="1315" xr:uid="{00000000-0005-0000-0000-000098090000}"/>
    <cellStyle name="40% - Accent4 2 2 3 2" xfId="2855" xr:uid="{00000000-0005-0000-0000-000099090000}"/>
    <cellStyle name="40% - Accent4 2 2 3 2 2" xfId="5256" xr:uid="{00000000-0005-0000-0000-00009A090000}"/>
    <cellStyle name="40% - Accent4 2 2 3 2 2 2" xfId="10352" xr:uid="{00000000-0005-0000-0000-00009B090000}"/>
    <cellStyle name="40% - Accent4 2 2 3 2 3" xfId="7958" xr:uid="{00000000-0005-0000-0000-00009C090000}"/>
    <cellStyle name="40% - Accent4 2 2 3 3" xfId="4064" xr:uid="{00000000-0005-0000-0000-00009D090000}"/>
    <cellStyle name="40% - Accent4 2 2 3 3 2" xfId="9160" xr:uid="{00000000-0005-0000-0000-00009E090000}"/>
    <cellStyle name="40% - Accent4 2 2 3 4" xfId="6675" xr:uid="{00000000-0005-0000-0000-00009F090000}"/>
    <cellStyle name="40% - Accent4 2 3" xfId="878" xr:uid="{00000000-0005-0000-0000-0000A0090000}"/>
    <cellStyle name="40% - Accent4 2 3 2" xfId="1317" xr:uid="{00000000-0005-0000-0000-0000A1090000}"/>
    <cellStyle name="40% - Accent4 2 3 2 2" xfId="2857" xr:uid="{00000000-0005-0000-0000-0000A2090000}"/>
    <cellStyle name="40% - Accent4 2 3 2 2 2" xfId="5258" xr:uid="{00000000-0005-0000-0000-0000A3090000}"/>
    <cellStyle name="40% - Accent4 2 3 2 2 2 2" xfId="10354" xr:uid="{00000000-0005-0000-0000-0000A4090000}"/>
    <cellStyle name="40% - Accent4 2 3 2 2 3" xfId="7960" xr:uid="{00000000-0005-0000-0000-0000A5090000}"/>
    <cellStyle name="40% - Accent4 2 3 2 3" xfId="4066" xr:uid="{00000000-0005-0000-0000-0000A6090000}"/>
    <cellStyle name="40% - Accent4 2 3 2 3 2" xfId="9162" xr:uid="{00000000-0005-0000-0000-0000A7090000}"/>
    <cellStyle name="40% - Accent4 2 3 2 4" xfId="6677" xr:uid="{00000000-0005-0000-0000-0000A8090000}"/>
    <cellStyle name="40% - Accent4 2 3 3" xfId="2583" xr:uid="{00000000-0005-0000-0000-0000A9090000}"/>
    <cellStyle name="40% - Accent4 2 3 3 2" xfId="5027" xr:uid="{00000000-0005-0000-0000-0000AA090000}"/>
    <cellStyle name="40% - Accent4 2 3 3 2 2" xfId="10123" xr:uid="{00000000-0005-0000-0000-0000AB090000}"/>
    <cellStyle name="40% - Accent4 2 3 3 3" xfId="7686" xr:uid="{00000000-0005-0000-0000-0000AC090000}"/>
    <cellStyle name="40% - Accent4 2 3 4" xfId="3844" xr:uid="{00000000-0005-0000-0000-0000AD090000}"/>
    <cellStyle name="40% - Accent4 2 3 4 2" xfId="8943" xr:uid="{00000000-0005-0000-0000-0000AE090000}"/>
    <cellStyle name="40% - Accent4 2 3 5" xfId="6429" xr:uid="{00000000-0005-0000-0000-0000AF090000}"/>
    <cellStyle name="40% - Accent4 2 4" xfId="777" xr:uid="{00000000-0005-0000-0000-0000B0090000}"/>
    <cellStyle name="40% - Accent4 2 4 2" xfId="1318" xr:uid="{00000000-0005-0000-0000-0000B1090000}"/>
    <cellStyle name="40% - Accent4 2 4 2 2" xfId="2858" xr:uid="{00000000-0005-0000-0000-0000B2090000}"/>
    <cellStyle name="40% - Accent4 2 4 2 2 2" xfId="5259" xr:uid="{00000000-0005-0000-0000-0000B3090000}"/>
    <cellStyle name="40% - Accent4 2 4 2 2 2 2" xfId="10355" xr:uid="{00000000-0005-0000-0000-0000B4090000}"/>
    <cellStyle name="40% - Accent4 2 4 2 2 3" xfId="7961" xr:uid="{00000000-0005-0000-0000-0000B5090000}"/>
    <cellStyle name="40% - Accent4 2 4 2 3" xfId="4067" xr:uid="{00000000-0005-0000-0000-0000B6090000}"/>
    <cellStyle name="40% - Accent4 2 4 2 3 2" xfId="9163" xr:uid="{00000000-0005-0000-0000-0000B7090000}"/>
    <cellStyle name="40% - Accent4 2 4 2 4" xfId="6678" xr:uid="{00000000-0005-0000-0000-0000B8090000}"/>
    <cellStyle name="40% - Accent4 2 4 3" xfId="2558" xr:uid="{00000000-0005-0000-0000-0000B9090000}"/>
    <cellStyle name="40% - Accent4 2 4 3 2" xfId="5005" xr:uid="{00000000-0005-0000-0000-0000BA090000}"/>
    <cellStyle name="40% - Accent4 2 4 3 2 2" xfId="10101" xr:uid="{00000000-0005-0000-0000-0000BB090000}"/>
    <cellStyle name="40% - Accent4 2 4 3 3" xfId="7662" xr:uid="{00000000-0005-0000-0000-0000BC090000}"/>
    <cellStyle name="40% - Accent4 2 4 4" xfId="3822" xr:uid="{00000000-0005-0000-0000-0000BD090000}"/>
    <cellStyle name="40% - Accent4 2 4 4 2" xfId="8921" xr:uid="{00000000-0005-0000-0000-0000BE090000}"/>
    <cellStyle name="40% - Accent4 2 4 5" xfId="6402" xr:uid="{00000000-0005-0000-0000-0000BF090000}"/>
    <cellStyle name="40% - Accent4 2 5" xfId="882" xr:uid="{00000000-0005-0000-0000-0000C0090000}"/>
    <cellStyle name="40% - Accent4 2 5 2" xfId="2587" xr:uid="{00000000-0005-0000-0000-0000C1090000}"/>
    <cellStyle name="40% - Accent4 2 5 2 2" xfId="5031" xr:uid="{00000000-0005-0000-0000-0000C2090000}"/>
    <cellStyle name="40% - Accent4 2 5 2 2 2" xfId="10127" xr:uid="{00000000-0005-0000-0000-0000C3090000}"/>
    <cellStyle name="40% - Accent4 2 5 2 3" xfId="7690" xr:uid="{00000000-0005-0000-0000-0000C4090000}"/>
    <cellStyle name="40% - Accent4 2 5 3" xfId="3848" xr:uid="{00000000-0005-0000-0000-0000C5090000}"/>
    <cellStyle name="40% - Accent4 2 5 3 2" xfId="8947" xr:uid="{00000000-0005-0000-0000-0000C6090000}"/>
    <cellStyle name="40% - Accent4 2 5 4" xfId="6433" xr:uid="{00000000-0005-0000-0000-0000C7090000}"/>
    <cellStyle name="40% - Accent4 2 6" xfId="1314" xr:uid="{00000000-0005-0000-0000-0000C8090000}"/>
    <cellStyle name="40% - Accent4 2 6 2" xfId="2854" xr:uid="{00000000-0005-0000-0000-0000C9090000}"/>
    <cellStyle name="40% - Accent4 2 6 2 2" xfId="5255" xr:uid="{00000000-0005-0000-0000-0000CA090000}"/>
    <cellStyle name="40% - Accent4 2 6 2 2 2" xfId="10351" xr:uid="{00000000-0005-0000-0000-0000CB090000}"/>
    <cellStyle name="40% - Accent4 2 6 2 3" xfId="7957" xr:uid="{00000000-0005-0000-0000-0000CC090000}"/>
    <cellStyle name="40% - Accent4 2 6 3" xfId="4063" xr:uid="{00000000-0005-0000-0000-0000CD090000}"/>
    <cellStyle name="40% - Accent4 2 6 3 2" xfId="9159" xr:uid="{00000000-0005-0000-0000-0000CE090000}"/>
    <cellStyle name="40% - Accent4 2 6 4" xfId="6674" xr:uid="{00000000-0005-0000-0000-0000CF090000}"/>
    <cellStyle name="40% - Accent4 3" xfId="234" xr:uid="{00000000-0005-0000-0000-0000D0090000}"/>
    <cellStyle name="40% - Accent4 3 2" xfId="807" xr:uid="{00000000-0005-0000-0000-0000D1090000}"/>
    <cellStyle name="40% - Accent4 3 2 2" xfId="601" xr:uid="{00000000-0005-0000-0000-0000D2090000}"/>
    <cellStyle name="40% - Accent4 3 2 2 2" xfId="1321" xr:uid="{00000000-0005-0000-0000-0000D3090000}"/>
    <cellStyle name="40% - Accent4 3 2 2 2 2" xfId="2861" xr:uid="{00000000-0005-0000-0000-0000D4090000}"/>
    <cellStyle name="40% - Accent4 3 2 2 2 2 2" xfId="5262" xr:uid="{00000000-0005-0000-0000-0000D5090000}"/>
    <cellStyle name="40% - Accent4 3 2 2 2 2 2 2" xfId="10358" xr:uid="{00000000-0005-0000-0000-0000D6090000}"/>
    <cellStyle name="40% - Accent4 3 2 2 2 2 3" xfId="7964" xr:uid="{00000000-0005-0000-0000-0000D7090000}"/>
    <cellStyle name="40% - Accent4 3 2 2 2 3" xfId="4070" xr:uid="{00000000-0005-0000-0000-0000D8090000}"/>
    <cellStyle name="40% - Accent4 3 2 2 2 3 2" xfId="9166" xr:uid="{00000000-0005-0000-0000-0000D9090000}"/>
    <cellStyle name="40% - Accent4 3 2 2 2 4" xfId="6681" xr:uid="{00000000-0005-0000-0000-0000DA090000}"/>
    <cellStyle name="40% - Accent4 3 2 2 3" xfId="2407" xr:uid="{00000000-0005-0000-0000-0000DB090000}"/>
    <cellStyle name="40% - Accent4 3 2 2 3 2" xfId="4854" xr:uid="{00000000-0005-0000-0000-0000DC090000}"/>
    <cellStyle name="40% - Accent4 3 2 2 3 2 2" xfId="9950" xr:uid="{00000000-0005-0000-0000-0000DD090000}"/>
    <cellStyle name="40% - Accent4 3 2 2 3 3" xfId="7511" xr:uid="{00000000-0005-0000-0000-0000DE090000}"/>
    <cellStyle name="40% - Accent4 3 2 2 4" xfId="3671" xr:uid="{00000000-0005-0000-0000-0000DF090000}"/>
    <cellStyle name="40% - Accent4 3 2 2 4 2" xfId="8770" xr:uid="{00000000-0005-0000-0000-0000E0090000}"/>
    <cellStyle name="40% - Accent4 3 2 2 5" xfId="6251" xr:uid="{00000000-0005-0000-0000-0000E1090000}"/>
    <cellStyle name="40% - Accent4 3 2 3" xfId="1320" xr:uid="{00000000-0005-0000-0000-0000E2090000}"/>
    <cellStyle name="40% - Accent4 3 2 3 2" xfId="2860" xr:uid="{00000000-0005-0000-0000-0000E3090000}"/>
    <cellStyle name="40% - Accent4 3 2 3 2 2" xfId="5261" xr:uid="{00000000-0005-0000-0000-0000E4090000}"/>
    <cellStyle name="40% - Accent4 3 2 3 2 2 2" xfId="10357" xr:uid="{00000000-0005-0000-0000-0000E5090000}"/>
    <cellStyle name="40% - Accent4 3 2 3 2 3" xfId="7963" xr:uid="{00000000-0005-0000-0000-0000E6090000}"/>
    <cellStyle name="40% - Accent4 3 2 3 3" xfId="4069" xr:uid="{00000000-0005-0000-0000-0000E7090000}"/>
    <cellStyle name="40% - Accent4 3 2 3 3 2" xfId="9165" xr:uid="{00000000-0005-0000-0000-0000E8090000}"/>
    <cellStyle name="40% - Accent4 3 2 3 4" xfId="6680" xr:uid="{00000000-0005-0000-0000-0000E9090000}"/>
    <cellStyle name="40% - Accent4 3 3" xfId="625" xr:uid="{00000000-0005-0000-0000-0000EA090000}"/>
    <cellStyle name="40% - Accent4 3 3 2" xfId="1322" xr:uid="{00000000-0005-0000-0000-0000EB090000}"/>
    <cellStyle name="40% - Accent4 3 3 2 2" xfId="2862" xr:uid="{00000000-0005-0000-0000-0000EC090000}"/>
    <cellStyle name="40% - Accent4 3 3 2 2 2" xfId="5263" xr:uid="{00000000-0005-0000-0000-0000ED090000}"/>
    <cellStyle name="40% - Accent4 3 3 2 2 2 2" xfId="10359" xr:uid="{00000000-0005-0000-0000-0000EE090000}"/>
    <cellStyle name="40% - Accent4 3 3 2 2 3" xfId="7965" xr:uid="{00000000-0005-0000-0000-0000EF090000}"/>
    <cellStyle name="40% - Accent4 3 3 2 3" xfId="4071" xr:uid="{00000000-0005-0000-0000-0000F0090000}"/>
    <cellStyle name="40% - Accent4 3 3 2 3 2" xfId="9167" xr:uid="{00000000-0005-0000-0000-0000F1090000}"/>
    <cellStyle name="40% - Accent4 3 3 2 4" xfId="6682" xr:uid="{00000000-0005-0000-0000-0000F2090000}"/>
    <cellStyle name="40% - Accent4 3 3 3" xfId="2431" xr:uid="{00000000-0005-0000-0000-0000F3090000}"/>
    <cellStyle name="40% - Accent4 3 3 3 2" xfId="4878" xr:uid="{00000000-0005-0000-0000-0000F4090000}"/>
    <cellStyle name="40% - Accent4 3 3 3 2 2" xfId="9974" xr:uid="{00000000-0005-0000-0000-0000F5090000}"/>
    <cellStyle name="40% - Accent4 3 3 3 3" xfId="7535" xr:uid="{00000000-0005-0000-0000-0000F6090000}"/>
    <cellStyle name="40% - Accent4 3 3 4" xfId="3695" xr:uid="{00000000-0005-0000-0000-0000F7090000}"/>
    <cellStyle name="40% - Accent4 3 3 4 2" xfId="8794" xr:uid="{00000000-0005-0000-0000-0000F8090000}"/>
    <cellStyle name="40% - Accent4 3 3 5" xfId="6275" xr:uid="{00000000-0005-0000-0000-0000F9090000}"/>
    <cellStyle name="40% - Accent4 3 4" xfId="783" xr:uid="{00000000-0005-0000-0000-0000FA090000}"/>
    <cellStyle name="40% - Accent4 3 4 2" xfId="1323" xr:uid="{00000000-0005-0000-0000-0000FB090000}"/>
    <cellStyle name="40% - Accent4 3 4 2 2" xfId="2863" xr:uid="{00000000-0005-0000-0000-0000FC090000}"/>
    <cellStyle name="40% - Accent4 3 4 2 2 2" xfId="5264" xr:uid="{00000000-0005-0000-0000-0000FD090000}"/>
    <cellStyle name="40% - Accent4 3 4 2 2 2 2" xfId="10360" xr:uid="{00000000-0005-0000-0000-0000FE090000}"/>
    <cellStyle name="40% - Accent4 3 4 2 2 3" xfId="7966" xr:uid="{00000000-0005-0000-0000-0000FF090000}"/>
    <cellStyle name="40% - Accent4 3 4 2 3" xfId="4072" xr:uid="{00000000-0005-0000-0000-0000000A0000}"/>
    <cellStyle name="40% - Accent4 3 4 2 3 2" xfId="9168" xr:uid="{00000000-0005-0000-0000-0000010A0000}"/>
    <cellStyle name="40% - Accent4 3 4 2 4" xfId="6683" xr:uid="{00000000-0005-0000-0000-0000020A0000}"/>
    <cellStyle name="40% - Accent4 3 4 3" xfId="2564" xr:uid="{00000000-0005-0000-0000-0000030A0000}"/>
    <cellStyle name="40% - Accent4 3 4 3 2" xfId="5011" xr:uid="{00000000-0005-0000-0000-0000040A0000}"/>
    <cellStyle name="40% - Accent4 3 4 3 2 2" xfId="10107" xr:uid="{00000000-0005-0000-0000-0000050A0000}"/>
    <cellStyle name="40% - Accent4 3 4 3 3" xfId="7668" xr:uid="{00000000-0005-0000-0000-0000060A0000}"/>
    <cellStyle name="40% - Accent4 3 4 4" xfId="3828" xr:uid="{00000000-0005-0000-0000-0000070A0000}"/>
    <cellStyle name="40% - Accent4 3 4 4 2" xfId="8927" xr:uid="{00000000-0005-0000-0000-0000080A0000}"/>
    <cellStyle name="40% - Accent4 3 4 5" xfId="6408" xr:uid="{00000000-0005-0000-0000-0000090A0000}"/>
    <cellStyle name="40% - Accent4 3 5" xfId="543" xr:uid="{00000000-0005-0000-0000-00000A0A0000}"/>
    <cellStyle name="40% - Accent4 3 5 2" xfId="2352" xr:uid="{00000000-0005-0000-0000-00000B0A0000}"/>
    <cellStyle name="40% - Accent4 3 5 2 2" xfId="4799" xr:uid="{00000000-0005-0000-0000-00000C0A0000}"/>
    <cellStyle name="40% - Accent4 3 5 2 2 2" xfId="9895" xr:uid="{00000000-0005-0000-0000-00000D0A0000}"/>
    <cellStyle name="40% - Accent4 3 5 2 3" xfId="7456" xr:uid="{00000000-0005-0000-0000-00000E0A0000}"/>
    <cellStyle name="40% - Accent4 3 5 3" xfId="3616" xr:uid="{00000000-0005-0000-0000-00000F0A0000}"/>
    <cellStyle name="40% - Accent4 3 5 3 2" xfId="8715" xr:uid="{00000000-0005-0000-0000-0000100A0000}"/>
    <cellStyle name="40% - Accent4 3 5 4" xfId="6196" xr:uid="{00000000-0005-0000-0000-0000110A0000}"/>
    <cellStyle name="40% - Accent4 3 6" xfId="1319" xr:uid="{00000000-0005-0000-0000-0000120A0000}"/>
    <cellStyle name="40% - Accent4 3 6 2" xfId="2859" xr:uid="{00000000-0005-0000-0000-0000130A0000}"/>
    <cellStyle name="40% - Accent4 3 6 2 2" xfId="5260" xr:uid="{00000000-0005-0000-0000-0000140A0000}"/>
    <cellStyle name="40% - Accent4 3 6 2 2 2" xfId="10356" xr:uid="{00000000-0005-0000-0000-0000150A0000}"/>
    <cellStyle name="40% - Accent4 3 6 2 3" xfId="7962" xr:uid="{00000000-0005-0000-0000-0000160A0000}"/>
    <cellStyle name="40% - Accent4 3 6 3" xfId="4068" xr:uid="{00000000-0005-0000-0000-0000170A0000}"/>
    <cellStyle name="40% - Accent4 3 6 3 2" xfId="9164" xr:uid="{00000000-0005-0000-0000-0000180A0000}"/>
    <cellStyle name="40% - Accent4 3 6 4" xfId="6679" xr:uid="{00000000-0005-0000-0000-0000190A0000}"/>
    <cellStyle name="40% - Accent4 4" xfId="235" xr:uid="{00000000-0005-0000-0000-00001A0A0000}"/>
    <cellStyle name="40% - Accent4 4 2" xfId="580" xr:uid="{00000000-0005-0000-0000-00001B0A0000}"/>
    <cellStyle name="40% - Accent4 4 2 2" xfId="1325" xr:uid="{00000000-0005-0000-0000-00001C0A0000}"/>
    <cellStyle name="40% - Accent4 4 2 3" xfId="2386" xr:uid="{00000000-0005-0000-0000-00001D0A0000}"/>
    <cellStyle name="40% - Accent4 4 2 3 2" xfId="4833" xr:uid="{00000000-0005-0000-0000-00001E0A0000}"/>
    <cellStyle name="40% - Accent4 4 2 3 2 2" xfId="9929" xr:uid="{00000000-0005-0000-0000-00001F0A0000}"/>
    <cellStyle name="40% - Accent4 4 2 3 3" xfId="7490" xr:uid="{00000000-0005-0000-0000-0000200A0000}"/>
    <cellStyle name="40% - Accent4 4 2 4" xfId="3650" xr:uid="{00000000-0005-0000-0000-0000210A0000}"/>
    <cellStyle name="40% - Accent4 4 2 4 2" xfId="8749" xr:uid="{00000000-0005-0000-0000-0000220A0000}"/>
    <cellStyle name="40% - Accent4 4 2 5" xfId="6230" xr:uid="{00000000-0005-0000-0000-0000230A0000}"/>
    <cellStyle name="40% - Accent4 4 3" xfId="612" xr:uid="{00000000-0005-0000-0000-0000240A0000}"/>
    <cellStyle name="40% - Accent4 4 3 2" xfId="1326" xr:uid="{00000000-0005-0000-0000-0000250A0000}"/>
    <cellStyle name="40% - Accent4 4 3 2 2" xfId="2865" xr:uid="{00000000-0005-0000-0000-0000260A0000}"/>
    <cellStyle name="40% - Accent4 4 3 2 2 2" xfId="5266" xr:uid="{00000000-0005-0000-0000-0000270A0000}"/>
    <cellStyle name="40% - Accent4 4 3 2 2 2 2" xfId="10362" xr:uid="{00000000-0005-0000-0000-0000280A0000}"/>
    <cellStyle name="40% - Accent4 4 3 2 2 3" xfId="7968" xr:uid="{00000000-0005-0000-0000-0000290A0000}"/>
    <cellStyle name="40% - Accent4 4 3 2 3" xfId="4074" xr:uid="{00000000-0005-0000-0000-00002A0A0000}"/>
    <cellStyle name="40% - Accent4 4 3 2 3 2" xfId="9170" xr:uid="{00000000-0005-0000-0000-00002B0A0000}"/>
    <cellStyle name="40% - Accent4 4 3 2 4" xfId="6686" xr:uid="{00000000-0005-0000-0000-00002C0A0000}"/>
    <cellStyle name="40% - Accent4 4 3 3" xfId="2418" xr:uid="{00000000-0005-0000-0000-00002D0A0000}"/>
    <cellStyle name="40% - Accent4 4 3 3 2" xfId="4865" xr:uid="{00000000-0005-0000-0000-00002E0A0000}"/>
    <cellStyle name="40% - Accent4 4 3 3 2 2" xfId="9961" xr:uid="{00000000-0005-0000-0000-00002F0A0000}"/>
    <cellStyle name="40% - Accent4 4 3 3 3" xfId="7522" xr:uid="{00000000-0005-0000-0000-0000300A0000}"/>
    <cellStyle name="40% - Accent4 4 3 4" xfId="3682" xr:uid="{00000000-0005-0000-0000-0000310A0000}"/>
    <cellStyle name="40% - Accent4 4 3 4 2" xfId="8781" xr:uid="{00000000-0005-0000-0000-0000320A0000}"/>
    <cellStyle name="40% - Accent4 4 3 5" xfId="6262" xr:uid="{00000000-0005-0000-0000-0000330A0000}"/>
    <cellStyle name="40% - Accent4 4 4" xfId="873" xr:uid="{00000000-0005-0000-0000-0000340A0000}"/>
    <cellStyle name="40% - Accent4 4 4 2" xfId="2578" xr:uid="{00000000-0005-0000-0000-0000350A0000}"/>
    <cellStyle name="40% - Accent4 4 4 2 2" xfId="5022" xr:uid="{00000000-0005-0000-0000-0000360A0000}"/>
    <cellStyle name="40% - Accent4 4 4 2 2 2" xfId="10118" xr:uid="{00000000-0005-0000-0000-0000370A0000}"/>
    <cellStyle name="40% - Accent4 4 4 2 3" xfId="7681" xr:uid="{00000000-0005-0000-0000-0000380A0000}"/>
    <cellStyle name="40% - Accent4 4 4 3" xfId="3839" xr:uid="{00000000-0005-0000-0000-0000390A0000}"/>
    <cellStyle name="40% - Accent4 4 4 3 2" xfId="8938" xr:uid="{00000000-0005-0000-0000-00003A0A0000}"/>
    <cellStyle name="40% - Accent4 4 4 4" xfId="6424" xr:uid="{00000000-0005-0000-0000-00003B0A0000}"/>
    <cellStyle name="40% - Accent4 4 5" xfId="886" xr:uid="{00000000-0005-0000-0000-00003C0A0000}"/>
    <cellStyle name="40% - Accent4 4 5 2" xfId="2591" xr:uid="{00000000-0005-0000-0000-00003D0A0000}"/>
    <cellStyle name="40% - Accent4 4 5 2 2" xfId="5035" xr:uid="{00000000-0005-0000-0000-00003E0A0000}"/>
    <cellStyle name="40% - Accent4 4 5 2 2 2" xfId="10131" xr:uid="{00000000-0005-0000-0000-00003F0A0000}"/>
    <cellStyle name="40% - Accent4 4 5 2 3" xfId="7694" xr:uid="{00000000-0005-0000-0000-0000400A0000}"/>
    <cellStyle name="40% - Accent4 4 5 3" xfId="3852" xr:uid="{00000000-0005-0000-0000-0000410A0000}"/>
    <cellStyle name="40% - Accent4 4 5 3 2" xfId="8951" xr:uid="{00000000-0005-0000-0000-0000420A0000}"/>
    <cellStyle name="40% - Accent4 4 5 4" xfId="6437" xr:uid="{00000000-0005-0000-0000-0000430A0000}"/>
    <cellStyle name="40% - Accent4 4 6" xfId="1324" xr:uid="{00000000-0005-0000-0000-0000440A0000}"/>
    <cellStyle name="40% - Accent4 4 6 2" xfId="2864" xr:uid="{00000000-0005-0000-0000-0000450A0000}"/>
    <cellStyle name="40% - Accent4 4 6 2 2" xfId="5265" xr:uid="{00000000-0005-0000-0000-0000460A0000}"/>
    <cellStyle name="40% - Accent4 4 6 2 2 2" xfId="10361" xr:uid="{00000000-0005-0000-0000-0000470A0000}"/>
    <cellStyle name="40% - Accent4 4 6 2 3" xfId="7967" xr:uid="{00000000-0005-0000-0000-0000480A0000}"/>
    <cellStyle name="40% - Accent4 4 6 3" xfId="4073" xr:uid="{00000000-0005-0000-0000-0000490A0000}"/>
    <cellStyle name="40% - Accent4 4 6 3 2" xfId="9169" xr:uid="{00000000-0005-0000-0000-00004A0A0000}"/>
    <cellStyle name="40% - Accent4 4 6 4" xfId="6684" xr:uid="{00000000-0005-0000-0000-00004B0A0000}"/>
    <cellStyle name="40% - Accent4 5" xfId="236" xr:uid="{00000000-0005-0000-0000-00004C0A0000}"/>
    <cellStyle name="40% - Accent4 5 2" xfId="632" xr:uid="{00000000-0005-0000-0000-00004D0A0000}"/>
    <cellStyle name="40% - Accent4 5 2 2" xfId="2438" xr:uid="{00000000-0005-0000-0000-00004E0A0000}"/>
    <cellStyle name="40% - Accent4 5 2 2 2" xfId="4885" xr:uid="{00000000-0005-0000-0000-00004F0A0000}"/>
    <cellStyle name="40% - Accent4 5 2 2 2 2" xfId="9981" xr:uid="{00000000-0005-0000-0000-0000500A0000}"/>
    <cellStyle name="40% - Accent4 5 2 2 3" xfId="7542" xr:uid="{00000000-0005-0000-0000-0000510A0000}"/>
    <cellStyle name="40% - Accent4 5 2 3" xfId="3702" xr:uid="{00000000-0005-0000-0000-0000520A0000}"/>
    <cellStyle name="40% - Accent4 5 2 3 2" xfId="8801" xr:uid="{00000000-0005-0000-0000-0000530A0000}"/>
    <cellStyle name="40% - Accent4 5 2 4" xfId="6282" xr:uid="{00000000-0005-0000-0000-0000540A0000}"/>
    <cellStyle name="40% - Accent4 5 3" xfId="664" xr:uid="{00000000-0005-0000-0000-0000550A0000}"/>
    <cellStyle name="40% - Accent4 5 3 2" xfId="2468" xr:uid="{00000000-0005-0000-0000-0000560A0000}"/>
    <cellStyle name="40% - Accent4 5 3 2 2" xfId="4915" xr:uid="{00000000-0005-0000-0000-0000570A0000}"/>
    <cellStyle name="40% - Accent4 5 3 2 2 2" xfId="10011" xr:uid="{00000000-0005-0000-0000-0000580A0000}"/>
    <cellStyle name="40% - Accent4 5 3 2 3" xfId="7572" xr:uid="{00000000-0005-0000-0000-0000590A0000}"/>
    <cellStyle name="40% - Accent4 5 3 3" xfId="3732" xr:uid="{00000000-0005-0000-0000-00005A0A0000}"/>
    <cellStyle name="40% - Accent4 5 3 3 2" xfId="8831" xr:uid="{00000000-0005-0000-0000-00005B0A0000}"/>
    <cellStyle name="40% - Accent4 5 3 4" xfId="6312" xr:uid="{00000000-0005-0000-0000-00005C0A0000}"/>
    <cellStyle name="40% - Accent4 5 4" xfId="1327" xr:uid="{00000000-0005-0000-0000-00005D0A0000}"/>
    <cellStyle name="40% - Accent4 6" xfId="237" xr:uid="{00000000-0005-0000-0000-00005E0A0000}"/>
    <cellStyle name="40% - Accent4 6 2" xfId="779" xr:uid="{00000000-0005-0000-0000-00005F0A0000}"/>
    <cellStyle name="40% - Accent4 6 2 2" xfId="2560" xr:uid="{00000000-0005-0000-0000-0000600A0000}"/>
    <cellStyle name="40% - Accent4 6 2 2 2" xfId="5007" xr:uid="{00000000-0005-0000-0000-0000610A0000}"/>
    <cellStyle name="40% - Accent4 6 2 2 2 2" xfId="10103" xr:uid="{00000000-0005-0000-0000-0000620A0000}"/>
    <cellStyle name="40% - Accent4 6 2 2 3" xfId="7664" xr:uid="{00000000-0005-0000-0000-0000630A0000}"/>
    <cellStyle name="40% - Accent4 6 2 3" xfId="3824" xr:uid="{00000000-0005-0000-0000-0000640A0000}"/>
    <cellStyle name="40% - Accent4 6 2 3 2" xfId="8923" xr:uid="{00000000-0005-0000-0000-0000650A0000}"/>
    <cellStyle name="40% - Accent4 6 2 4" xfId="6404" xr:uid="{00000000-0005-0000-0000-0000660A0000}"/>
    <cellStyle name="40% - Accent4 6 3" xfId="1328" xr:uid="{00000000-0005-0000-0000-0000670A0000}"/>
    <cellStyle name="40% - Accent4 7" xfId="238" xr:uid="{00000000-0005-0000-0000-0000680A0000}"/>
    <cellStyle name="40% - Accent4 7 2" xfId="570" xr:uid="{00000000-0005-0000-0000-0000690A0000}"/>
    <cellStyle name="40% - Accent4 7 2 2" xfId="2376" xr:uid="{00000000-0005-0000-0000-00006A0A0000}"/>
    <cellStyle name="40% - Accent4 7 2 2 2" xfId="4823" xr:uid="{00000000-0005-0000-0000-00006B0A0000}"/>
    <cellStyle name="40% - Accent4 7 2 2 2 2" xfId="9919" xr:uid="{00000000-0005-0000-0000-00006C0A0000}"/>
    <cellStyle name="40% - Accent4 7 2 2 3" xfId="7480" xr:uid="{00000000-0005-0000-0000-00006D0A0000}"/>
    <cellStyle name="40% - Accent4 7 2 3" xfId="3640" xr:uid="{00000000-0005-0000-0000-00006E0A0000}"/>
    <cellStyle name="40% - Accent4 7 2 3 2" xfId="8739" xr:uid="{00000000-0005-0000-0000-00006F0A0000}"/>
    <cellStyle name="40% - Accent4 7 2 4" xfId="6220" xr:uid="{00000000-0005-0000-0000-0000700A0000}"/>
    <cellStyle name="40% - Accent4 7 3" xfId="1329" xr:uid="{00000000-0005-0000-0000-0000710A0000}"/>
    <cellStyle name="40% - Accent4 8" xfId="239" xr:uid="{00000000-0005-0000-0000-0000720A0000}"/>
    <cellStyle name="40% - Accent4 8 2" xfId="561" xr:uid="{00000000-0005-0000-0000-0000730A0000}"/>
    <cellStyle name="40% - Accent4 8 2 2" xfId="2367" xr:uid="{00000000-0005-0000-0000-0000740A0000}"/>
    <cellStyle name="40% - Accent4 8 2 2 2" xfId="4814" xr:uid="{00000000-0005-0000-0000-0000750A0000}"/>
    <cellStyle name="40% - Accent4 8 2 2 2 2" xfId="9910" xr:uid="{00000000-0005-0000-0000-0000760A0000}"/>
    <cellStyle name="40% - Accent4 8 2 2 3" xfId="7471" xr:uid="{00000000-0005-0000-0000-0000770A0000}"/>
    <cellStyle name="40% - Accent4 8 2 3" xfId="3631" xr:uid="{00000000-0005-0000-0000-0000780A0000}"/>
    <cellStyle name="40% - Accent4 8 2 3 2" xfId="8730" xr:uid="{00000000-0005-0000-0000-0000790A0000}"/>
    <cellStyle name="40% - Accent4 8 2 4" xfId="6211" xr:uid="{00000000-0005-0000-0000-00007A0A0000}"/>
    <cellStyle name="40% - Accent4 8 3" xfId="1330" xr:uid="{00000000-0005-0000-0000-00007B0A0000}"/>
    <cellStyle name="40% - Accent4 9" xfId="711" xr:uid="{00000000-0005-0000-0000-00007C0A0000}"/>
    <cellStyle name="40% - Accent4 9 2" xfId="1050" xr:uid="{00000000-0005-0000-0000-00007D0A0000}"/>
    <cellStyle name="40% - Accent4 9 2 2" xfId="2680" xr:uid="{00000000-0005-0000-0000-00007E0A0000}"/>
    <cellStyle name="40% - Accent4 9 2 2 2" xfId="5089" xr:uid="{00000000-0005-0000-0000-00007F0A0000}"/>
    <cellStyle name="40% - Accent4 9 2 2 2 2" xfId="10185" xr:uid="{00000000-0005-0000-0000-0000800A0000}"/>
    <cellStyle name="40% - Accent4 9 2 2 3" xfId="7783" xr:uid="{00000000-0005-0000-0000-0000810A0000}"/>
    <cellStyle name="40% - Accent4 9 2 3" xfId="3906" xr:uid="{00000000-0005-0000-0000-0000820A0000}"/>
    <cellStyle name="40% - Accent4 9 2 3 2" xfId="9005" xr:uid="{00000000-0005-0000-0000-0000830A0000}"/>
    <cellStyle name="40% - Accent4 9 2 4" xfId="6527" xr:uid="{00000000-0005-0000-0000-0000840A0000}"/>
    <cellStyle name="40% - Accent4 9 3" xfId="2509" xr:uid="{00000000-0005-0000-0000-0000850A0000}"/>
    <cellStyle name="40% - Accent4 9 3 2" xfId="4956" xr:uid="{00000000-0005-0000-0000-0000860A0000}"/>
    <cellStyle name="40% - Accent4 9 3 2 2" xfId="10052" xr:uid="{00000000-0005-0000-0000-0000870A0000}"/>
    <cellStyle name="40% - Accent4 9 3 3" xfId="7613" xr:uid="{00000000-0005-0000-0000-0000880A0000}"/>
    <cellStyle name="40% - Accent4 9 4" xfId="3773" xr:uid="{00000000-0005-0000-0000-0000890A0000}"/>
    <cellStyle name="40% - Accent4 9 4 2" xfId="8872" xr:uid="{00000000-0005-0000-0000-00008A0A0000}"/>
    <cellStyle name="40% - Accent4 9 5" xfId="6353" xr:uid="{00000000-0005-0000-0000-00008B0A0000}"/>
    <cellStyle name="40% - Accent5" xfId="142" builtinId="47" customBuiltin="1"/>
    <cellStyle name="40% - Accent5 10" xfId="2735" xr:uid="{00000000-0005-0000-0000-00008D0A0000}"/>
    <cellStyle name="40% - Accent5 10 2" xfId="5137" xr:uid="{00000000-0005-0000-0000-00008E0A0000}"/>
    <cellStyle name="40% - Accent5 10 2 2" xfId="10233" xr:uid="{00000000-0005-0000-0000-00008F0A0000}"/>
    <cellStyle name="40% - Accent5 10 3" xfId="7838" xr:uid="{00000000-0005-0000-0000-0000900A0000}"/>
    <cellStyle name="40% - Accent5 11" xfId="3596" xr:uid="{00000000-0005-0000-0000-0000910A0000}"/>
    <cellStyle name="40% - Accent5 11 2" xfId="8699" xr:uid="{00000000-0005-0000-0000-0000920A0000}"/>
    <cellStyle name="40% - Accent5 12" xfId="6550" xr:uid="{00000000-0005-0000-0000-0000930A0000}"/>
    <cellStyle name="40% - Accent5 2" xfId="24" xr:uid="{00000000-0005-0000-0000-0000940A0000}"/>
    <cellStyle name="40% - Accent5 2 2" xfId="808" xr:uid="{00000000-0005-0000-0000-0000950A0000}"/>
    <cellStyle name="40% - Accent5 2 2 2" xfId="590" xr:uid="{00000000-0005-0000-0000-0000960A0000}"/>
    <cellStyle name="40% - Accent5 2 2 2 2" xfId="1333" xr:uid="{00000000-0005-0000-0000-0000970A0000}"/>
    <cellStyle name="40% - Accent5 2 2 2 2 2" xfId="2868" xr:uid="{00000000-0005-0000-0000-0000980A0000}"/>
    <cellStyle name="40% - Accent5 2 2 2 2 2 2" xfId="5269" xr:uid="{00000000-0005-0000-0000-0000990A0000}"/>
    <cellStyle name="40% - Accent5 2 2 2 2 2 2 2" xfId="10365" xr:uid="{00000000-0005-0000-0000-00009A0A0000}"/>
    <cellStyle name="40% - Accent5 2 2 2 2 2 3" xfId="7971" xr:uid="{00000000-0005-0000-0000-00009B0A0000}"/>
    <cellStyle name="40% - Accent5 2 2 2 2 3" xfId="4077" xr:uid="{00000000-0005-0000-0000-00009C0A0000}"/>
    <cellStyle name="40% - Accent5 2 2 2 2 3 2" xfId="9173" xr:uid="{00000000-0005-0000-0000-00009D0A0000}"/>
    <cellStyle name="40% - Accent5 2 2 2 2 4" xfId="6693" xr:uid="{00000000-0005-0000-0000-00009E0A0000}"/>
    <cellStyle name="40% - Accent5 2 2 2 3" xfId="2396" xr:uid="{00000000-0005-0000-0000-00009F0A0000}"/>
    <cellStyle name="40% - Accent5 2 2 2 3 2" xfId="4843" xr:uid="{00000000-0005-0000-0000-0000A00A0000}"/>
    <cellStyle name="40% - Accent5 2 2 2 3 2 2" xfId="9939" xr:uid="{00000000-0005-0000-0000-0000A10A0000}"/>
    <cellStyle name="40% - Accent5 2 2 2 3 3" xfId="7500" xr:uid="{00000000-0005-0000-0000-0000A20A0000}"/>
    <cellStyle name="40% - Accent5 2 2 2 4" xfId="3660" xr:uid="{00000000-0005-0000-0000-0000A30A0000}"/>
    <cellStyle name="40% - Accent5 2 2 2 4 2" xfId="8759" xr:uid="{00000000-0005-0000-0000-0000A40A0000}"/>
    <cellStyle name="40% - Accent5 2 2 2 5" xfId="6240" xr:uid="{00000000-0005-0000-0000-0000A50A0000}"/>
    <cellStyle name="40% - Accent5 2 2 3" xfId="1332" xr:uid="{00000000-0005-0000-0000-0000A60A0000}"/>
    <cellStyle name="40% - Accent5 2 2 3 2" xfId="2867" xr:uid="{00000000-0005-0000-0000-0000A70A0000}"/>
    <cellStyle name="40% - Accent5 2 2 3 2 2" xfId="5268" xr:uid="{00000000-0005-0000-0000-0000A80A0000}"/>
    <cellStyle name="40% - Accent5 2 2 3 2 2 2" xfId="10364" xr:uid="{00000000-0005-0000-0000-0000A90A0000}"/>
    <cellStyle name="40% - Accent5 2 2 3 2 3" xfId="7970" xr:uid="{00000000-0005-0000-0000-0000AA0A0000}"/>
    <cellStyle name="40% - Accent5 2 2 3 3" xfId="4076" xr:uid="{00000000-0005-0000-0000-0000AB0A0000}"/>
    <cellStyle name="40% - Accent5 2 2 3 3 2" xfId="9172" xr:uid="{00000000-0005-0000-0000-0000AC0A0000}"/>
    <cellStyle name="40% - Accent5 2 2 3 4" xfId="6692" xr:uid="{00000000-0005-0000-0000-0000AD0A0000}"/>
    <cellStyle name="40% - Accent5 2 3" xfId="884" xr:uid="{00000000-0005-0000-0000-0000AE0A0000}"/>
    <cellStyle name="40% - Accent5 2 3 2" xfId="1334" xr:uid="{00000000-0005-0000-0000-0000AF0A0000}"/>
    <cellStyle name="40% - Accent5 2 3 2 2" xfId="2869" xr:uid="{00000000-0005-0000-0000-0000B00A0000}"/>
    <cellStyle name="40% - Accent5 2 3 2 2 2" xfId="5270" xr:uid="{00000000-0005-0000-0000-0000B10A0000}"/>
    <cellStyle name="40% - Accent5 2 3 2 2 2 2" xfId="10366" xr:uid="{00000000-0005-0000-0000-0000B20A0000}"/>
    <cellStyle name="40% - Accent5 2 3 2 2 3" xfId="7972" xr:uid="{00000000-0005-0000-0000-0000B30A0000}"/>
    <cellStyle name="40% - Accent5 2 3 2 3" xfId="4078" xr:uid="{00000000-0005-0000-0000-0000B40A0000}"/>
    <cellStyle name="40% - Accent5 2 3 2 3 2" xfId="9174" xr:uid="{00000000-0005-0000-0000-0000B50A0000}"/>
    <cellStyle name="40% - Accent5 2 3 2 4" xfId="6694" xr:uid="{00000000-0005-0000-0000-0000B60A0000}"/>
    <cellStyle name="40% - Accent5 2 3 3" xfId="2589" xr:uid="{00000000-0005-0000-0000-0000B70A0000}"/>
    <cellStyle name="40% - Accent5 2 3 3 2" xfId="5033" xr:uid="{00000000-0005-0000-0000-0000B80A0000}"/>
    <cellStyle name="40% - Accent5 2 3 3 2 2" xfId="10129" xr:uid="{00000000-0005-0000-0000-0000B90A0000}"/>
    <cellStyle name="40% - Accent5 2 3 3 3" xfId="7692" xr:uid="{00000000-0005-0000-0000-0000BA0A0000}"/>
    <cellStyle name="40% - Accent5 2 3 4" xfId="3850" xr:uid="{00000000-0005-0000-0000-0000BB0A0000}"/>
    <cellStyle name="40% - Accent5 2 3 4 2" xfId="8949" xr:uid="{00000000-0005-0000-0000-0000BC0A0000}"/>
    <cellStyle name="40% - Accent5 2 3 5" xfId="6435" xr:uid="{00000000-0005-0000-0000-0000BD0A0000}"/>
    <cellStyle name="40% - Accent5 2 4" xfId="535" xr:uid="{00000000-0005-0000-0000-0000BE0A0000}"/>
    <cellStyle name="40% - Accent5 2 4 2" xfId="1335" xr:uid="{00000000-0005-0000-0000-0000BF0A0000}"/>
    <cellStyle name="40% - Accent5 2 4 2 2" xfId="2870" xr:uid="{00000000-0005-0000-0000-0000C00A0000}"/>
    <cellStyle name="40% - Accent5 2 4 2 2 2" xfId="5271" xr:uid="{00000000-0005-0000-0000-0000C10A0000}"/>
    <cellStyle name="40% - Accent5 2 4 2 2 2 2" xfId="10367" xr:uid="{00000000-0005-0000-0000-0000C20A0000}"/>
    <cellStyle name="40% - Accent5 2 4 2 2 3" xfId="7973" xr:uid="{00000000-0005-0000-0000-0000C30A0000}"/>
    <cellStyle name="40% - Accent5 2 4 2 3" xfId="4079" xr:uid="{00000000-0005-0000-0000-0000C40A0000}"/>
    <cellStyle name="40% - Accent5 2 4 2 3 2" xfId="9175" xr:uid="{00000000-0005-0000-0000-0000C50A0000}"/>
    <cellStyle name="40% - Accent5 2 4 2 4" xfId="6695" xr:uid="{00000000-0005-0000-0000-0000C60A0000}"/>
    <cellStyle name="40% - Accent5 2 4 3" xfId="2344" xr:uid="{00000000-0005-0000-0000-0000C70A0000}"/>
    <cellStyle name="40% - Accent5 2 4 3 2" xfId="4791" xr:uid="{00000000-0005-0000-0000-0000C80A0000}"/>
    <cellStyle name="40% - Accent5 2 4 3 2 2" xfId="9887" xr:uid="{00000000-0005-0000-0000-0000C90A0000}"/>
    <cellStyle name="40% - Accent5 2 4 3 3" xfId="7448" xr:uid="{00000000-0005-0000-0000-0000CA0A0000}"/>
    <cellStyle name="40% - Accent5 2 4 4" xfId="3608" xr:uid="{00000000-0005-0000-0000-0000CB0A0000}"/>
    <cellStyle name="40% - Accent5 2 4 4 2" xfId="8707" xr:uid="{00000000-0005-0000-0000-0000CC0A0000}"/>
    <cellStyle name="40% - Accent5 2 4 5" xfId="6188" xr:uid="{00000000-0005-0000-0000-0000CD0A0000}"/>
    <cellStyle name="40% - Accent5 2 5" xfId="682" xr:uid="{00000000-0005-0000-0000-0000CE0A0000}"/>
    <cellStyle name="40% - Accent5 2 5 2" xfId="2484" xr:uid="{00000000-0005-0000-0000-0000CF0A0000}"/>
    <cellStyle name="40% - Accent5 2 5 2 2" xfId="4931" xr:uid="{00000000-0005-0000-0000-0000D00A0000}"/>
    <cellStyle name="40% - Accent5 2 5 2 2 2" xfId="10027" xr:uid="{00000000-0005-0000-0000-0000D10A0000}"/>
    <cellStyle name="40% - Accent5 2 5 2 3" xfId="7588" xr:uid="{00000000-0005-0000-0000-0000D20A0000}"/>
    <cellStyle name="40% - Accent5 2 5 3" xfId="3748" xr:uid="{00000000-0005-0000-0000-0000D30A0000}"/>
    <cellStyle name="40% - Accent5 2 5 3 2" xfId="8847" xr:uid="{00000000-0005-0000-0000-0000D40A0000}"/>
    <cellStyle name="40% - Accent5 2 5 4" xfId="6328" xr:uid="{00000000-0005-0000-0000-0000D50A0000}"/>
    <cellStyle name="40% - Accent5 2 6" xfId="1331" xr:uid="{00000000-0005-0000-0000-0000D60A0000}"/>
    <cellStyle name="40% - Accent5 2 6 2" xfId="2866" xr:uid="{00000000-0005-0000-0000-0000D70A0000}"/>
    <cellStyle name="40% - Accent5 2 6 2 2" xfId="5267" xr:uid="{00000000-0005-0000-0000-0000D80A0000}"/>
    <cellStyle name="40% - Accent5 2 6 2 2 2" xfId="10363" xr:uid="{00000000-0005-0000-0000-0000D90A0000}"/>
    <cellStyle name="40% - Accent5 2 6 2 3" xfId="7969" xr:uid="{00000000-0005-0000-0000-0000DA0A0000}"/>
    <cellStyle name="40% - Accent5 2 6 3" xfId="4075" xr:uid="{00000000-0005-0000-0000-0000DB0A0000}"/>
    <cellStyle name="40% - Accent5 2 6 3 2" xfId="9171" xr:uid="{00000000-0005-0000-0000-0000DC0A0000}"/>
    <cellStyle name="40% - Accent5 2 6 4" xfId="6691" xr:uid="{00000000-0005-0000-0000-0000DD0A0000}"/>
    <cellStyle name="40% - Accent5 3" xfId="240" xr:uid="{00000000-0005-0000-0000-0000DE0A0000}"/>
    <cellStyle name="40% - Accent5 3 2" xfId="809" xr:uid="{00000000-0005-0000-0000-0000DF0A0000}"/>
    <cellStyle name="40% - Accent5 3 2 2" xfId="736" xr:uid="{00000000-0005-0000-0000-0000E00A0000}"/>
    <cellStyle name="40% - Accent5 3 2 2 2" xfId="1338" xr:uid="{00000000-0005-0000-0000-0000E10A0000}"/>
    <cellStyle name="40% - Accent5 3 2 2 2 2" xfId="2873" xr:uid="{00000000-0005-0000-0000-0000E20A0000}"/>
    <cellStyle name="40% - Accent5 3 2 2 2 2 2" xfId="5274" xr:uid="{00000000-0005-0000-0000-0000E30A0000}"/>
    <cellStyle name="40% - Accent5 3 2 2 2 2 2 2" xfId="10370" xr:uid="{00000000-0005-0000-0000-0000E40A0000}"/>
    <cellStyle name="40% - Accent5 3 2 2 2 2 3" xfId="7976" xr:uid="{00000000-0005-0000-0000-0000E50A0000}"/>
    <cellStyle name="40% - Accent5 3 2 2 2 3" xfId="4082" xr:uid="{00000000-0005-0000-0000-0000E60A0000}"/>
    <cellStyle name="40% - Accent5 3 2 2 2 3 2" xfId="9178" xr:uid="{00000000-0005-0000-0000-0000E70A0000}"/>
    <cellStyle name="40% - Accent5 3 2 2 2 4" xfId="6698" xr:uid="{00000000-0005-0000-0000-0000E80A0000}"/>
    <cellStyle name="40% - Accent5 3 2 2 3" xfId="2522" xr:uid="{00000000-0005-0000-0000-0000E90A0000}"/>
    <cellStyle name="40% - Accent5 3 2 2 3 2" xfId="4969" xr:uid="{00000000-0005-0000-0000-0000EA0A0000}"/>
    <cellStyle name="40% - Accent5 3 2 2 3 2 2" xfId="10065" xr:uid="{00000000-0005-0000-0000-0000EB0A0000}"/>
    <cellStyle name="40% - Accent5 3 2 2 3 3" xfId="7626" xr:uid="{00000000-0005-0000-0000-0000EC0A0000}"/>
    <cellStyle name="40% - Accent5 3 2 2 4" xfId="3786" xr:uid="{00000000-0005-0000-0000-0000ED0A0000}"/>
    <cellStyle name="40% - Accent5 3 2 2 4 2" xfId="8885" xr:uid="{00000000-0005-0000-0000-0000EE0A0000}"/>
    <cellStyle name="40% - Accent5 3 2 2 5" xfId="6366" xr:uid="{00000000-0005-0000-0000-0000EF0A0000}"/>
    <cellStyle name="40% - Accent5 3 2 3" xfId="1337" xr:uid="{00000000-0005-0000-0000-0000F00A0000}"/>
    <cellStyle name="40% - Accent5 3 2 3 2" xfId="2872" xr:uid="{00000000-0005-0000-0000-0000F10A0000}"/>
    <cellStyle name="40% - Accent5 3 2 3 2 2" xfId="5273" xr:uid="{00000000-0005-0000-0000-0000F20A0000}"/>
    <cellStyle name="40% - Accent5 3 2 3 2 2 2" xfId="10369" xr:uid="{00000000-0005-0000-0000-0000F30A0000}"/>
    <cellStyle name="40% - Accent5 3 2 3 2 3" xfId="7975" xr:uid="{00000000-0005-0000-0000-0000F40A0000}"/>
    <cellStyle name="40% - Accent5 3 2 3 3" xfId="4081" xr:uid="{00000000-0005-0000-0000-0000F50A0000}"/>
    <cellStyle name="40% - Accent5 3 2 3 3 2" xfId="9177" xr:uid="{00000000-0005-0000-0000-0000F60A0000}"/>
    <cellStyle name="40% - Accent5 3 2 3 4" xfId="6697" xr:uid="{00000000-0005-0000-0000-0000F70A0000}"/>
    <cellStyle name="40% - Accent5 3 3" xfId="770" xr:uid="{00000000-0005-0000-0000-0000F80A0000}"/>
    <cellStyle name="40% - Accent5 3 3 2" xfId="1339" xr:uid="{00000000-0005-0000-0000-0000F90A0000}"/>
    <cellStyle name="40% - Accent5 3 3 2 2" xfId="2874" xr:uid="{00000000-0005-0000-0000-0000FA0A0000}"/>
    <cellStyle name="40% - Accent5 3 3 2 2 2" xfId="5275" xr:uid="{00000000-0005-0000-0000-0000FB0A0000}"/>
    <cellStyle name="40% - Accent5 3 3 2 2 2 2" xfId="10371" xr:uid="{00000000-0005-0000-0000-0000FC0A0000}"/>
    <cellStyle name="40% - Accent5 3 3 2 2 3" xfId="7977" xr:uid="{00000000-0005-0000-0000-0000FD0A0000}"/>
    <cellStyle name="40% - Accent5 3 3 2 3" xfId="4083" xr:uid="{00000000-0005-0000-0000-0000FE0A0000}"/>
    <cellStyle name="40% - Accent5 3 3 2 3 2" xfId="9179" xr:uid="{00000000-0005-0000-0000-0000FF0A0000}"/>
    <cellStyle name="40% - Accent5 3 3 2 4" xfId="6699" xr:uid="{00000000-0005-0000-0000-0000000B0000}"/>
    <cellStyle name="40% - Accent5 3 3 3" xfId="2551" xr:uid="{00000000-0005-0000-0000-0000010B0000}"/>
    <cellStyle name="40% - Accent5 3 3 3 2" xfId="4998" xr:uid="{00000000-0005-0000-0000-0000020B0000}"/>
    <cellStyle name="40% - Accent5 3 3 3 2 2" xfId="10094" xr:uid="{00000000-0005-0000-0000-0000030B0000}"/>
    <cellStyle name="40% - Accent5 3 3 3 3" xfId="7655" xr:uid="{00000000-0005-0000-0000-0000040B0000}"/>
    <cellStyle name="40% - Accent5 3 3 4" xfId="3815" xr:uid="{00000000-0005-0000-0000-0000050B0000}"/>
    <cellStyle name="40% - Accent5 3 3 4 2" xfId="8914" xr:uid="{00000000-0005-0000-0000-0000060B0000}"/>
    <cellStyle name="40% - Accent5 3 3 5" xfId="6395" xr:uid="{00000000-0005-0000-0000-0000070B0000}"/>
    <cellStyle name="40% - Accent5 3 4" xfId="888" xr:uid="{00000000-0005-0000-0000-0000080B0000}"/>
    <cellStyle name="40% - Accent5 3 4 2" xfId="1340" xr:uid="{00000000-0005-0000-0000-0000090B0000}"/>
    <cellStyle name="40% - Accent5 3 4 2 2" xfId="2875" xr:uid="{00000000-0005-0000-0000-00000A0B0000}"/>
    <cellStyle name="40% - Accent5 3 4 2 2 2" xfId="5276" xr:uid="{00000000-0005-0000-0000-00000B0B0000}"/>
    <cellStyle name="40% - Accent5 3 4 2 2 2 2" xfId="10372" xr:uid="{00000000-0005-0000-0000-00000C0B0000}"/>
    <cellStyle name="40% - Accent5 3 4 2 2 3" xfId="7978" xr:uid="{00000000-0005-0000-0000-00000D0B0000}"/>
    <cellStyle name="40% - Accent5 3 4 2 3" xfId="4084" xr:uid="{00000000-0005-0000-0000-00000E0B0000}"/>
    <cellStyle name="40% - Accent5 3 4 2 3 2" xfId="9180" xr:uid="{00000000-0005-0000-0000-00000F0B0000}"/>
    <cellStyle name="40% - Accent5 3 4 2 4" xfId="6700" xr:uid="{00000000-0005-0000-0000-0000100B0000}"/>
    <cellStyle name="40% - Accent5 3 4 3" xfId="2593" xr:uid="{00000000-0005-0000-0000-0000110B0000}"/>
    <cellStyle name="40% - Accent5 3 4 3 2" xfId="5037" xr:uid="{00000000-0005-0000-0000-0000120B0000}"/>
    <cellStyle name="40% - Accent5 3 4 3 2 2" xfId="10133" xr:uid="{00000000-0005-0000-0000-0000130B0000}"/>
    <cellStyle name="40% - Accent5 3 4 3 3" xfId="7696" xr:uid="{00000000-0005-0000-0000-0000140B0000}"/>
    <cellStyle name="40% - Accent5 3 4 4" xfId="3854" xr:uid="{00000000-0005-0000-0000-0000150B0000}"/>
    <cellStyle name="40% - Accent5 3 4 4 2" xfId="8953" xr:uid="{00000000-0005-0000-0000-0000160B0000}"/>
    <cellStyle name="40% - Accent5 3 4 5" xfId="6439" xr:uid="{00000000-0005-0000-0000-0000170B0000}"/>
    <cellStyle name="40% - Accent5 3 5" xfId="693" xr:uid="{00000000-0005-0000-0000-0000180B0000}"/>
    <cellStyle name="40% - Accent5 3 5 2" xfId="2495" xr:uid="{00000000-0005-0000-0000-0000190B0000}"/>
    <cellStyle name="40% - Accent5 3 5 2 2" xfId="4942" xr:uid="{00000000-0005-0000-0000-00001A0B0000}"/>
    <cellStyle name="40% - Accent5 3 5 2 2 2" xfId="10038" xr:uid="{00000000-0005-0000-0000-00001B0B0000}"/>
    <cellStyle name="40% - Accent5 3 5 2 3" xfId="7599" xr:uid="{00000000-0005-0000-0000-00001C0B0000}"/>
    <cellStyle name="40% - Accent5 3 5 3" xfId="3759" xr:uid="{00000000-0005-0000-0000-00001D0B0000}"/>
    <cellStyle name="40% - Accent5 3 5 3 2" xfId="8858" xr:uid="{00000000-0005-0000-0000-00001E0B0000}"/>
    <cellStyle name="40% - Accent5 3 5 4" xfId="6339" xr:uid="{00000000-0005-0000-0000-00001F0B0000}"/>
    <cellStyle name="40% - Accent5 3 6" xfId="1336" xr:uid="{00000000-0005-0000-0000-0000200B0000}"/>
    <cellStyle name="40% - Accent5 3 6 2" xfId="2871" xr:uid="{00000000-0005-0000-0000-0000210B0000}"/>
    <cellStyle name="40% - Accent5 3 6 2 2" xfId="5272" xr:uid="{00000000-0005-0000-0000-0000220B0000}"/>
    <cellStyle name="40% - Accent5 3 6 2 2 2" xfId="10368" xr:uid="{00000000-0005-0000-0000-0000230B0000}"/>
    <cellStyle name="40% - Accent5 3 6 2 3" xfId="7974" xr:uid="{00000000-0005-0000-0000-0000240B0000}"/>
    <cellStyle name="40% - Accent5 3 6 3" xfId="4080" xr:uid="{00000000-0005-0000-0000-0000250B0000}"/>
    <cellStyle name="40% - Accent5 3 6 3 2" xfId="9176" xr:uid="{00000000-0005-0000-0000-0000260B0000}"/>
    <cellStyle name="40% - Accent5 3 6 4" xfId="6696" xr:uid="{00000000-0005-0000-0000-0000270B0000}"/>
    <cellStyle name="40% - Accent5 4" xfId="241" xr:uid="{00000000-0005-0000-0000-0000280B0000}"/>
    <cellStyle name="40% - Accent5 4 2" xfId="578" xr:uid="{00000000-0005-0000-0000-0000290B0000}"/>
    <cellStyle name="40% - Accent5 4 2 2" xfId="1342" xr:uid="{00000000-0005-0000-0000-00002A0B0000}"/>
    <cellStyle name="40% - Accent5 4 2 3" xfId="2384" xr:uid="{00000000-0005-0000-0000-00002B0B0000}"/>
    <cellStyle name="40% - Accent5 4 2 3 2" xfId="4831" xr:uid="{00000000-0005-0000-0000-00002C0B0000}"/>
    <cellStyle name="40% - Accent5 4 2 3 2 2" xfId="9927" xr:uid="{00000000-0005-0000-0000-00002D0B0000}"/>
    <cellStyle name="40% - Accent5 4 2 3 3" xfId="7488" xr:uid="{00000000-0005-0000-0000-00002E0B0000}"/>
    <cellStyle name="40% - Accent5 4 2 4" xfId="3648" xr:uid="{00000000-0005-0000-0000-00002F0B0000}"/>
    <cellStyle name="40% - Accent5 4 2 4 2" xfId="8747" xr:uid="{00000000-0005-0000-0000-0000300B0000}"/>
    <cellStyle name="40% - Accent5 4 2 5" xfId="6228" xr:uid="{00000000-0005-0000-0000-0000310B0000}"/>
    <cellStyle name="40% - Accent5 4 3" xfId="896" xr:uid="{00000000-0005-0000-0000-0000320B0000}"/>
    <cellStyle name="40% - Accent5 4 3 2" xfId="1343" xr:uid="{00000000-0005-0000-0000-0000330B0000}"/>
    <cellStyle name="40% - Accent5 4 3 2 2" xfId="2877" xr:uid="{00000000-0005-0000-0000-0000340B0000}"/>
    <cellStyle name="40% - Accent5 4 3 2 2 2" xfId="5278" xr:uid="{00000000-0005-0000-0000-0000350B0000}"/>
    <cellStyle name="40% - Accent5 4 3 2 2 2 2" xfId="10374" xr:uid="{00000000-0005-0000-0000-0000360B0000}"/>
    <cellStyle name="40% - Accent5 4 3 2 2 3" xfId="7980" xr:uid="{00000000-0005-0000-0000-0000370B0000}"/>
    <cellStyle name="40% - Accent5 4 3 2 3" xfId="4086" xr:uid="{00000000-0005-0000-0000-0000380B0000}"/>
    <cellStyle name="40% - Accent5 4 3 2 3 2" xfId="9182" xr:uid="{00000000-0005-0000-0000-0000390B0000}"/>
    <cellStyle name="40% - Accent5 4 3 2 4" xfId="6703" xr:uid="{00000000-0005-0000-0000-00003A0B0000}"/>
    <cellStyle name="40% - Accent5 4 3 3" xfId="2601" xr:uid="{00000000-0005-0000-0000-00003B0B0000}"/>
    <cellStyle name="40% - Accent5 4 3 3 2" xfId="5045" xr:uid="{00000000-0005-0000-0000-00003C0B0000}"/>
    <cellStyle name="40% - Accent5 4 3 3 2 2" xfId="10141" xr:uid="{00000000-0005-0000-0000-00003D0B0000}"/>
    <cellStyle name="40% - Accent5 4 3 3 3" xfId="7704" xr:uid="{00000000-0005-0000-0000-00003E0B0000}"/>
    <cellStyle name="40% - Accent5 4 3 4" xfId="3862" xr:uid="{00000000-0005-0000-0000-00003F0B0000}"/>
    <cellStyle name="40% - Accent5 4 3 4 2" xfId="8961" xr:uid="{00000000-0005-0000-0000-0000400B0000}"/>
    <cellStyle name="40% - Accent5 4 3 5" xfId="6447" xr:uid="{00000000-0005-0000-0000-0000410B0000}"/>
    <cellStyle name="40% - Accent5 4 4" xfId="895" xr:uid="{00000000-0005-0000-0000-0000420B0000}"/>
    <cellStyle name="40% - Accent5 4 4 2" xfId="2600" xr:uid="{00000000-0005-0000-0000-0000430B0000}"/>
    <cellStyle name="40% - Accent5 4 4 2 2" xfId="5044" xr:uid="{00000000-0005-0000-0000-0000440B0000}"/>
    <cellStyle name="40% - Accent5 4 4 2 2 2" xfId="10140" xr:uid="{00000000-0005-0000-0000-0000450B0000}"/>
    <cellStyle name="40% - Accent5 4 4 2 3" xfId="7703" xr:uid="{00000000-0005-0000-0000-0000460B0000}"/>
    <cellStyle name="40% - Accent5 4 4 3" xfId="3861" xr:uid="{00000000-0005-0000-0000-0000470B0000}"/>
    <cellStyle name="40% - Accent5 4 4 3 2" xfId="8960" xr:uid="{00000000-0005-0000-0000-0000480B0000}"/>
    <cellStyle name="40% - Accent5 4 4 4" xfId="6446" xr:uid="{00000000-0005-0000-0000-0000490B0000}"/>
    <cellStyle name="40% - Accent5 4 5" xfId="540" xr:uid="{00000000-0005-0000-0000-00004A0B0000}"/>
    <cellStyle name="40% - Accent5 4 5 2" xfId="2349" xr:uid="{00000000-0005-0000-0000-00004B0B0000}"/>
    <cellStyle name="40% - Accent5 4 5 2 2" xfId="4796" xr:uid="{00000000-0005-0000-0000-00004C0B0000}"/>
    <cellStyle name="40% - Accent5 4 5 2 2 2" xfId="9892" xr:uid="{00000000-0005-0000-0000-00004D0B0000}"/>
    <cellStyle name="40% - Accent5 4 5 2 3" xfId="7453" xr:uid="{00000000-0005-0000-0000-00004E0B0000}"/>
    <cellStyle name="40% - Accent5 4 5 3" xfId="3613" xr:uid="{00000000-0005-0000-0000-00004F0B0000}"/>
    <cellStyle name="40% - Accent5 4 5 3 2" xfId="8712" xr:uid="{00000000-0005-0000-0000-0000500B0000}"/>
    <cellStyle name="40% - Accent5 4 5 4" xfId="6193" xr:uid="{00000000-0005-0000-0000-0000510B0000}"/>
    <cellStyle name="40% - Accent5 4 6" xfId="1341" xr:uid="{00000000-0005-0000-0000-0000520B0000}"/>
    <cellStyle name="40% - Accent5 4 6 2" xfId="2876" xr:uid="{00000000-0005-0000-0000-0000530B0000}"/>
    <cellStyle name="40% - Accent5 4 6 2 2" xfId="5277" xr:uid="{00000000-0005-0000-0000-0000540B0000}"/>
    <cellStyle name="40% - Accent5 4 6 2 2 2" xfId="10373" xr:uid="{00000000-0005-0000-0000-0000550B0000}"/>
    <cellStyle name="40% - Accent5 4 6 2 3" xfId="7979" xr:uid="{00000000-0005-0000-0000-0000560B0000}"/>
    <cellStyle name="40% - Accent5 4 6 3" xfId="4085" xr:uid="{00000000-0005-0000-0000-0000570B0000}"/>
    <cellStyle name="40% - Accent5 4 6 3 2" xfId="9181" xr:uid="{00000000-0005-0000-0000-0000580B0000}"/>
    <cellStyle name="40% - Accent5 4 6 4" xfId="6701" xr:uid="{00000000-0005-0000-0000-0000590B0000}"/>
    <cellStyle name="40% - Accent5 5" xfId="242" xr:uid="{00000000-0005-0000-0000-00005A0B0000}"/>
    <cellStyle name="40% - Accent5 5 2" xfId="631" xr:uid="{00000000-0005-0000-0000-00005B0B0000}"/>
    <cellStyle name="40% - Accent5 5 2 2" xfId="2437" xr:uid="{00000000-0005-0000-0000-00005C0B0000}"/>
    <cellStyle name="40% - Accent5 5 2 2 2" xfId="4884" xr:uid="{00000000-0005-0000-0000-00005D0B0000}"/>
    <cellStyle name="40% - Accent5 5 2 2 2 2" xfId="9980" xr:uid="{00000000-0005-0000-0000-00005E0B0000}"/>
    <cellStyle name="40% - Accent5 5 2 2 3" xfId="7541" xr:uid="{00000000-0005-0000-0000-00005F0B0000}"/>
    <cellStyle name="40% - Accent5 5 2 3" xfId="3701" xr:uid="{00000000-0005-0000-0000-0000600B0000}"/>
    <cellStyle name="40% - Accent5 5 2 3 2" xfId="8800" xr:uid="{00000000-0005-0000-0000-0000610B0000}"/>
    <cellStyle name="40% - Accent5 5 2 4" xfId="6281" xr:uid="{00000000-0005-0000-0000-0000620B0000}"/>
    <cellStyle name="40% - Accent5 5 3" xfId="662" xr:uid="{00000000-0005-0000-0000-0000630B0000}"/>
    <cellStyle name="40% - Accent5 5 3 2" xfId="2466" xr:uid="{00000000-0005-0000-0000-0000640B0000}"/>
    <cellStyle name="40% - Accent5 5 3 2 2" xfId="4913" xr:uid="{00000000-0005-0000-0000-0000650B0000}"/>
    <cellStyle name="40% - Accent5 5 3 2 2 2" xfId="10009" xr:uid="{00000000-0005-0000-0000-0000660B0000}"/>
    <cellStyle name="40% - Accent5 5 3 2 3" xfId="7570" xr:uid="{00000000-0005-0000-0000-0000670B0000}"/>
    <cellStyle name="40% - Accent5 5 3 3" xfId="3730" xr:uid="{00000000-0005-0000-0000-0000680B0000}"/>
    <cellStyle name="40% - Accent5 5 3 3 2" xfId="8829" xr:uid="{00000000-0005-0000-0000-0000690B0000}"/>
    <cellStyle name="40% - Accent5 5 3 4" xfId="6310" xr:uid="{00000000-0005-0000-0000-00006A0B0000}"/>
    <cellStyle name="40% - Accent5 5 4" xfId="1344" xr:uid="{00000000-0005-0000-0000-00006B0B0000}"/>
    <cellStyle name="40% - Accent5 6" xfId="243" xr:uid="{00000000-0005-0000-0000-00006C0B0000}"/>
    <cellStyle name="40% - Accent5 6 2" xfId="659" xr:uid="{00000000-0005-0000-0000-00006D0B0000}"/>
    <cellStyle name="40% - Accent5 6 2 2" xfId="2463" xr:uid="{00000000-0005-0000-0000-00006E0B0000}"/>
    <cellStyle name="40% - Accent5 6 2 2 2" xfId="4910" xr:uid="{00000000-0005-0000-0000-00006F0B0000}"/>
    <cellStyle name="40% - Accent5 6 2 2 2 2" xfId="10006" xr:uid="{00000000-0005-0000-0000-0000700B0000}"/>
    <cellStyle name="40% - Accent5 6 2 2 3" xfId="7567" xr:uid="{00000000-0005-0000-0000-0000710B0000}"/>
    <cellStyle name="40% - Accent5 6 2 3" xfId="3727" xr:uid="{00000000-0005-0000-0000-0000720B0000}"/>
    <cellStyle name="40% - Accent5 6 2 3 2" xfId="8826" xr:uid="{00000000-0005-0000-0000-0000730B0000}"/>
    <cellStyle name="40% - Accent5 6 2 4" xfId="6307" xr:uid="{00000000-0005-0000-0000-0000740B0000}"/>
    <cellStyle name="40% - Accent5 6 3" xfId="1345" xr:uid="{00000000-0005-0000-0000-0000750B0000}"/>
    <cellStyle name="40% - Accent5 7" xfId="244" xr:uid="{00000000-0005-0000-0000-0000760B0000}"/>
    <cellStyle name="40% - Accent5 7 2" xfId="569" xr:uid="{00000000-0005-0000-0000-0000770B0000}"/>
    <cellStyle name="40% - Accent5 7 2 2" xfId="2375" xr:uid="{00000000-0005-0000-0000-0000780B0000}"/>
    <cellStyle name="40% - Accent5 7 2 2 2" xfId="4822" xr:uid="{00000000-0005-0000-0000-0000790B0000}"/>
    <cellStyle name="40% - Accent5 7 2 2 2 2" xfId="9918" xr:uid="{00000000-0005-0000-0000-00007A0B0000}"/>
    <cellStyle name="40% - Accent5 7 2 2 3" xfId="7479" xr:uid="{00000000-0005-0000-0000-00007B0B0000}"/>
    <cellStyle name="40% - Accent5 7 2 3" xfId="3639" xr:uid="{00000000-0005-0000-0000-00007C0B0000}"/>
    <cellStyle name="40% - Accent5 7 2 3 2" xfId="8738" xr:uid="{00000000-0005-0000-0000-00007D0B0000}"/>
    <cellStyle name="40% - Accent5 7 2 4" xfId="6219" xr:uid="{00000000-0005-0000-0000-00007E0B0000}"/>
    <cellStyle name="40% - Accent5 7 3" xfId="1346" xr:uid="{00000000-0005-0000-0000-00007F0B0000}"/>
    <cellStyle name="40% - Accent5 8" xfId="245" xr:uid="{00000000-0005-0000-0000-0000800B0000}"/>
    <cellStyle name="40% - Accent5 8 2" xfId="560" xr:uid="{00000000-0005-0000-0000-0000810B0000}"/>
    <cellStyle name="40% - Accent5 8 2 2" xfId="2366" xr:uid="{00000000-0005-0000-0000-0000820B0000}"/>
    <cellStyle name="40% - Accent5 8 2 2 2" xfId="4813" xr:uid="{00000000-0005-0000-0000-0000830B0000}"/>
    <cellStyle name="40% - Accent5 8 2 2 2 2" xfId="9909" xr:uid="{00000000-0005-0000-0000-0000840B0000}"/>
    <cellStyle name="40% - Accent5 8 2 2 3" xfId="7470" xr:uid="{00000000-0005-0000-0000-0000850B0000}"/>
    <cellStyle name="40% - Accent5 8 2 3" xfId="3630" xr:uid="{00000000-0005-0000-0000-0000860B0000}"/>
    <cellStyle name="40% - Accent5 8 2 3 2" xfId="8729" xr:uid="{00000000-0005-0000-0000-0000870B0000}"/>
    <cellStyle name="40% - Accent5 8 2 4" xfId="6210" xr:uid="{00000000-0005-0000-0000-0000880B0000}"/>
    <cellStyle name="40% - Accent5 8 3" xfId="1347" xr:uid="{00000000-0005-0000-0000-0000890B0000}"/>
    <cellStyle name="40% - Accent5 9" xfId="708" xr:uid="{00000000-0005-0000-0000-00008A0B0000}"/>
    <cellStyle name="40% - Accent5 9 2" xfId="1052" xr:uid="{00000000-0005-0000-0000-00008B0B0000}"/>
    <cellStyle name="40% - Accent5 9 2 2" xfId="2682" xr:uid="{00000000-0005-0000-0000-00008C0B0000}"/>
    <cellStyle name="40% - Accent5 9 2 2 2" xfId="5091" xr:uid="{00000000-0005-0000-0000-00008D0B0000}"/>
    <cellStyle name="40% - Accent5 9 2 2 2 2" xfId="10187" xr:uid="{00000000-0005-0000-0000-00008E0B0000}"/>
    <cellStyle name="40% - Accent5 9 2 2 3" xfId="7785" xr:uid="{00000000-0005-0000-0000-00008F0B0000}"/>
    <cellStyle name="40% - Accent5 9 2 3" xfId="3908" xr:uid="{00000000-0005-0000-0000-0000900B0000}"/>
    <cellStyle name="40% - Accent5 9 2 3 2" xfId="9007" xr:uid="{00000000-0005-0000-0000-0000910B0000}"/>
    <cellStyle name="40% - Accent5 9 2 4" xfId="6529" xr:uid="{00000000-0005-0000-0000-0000920B0000}"/>
    <cellStyle name="40% - Accent5 9 3" xfId="2508" xr:uid="{00000000-0005-0000-0000-0000930B0000}"/>
    <cellStyle name="40% - Accent5 9 3 2" xfId="4955" xr:uid="{00000000-0005-0000-0000-0000940B0000}"/>
    <cellStyle name="40% - Accent5 9 3 2 2" xfId="10051" xr:uid="{00000000-0005-0000-0000-0000950B0000}"/>
    <cellStyle name="40% - Accent5 9 3 3" xfId="7612" xr:uid="{00000000-0005-0000-0000-0000960B0000}"/>
    <cellStyle name="40% - Accent5 9 4" xfId="3772" xr:uid="{00000000-0005-0000-0000-0000970B0000}"/>
    <cellStyle name="40% - Accent5 9 4 2" xfId="8871" xr:uid="{00000000-0005-0000-0000-0000980B0000}"/>
    <cellStyle name="40% - Accent5 9 5" xfId="6352" xr:uid="{00000000-0005-0000-0000-0000990B0000}"/>
    <cellStyle name="40% - Accent6" xfId="146" builtinId="51" customBuiltin="1"/>
    <cellStyle name="40% - Accent6 10" xfId="2737" xr:uid="{00000000-0005-0000-0000-00009B0B0000}"/>
    <cellStyle name="40% - Accent6 10 2" xfId="5139" xr:uid="{00000000-0005-0000-0000-00009C0B0000}"/>
    <cellStyle name="40% - Accent6 10 2 2" xfId="10235" xr:uid="{00000000-0005-0000-0000-00009D0B0000}"/>
    <cellStyle name="40% - Accent6 10 3" xfId="7840" xr:uid="{00000000-0005-0000-0000-00009E0B0000}"/>
    <cellStyle name="40% - Accent6 11" xfId="3598" xr:uid="{00000000-0005-0000-0000-00009F0B0000}"/>
    <cellStyle name="40% - Accent6 11 2" xfId="8701" xr:uid="{00000000-0005-0000-0000-0000A00B0000}"/>
    <cellStyle name="40% - Accent6 12" xfId="6552" xr:uid="{00000000-0005-0000-0000-0000A10B0000}"/>
    <cellStyle name="40% - Accent6 2" xfId="25" xr:uid="{00000000-0005-0000-0000-0000A20B0000}"/>
    <cellStyle name="40% - Accent6 2 2" xfId="810" xr:uid="{00000000-0005-0000-0000-0000A30B0000}"/>
    <cellStyle name="40% - Accent6 2 2 2" xfId="901" xr:uid="{00000000-0005-0000-0000-0000A40B0000}"/>
    <cellStyle name="40% - Accent6 2 2 2 2" xfId="1350" xr:uid="{00000000-0005-0000-0000-0000A50B0000}"/>
    <cellStyle name="40% - Accent6 2 2 2 2 2" xfId="2880" xr:uid="{00000000-0005-0000-0000-0000A60B0000}"/>
    <cellStyle name="40% - Accent6 2 2 2 2 2 2" xfId="5281" xr:uid="{00000000-0005-0000-0000-0000A70B0000}"/>
    <cellStyle name="40% - Accent6 2 2 2 2 2 2 2" xfId="10377" xr:uid="{00000000-0005-0000-0000-0000A80B0000}"/>
    <cellStyle name="40% - Accent6 2 2 2 2 2 3" xfId="7983" xr:uid="{00000000-0005-0000-0000-0000A90B0000}"/>
    <cellStyle name="40% - Accent6 2 2 2 2 3" xfId="4089" xr:uid="{00000000-0005-0000-0000-0000AA0B0000}"/>
    <cellStyle name="40% - Accent6 2 2 2 2 3 2" xfId="9185" xr:uid="{00000000-0005-0000-0000-0000AB0B0000}"/>
    <cellStyle name="40% - Accent6 2 2 2 2 4" xfId="6710" xr:uid="{00000000-0005-0000-0000-0000AC0B0000}"/>
    <cellStyle name="40% - Accent6 2 2 2 3" xfId="2606" xr:uid="{00000000-0005-0000-0000-0000AD0B0000}"/>
    <cellStyle name="40% - Accent6 2 2 2 3 2" xfId="5050" xr:uid="{00000000-0005-0000-0000-0000AE0B0000}"/>
    <cellStyle name="40% - Accent6 2 2 2 3 2 2" xfId="10146" xr:uid="{00000000-0005-0000-0000-0000AF0B0000}"/>
    <cellStyle name="40% - Accent6 2 2 2 3 3" xfId="7709" xr:uid="{00000000-0005-0000-0000-0000B00B0000}"/>
    <cellStyle name="40% - Accent6 2 2 2 4" xfId="3867" xr:uid="{00000000-0005-0000-0000-0000B10B0000}"/>
    <cellStyle name="40% - Accent6 2 2 2 4 2" xfId="8966" xr:uid="{00000000-0005-0000-0000-0000B20B0000}"/>
    <cellStyle name="40% - Accent6 2 2 2 5" xfId="6452" xr:uid="{00000000-0005-0000-0000-0000B30B0000}"/>
    <cellStyle name="40% - Accent6 2 2 3" xfId="1349" xr:uid="{00000000-0005-0000-0000-0000B40B0000}"/>
    <cellStyle name="40% - Accent6 2 2 3 2" xfId="2879" xr:uid="{00000000-0005-0000-0000-0000B50B0000}"/>
    <cellStyle name="40% - Accent6 2 2 3 2 2" xfId="5280" xr:uid="{00000000-0005-0000-0000-0000B60B0000}"/>
    <cellStyle name="40% - Accent6 2 2 3 2 2 2" xfId="10376" xr:uid="{00000000-0005-0000-0000-0000B70B0000}"/>
    <cellStyle name="40% - Accent6 2 2 3 2 3" xfId="7982" xr:uid="{00000000-0005-0000-0000-0000B80B0000}"/>
    <cellStyle name="40% - Accent6 2 2 3 3" xfId="4088" xr:uid="{00000000-0005-0000-0000-0000B90B0000}"/>
    <cellStyle name="40% - Accent6 2 2 3 3 2" xfId="9184" xr:uid="{00000000-0005-0000-0000-0000BA0B0000}"/>
    <cellStyle name="40% - Accent6 2 2 3 4" xfId="6709" xr:uid="{00000000-0005-0000-0000-0000BB0B0000}"/>
    <cellStyle name="40% - Accent6 2 3" xfId="618" xr:uid="{00000000-0005-0000-0000-0000BC0B0000}"/>
    <cellStyle name="40% - Accent6 2 3 2" xfId="1351" xr:uid="{00000000-0005-0000-0000-0000BD0B0000}"/>
    <cellStyle name="40% - Accent6 2 3 2 2" xfId="2881" xr:uid="{00000000-0005-0000-0000-0000BE0B0000}"/>
    <cellStyle name="40% - Accent6 2 3 2 2 2" xfId="5282" xr:uid="{00000000-0005-0000-0000-0000BF0B0000}"/>
    <cellStyle name="40% - Accent6 2 3 2 2 2 2" xfId="10378" xr:uid="{00000000-0005-0000-0000-0000C00B0000}"/>
    <cellStyle name="40% - Accent6 2 3 2 2 3" xfId="7984" xr:uid="{00000000-0005-0000-0000-0000C10B0000}"/>
    <cellStyle name="40% - Accent6 2 3 2 3" xfId="4090" xr:uid="{00000000-0005-0000-0000-0000C20B0000}"/>
    <cellStyle name="40% - Accent6 2 3 2 3 2" xfId="9186" xr:uid="{00000000-0005-0000-0000-0000C30B0000}"/>
    <cellStyle name="40% - Accent6 2 3 2 4" xfId="6711" xr:uid="{00000000-0005-0000-0000-0000C40B0000}"/>
    <cellStyle name="40% - Accent6 2 3 3" xfId="2424" xr:uid="{00000000-0005-0000-0000-0000C50B0000}"/>
    <cellStyle name="40% - Accent6 2 3 3 2" xfId="4871" xr:uid="{00000000-0005-0000-0000-0000C60B0000}"/>
    <cellStyle name="40% - Accent6 2 3 3 2 2" xfId="9967" xr:uid="{00000000-0005-0000-0000-0000C70B0000}"/>
    <cellStyle name="40% - Accent6 2 3 3 3" xfId="7528" xr:uid="{00000000-0005-0000-0000-0000C80B0000}"/>
    <cellStyle name="40% - Accent6 2 3 4" xfId="3688" xr:uid="{00000000-0005-0000-0000-0000C90B0000}"/>
    <cellStyle name="40% - Accent6 2 3 4 2" xfId="8787" xr:uid="{00000000-0005-0000-0000-0000CA0B0000}"/>
    <cellStyle name="40% - Accent6 2 3 5" xfId="6268" xr:uid="{00000000-0005-0000-0000-0000CB0B0000}"/>
    <cellStyle name="40% - Accent6 2 4" xfId="915" xr:uid="{00000000-0005-0000-0000-0000CC0B0000}"/>
    <cellStyle name="40% - Accent6 2 4 2" xfId="1352" xr:uid="{00000000-0005-0000-0000-0000CD0B0000}"/>
    <cellStyle name="40% - Accent6 2 4 2 2" xfId="2882" xr:uid="{00000000-0005-0000-0000-0000CE0B0000}"/>
    <cellStyle name="40% - Accent6 2 4 2 2 2" xfId="5283" xr:uid="{00000000-0005-0000-0000-0000CF0B0000}"/>
    <cellStyle name="40% - Accent6 2 4 2 2 2 2" xfId="10379" xr:uid="{00000000-0005-0000-0000-0000D00B0000}"/>
    <cellStyle name="40% - Accent6 2 4 2 2 3" xfId="7985" xr:uid="{00000000-0005-0000-0000-0000D10B0000}"/>
    <cellStyle name="40% - Accent6 2 4 2 3" xfId="4091" xr:uid="{00000000-0005-0000-0000-0000D20B0000}"/>
    <cellStyle name="40% - Accent6 2 4 2 3 2" xfId="9187" xr:uid="{00000000-0005-0000-0000-0000D30B0000}"/>
    <cellStyle name="40% - Accent6 2 4 2 4" xfId="6712" xr:uid="{00000000-0005-0000-0000-0000D40B0000}"/>
    <cellStyle name="40% - Accent6 2 4 3" xfId="2616" xr:uid="{00000000-0005-0000-0000-0000D50B0000}"/>
    <cellStyle name="40% - Accent6 2 4 3 2" xfId="5060" xr:uid="{00000000-0005-0000-0000-0000D60B0000}"/>
    <cellStyle name="40% - Accent6 2 4 3 2 2" xfId="10156" xr:uid="{00000000-0005-0000-0000-0000D70B0000}"/>
    <cellStyle name="40% - Accent6 2 4 3 3" xfId="7719" xr:uid="{00000000-0005-0000-0000-0000D80B0000}"/>
    <cellStyle name="40% - Accent6 2 4 4" xfId="3877" xr:uid="{00000000-0005-0000-0000-0000D90B0000}"/>
    <cellStyle name="40% - Accent6 2 4 4 2" xfId="8976" xr:uid="{00000000-0005-0000-0000-0000DA0B0000}"/>
    <cellStyle name="40% - Accent6 2 4 5" xfId="6462" xr:uid="{00000000-0005-0000-0000-0000DB0B0000}"/>
    <cellStyle name="40% - Accent6 2 5" xfId="681" xr:uid="{00000000-0005-0000-0000-0000DC0B0000}"/>
    <cellStyle name="40% - Accent6 2 5 2" xfId="2483" xr:uid="{00000000-0005-0000-0000-0000DD0B0000}"/>
    <cellStyle name="40% - Accent6 2 5 2 2" xfId="4930" xr:uid="{00000000-0005-0000-0000-0000DE0B0000}"/>
    <cellStyle name="40% - Accent6 2 5 2 2 2" xfId="10026" xr:uid="{00000000-0005-0000-0000-0000DF0B0000}"/>
    <cellStyle name="40% - Accent6 2 5 2 3" xfId="7587" xr:uid="{00000000-0005-0000-0000-0000E00B0000}"/>
    <cellStyle name="40% - Accent6 2 5 3" xfId="3747" xr:uid="{00000000-0005-0000-0000-0000E10B0000}"/>
    <cellStyle name="40% - Accent6 2 5 3 2" xfId="8846" xr:uid="{00000000-0005-0000-0000-0000E20B0000}"/>
    <cellStyle name="40% - Accent6 2 5 4" xfId="6327" xr:uid="{00000000-0005-0000-0000-0000E30B0000}"/>
    <cellStyle name="40% - Accent6 2 6" xfId="1348" xr:uid="{00000000-0005-0000-0000-0000E40B0000}"/>
    <cellStyle name="40% - Accent6 2 6 2" xfId="2878" xr:uid="{00000000-0005-0000-0000-0000E50B0000}"/>
    <cellStyle name="40% - Accent6 2 6 2 2" xfId="5279" xr:uid="{00000000-0005-0000-0000-0000E60B0000}"/>
    <cellStyle name="40% - Accent6 2 6 2 2 2" xfId="10375" xr:uid="{00000000-0005-0000-0000-0000E70B0000}"/>
    <cellStyle name="40% - Accent6 2 6 2 3" xfId="7981" xr:uid="{00000000-0005-0000-0000-0000E80B0000}"/>
    <cellStyle name="40% - Accent6 2 6 3" xfId="4087" xr:uid="{00000000-0005-0000-0000-0000E90B0000}"/>
    <cellStyle name="40% - Accent6 2 6 3 2" xfId="9183" xr:uid="{00000000-0005-0000-0000-0000EA0B0000}"/>
    <cellStyle name="40% - Accent6 2 6 4" xfId="6708" xr:uid="{00000000-0005-0000-0000-0000EB0B0000}"/>
    <cellStyle name="40% - Accent6 3" xfId="246" xr:uid="{00000000-0005-0000-0000-0000EC0B0000}"/>
    <cellStyle name="40% - Accent6 3 2" xfId="811" xr:uid="{00000000-0005-0000-0000-0000ED0B0000}"/>
    <cellStyle name="40% - Accent6 3 2 2" xfId="900" xr:uid="{00000000-0005-0000-0000-0000EE0B0000}"/>
    <cellStyle name="40% - Accent6 3 2 2 2" xfId="1355" xr:uid="{00000000-0005-0000-0000-0000EF0B0000}"/>
    <cellStyle name="40% - Accent6 3 2 2 2 2" xfId="2885" xr:uid="{00000000-0005-0000-0000-0000F00B0000}"/>
    <cellStyle name="40% - Accent6 3 2 2 2 2 2" xfId="5286" xr:uid="{00000000-0005-0000-0000-0000F10B0000}"/>
    <cellStyle name="40% - Accent6 3 2 2 2 2 2 2" xfId="10382" xr:uid="{00000000-0005-0000-0000-0000F20B0000}"/>
    <cellStyle name="40% - Accent6 3 2 2 2 2 3" xfId="7988" xr:uid="{00000000-0005-0000-0000-0000F30B0000}"/>
    <cellStyle name="40% - Accent6 3 2 2 2 3" xfId="4094" xr:uid="{00000000-0005-0000-0000-0000F40B0000}"/>
    <cellStyle name="40% - Accent6 3 2 2 2 3 2" xfId="9190" xr:uid="{00000000-0005-0000-0000-0000F50B0000}"/>
    <cellStyle name="40% - Accent6 3 2 2 2 4" xfId="6715" xr:uid="{00000000-0005-0000-0000-0000F60B0000}"/>
    <cellStyle name="40% - Accent6 3 2 2 3" xfId="2605" xr:uid="{00000000-0005-0000-0000-0000F70B0000}"/>
    <cellStyle name="40% - Accent6 3 2 2 3 2" xfId="5049" xr:uid="{00000000-0005-0000-0000-0000F80B0000}"/>
    <cellStyle name="40% - Accent6 3 2 2 3 2 2" xfId="10145" xr:uid="{00000000-0005-0000-0000-0000F90B0000}"/>
    <cellStyle name="40% - Accent6 3 2 2 3 3" xfId="7708" xr:uid="{00000000-0005-0000-0000-0000FA0B0000}"/>
    <cellStyle name="40% - Accent6 3 2 2 4" xfId="3866" xr:uid="{00000000-0005-0000-0000-0000FB0B0000}"/>
    <cellStyle name="40% - Accent6 3 2 2 4 2" xfId="8965" xr:uid="{00000000-0005-0000-0000-0000FC0B0000}"/>
    <cellStyle name="40% - Accent6 3 2 2 5" xfId="6451" xr:uid="{00000000-0005-0000-0000-0000FD0B0000}"/>
    <cellStyle name="40% - Accent6 3 2 3" xfId="1354" xr:uid="{00000000-0005-0000-0000-0000FE0B0000}"/>
    <cellStyle name="40% - Accent6 3 2 3 2" xfId="2884" xr:uid="{00000000-0005-0000-0000-0000FF0B0000}"/>
    <cellStyle name="40% - Accent6 3 2 3 2 2" xfId="5285" xr:uid="{00000000-0005-0000-0000-0000000C0000}"/>
    <cellStyle name="40% - Accent6 3 2 3 2 2 2" xfId="10381" xr:uid="{00000000-0005-0000-0000-0000010C0000}"/>
    <cellStyle name="40% - Accent6 3 2 3 2 3" xfId="7987" xr:uid="{00000000-0005-0000-0000-0000020C0000}"/>
    <cellStyle name="40% - Accent6 3 2 3 3" xfId="4093" xr:uid="{00000000-0005-0000-0000-0000030C0000}"/>
    <cellStyle name="40% - Accent6 3 2 3 3 2" xfId="9189" xr:uid="{00000000-0005-0000-0000-0000040C0000}"/>
    <cellStyle name="40% - Accent6 3 2 3 4" xfId="6714" xr:uid="{00000000-0005-0000-0000-0000050C0000}"/>
    <cellStyle name="40% - Accent6 3 3" xfId="624" xr:uid="{00000000-0005-0000-0000-0000060C0000}"/>
    <cellStyle name="40% - Accent6 3 3 2" xfId="1356" xr:uid="{00000000-0005-0000-0000-0000070C0000}"/>
    <cellStyle name="40% - Accent6 3 3 2 2" xfId="2886" xr:uid="{00000000-0005-0000-0000-0000080C0000}"/>
    <cellStyle name="40% - Accent6 3 3 2 2 2" xfId="5287" xr:uid="{00000000-0005-0000-0000-0000090C0000}"/>
    <cellStyle name="40% - Accent6 3 3 2 2 2 2" xfId="10383" xr:uid="{00000000-0005-0000-0000-00000A0C0000}"/>
    <cellStyle name="40% - Accent6 3 3 2 2 3" xfId="7989" xr:uid="{00000000-0005-0000-0000-00000B0C0000}"/>
    <cellStyle name="40% - Accent6 3 3 2 3" xfId="4095" xr:uid="{00000000-0005-0000-0000-00000C0C0000}"/>
    <cellStyle name="40% - Accent6 3 3 2 3 2" xfId="9191" xr:uid="{00000000-0005-0000-0000-00000D0C0000}"/>
    <cellStyle name="40% - Accent6 3 3 2 4" xfId="6716" xr:uid="{00000000-0005-0000-0000-00000E0C0000}"/>
    <cellStyle name="40% - Accent6 3 3 3" xfId="2430" xr:uid="{00000000-0005-0000-0000-00000F0C0000}"/>
    <cellStyle name="40% - Accent6 3 3 3 2" xfId="4877" xr:uid="{00000000-0005-0000-0000-0000100C0000}"/>
    <cellStyle name="40% - Accent6 3 3 3 2 2" xfId="9973" xr:uid="{00000000-0005-0000-0000-0000110C0000}"/>
    <cellStyle name="40% - Accent6 3 3 3 3" xfId="7534" xr:uid="{00000000-0005-0000-0000-0000120C0000}"/>
    <cellStyle name="40% - Accent6 3 3 4" xfId="3694" xr:uid="{00000000-0005-0000-0000-0000130C0000}"/>
    <cellStyle name="40% - Accent6 3 3 4 2" xfId="8793" xr:uid="{00000000-0005-0000-0000-0000140C0000}"/>
    <cellStyle name="40% - Accent6 3 3 5" xfId="6274" xr:uid="{00000000-0005-0000-0000-0000150C0000}"/>
    <cellStyle name="40% - Accent6 3 4" xfId="645" xr:uid="{00000000-0005-0000-0000-0000160C0000}"/>
    <cellStyle name="40% - Accent6 3 4 2" xfId="1357" xr:uid="{00000000-0005-0000-0000-0000170C0000}"/>
    <cellStyle name="40% - Accent6 3 4 2 2" xfId="2887" xr:uid="{00000000-0005-0000-0000-0000180C0000}"/>
    <cellStyle name="40% - Accent6 3 4 2 2 2" xfId="5288" xr:uid="{00000000-0005-0000-0000-0000190C0000}"/>
    <cellStyle name="40% - Accent6 3 4 2 2 2 2" xfId="10384" xr:uid="{00000000-0005-0000-0000-00001A0C0000}"/>
    <cellStyle name="40% - Accent6 3 4 2 2 3" xfId="7990" xr:uid="{00000000-0005-0000-0000-00001B0C0000}"/>
    <cellStyle name="40% - Accent6 3 4 2 3" xfId="4096" xr:uid="{00000000-0005-0000-0000-00001C0C0000}"/>
    <cellStyle name="40% - Accent6 3 4 2 3 2" xfId="9192" xr:uid="{00000000-0005-0000-0000-00001D0C0000}"/>
    <cellStyle name="40% - Accent6 3 4 2 4" xfId="6717" xr:uid="{00000000-0005-0000-0000-00001E0C0000}"/>
    <cellStyle name="40% - Accent6 3 4 3" xfId="2449" xr:uid="{00000000-0005-0000-0000-00001F0C0000}"/>
    <cellStyle name="40% - Accent6 3 4 3 2" xfId="4896" xr:uid="{00000000-0005-0000-0000-0000200C0000}"/>
    <cellStyle name="40% - Accent6 3 4 3 2 2" xfId="9992" xr:uid="{00000000-0005-0000-0000-0000210C0000}"/>
    <cellStyle name="40% - Accent6 3 4 3 3" xfId="7553" xr:uid="{00000000-0005-0000-0000-0000220C0000}"/>
    <cellStyle name="40% - Accent6 3 4 4" xfId="3713" xr:uid="{00000000-0005-0000-0000-0000230C0000}"/>
    <cellStyle name="40% - Accent6 3 4 4 2" xfId="8812" xr:uid="{00000000-0005-0000-0000-0000240C0000}"/>
    <cellStyle name="40% - Accent6 3 4 5" xfId="6293" xr:uid="{00000000-0005-0000-0000-0000250C0000}"/>
    <cellStyle name="40% - Accent6 3 5" xfId="691" xr:uid="{00000000-0005-0000-0000-0000260C0000}"/>
    <cellStyle name="40% - Accent6 3 5 2" xfId="2493" xr:uid="{00000000-0005-0000-0000-0000270C0000}"/>
    <cellStyle name="40% - Accent6 3 5 2 2" xfId="4940" xr:uid="{00000000-0005-0000-0000-0000280C0000}"/>
    <cellStyle name="40% - Accent6 3 5 2 2 2" xfId="10036" xr:uid="{00000000-0005-0000-0000-0000290C0000}"/>
    <cellStyle name="40% - Accent6 3 5 2 3" xfId="7597" xr:uid="{00000000-0005-0000-0000-00002A0C0000}"/>
    <cellStyle name="40% - Accent6 3 5 3" xfId="3757" xr:uid="{00000000-0005-0000-0000-00002B0C0000}"/>
    <cellStyle name="40% - Accent6 3 5 3 2" xfId="8856" xr:uid="{00000000-0005-0000-0000-00002C0C0000}"/>
    <cellStyle name="40% - Accent6 3 5 4" xfId="6337" xr:uid="{00000000-0005-0000-0000-00002D0C0000}"/>
    <cellStyle name="40% - Accent6 3 6" xfId="1353" xr:uid="{00000000-0005-0000-0000-00002E0C0000}"/>
    <cellStyle name="40% - Accent6 3 6 2" xfId="2883" xr:uid="{00000000-0005-0000-0000-00002F0C0000}"/>
    <cellStyle name="40% - Accent6 3 6 2 2" xfId="5284" xr:uid="{00000000-0005-0000-0000-0000300C0000}"/>
    <cellStyle name="40% - Accent6 3 6 2 2 2" xfId="10380" xr:uid="{00000000-0005-0000-0000-0000310C0000}"/>
    <cellStyle name="40% - Accent6 3 6 2 3" xfId="7986" xr:uid="{00000000-0005-0000-0000-0000320C0000}"/>
    <cellStyle name="40% - Accent6 3 6 3" xfId="4092" xr:uid="{00000000-0005-0000-0000-0000330C0000}"/>
    <cellStyle name="40% - Accent6 3 6 3 2" xfId="9188" xr:uid="{00000000-0005-0000-0000-0000340C0000}"/>
    <cellStyle name="40% - Accent6 3 6 4" xfId="6713" xr:uid="{00000000-0005-0000-0000-0000350C0000}"/>
    <cellStyle name="40% - Accent6 4" xfId="247" xr:uid="{00000000-0005-0000-0000-0000360C0000}"/>
    <cellStyle name="40% - Accent6 4 2" xfId="577" xr:uid="{00000000-0005-0000-0000-0000370C0000}"/>
    <cellStyle name="40% - Accent6 4 2 2" xfId="1359" xr:uid="{00000000-0005-0000-0000-0000380C0000}"/>
    <cellStyle name="40% - Accent6 4 2 3" xfId="2383" xr:uid="{00000000-0005-0000-0000-0000390C0000}"/>
    <cellStyle name="40% - Accent6 4 2 3 2" xfId="4830" xr:uid="{00000000-0005-0000-0000-00003A0C0000}"/>
    <cellStyle name="40% - Accent6 4 2 3 2 2" xfId="9926" xr:uid="{00000000-0005-0000-0000-00003B0C0000}"/>
    <cellStyle name="40% - Accent6 4 2 3 3" xfId="7487" xr:uid="{00000000-0005-0000-0000-00003C0C0000}"/>
    <cellStyle name="40% - Accent6 4 2 4" xfId="3647" xr:uid="{00000000-0005-0000-0000-00003D0C0000}"/>
    <cellStyle name="40% - Accent6 4 2 4 2" xfId="8746" xr:uid="{00000000-0005-0000-0000-00003E0C0000}"/>
    <cellStyle name="40% - Accent6 4 2 5" xfId="6227" xr:uid="{00000000-0005-0000-0000-00003F0C0000}"/>
    <cellStyle name="40% - Accent6 4 3" xfId="610" xr:uid="{00000000-0005-0000-0000-0000400C0000}"/>
    <cellStyle name="40% - Accent6 4 3 2" xfId="1360" xr:uid="{00000000-0005-0000-0000-0000410C0000}"/>
    <cellStyle name="40% - Accent6 4 3 2 2" xfId="2889" xr:uid="{00000000-0005-0000-0000-0000420C0000}"/>
    <cellStyle name="40% - Accent6 4 3 2 2 2" xfId="5290" xr:uid="{00000000-0005-0000-0000-0000430C0000}"/>
    <cellStyle name="40% - Accent6 4 3 2 2 2 2" xfId="10386" xr:uid="{00000000-0005-0000-0000-0000440C0000}"/>
    <cellStyle name="40% - Accent6 4 3 2 2 3" xfId="7992" xr:uid="{00000000-0005-0000-0000-0000450C0000}"/>
    <cellStyle name="40% - Accent6 4 3 2 3" xfId="4098" xr:uid="{00000000-0005-0000-0000-0000460C0000}"/>
    <cellStyle name="40% - Accent6 4 3 2 3 2" xfId="9194" xr:uid="{00000000-0005-0000-0000-0000470C0000}"/>
    <cellStyle name="40% - Accent6 4 3 2 4" xfId="6719" xr:uid="{00000000-0005-0000-0000-0000480C0000}"/>
    <cellStyle name="40% - Accent6 4 3 3" xfId="2416" xr:uid="{00000000-0005-0000-0000-0000490C0000}"/>
    <cellStyle name="40% - Accent6 4 3 3 2" xfId="4863" xr:uid="{00000000-0005-0000-0000-00004A0C0000}"/>
    <cellStyle name="40% - Accent6 4 3 3 2 2" xfId="9959" xr:uid="{00000000-0005-0000-0000-00004B0C0000}"/>
    <cellStyle name="40% - Accent6 4 3 3 3" xfId="7520" xr:uid="{00000000-0005-0000-0000-00004C0C0000}"/>
    <cellStyle name="40% - Accent6 4 3 4" xfId="3680" xr:uid="{00000000-0005-0000-0000-00004D0C0000}"/>
    <cellStyle name="40% - Accent6 4 3 4 2" xfId="8779" xr:uid="{00000000-0005-0000-0000-00004E0C0000}"/>
    <cellStyle name="40% - Accent6 4 3 5" xfId="6260" xr:uid="{00000000-0005-0000-0000-00004F0C0000}"/>
    <cellStyle name="40% - Accent6 4 4" xfId="744" xr:uid="{00000000-0005-0000-0000-0000500C0000}"/>
    <cellStyle name="40% - Accent6 4 4 2" xfId="2529" xr:uid="{00000000-0005-0000-0000-0000510C0000}"/>
    <cellStyle name="40% - Accent6 4 4 2 2" xfId="4976" xr:uid="{00000000-0005-0000-0000-0000520C0000}"/>
    <cellStyle name="40% - Accent6 4 4 2 2 2" xfId="10072" xr:uid="{00000000-0005-0000-0000-0000530C0000}"/>
    <cellStyle name="40% - Accent6 4 4 2 3" xfId="7633" xr:uid="{00000000-0005-0000-0000-0000540C0000}"/>
    <cellStyle name="40% - Accent6 4 4 3" xfId="3793" xr:uid="{00000000-0005-0000-0000-0000550C0000}"/>
    <cellStyle name="40% - Accent6 4 4 3 2" xfId="8892" xr:uid="{00000000-0005-0000-0000-0000560C0000}"/>
    <cellStyle name="40% - Accent6 4 4 4" xfId="6373" xr:uid="{00000000-0005-0000-0000-0000570C0000}"/>
    <cellStyle name="40% - Accent6 4 5" xfId="539" xr:uid="{00000000-0005-0000-0000-0000580C0000}"/>
    <cellStyle name="40% - Accent6 4 5 2" xfId="2348" xr:uid="{00000000-0005-0000-0000-0000590C0000}"/>
    <cellStyle name="40% - Accent6 4 5 2 2" xfId="4795" xr:uid="{00000000-0005-0000-0000-00005A0C0000}"/>
    <cellStyle name="40% - Accent6 4 5 2 2 2" xfId="9891" xr:uid="{00000000-0005-0000-0000-00005B0C0000}"/>
    <cellStyle name="40% - Accent6 4 5 2 3" xfId="7452" xr:uid="{00000000-0005-0000-0000-00005C0C0000}"/>
    <cellStyle name="40% - Accent6 4 5 3" xfId="3612" xr:uid="{00000000-0005-0000-0000-00005D0C0000}"/>
    <cellStyle name="40% - Accent6 4 5 3 2" xfId="8711" xr:uid="{00000000-0005-0000-0000-00005E0C0000}"/>
    <cellStyle name="40% - Accent6 4 5 4" xfId="6192" xr:uid="{00000000-0005-0000-0000-00005F0C0000}"/>
    <cellStyle name="40% - Accent6 4 6" xfId="1358" xr:uid="{00000000-0005-0000-0000-0000600C0000}"/>
    <cellStyle name="40% - Accent6 4 6 2" xfId="2888" xr:uid="{00000000-0005-0000-0000-0000610C0000}"/>
    <cellStyle name="40% - Accent6 4 6 2 2" xfId="5289" xr:uid="{00000000-0005-0000-0000-0000620C0000}"/>
    <cellStyle name="40% - Accent6 4 6 2 2 2" xfId="10385" xr:uid="{00000000-0005-0000-0000-0000630C0000}"/>
    <cellStyle name="40% - Accent6 4 6 2 3" xfId="7991" xr:uid="{00000000-0005-0000-0000-0000640C0000}"/>
    <cellStyle name="40% - Accent6 4 6 3" xfId="4097" xr:uid="{00000000-0005-0000-0000-0000650C0000}"/>
    <cellStyle name="40% - Accent6 4 6 3 2" xfId="9193" xr:uid="{00000000-0005-0000-0000-0000660C0000}"/>
    <cellStyle name="40% - Accent6 4 6 4" xfId="6718" xr:uid="{00000000-0005-0000-0000-0000670C0000}"/>
    <cellStyle name="40% - Accent6 5" xfId="248" xr:uid="{00000000-0005-0000-0000-0000680C0000}"/>
    <cellStyle name="40% - Accent6 5 2" xfId="921" xr:uid="{00000000-0005-0000-0000-0000690C0000}"/>
    <cellStyle name="40% - Accent6 5 2 2" xfId="2622" xr:uid="{00000000-0005-0000-0000-00006A0C0000}"/>
    <cellStyle name="40% - Accent6 5 2 2 2" xfId="5066" xr:uid="{00000000-0005-0000-0000-00006B0C0000}"/>
    <cellStyle name="40% - Accent6 5 2 2 2 2" xfId="10162" xr:uid="{00000000-0005-0000-0000-00006C0C0000}"/>
    <cellStyle name="40% - Accent6 5 2 2 3" xfId="7725" xr:uid="{00000000-0005-0000-0000-00006D0C0000}"/>
    <cellStyle name="40% - Accent6 5 2 3" xfId="3883" xr:uid="{00000000-0005-0000-0000-00006E0C0000}"/>
    <cellStyle name="40% - Accent6 5 2 3 2" xfId="8982" xr:uid="{00000000-0005-0000-0000-00006F0C0000}"/>
    <cellStyle name="40% - Accent6 5 2 4" xfId="6468" xr:uid="{00000000-0005-0000-0000-0000700C0000}"/>
    <cellStyle name="40% - Accent6 5 3" xfId="894" xr:uid="{00000000-0005-0000-0000-0000710C0000}"/>
    <cellStyle name="40% - Accent6 5 3 2" xfId="2599" xr:uid="{00000000-0005-0000-0000-0000720C0000}"/>
    <cellStyle name="40% - Accent6 5 3 2 2" xfId="5043" xr:uid="{00000000-0005-0000-0000-0000730C0000}"/>
    <cellStyle name="40% - Accent6 5 3 2 2 2" xfId="10139" xr:uid="{00000000-0005-0000-0000-0000740C0000}"/>
    <cellStyle name="40% - Accent6 5 3 2 3" xfId="7702" xr:uid="{00000000-0005-0000-0000-0000750C0000}"/>
    <cellStyle name="40% - Accent6 5 3 3" xfId="3860" xr:uid="{00000000-0005-0000-0000-0000760C0000}"/>
    <cellStyle name="40% - Accent6 5 3 3 2" xfId="8959" xr:uid="{00000000-0005-0000-0000-0000770C0000}"/>
    <cellStyle name="40% - Accent6 5 3 4" xfId="6445" xr:uid="{00000000-0005-0000-0000-0000780C0000}"/>
    <cellStyle name="40% - Accent6 5 4" xfId="1361" xr:uid="{00000000-0005-0000-0000-0000790C0000}"/>
    <cellStyle name="40% - Accent6 6" xfId="249" xr:uid="{00000000-0005-0000-0000-00007A0C0000}"/>
    <cellStyle name="40% - Accent6 6 2" xfId="657" xr:uid="{00000000-0005-0000-0000-00007B0C0000}"/>
    <cellStyle name="40% - Accent6 6 2 2" xfId="2461" xr:uid="{00000000-0005-0000-0000-00007C0C0000}"/>
    <cellStyle name="40% - Accent6 6 2 2 2" xfId="4908" xr:uid="{00000000-0005-0000-0000-00007D0C0000}"/>
    <cellStyle name="40% - Accent6 6 2 2 2 2" xfId="10004" xr:uid="{00000000-0005-0000-0000-00007E0C0000}"/>
    <cellStyle name="40% - Accent6 6 2 2 3" xfId="7565" xr:uid="{00000000-0005-0000-0000-00007F0C0000}"/>
    <cellStyle name="40% - Accent6 6 2 3" xfId="3725" xr:uid="{00000000-0005-0000-0000-0000800C0000}"/>
    <cellStyle name="40% - Accent6 6 2 3 2" xfId="8824" xr:uid="{00000000-0005-0000-0000-0000810C0000}"/>
    <cellStyle name="40% - Accent6 6 2 4" xfId="6305" xr:uid="{00000000-0005-0000-0000-0000820C0000}"/>
    <cellStyle name="40% - Accent6 6 3" xfId="1362" xr:uid="{00000000-0005-0000-0000-0000830C0000}"/>
    <cellStyle name="40% - Accent6 7" xfId="250" xr:uid="{00000000-0005-0000-0000-0000840C0000}"/>
    <cellStyle name="40% - Accent6 7 2" xfId="567" xr:uid="{00000000-0005-0000-0000-0000850C0000}"/>
    <cellStyle name="40% - Accent6 7 2 2" xfId="2373" xr:uid="{00000000-0005-0000-0000-0000860C0000}"/>
    <cellStyle name="40% - Accent6 7 2 2 2" xfId="4820" xr:uid="{00000000-0005-0000-0000-0000870C0000}"/>
    <cellStyle name="40% - Accent6 7 2 2 2 2" xfId="9916" xr:uid="{00000000-0005-0000-0000-0000880C0000}"/>
    <cellStyle name="40% - Accent6 7 2 2 3" xfId="7477" xr:uid="{00000000-0005-0000-0000-0000890C0000}"/>
    <cellStyle name="40% - Accent6 7 2 3" xfId="3637" xr:uid="{00000000-0005-0000-0000-00008A0C0000}"/>
    <cellStyle name="40% - Accent6 7 2 3 2" xfId="8736" xr:uid="{00000000-0005-0000-0000-00008B0C0000}"/>
    <cellStyle name="40% - Accent6 7 2 4" xfId="6217" xr:uid="{00000000-0005-0000-0000-00008C0C0000}"/>
    <cellStyle name="40% - Accent6 7 3" xfId="1363" xr:uid="{00000000-0005-0000-0000-00008D0C0000}"/>
    <cellStyle name="40% - Accent6 8" xfId="251" xr:uid="{00000000-0005-0000-0000-00008E0C0000}"/>
    <cellStyle name="40% - Accent6 8 2" xfId="559" xr:uid="{00000000-0005-0000-0000-00008F0C0000}"/>
    <cellStyle name="40% - Accent6 8 2 2" xfId="2365" xr:uid="{00000000-0005-0000-0000-0000900C0000}"/>
    <cellStyle name="40% - Accent6 8 2 2 2" xfId="4812" xr:uid="{00000000-0005-0000-0000-0000910C0000}"/>
    <cellStyle name="40% - Accent6 8 2 2 2 2" xfId="9908" xr:uid="{00000000-0005-0000-0000-0000920C0000}"/>
    <cellStyle name="40% - Accent6 8 2 2 3" xfId="7469" xr:uid="{00000000-0005-0000-0000-0000930C0000}"/>
    <cellStyle name="40% - Accent6 8 2 3" xfId="3629" xr:uid="{00000000-0005-0000-0000-0000940C0000}"/>
    <cellStyle name="40% - Accent6 8 2 3 2" xfId="8728" xr:uid="{00000000-0005-0000-0000-0000950C0000}"/>
    <cellStyle name="40% - Accent6 8 2 4" xfId="6209" xr:uid="{00000000-0005-0000-0000-0000960C0000}"/>
    <cellStyle name="40% - Accent6 8 3" xfId="1364" xr:uid="{00000000-0005-0000-0000-0000970C0000}"/>
    <cellStyle name="40% - Accent6 9" xfId="705" xr:uid="{00000000-0005-0000-0000-0000980C0000}"/>
    <cellStyle name="40% - Accent6 9 2" xfId="1054" xr:uid="{00000000-0005-0000-0000-0000990C0000}"/>
    <cellStyle name="40% - Accent6 9 2 2" xfId="2684" xr:uid="{00000000-0005-0000-0000-00009A0C0000}"/>
    <cellStyle name="40% - Accent6 9 2 2 2" xfId="5093" xr:uid="{00000000-0005-0000-0000-00009B0C0000}"/>
    <cellStyle name="40% - Accent6 9 2 2 2 2" xfId="10189" xr:uid="{00000000-0005-0000-0000-00009C0C0000}"/>
    <cellStyle name="40% - Accent6 9 2 2 3" xfId="7787" xr:uid="{00000000-0005-0000-0000-00009D0C0000}"/>
    <cellStyle name="40% - Accent6 9 2 3" xfId="3910" xr:uid="{00000000-0005-0000-0000-00009E0C0000}"/>
    <cellStyle name="40% - Accent6 9 2 3 2" xfId="9009" xr:uid="{00000000-0005-0000-0000-00009F0C0000}"/>
    <cellStyle name="40% - Accent6 9 2 4" xfId="6531" xr:uid="{00000000-0005-0000-0000-0000A00C0000}"/>
    <cellStyle name="40% - Accent6 9 3" xfId="2506" xr:uid="{00000000-0005-0000-0000-0000A10C0000}"/>
    <cellStyle name="40% - Accent6 9 3 2" xfId="4953" xr:uid="{00000000-0005-0000-0000-0000A20C0000}"/>
    <cellStyle name="40% - Accent6 9 3 2 2" xfId="10049" xr:uid="{00000000-0005-0000-0000-0000A30C0000}"/>
    <cellStyle name="40% - Accent6 9 3 3" xfId="7610" xr:uid="{00000000-0005-0000-0000-0000A40C0000}"/>
    <cellStyle name="40% - Accent6 9 4" xfId="3770" xr:uid="{00000000-0005-0000-0000-0000A50C0000}"/>
    <cellStyle name="40% - Accent6 9 4 2" xfId="8869" xr:uid="{00000000-0005-0000-0000-0000A60C0000}"/>
    <cellStyle name="40% - Accent6 9 5" xfId="6350" xr:uid="{00000000-0005-0000-0000-0000A70C0000}"/>
    <cellStyle name="60% - Accent1" xfId="127" builtinId="32" customBuiltin="1"/>
    <cellStyle name="60% - Accent1 2" xfId="26" xr:uid="{00000000-0005-0000-0000-0000A90C0000}"/>
    <cellStyle name="60% - Accent1 2 2" xfId="812" xr:uid="{00000000-0005-0000-0000-0000AA0C0000}"/>
    <cellStyle name="60% - Accent1 2 3" xfId="1365" xr:uid="{00000000-0005-0000-0000-0000AB0C0000}"/>
    <cellStyle name="60% - Accent1 3" xfId="252" xr:uid="{00000000-0005-0000-0000-0000AC0C0000}"/>
    <cellStyle name="60% - Accent1 3 2" xfId="813" xr:uid="{00000000-0005-0000-0000-0000AD0C0000}"/>
    <cellStyle name="60% - Accent1 4" xfId="253" xr:uid="{00000000-0005-0000-0000-0000AE0C0000}"/>
    <cellStyle name="60% - Accent1 5" xfId="254" xr:uid="{00000000-0005-0000-0000-0000AF0C0000}"/>
    <cellStyle name="60% - Accent1 6" xfId="255" xr:uid="{00000000-0005-0000-0000-0000B00C0000}"/>
    <cellStyle name="60% - Accent1 7" xfId="256" xr:uid="{00000000-0005-0000-0000-0000B10C0000}"/>
    <cellStyle name="60% - Accent1 8" xfId="257" xr:uid="{00000000-0005-0000-0000-0000B20C0000}"/>
    <cellStyle name="60% - Accent1 9" xfId="717" xr:uid="{00000000-0005-0000-0000-0000B30C0000}"/>
    <cellStyle name="60% - Accent2" xfId="131" builtinId="36" customBuiltin="1"/>
    <cellStyle name="60% - Accent2 2" xfId="27" xr:uid="{00000000-0005-0000-0000-0000B50C0000}"/>
    <cellStyle name="60% - Accent2 2 2" xfId="814" xr:uid="{00000000-0005-0000-0000-0000B60C0000}"/>
    <cellStyle name="60% - Accent2 2 3" xfId="1366" xr:uid="{00000000-0005-0000-0000-0000B70C0000}"/>
    <cellStyle name="60% - Accent2 3" xfId="258" xr:uid="{00000000-0005-0000-0000-0000B80C0000}"/>
    <cellStyle name="60% - Accent2 3 2" xfId="815" xr:uid="{00000000-0005-0000-0000-0000B90C0000}"/>
    <cellStyle name="60% - Accent2 4" xfId="259" xr:uid="{00000000-0005-0000-0000-0000BA0C0000}"/>
    <cellStyle name="60% - Accent2 5" xfId="260" xr:uid="{00000000-0005-0000-0000-0000BB0C0000}"/>
    <cellStyle name="60% - Accent2 6" xfId="261" xr:uid="{00000000-0005-0000-0000-0000BC0C0000}"/>
    <cellStyle name="60% - Accent2 7" xfId="262" xr:uid="{00000000-0005-0000-0000-0000BD0C0000}"/>
    <cellStyle name="60% - Accent2 8" xfId="263" xr:uid="{00000000-0005-0000-0000-0000BE0C0000}"/>
    <cellStyle name="60% - Accent2 9" xfId="934" xr:uid="{00000000-0005-0000-0000-0000BF0C0000}"/>
    <cellStyle name="60% - Accent3" xfId="135" builtinId="40" customBuiltin="1"/>
    <cellStyle name="60% - Accent3 2" xfId="28" xr:uid="{00000000-0005-0000-0000-0000C10C0000}"/>
    <cellStyle name="60% - Accent3 2 2" xfId="816" xr:uid="{00000000-0005-0000-0000-0000C20C0000}"/>
    <cellStyle name="60% - Accent3 2 3" xfId="1367" xr:uid="{00000000-0005-0000-0000-0000C30C0000}"/>
    <cellStyle name="60% - Accent3 3" xfId="264" xr:uid="{00000000-0005-0000-0000-0000C40C0000}"/>
    <cellStyle name="60% - Accent3 3 2" xfId="817" xr:uid="{00000000-0005-0000-0000-0000C50C0000}"/>
    <cellStyle name="60% - Accent3 4" xfId="265" xr:uid="{00000000-0005-0000-0000-0000C60C0000}"/>
    <cellStyle name="60% - Accent3 5" xfId="266" xr:uid="{00000000-0005-0000-0000-0000C70C0000}"/>
    <cellStyle name="60% - Accent3 6" xfId="267" xr:uid="{00000000-0005-0000-0000-0000C80C0000}"/>
    <cellStyle name="60% - Accent3 7" xfId="268" xr:uid="{00000000-0005-0000-0000-0000C90C0000}"/>
    <cellStyle name="60% - Accent3 8" xfId="269" xr:uid="{00000000-0005-0000-0000-0000CA0C0000}"/>
    <cellStyle name="60% - Accent3 9" xfId="750" xr:uid="{00000000-0005-0000-0000-0000CB0C0000}"/>
    <cellStyle name="60% - Accent4" xfId="139" builtinId="44" customBuiltin="1"/>
    <cellStyle name="60% - Accent4 2" xfId="29" xr:uid="{00000000-0005-0000-0000-0000CD0C0000}"/>
    <cellStyle name="60% - Accent4 2 2" xfId="818" xr:uid="{00000000-0005-0000-0000-0000CE0C0000}"/>
    <cellStyle name="60% - Accent4 2 3" xfId="1368" xr:uid="{00000000-0005-0000-0000-0000CF0C0000}"/>
    <cellStyle name="60% - Accent4 3" xfId="270" xr:uid="{00000000-0005-0000-0000-0000D00C0000}"/>
    <cellStyle name="60% - Accent4 3 2" xfId="819" xr:uid="{00000000-0005-0000-0000-0000D10C0000}"/>
    <cellStyle name="60% - Accent4 4" xfId="271" xr:uid="{00000000-0005-0000-0000-0000D20C0000}"/>
    <cellStyle name="60% - Accent4 5" xfId="272" xr:uid="{00000000-0005-0000-0000-0000D30C0000}"/>
    <cellStyle name="60% - Accent4 6" xfId="273" xr:uid="{00000000-0005-0000-0000-0000D40C0000}"/>
    <cellStyle name="60% - Accent4 7" xfId="274" xr:uid="{00000000-0005-0000-0000-0000D50C0000}"/>
    <cellStyle name="60% - Accent4 8" xfId="275" xr:uid="{00000000-0005-0000-0000-0000D60C0000}"/>
    <cellStyle name="60% - Accent4 9" xfId="710" xr:uid="{00000000-0005-0000-0000-0000D70C0000}"/>
    <cellStyle name="60% - Accent5" xfId="143" builtinId="48" customBuiltin="1"/>
    <cellStyle name="60% - Accent5 2" xfId="30" xr:uid="{00000000-0005-0000-0000-0000D90C0000}"/>
    <cellStyle name="60% - Accent5 2 2" xfId="820" xr:uid="{00000000-0005-0000-0000-0000DA0C0000}"/>
    <cellStyle name="60% - Accent5 2 3" xfId="1369" xr:uid="{00000000-0005-0000-0000-0000DB0C0000}"/>
    <cellStyle name="60% - Accent5 3" xfId="276" xr:uid="{00000000-0005-0000-0000-0000DC0C0000}"/>
    <cellStyle name="60% - Accent5 3 2" xfId="821" xr:uid="{00000000-0005-0000-0000-0000DD0C0000}"/>
    <cellStyle name="60% - Accent5 4" xfId="277" xr:uid="{00000000-0005-0000-0000-0000DE0C0000}"/>
    <cellStyle name="60% - Accent5 5" xfId="278" xr:uid="{00000000-0005-0000-0000-0000DF0C0000}"/>
    <cellStyle name="60% - Accent5 6" xfId="279" xr:uid="{00000000-0005-0000-0000-0000E00C0000}"/>
    <cellStyle name="60% - Accent5 7" xfId="280" xr:uid="{00000000-0005-0000-0000-0000E10C0000}"/>
    <cellStyle name="60% - Accent5 8" xfId="281" xr:uid="{00000000-0005-0000-0000-0000E20C0000}"/>
    <cellStyle name="60% - Accent5 9" xfId="758" xr:uid="{00000000-0005-0000-0000-0000E30C0000}"/>
    <cellStyle name="60% - Accent6" xfId="147" builtinId="52" customBuiltin="1"/>
    <cellStyle name="60% - Accent6 2" xfId="31" xr:uid="{00000000-0005-0000-0000-0000E50C0000}"/>
    <cellStyle name="60% - Accent6 2 2" xfId="822" xr:uid="{00000000-0005-0000-0000-0000E60C0000}"/>
    <cellStyle name="60% - Accent6 2 3" xfId="1370" xr:uid="{00000000-0005-0000-0000-0000E70C0000}"/>
    <cellStyle name="60% - Accent6 3" xfId="282" xr:uid="{00000000-0005-0000-0000-0000E80C0000}"/>
    <cellStyle name="60% - Accent6 3 2" xfId="823" xr:uid="{00000000-0005-0000-0000-0000E90C0000}"/>
    <cellStyle name="60% - Accent6 4" xfId="283" xr:uid="{00000000-0005-0000-0000-0000EA0C0000}"/>
    <cellStyle name="60% - Accent6 5" xfId="284" xr:uid="{00000000-0005-0000-0000-0000EB0C0000}"/>
    <cellStyle name="60% - Accent6 6" xfId="285" xr:uid="{00000000-0005-0000-0000-0000EC0C0000}"/>
    <cellStyle name="60% - Accent6 7" xfId="286" xr:uid="{00000000-0005-0000-0000-0000ED0C0000}"/>
    <cellStyle name="60% - Accent6 8" xfId="287" xr:uid="{00000000-0005-0000-0000-0000EE0C0000}"/>
    <cellStyle name="60% - Accent6 9" xfId="704" xr:uid="{00000000-0005-0000-0000-0000EF0C0000}"/>
    <cellStyle name="a125body" xfId="1371" xr:uid="{00000000-0005-0000-0000-0000F00C0000}"/>
    <cellStyle name="a125body 10" xfId="12512" xr:uid="{00000000-0005-0000-0000-0000F10C0000}"/>
    <cellStyle name="a125body 11" xfId="12028" xr:uid="{00000000-0005-0000-0000-0000F20C0000}"/>
    <cellStyle name="a125body 12" xfId="14220" xr:uid="{00000000-0005-0000-0000-0000F30C0000}"/>
    <cellStyle name="a125body 2" xfId="2225" xr:uid="{00000000-0005-0000-0000-0000F40C0000}"/>
    <cellStyle name="a125body 2 2" xfId="3485" xr:uid="{00000000-0005-0000-0000-0000F50C0000}"/>
    <cellStyle name="a125body 2 2 10" xfId="14993" xr:uid="{00000000-0005-0000-0000-0000F60C0000}"/>
    <cellStyle name="a125body 2 2 11" xfId="13673" xr:uid="{00000000-0005-0000-0000-0000F70C0000}"/>
    <cellStyle name="a125body 2 2 2" xfId="6133" xr:uid="{00000000-0005-0000-0000-0000F80C0000}"/>
    <cellStyle name="a125body 2 2 2 2" xfId="11229" xr:uid="{00000000-0005-0000-0000-0000F90C0000}"/>
    <cellStyle name="a125body 2 2 2 2 2" xfId="15535" xr:uid="{00000000-0005-0000-0000-0000FA0C0000}"/>
    <cellStyle name="a125body 2 2 2 2 3" xfId="16614" xr:uid="{00000000-0005-0000-0000-0000FB0C0000}"/>
    <cellStyle name="a125body 2 2 2 2 4" xfId="17647" xr:uid="{00000000-0005-0000-0000-0000FC0C0000}"/>
    <cellStyle name="a125body 2 2 2 2 5" xfId="18617" xr:uid="{00000000-0005-0000-0000-0000FD0C0000}"/>
    <cellStyle name="a125body 2 2 2 2 6" xfId="19523" xr:uid="{00000000-0005-0000-0000-0000FE0C0000}"/>
    <cellStyle name="a125body 2 2 2 3" xfId="11811" xr:uid="{00000000-0005-0000-0000-0000FF0C0000}"/>
    <cellStyle name="a125body 2 2 2 3 2" xfId="16117" xr:uid="{00000000-0005-0000-0000-0000000D0000}"/>
    <cellStyle name="a125body 2 2 2 3 3" xfId="17196" xr:uid="{00000000-0005-0000-0000-0000010D0000}"/>
    <cellStyle name="a125body 2 2 2 3 4" xfId="18217" xr:uid="{00000000-0005-0000-0000-0000020D0000}"/>
    <cellStyle name="a125body 2 2 2 3 5" xfId="19187" xr:uid="{00000000-0005-0000-0000-0000030D0000}"/>
    <cellStyle name="a125body 2 2 2 3 6" xfId="20093" xr:uid="{00000000-0005-0000-0000-0000040D0000}"/>
    <cellStyle name="a125body 2 2 2 4" xfId="11983" xr:uid="{00000000-0005-0000-0000-0000050D0000}"/>
    <cellStyle name="a125body 2 2 2 4 2" xfId="16289" xr:uid="{00000000-0005-0000-0000-0000060D0000}"/>
    <cellStyle name="a125body 2 2 2 4 3" xfId="17368" xr:uid="{00000000-0005-0000-0000-0000070D0000}"/>
    <cellStyle name="a125body 2 2 2 4 4" xfId="18385" xr:uid="{00000000-0005-0000-0000-0000080D0000}"/>
    <cellStyle name="a125body 2 2 2 4 5" xfId="19355" xr:uid="{00000000-0005-0000-0000-0000090D0000}"/>
    <cellStyle name="a125body 2 2 2 4 6" xfId="20261" xr:uid="{00000000-0005-0000-0000-00000A0D0000}"/>
    <cellStyle name="a125body 2 2 2 5" xfId="13866" xr:uid="{00000000-0005-0000-0000-00000B0D0000}"/>
    <cellStyle name="a125body 2 2 2 6" xfId="12850" xr:uid="{00000000-0005-0000-0000-00000C0D0000}"/>
    <cellStyle name="a125body 2 2 2 7" xfId="12471" xr:uid="{00000000-0005-0000-0000-00000D0D0000}"/>
    <cellStyle name="a125body 2 2 2 8" xfId="14637" xr:uid="{00000000-0005-0000-0000-00000E0D0000}"/>
    <cellStyle name="a125body 2 2 2 9" xfId="14214" xr:uid="{00000000-0005-0000-0000-00000F0D0000}"/>
    <cellStyle name="a125body 2 2 3" xfId="5880" xr:uid="{00000000-0005-0000-0000-0000100D0000}"/>
    <cellStyle name="a125body 2 2 3 2" xfId="10976" xr:uid="{00000000-0005-0000-0000-0000110D0000}"/>
    <cellStyle name="a125body 2 2 3 2 2" xfId="15345" xr:uid="{00000000-0005-0000-0000-0000120D0000}"/>
    <cellStyle name="a125body 2 2 3 2 3" xfId="16429" xr:uid="{00000000-0005-0000-0000-0000130D0000}"/>
    <cellStyle name="a125body 2 2 3 2 4" xfId="17466" xr:uid="{00000000-0005-0000-0000-0000140D0000}"/>
    <cellStyle name="a125body 2 2 3 2 5" xfId="18443" xr:uid="{00000000-0005-0000-0000-0000150D0000}"/>
    <cellStyle name="a125body 2 2 3 2 6" xfId="19363" xr:uid="{00000000-0005-0000-0000-0000160D0000}"/>
    <cellStyle name="a125body 2 2 3 3" xfId="11648" xr:uid="{00000000-0005-0000-0000-0000170D0000}"/>
    <cellStyle name="a125body 2 2 3 3 2" xfId="15954" xr:uid="{00000000-0005-0000-0000-0000180D0000}"/>
    <cellStyle name="a125body 2 2 3 3 3" xfId="17033" xr:uid="{00000000-0005-0000-0000-0000190D0000}"/>
    <cellStyle name="a125body 2 2 3 3 4" xfId="18057" xr:uid="{00000000-0005-0000-0000-00001A0D0000}"/>
    <cellStyle name="a125body 2 2 3 3 5" xfId="19027" xr:uid="{00000000-0005-0000-0000-00001B0D0000}"/>
    <cellStyle name="a125body 2 2 3 3 6" xfId="19933" xr:uid="{00000000-0005-0000-0000-00001C0D0000}"/>
    <cellStyle name="a125body 2 2 3 4" xfId="11820" xr:uid="{00000000-0005-0000-0000-00001D0D0000}"/>
    <cellStyle name="a125body 2 2 3 4 2" xfId="16126" xr:uid="{00000000-0005-0000-0000-00001E0D0000}"/>
    <cellStyle name="a125body 2 2 3 4 3" xfId="17205" xr:uid="{00000000-0005-0000-0000-00001F0D0000}"/>
    <cellStyle name="a125body 2 2 3 4 4" xfId="18225" xr:uid="{00000000-0005-0000-0000-0000200D0000}"/>
    <cellStyle name="a125body 2 2 3 4 5" xfId="19195" xr:uid="{00000000-0005-0000-0000-0000210D0000}"/>
    <cellStyle name="a125body 2 2 3 4 6" xfId="20101" xr:uid="{00000000-0005-0000-0000-0000220D0000}"/>
    <cellStyle name="a125body 2 2 3 5" xfId="13677" xr:uid="{00000000-0005-0000-0000-0000230D0000}"/>
    <cellStyle name="a125body 2 2 3 6" xfId="13218" xr:uid="{00000000-0005-0000-0000-0000240D0000}"/>
    <cellStyle name="a125body 2 2 3 7" xfId="13591" xr:uid="{00000000-0005-0000-0000-0000250D0000}"/>
    <cellStyle name="a125body 2 2 3 8" xfId="12870" xr:uid="{00000000-0005-0000-0000-0000260D0000}"/>
    <cellStyle name="a125body 2 2 3 9" xfId="18427" xr:uid="{00000000-0005-0000-0000-0000270D0000}"/>
    <cellStyle name="a125body 2 2 4" xfId="8588" xr:uid="{00000000-0005-0000-0000-0000280D0000}"/>
    <cellStyle name="a125body 2 2 4 2" xfId="14662" xr:uid="{00000000-0005-0000-0000-0000290D0000}"/>
    <cellStyle name="a125body 2 2 4 3" xfId="15180" xr:uid="{00000000-0005-0000-0000-00002A0D0000}"/>
    <cellStyle name="a125body 2 2 4 4" xfId="16299" xr:uid="{00000000-0005-0000-0000-00002B0D0000}"/>
    <cellStyle name="a125body 2 2 4 5" xfId="14931" xr:uid="{00000000-0005-0000-0000-00002C0D0000}"/>
    <cellStyle name="a125body 2 2 4 6" xfId="12144" xr:uid="{00000000-0005-0000-0000-00002D0D0000}"/>
    <cellStyle name="a125body 2 2 5" xfId="11459" xr:uid="{00000000-0005-0000-0000-00002E0D0000}"/>
    <cellStyle name="a125body 2 2 5 2" xfId="15765" xr:uid="{00000000-0005-0000-0000-00002F0D0000}"/>
    <cellStyle name="a125body 2 2 5 3" xfId="16844" xr:uid="{00000000-0005-0000-0000-0000300D0000}"/>
    <cellStyle name="a125body 2 2 5 4" xfId="17872" xr:uid="{00000000-0005-0000-0000-0000310D0000}"/>
    <cellStyle name="a125body 2 2 5 5" xfId="18842" xr:uid="{00000000-0005-0000-0000-0000320D0000}"/>
    <cellStyle name="a125body 2 2 5 6" xfId="19748" xr:uid="{00000000-0005-0000-0000-0000330D0000}"/>
    <cellStyle name="a125body 2 2 6" xfId="11520" xr:uid="{00000000-0005-0000-0000-0000340D0000}"/>
    <cellStyle name="a125body 2 2 6 2" xfId="15826" xr:uid="{00000000-0005-0000-0000-0000350D0000}"/>
    <cellStyle name="a125body 2 2 6 3" xfId="16905" xr:uid="{00000000-0005-0000-0000-0000360D0000}"/>
    <cellStyle name="a125body 2 2 6 4" xfId="17931" xr:uid="{00000000-0005-0000-0000-0000370D0000}"/>
    <cellStyle name="a125body 2 2 6 5" xfId="18901" xr:uid="{00000000-0005-0000-0000-0000380D0000}"/>
    <cellStyle name="a125body 2 2 6 6" xfId="19807" xr:uid="{00000000-0005-0000-0000-0000390D0000}"/>
    <cellStyle name="a125body 2 2 7" xfId="12979" xr:uid="{00000000-0005-0000-0000-00003A0D0000}"/>
    <cellStyle name="a125body 2 2 8" xfId="13272" xr:uid="{00000000-0005-0000-0000-00003B0D0000}"/>
    <cellStyle name="a125body 2 2 9" xfId="13587" xr:uid="{00000000-0005-0000-0000-00003C0D0000}"/>
    <cellStyle name="a125body 2 3" xfId="4691" xr:uid="{00000000-0005-0000-0000-00003D0D0000}"/>
    <cellStyle name="a125body 2 3 2" xfId="9787" xr:uid="{00000000-0005-0000-0000-00003E0D0000}"/>
    <cellStyle name="a125body 2 3 2 2" xfId="15010" xr:uid="{00000000-0005-0000-0000-00003F0D0000}"/>
    <cellStyle name="a125body 2 3 2 3" xfId="12156" xr:uid="{00000000-0005-0000-0000-0000400D0000}"/>
    <cellStyle name="a125body 2 3 2 4" xfId="15002" xr:uid="{00000000-0005-0000-0000-0000410D0000}"/>
    <cellStyle name="a125body 2 3 2 5" xfId="13384" xr:uid="{00000000-0005-0000-0000-0000420D0000}"/>
    <cellStyle name="a125body 2 3 2 6" xfId="13266" xr:uid="{00000000-0005-0000-0000-0000430D0000}"/>
    <cellStyle name="a125body 2 3 3" xfId="11559" xr:uid="{00000000-0005-0000-0000-0000440D0000}"/>
    <cellStyle name="a125body 2 3 3 2" xfId="15865" xr:uid="{00000000-0005-0000-0000-0000450D0000}"/>
    <cellStyle name="a125body 2 3 3 3" xfId="16944" xr:uid="{00000000-0005-0000-0000-0000460D0000}"/>
    <cellStyle name="a125body 2 3 3 4" xfId="17969" xr:uid="{00000000-0005-0000-0000-0000470D0000}"/>
    <cellStyle name="a125body 2 3 3 5" xfId="18939" xr:uid="{00000000-0005-0000-0000-0000480D0000}"/>
    <cellStyle name="a125body 2 3 3 6" xfId="19845" xr:uid="{00000000-0005-0000-0000-0000490D0000}"/>
    <cellStyle name="a125body 2 3 4" xfId="11568" xr:uid="{00000000-0005-0000-0000-00004A0D0000}"/>
    <cellStyle name="a125body 2 3 4 2" xfId="15874" xr:uid="{00000000-0005-0000-0000-00004B0D0000}"/>
    <cellStyle name="a125body 2 3 4 3" xfId="16953" xr:uid="{00000000-0005-0000-0000-00004C0D0000}"/>
    <cellStyle name="a125body 2 3 4 4" xfId="17977" xr:uid="{00000000-0005-0000-0000-00004D0D0000}"/>
    <cellStyle name="a125body 2 3 4 5" xfId="18947" xr:uid="{00000000-0005-0000-0000-00004E0D0000}"/>
    <cellStyle name="a125body 2 3 4 6" xfId="19853" xr:uid="{00000000-0005-0000-0000-00004F0D0000}"/>
    <cellStyle name="a125body 2 3 5" xfId="13336" xr:uid="{00000000-0005-0000-0000-0000500D0000}"/>
    <cellStyle name="a125body 2 3 6" xfId="12884" xr:uid="{00000000-0005-0000-0000-0000510D0000}"/>
    <cellStyle name="a125body 2 3 7" xfId="14964" xr:uid="{00000000-0005-0000-0000-0000520D0000}"/>
    <cellStyle name="a125body 2 3 8" xfId="14438" xr:uid="{00000000-0005-0000-0000-0000530D0000}"/>
    <cellStyle name="a125body 2 3 9" xfId="17447" xr:uid="{00000000-0005-0000-0000-0000540D0000}"/>
    <cellStyle name="a125body 3" xfId="2890" xr:uid="{00000000-0005-0000-0000-0000550D0000}"/>
    <cellStyle name="a125body 3 10" xfId="14578" xr:uid="{00000000-0005-0000-0000-0000560D0000}"/>
    <cellStyle name="a125body 3 2" xfId="6127" xr:uid="{00000000-0005-0000-0000-0000570D0000}"/>
    <cellStyle name="a125body 3 2 2" xfId="11223" xr:uid="{00000000-0005-0000-0000-0000580D0000}"/>
    <cellStyle name="a125body 3 2 2 2" xfId="15529" xr:uid="{00000000-0005-0000-0000-0000590D0000}"/>
    <cellStyle name="a125body 3 2 2 3" xfId="16608" xr:uid="{00000000-0005-0000-0000-00005A0D0000}"/>
    <cellStyle name="a125body 3 2 2 4" xfId="17642" xr:uid="{00000000-0005-0000-0000-00005B0D0000}"/>
    <cellStyle name="a125body 3 2 2 5" xfId="18612" xr:uid="{00000000-0005-0000-0000-00005C0D0000}"/>
    <cellStyle name="a125body 3 2 2 6" xfId="19518" xr:uid="{00000000-0005-0000-0000-00005D0D0000}"/>
    <cellStyle name="a125body 3 2 3" xfId="11805" xr:uid="{00000000-0005-0000-0000-00005E0D0000}"/>
    <cellStyle name="a125body 3 2 3 2" xfId="16111" xr:uid="{00000000-0005-0000-0000-00005F0D0000}"/>
    <cellStyle name="a125body 3 2 3 3" xfId="17190" xr:uid="{00000000-0005-0000-0000-0000600D0000}"/>
    <cellStyle name="a125body 3 2 3 4" xfId="18212" xr:uid="{00000000-0005-0000-0000-0000610D0000}"/>
    <cellStyle name="a125body 3 2 3 5" xfId="19182" xr:uid="{00000000-0005-0000-0000-0000620D0000}"/>
    <cellStyle name="a125body 3 2 3 6" xfId="20088" xr:uid="{00000000-0005-0000-0000-0000630D0000}"/>
    <cellStyle name="a125body 3 2 4" xfId="11977" xr:uid="{00000000-0005-0000-0000-0000640D0000}"/>
    <cellStyle name="a125body 3 2 4 2" xfId="16283" xr:uid="{00000000-0005-0000-0000-0000650D0000}"/>
    <cellStyle name="a125body 3 2 4 3" xfId="17362" xr:uid="{00000000-0005-0000-0000-0000660D0000}"/>
    <cellStyle name="a125body 3 2 4 4" xfId="18380" xr:uid="{00000000-0005-0000-0000-0000670D0000}"/>
    <cellStyle name="a125body 3 2 4 5" xfId="19350" xr:uid="{00000000-0005-0000-0000-0000680D0000}"/>
    <cellStyle name="a125body 3 2 4 6" xfId="20256" xr:uid="{00000000-0005-0000-0000-0000690D0000}"/>
    <cellStyle name="a125body 3 2 5" xfId="13860" xr:uid="{00000000-0005-0000-0000-00006A0D0000}"/>
    <cellStyle name="a125body 3 2 6" xfId="14141" xr:uid="{00000000-0005-0000-0000-00006B0D0000}"/>
    <cellStyle name="a125body 3 2 7" xfId="12346" xr:uid="{00000000-0005-0000-0000-00006C0D0000}"/>
    <cellStyle name="a125body 3 2 8" xfId="1142" xr:uid="{00000000-0005-0000-0000-00006D0D0000}"/>
    <cellStyle name="a125body 3 2 9" xfId="12286" xr:uid="{00000000-0005-0000-0000-00006E0D0000}"/>
    <cellStyle name="a125body 3 3" xfId="7993" xr:uid="{00000000-0005-0000-0000-00006F0D0000}"/>
    <cellStyle name="a125body 3 3 2" xfId="14518" xr:uid="{00000000-0005-0000-0000-0000700D0000}"/>
    <cellStyle name="a125body 3 3 3" xfId="12310" xr:uid="{00000000-0005-0000-0000-0000710D0000}"/>
    <cellStyle name="a125body 3 3 4" xfId="13326" xr:uid="{00000000-0005-0000-0000-0000720D0000}"/>
    <cellStyle name="a125body 3 3 5" xfId="12784" xr:uid="{00000000-0005-0000-0000-0000730D0000}"/>
    <cellStyle name="a125body 3 3 6" xfId="12115" xr:uid="{00000000-0005-0000-0000-0000740D0000}"/>
    <cellStyle name="a125body 3 4" xfId="11418" xr:uid="{00000000-0005-0000-0000-0000750D0000}"/>
    <cellStyle name="a125body 3 4 2" xfId="15724" xr:uid="{00000000-0005-0000-0000-0000760D0000}"/>
    <cellStyle name="a125body 3 4 3" xfId="16803" xr:uid="{00000000-0005-0000-0000-0000770D0000}"/>
    <cellStyle name="a125body 3 4 4" xfId="17832" xr:uid="{00000000-0005-0000-0000-0000780D0000}"/>
    <cellStyle name="a125body 3 4 5" xfId="18802" xr:uid="{00000000-0005-0000-0000-0000790D0000}"/>
    <cellStyle name="a125body 3 4 6" xfId="19708" xr:uid="{00000000-0005-0000-0000-00007A0D0000}"/>
    <cellStyle name="a125body 3 5" xfId="11522" xr:uid="{00000000-0005-0000-0000-00007B0D0000}"/>
    <cellStyle name="a125body 3 5 2" xfId="15828" xr:uid="{00000000-0005-0000-0000-00007C0D0000}"/>
    <cellStyle name="a125body 3 5 3" xfId="16907" xr:uid="{00000000-0005-0000-0000-00007D0D0000}"/>
    <cellStyle name="a125body 3 5 4" xfId="17932" xr:uid="{00000000-0005-0000-0000-00007E0D0000}"/>
    <cellStyle name="a125body 3 5 5" xfId="18902" xr:uid="{00000000-0005-0000-0000-00007F0D0000}"/>
    <cellStyle name="a125body 3 5 6" xfId="19808" xr:uid="{00000000-0005-0000-0000-0000800D0000}"/>
    <cellStyle name="a125body 3 6" xfId="12822" xr:uid="{00000000-0005-0000-0000-0000810D0000}"/>
    <cellStyle name="a125body 3 7" xfId="12476" xr:uid="{00000000-0005-0000-0000-0000820D0000}"/>
    <cellStyle name="a125body 3 8" xfId="12943" xr:uid="{00000000-0005-0000-0000-0000830D0000}"/>
    <cellStyle name="a125body 3 9" xfId="13006" xr:uid="{00000000-0005-0000-0000-0000840D0000}"/>
    <cellStyle name="a125body 4" xfId="6016" xr:uid="{00000000-0005-0000-0000-0000850D0000}"/>
    <cellStyle name="a125body 4 2" xfId="11112" xr:uid="{00000000-0005-0000-0000-0000860D0000}"/>
    <cellStyle name="a125body 4 2 2" xfId="15418" xr:uid="{00000000-0005-0000-0000-0000870D0000}"/>
    <cellStyle name="a125body 4 2 3" xfId="16497" xr:uid="{00000000-0005-0000-0000-0000880D0000}"/>
    <cellStyle name="a125body 4 2 4" xfId="17532" xr:uid="{00000000-0005-0000-0000-0000890D0000}"/>
    <cellStyle name="a125body 4 2 5" xfId="18502" xr:uid="{00000000-0005-0000-0000-00008A0D0000}"/>
    <cellStyle name="a125body 4 2 6" xfId="19408" xr:uid="{00000000-0005-0000-0000-00008B0D0000}"/>
    <cellStyle name="a125body 4 3" xfId="11694" xr:uid="{00000000-0005-0000-0000-00008C0D0000}"/>
    <cellStyle name="a125body 4 3 2" xfId="16000" xr:uid="{00000000-0005-0000-0000-00008D0D0000}"/>
    <cellStyle name="a125body 4 3 3" xfId="17079" xr:uid="{00000000-0005-0000-0000-00008E0D0000}"/>
    <cellStyle name="a125body 4 3 4" xfId="18102" xr:uid="{00000000-0005-0000-0000-00008F0D0000}"/>
    <cellStyle name="a125body 4 3 5" xfId="19072" xr:uid="{00000000-0005-0000-0000-0000900D0000}"/>
    <cellStyle name="a125body 4 3 6" xfId="19978" xr:uid="{00000000-0005-0000-0000-0000910D0000}"/>
    <cellStyle name="a125body 4 4" xfId="11866" xr:uid="{00000000-0005-0000-0000-0000920D0000}"/>
    <cellStyle name="a125body 4 4 2" xfId="16172" xr:uid="{00000000-0005-0000-0000-0000930D0000}"/>
    <cellStyle name="a125body 4 4 3" xfId="17251" xr:uid="{00000000-0005-0000-0000-0000940D0000}"/>
    <cellStyle name="a125body 4 4 4" xfId="18270" xr:uid="{00000000-0005-0000-0000-0000950D0000}"/>
    <cellStyle name="a125body 4 4 5" xfId="19240" xr:uid="{00000000-0005-0000-0000-0000960D0000}"/>
    <cellStyle name="a125body 4 4 6" xfId="20146" xr:uid="{00000000-0005-0000-0000-0000970D0000}"/>
    <cellStyle name="a125body 4 5" xfId="13749" xr:uid="{00000000-0005-0000-0000-0000980D0000}"/>
    <cellStyle name="a125body 4 6" xfId="14304" xr:uid="{00000000-0005-0000-0000-0000990D0000}"/>
    <cellStyle name="a125body 4 7" xfId="14345" xr:uid="{00000000-0005-0000-0000-00009A0D0000}"/>
    <cellStyle name="a125body 4 8" xfId="14908" xr:uid="{00000000-0005-0000-0000-00009B0D0000}"/>
    <cellStyle name="a125body 4 9" xfId="17434" xr:uid="{00000000-0005-0000-0000-00009C0D0000}"/>
    <cellStyle name="a125body 5" xfId="6720" xr:uid="{00000000-0005-0000-0000-00009D0D0000}"/>
    <cellStyle name="a125body 5 2" xfId="14105" xr:uid="{00000000-0005-0000-0000-00009E0D0000}"/>
    <cellStyle name="a125body 5 3" xfId="12350" xr:uid="{00000000-0005-0000-0000-00009F0D0000}"/>
    <cellStyle name="a125body 5 4" xfId="13323" xr:uid="{00000000-0005-0000-0000-0000A00D0000}"/>
    <cellStyle name="a125body 5 5" xfId="17395" xr:uid="{00000000-0005-0000-0000-0000A10D0000}"/>
    <cellStyle name="a125body 5 6" xfId="12254" xr:uid="{00000000-0005-0000-0000-0000A20D0000}"/>
    <cellStyle name="a125body 6" xfId="11246" xr:uid="{00000000-0005-0000-0000-0000A30D0000}"/>
    <cellStyle name="a125body 6 2" xfId="15552" xr:uid="{00000000-0005-0000-0000-0000A40D0000}"/>
    <cellStyle name="a125body 6 3" xfId="16631" xr:uid="{00000000-0005-0000-0000-0000A50D0000}"/>
    <cellStyle name="a125body 6 4" xfId="17663" xr:uid="{00000000-0005-0000-0000-0000A60D0000}"/>
    <cellStyle name="a125body 6 5" xfId="18633" xr:uid="{00000000-0005-0000-0000-0000A70D0000}"/>
    <cellStyle name="a125body 6 6" xfId="19539" xr:uid="{00000000-0005-0000-0000-0000A80D0000}"/>
    <cellStyle name="a125body 7" xfId="11550" xr:uid="{00000000-0005-0000-0000-0000A90D0000}"/>
    <cellStyle name="a125body 7 2" xfId="15856" xr:uid="{00000000-0005-0000-0000-0000AA0D0000}"/>
    <cellStyle name="a125body 7 3" xfId="16935" xr:uid="{00000000-0005-0000-0000-0000AB0D0000}"/>
    <cellStyle name="a125body 7 4" xfId="17960" xr:uid="{00000000-0005-0000-0000-0000AC0D0000}"/>
    <cellStyle name="a125body 7 5" xfId="18930" xr:uid="{00000000-0005-0000-0000-0000AD0D0000}"/>
    <cellStyle name="a125body 7 6" xfId="19836" xr:uid="{00000000-0005-0000-0000-0000AE0D0000}"/>
    <cellStyle name="a125body 8" xfId="12325" xr:uid="{00000000-0005-0000-0000-0000AF0D0000}"/>
    <cellStyle name="a125body 9" xfId="12541" xr:uid="{00000000-0005-0000-0000-0000B00D0000}"/>
    <cellStyle name="Accent1" xfId="124" builtinId="29" customBuiltin="1"/>
    <cellStyle name="Accent1 2" xfId="32" xr:uid="{00000000-0005-0000-0000-0000B20D0000}"/>
    <cellStyle name="Accent1 2 2" xfId="824" xr:uid="{00000000-0005-0000-0000-0000B30D0000}"/>
    <cellStyle name="Accent1 2 3" xfId="1372" xr:uid="{00000000-0005-0000-0000-0000B40D0000}"/>
    <cellStyle name="Accent1 3" xfId="288" xr:uid="{00000000-0005-0000-0000-0000B50D0000}"/>
    <cellStyle name="Accent1 3 2" xfId="825" xr:uid="{00000000-0005-0000-0000-0000B60D0000}"/>
    <cellStyle name="Accent1 4" xfId="289" xr:uid="{00000000-0005-0000-0000-0000B70D0000}"/>
    <cellStyle name="Accent1 5" xfId="290" xr:uid="{00000000-0005-0000-0000-0000B80D0000}"/>
    <cellStyle name="Accent1 6" xfId="291" xr:uid="{00000000-0005-0000-0000-0000B90D0000}"/>
    <cellStyle name="Accent1 7" xfId="292" xr:uid="{00000000-0005-0000-0000-0000BA0D0000}"/>
    <cellStyle name="Accent1 8" xfId="293" xr:uid="{00000000-0005-0000-0000-0000BB0D0000}"/>
    <cellStyle name="Accent1 9" xfId="547" xr:uid="{00000000-0005-0000-0000-0000BC0D0000}"/>
    <cellStyle name="Accent2" xfId="128" builtinId="33" customBuiltin="1"/>
    <cellStyle name="Accent2 2" xfId="33" xr:uid="{00000000-0005-0000-0000-0000BE0D0000}"/>
    <cellStyle name="Accent2 2 2" xfId="826" xr:uid="{00000000-0005-0000-0000-0000BF0D0000}"/>
    <cellStyle name="Accent2 2 3" xfId="1373" xr:uid="{00000000-0005-0000-0000-0000C00D0000}"/>
    <cellStyle name="Accent2 3" xfId="294" xr:uid="{00000000-0005-0000-0000-0000C10D0000}"/>
    <cellStyle name="Accent2 3 2" xfId="827" xr:uid="{00000000-0005-0000-0000-0000C20D0000}"/>
    <cellStyle name="Accent2 4" xfId="295" xr:uid="{00000000-0005-0000-0000-0000C30D0000}"/>
    <cellStyle name="Accent2 5" xfId="296" xr:uid="{00000000-0005-0000-0000-0000C40D0000}"/>
    <cellStyle name="Accent2 6" xfId="297" xr:uid="{00000000-0005-0000-0000-0000C50D0000}"/>
    <cellStyle name="Accent2 7" xfId="298" xr:uid="{00000000-0005-0000-0000-0000C60D0000}"/>
    <cellStyle name="Accent2 8" xfId="299" xr:uid="{00000000-0005-0000-0000-0000C70D0000}"/>
    <cellStyle name="Accent2 9" xfId="716" xr:uid="{00000000-0005-0000-0000-0000C80D0000}"/>
    <cellStyle name="Accent3" xfId="132" builtinId="37" customBuiltin="1"/>
    <cellStyle name="Accent3 2" xfId="34" xr:uid="{00000000-0005-0000-0000-0000CA0D0000}"/>
    <cellStyle name="Accent3 2 2" xfId="828" xr:uid="{00000000-0005-0000-0000-0000CB0D0000}"/>
    <cellStyle name="Accent3 2 3" xfId="1374" xr:uid="{00000000-0005-0000-0000-0000CC0D0000}"/>
    <cellStyle name="Accent3 3" xfId="300" xr:uid="{00000000-0005-0000-0000-0000CD0D0000}"/>
    <cellStyle name="Accent3 3 2" xfId="829" xr:uid="{00000000-0005-0000-0000-0000CE0D0000}"/>
    <cellStyle name="Accent3 4" xfId="301" xr:uid="{00000000-0005-0000-0000-0000CF0D0000}"/>
    <cellStyle name="Accent3 5" xfId="302" xr:uid="{00000000-0005-0000-0000-0000D00D0000}"/>
    <cellStyle name="Accent3 6" xfId="303" xr:uid="{00000000-0005-0000-0000-0000D10D0000}"/>
    <cellStyle name="Accent3 7" xfId="304" xr:uid="{00000000-0005-0000-0000-0000D20D0000}"/>
    <cellStyle name="Accent3 8" xfId="305" xr:uid="{00000000-0005-0000-0000-0000D30D0000}"/>
    <cellStyle name="Accent3 9" xfId="906" xr:uid="{00000000-0005-0000-0000-0000D40D0000}"/>
    <cellStyle name="Accent4" xfId="136" builtinId="41" customBuiltin="1"/>
    <cellStyle name="Accent4 2" xfId="35" xr:uid="{00000000-0005-0000-0000-0000D60D0000}"/>
    <cellStyle name="Accent4 2 2" xfId="830" xr:uid="{00000000-0005-0000-0000-0000D70D0000}"/>
    <cellStyle name="Accent4 2 3" xfId="1375" xr:uid="{00000000-0005-0000-0000-0000D80D0000}"/>
    <cellStyle name="Accent4 3" xfId="306" xr:uid="{00000000-0005-0000-0000-0000D90D0000}"/>
    <cellStyle name="Accent4 3 2" xfId="831" xr:uid="{00000000-0005-0000-0000-0000DA0D0000}"/>
    <cellStyle name="Accent4 4" xfId="307" xr:uid="{00000000-0005-0000-0000-0000DB0D0000}"/>
    <cellStyle name="Accent4 5" xfId="308" xr:uid="{00000000-0005-0000-0000-0000DC0D0000}"/>
    <cellStyle name="Accent4 6" xfId="309" xr:uid="{00000000-0005-0000-0000-0000DD0D0000}"/>
    <cellStyle name="Accent4 7" xfId="310" xr:uid="{00000000-0005-0000-0000-0000DE0D0000}"/>
    <cellStyle name="Accent4 8" xfId="311" xr:uid="{00000000-0005-0000-0000-0000DF0D0000}"/>
    <cellStyle name="Accent4 9" xfId="713" xr:uid="{00000000-0005-0000-0000-0000E00D0000}"/>
    <cellStyle name="Accent5" xfId="140" builtinId="45" customBuiltin="1"/>
    <cellStyle name="Accent5 2" xfId="36" xr:uid="{00000000-0005-0000-0000-0000E20D0000}"/>
    <cellStyle name="Accent5 2 2" xfId="832" xr:uid="{00000000-0005-0000-0000-0000E30D0000}"/>
    <cellStyle name="Accent5 2 3" xfId="1376" xr:uid="{00000000-0005-0000-0000-0000E40D0000}"/>
    <cellStyle name="Accent5 3" xfId="312" xr:uid="{00000000-0005-0000-0000-0000E50D0000}"/>
    <cellStyle name="Accent5 3 2" xfId="833" xr:uid="{00000000-0005-0000-0000-0000E60D0000}"/>
    <cellStyle name="Accent5 4" xfId="313" xr:uid="{00000000-0005-0000-0000-0000E70D0000}"/>
    <cellStyle name="Accent5 5" xfId="314" xr:uid="{00000000-0005-0000-0000-0000E80D0000}"/>
    <cellStyle name="Accent5 6" xfId="315" xr:uid="{00000000-0005-0000-0000-0000E90D0000}"/>
    <cellStyle name="Accent5 7" xfId="316" xr:uid="{00000000-0005-0000-0000-0000EA0D0000}"/>
    <cellStyle name="Accent5 8" xfId="317" xr:uid="{00000000-0005-0000-0000-0000EB0D0000}"/>
    <cellStyle name="Accent5 9" xfId="709" xr:uid="{00000000-0005-0000-0000-0000EC0D0000}"/>
    <cellStyle name="Accent6" xfId="144" builtinId="49" customBuiltin="1"/>
    <cellStyle name="Accent6 2" xfId="37" xr:uid="{00000000-0005-0000-0000-0000EE0D0000}"/>
    <cellStyle name="Accent6 2 2" xfId="834" xr:uid="{00000000-0005-0000-0000-0000EF0D0000}"/>
    <cellStyle name="Accent6 2 3" xfId="1377" xr:uid="{00000000-0005-0000-0000-0000F00D0000}"/>
    <cellStyle name="Accent6 3" xfId="318" xr:uid="{00000000-0005-0000-0000-0000F10D0000}"/>
    <cellStyle name="Accent6 3 2" xfId="835" xr:uid="{00000000-0005-0000-0000-0000F20D0000}"/>
    <cellStyle name="Accent6 4" xfId="319" xr:uid="{00000000-0005-0000-0000-0000F30D0000}"/>
    <cellStyle name="Accent6 5" xfId="320" xr:uid="{00000000-0005-0000-0000-0000F40D0000}"/>
    <cellStyle name="Accent6 6" xfId="321" xr:uid="{00000000-0005-0000-0000-0000F50D0000}"/>
    <cellStyle name="Accent6 7" xfId="322" xr:uid="{00000000-0005-0000-0000-0000F60D0000}"/>
    <cellStyle name="Accent6 8" xfId="323" xr:uid="{00000000-0005-0000-0000-0000F70D0000}"/>
    <cellStyle name="Accent6 9" xfId="707" xr:uid="{00000000-0005-0000-0000-0000F80D0000}"/>
    <cellStyle name="Activity" xfId="1378" xr:uid="{00000000-0005-0000-0000-0000F90D0000}"/>
    <cellStyle name="Activity 10" xfId="15294" xr:uid="{00000000-0005-0000-0000-0000FA0D0000}"/>
    <cellStyle name="Activity 11" xfId="14617" xr:uid="{00000000-0005-0000-0000-0000FB0D0000}"/>
    <cellStyle name="Activity 12" xfId="12863" xr:uid="{00000000-0005-0000-0000-0000FC0D0000}"/>
    <cellStyle name="Activity 2" xfId="2226" xr:uid="{00000000-0005-0000-0000-0000FD0D0000}"/>
    <cellStyle name="Activity 2 2" xfId="3486" xr:uid="{00000000-0005-0000-0000-0000FE0D0000}"/>
    <cellStyle name="Activity 2 2 10" xfId="13008" xr:uid="{00000000-0005-0000-0000-0000FF0D0000}"/>
    <cellStyle name="Activity 2 2 11" xfId="12472" xr:uid="{00000000-0005-0000-0000-0000000E0000}"/>
    <cellStyle name="Activity 2 2 2" xfId="6134" xr:uid="{00000000-0005-0000-0000-0000010E0000}"/>
    <cellStyle name="Activity 2 2 2 2" xfId="11230" xr:uid="{00000000-0005-0000-0000-0000020E0000}"/>
    <cellStyle name="Activity 2 2 2 2 2" xfId="15536" xr:uid="{00000000-0005-0000-0000-0000030E0000}"/>
    <cellStyle name="Activity 2 2 2 2 3" xfId="16615" xr:uid="{00000000-0005-0000-0000-0000040E0000}"/>
    <cellStyle name="Activity 2 2 2 2 4" xfId="17648" xr:uid="{00000000-0005-0000-0000-0000050E0000}"/>
    <cellStyle name="Activity 2 2 2 2 5" xfId="18618" xr:uid="{00000000-0005-0000-0000-0000060E0000}"/>
    <cellStyle name="Activity 2 2 2 2 6" xfId="19524" xr:uid="{00000000-0005-0000-0000-0000070E0000}"/>
    <cellStyle name="Activity 2 2 2 3" xfId="11812" xr:uid="{00000000-0005-0000-0000-0000080E0000}"/>
    <cellStyle name="Activity 2 2 2 3 2" xfId="16118" xr:uid="{00000000-0005-0000-0000-0000090E0000}"/>
    <cellStyle name="Activity 2 2 2 3 3" xfId="17197" xr:uid="{00000000-0005-0000-0000-00000A0E0000}"/>
    <cellStyle name="Activity 2 2 2 3 4" xfId="18218" xr:uid="{00000000-0005-0000-0000-00000B0E0000}"/>
    <cellStyle name="Activity 2 2 2 3 5" xfId="19188" xr:uid="{00000000-0005-0000-0000-00000C0E0000}"/>
    <cellStyle name="Activity 2 2 2 3 6" xfId="20094" xr:uid="{00000000-0005-0000-0000-00000D0E0000}"/>
    <cellStyle name="Activity 2 2 2 4" xfId="11984" xr:uid="{00000000-0005-0000-0000-00000E0E0000}"/>
    <cellStyle name="Activity 2 2 2 4 2" xfId="16290" xr:uid="{00000000-0005-0000-0000-00000F0E0000}"/>
    <cellStyle name="Activity 2 2 2 4 3" xfId="17369" xr:uid="{00000000-0005-0000-0000-0000100E0000}"/>
    <cellStyle name="Activity 2 2 2 4 4" xfId="18386" xr:uid="{00000000-0005-0000-0000-0000110E0000}"/>
    <cellStyle name="Activity 2 2 2 4 5" xfId="19356" xr:uid="{00000000-0005-0000-0000-0000120E0000}"/>
    <cellStyle name="Activity 2 2 2 4 6" xfId="20262" xr:uid="{00000000-0005-0000-0000-0000130E0000}"/>
    <cellStyle name="Activity 2 2 2 5" xfId="13867" xr:uid="{00000000-0005-0000-0000-0000140E0000}"/>
    <cellStyle name="Activity 2 2 2 6" xfId="14142" xr:uid="{00000000-0005-0000-0000-0000150E0000}"/>
    <cellStyle name="Activity 2 2 2 7" xfId="12345" xr:uid="{00000000-0005-0000-0000-0000160E0000}"/>
    <cellStyle name="Activity 2 2 2 8" xfId="13353" xr:uid="{00000000-0005-0000-0000-0000170E0000}"/>
    <cellStyle name="Activity 2 2 2 9" xfId="12270" xr:uid="{00000000-0005-0000-0000-0000180E0000}"/>
    <cellStyle name="Activity 2 2 3" xfId="5881" xr:uid="{00000000-0005-0000-0000-0000190E0000}"/>
    <cellStyle name="Activity 2 2 3 2" xfId="10977" xr:uid="{00000000-0005-0000-0000-00001A0E0000}"/>
    <cellStyle name="Activity 2 2 3 2 2" xfId="15346" xr:uid="{00000000-0005-0000-0000-00001B0E0000}"/>
    <cellStyle name="Activity 2 2 3 2 3" xfId="16430" xr:uid="{00000000-0005-0000-0000-00001C0E0000}"/>
    <cellStyle name="Activity 2 2 3 2 4" xfId="17467" xr:uid="{00000000-0005-0000-0000-00001D0E0000}"/>
    <cellStyle name="Activity 2 2 3 2 5" xfId="18444" xr:uid="{00000000-0005-0000-0000-00001E0E0000}"/>
    <cellStyle name="Activity 2 2 3 2 6" xfId="19364" xr:uid="{00000000-0005-0000-0000-00001F0E0000}"/>
    <cellStyle name="Activity 2 2 3 3" xfId="11649" xr:uid="{00000000-0005-0000-0000-0000200E0000}"/>
    <cellStyle name="Activity 2 2 3 3 2" xfId="15955" xr:uid="{00000000-0005-0000-0000-0000210E0000}"/>
    <cellStyle name="Activity 2 2 3 3 3" xfId="17034" xr:uid="{00000000-0005-0000-0000-0000220E0000}"/>
    <cellStyle name="Activity 2 2 3 3 4" xfId="18058" xr:uid="{00000000-0005-0000-0000-0000230E0000}"/>
    <cellStyle name="Activity 2 2 3 3 5" xfId="19028" xr:uid="{00000000-0005-0000-0000-0000240E0000}"/>
    <cellStyle name="Activity 2 2 3 3 6" xfId="19934" xr:uid="{00000000-0005-0000-0000-0000250E0000}"/>
    <cellStyle name="Activity 2 2 3 4" xfId="11821" xr:uid="{00000000-0005-0000-0000-0000260E0000}"/>
    <cellStyle name="Activity 2 2 3 4 2" xfId="16127" xr:uid="{00000000-0005-0000-0000-0000270E0000}"/>
    <cellStyle name="Activity 2 2 3 4 3" xfId="17206" xr:uid="{00000000-0005-0000-0000-0000280E0000}"/>
    <cellStyle name="Activity 2 2 3 4 4" xfId="18226" xr:uid="{00000000-0005-0000-0000-0000290E0000}"/>
    <cellStyle name="Activity 2 2 3 4 5" xfId="19196" xr:uid="{00000000-0005-0000-0000-00002A0E0000}"/>
    <cellStyle name="Activity 2 2 3 4 6" xfId="20102" xr:uid="{00000000-0005-0000-0000-00002B0E0000}"/>
    <cellStyle name="Activity 2 2 3 5" xfId="13678" xr:uid="{00000000-0005-0000-0000-00002C0E0000}"/>
    <cellStyle name="Activity 2 2 3 6" xfId="14563" xr:uid="{00000000-0005-0000-0000-00002D0E0000}"/>
    <cellStyle name="Activity 2 2 3 7" xfId="12656" xr:uid="{00000000-0005-0000-0000-00002E0E0000}"/>
    <cellStyle name="Activity 2 2 3 8" xfId="12997" xr:uid="{00000000-0005-0000-0000-00002F0E0000}"/>
    <cellStyle name="Activity 2 2 3 9" xfId="17426" xr:uid="{00000000-0005-0000-0000-0000300E0000}"/>
    <cellStyle name="Activity 2 2 4" xfId="8589" xr:uid="{00000000-0005-0000-0000-0000310E0000}"/>
    <cellStyle name="Activity 2 2 4 2" xfId="14663" xr:uid="{00000000-0005-0000-0000-0000320E0000}"/>
    <cellStyle name="Activity 2 2 4 3" xfId="13501" xr:uid="{00000000-0005-0000-0000-0000330E0000}"/>
    <cellStyle name="Activity 2 2 4 4" xfId="14573" xr:uid="{00000000-0005-0000-0000-0000340E0000}"/>
    <cellStyle name="Activity 2 2 4 5" xfId="14771" xr:uid="{00000000-0005-0000-0000-0000350E0000}"/>
    <cellStyle name="Activity 2 2 4 6" xfId="13249" xr:uid="{00000000-0005-0000-0000-0000360E0000}"/>
    <cellStyle name="Activity 2 2 5" xfId="11460" xr:uid="{00000000-0005-0000-0000-0000370E0000}"/>
    <cellStyle name="Activity 2 2 5 2" xfId="15766" xr:uid="{00000000-0005-0000-0000-0000380E0000}"/>
    <cellStyle name="Activity 2 2 5 3" xfId="16845" xr:uid="{00000000-0005-0000-0000-0000390E0000}"/>
    <cellStyle name="Activity 2 2 5 4" xfId="17873" xr:uid="{00000000-0005-0000-0000-00003A0E0000}"/>
    <cellStyle name="Activity 2 2 5 5" xfId="18843" xr:uid="{00000000-0005-0000-0000-00003B0E0000}"/>
    <cellStyle name="Activity 2 2 5 6" xfId="19749" xr:uid="{00000000-0005-0000-0000-00003C0E0000}"/>
    <cellStyle name="Activity 2 2 6" xfId="11613" xr:uid="{00000000-0005-0000-0000-00003D0E0000}"/>
    <cellStyle name="Activity 2 2 6 2" xfId="15919" xr:uid="{00000000-0005-0000-0000-00003E0E0000}"/>
    <cellStyle name="Activity 2 2 6 3" xfId="16998" xr:uid="{00000000-0005-0000-0000-00003F0E0000}"/>
    <cellStyle name="Activity 2 2 6 4" xfId="18022" xr:uid="{00000000-0005-0000-0000-0000400E0000}"/>
    <cellStyle name="Activity 2 2 6 5" xfId="18992" xr:uid="{00000000-0005-0000-0000-0000410E0000}"/>
    <cellStyle name="Activity 2 2 6 6" xfId="19898" xr:uid="{00000000-0005-0000-0000-0000420E0000}"/>
    <cellStyle name="Activity 2 2 7" xfId="12980" xr:uid="{00000000-0005-0000-0000-0000430E0000}"/>
    <cellStyle name="Activity 2 2 8" xfId="14611" xr:uid="{00000000-0005-0000-0000-0000440E0000}"/>
    <cellStyle name="Activity 2 2 9" xfId="13160" xr:uid="{00000000-0005-0000-0000-0000450E0000}"/>
    <cellStyle name="Activity 2 3" xfId="4692" xr:uid="{00000000-0005-0000-0000-0000460E0000}"/>
    <cellStyle name="Activity 2 3 2" xfId="9788" xr:uid="{00000000-0005-0000-0000-0000470E0000}"/>
    <cellStyle name="Activity 2 3 2 2" xfId="15011" xr:uid="{00000000-0005-0000-0000-0000480E0000}"/>
    <cellStyle name="Activity 2 3 2 3" xfId="12284" xr:uid="{00000000-0005-0000-0000-0000490E0000}"/>
    <cellStyle name="Activity 2 3 2 4" xfId="14262" xr:uid="{00000000-0005-0000-0000-00004A0E0000}"/>
    <cellStyle name="Activity 2 3 2 5" xfId="12632" xr:uid="{00000000-0005-0000-0000-00004B0E0000}"/>
    <cellStyle name="Activity 2 3 2 6" xfId="13492" xr:uid="{00000000-0005-0000-0000-00004C0E0000}"/>
    <cellStyle name="Activity 2 3 3" xfId="11560" xr:uid="{00000000-0005-0000-0000-00004D0E0000}"/>
    <cellStyle name="Activity 2 3 3 2" xfId="15866" xr:uid="{00000000-0005-0000-0000-00004E0E0000}"/>
    <cellStyle name="Activity 2 3 3 3" xfId="16945" xr:uid="{00000000-0005-0000-0000-00004F0E0000}"/>
    <cellStyle name="Activity 2 3 3 4" xfId="17970" xr:uid="{00000000-0005-0000-0000-0000500E0000}"/>
    <cellStyle name="Activity 2 3 3 5" xfId="18940" xr:uid="{00000000-0005-0000-0000-0000510E0000}"/>
    <cellStyle name="Activity 2 3 3 6" xfId="19846" xr:uid="{00000000-0005-0000-0000-0000520E0000}"/>
    <cellStyle name="Activity 2 3 4" xfId="11330" xr:uid="{00000000-0005-0000-0000-0000530E0000}"/>
    <cellStyle name="Activity 2 3 4 2" xfId="15636" xr:uid="{00000000-0005-0000-0000-0000540E0000}"/>
    <cellStyle name="Activity 2 3 4 3" xfId="16715" xr:uid="{00000000-0005-0000-0000-0000550E0000}"/>
    <cellStyle name="Activity 2 3 4 4" xfId="17744" xr:uid="{00000000-0005-0000-0000-0000560E0000}"/>
    <cellStyle name="Activity 2 3 4 5" xfId="18714" xr:uid="{00000000-0005-0000-0000-0000570E0000}"/>
    <cellStyle name="Activity 2 3 4 6" xfId="19620" xr:uid="{00000000-0005-0000-0000-0000580E0000}"/>
    <cellStyle name="Activity 2 3 5" xfId="13337" xr:uid="{00000000-0005-0000-0000-0000590E0000}"/>
    <cellStyle name="Activity 2 3 6" xfId="12428" xr:uid="{00000000-0005-0000-0000-00005A0E0000}"/>
    <cellStyle name="Activity 2 3 7" xfId="13315" xr:uid="{00000000-0005-0000-0000-00005B0E0000}"/>
    <cellStyle name="Activity 2 3 8" xfId="12528" xr:uid="{00000000-0005-0000-0000-00005C0E0000}"/>
    <cellStyle name="Activity 2 3 9" xfId="13517" xr:uid="{00000000-0005-0000-0000-00005D0E0000}"/>
    <cellStyle name="Activity 3" xfId="2891" xr:uid="{00000000-0005-0000-0000-00005E0E0000}"/>
    <cellStyle name="Activity 3 10" xfId="13936" xr:uid="{00000000-0005-0000-0000-00005F0E0000}"/>
    <cellStyle name="Activity 3 2" xfId="6128" xr:uid="{00000000-0005-0000-0000-0000600E0000}"/>
    <cellStyle name="Activity 3 2 2" xfId="11224" xr:uid="{00000000-0005-0000-0000-0000610E0000}"/>
    <cellStyle name="Activity 3 2 2 2" xfId="15530" xr:uid="{00000000-0005-0000-0000-0000620E0000}"/>
    <cellStyle name="Activity 3 2 2 3" xfId="16609" xr:uid="{00000000-0005-0000-0000-0000630E0000}"/>
    <cellStyle name="Activity 3 2 2 4" xfId="17643" xr:uid="{00000000-0005-0000-0000-0000640E0000}"/>
    <cellStyle name="Activity 3 2 2 5" xfId="18613" xr:uid="{00000000-0005-0000-0000-0000650E0000}"/>
    <cellStyle name="Activity 3 2 2 6" xfId="19519" xr:uid="{00000000-0005-0000-0000-0000660E0000}"/>
    <cellStyle name="Activity 3 2 3" xfId="11806" xr:uid="{00000000-0005-0000-0000-0000670E0000}"/>
    <cellStyle name="Activity 3 2 3 2" xfId="16112" xr:uid="{00000000-0005-0000-0000-0000680E0000}"/>
    <cellStyle name="Activity 3 2 3 3" xfId="17191" xr:uid="{00000000-0005-0000-0000-0000690E0000}"/>
    <cellStyle name="Activity 3 2 3 4" xfId="18213" xr:uid="{00000000-0005-0000-0000-00006A0E0000}"/>
    <cellStyle name="Activity 3 2 3 5" xfId="19183" xr:uid="{00000000-0005-0000-0000-00006B0E0000}"/>
    <cellStyle name="Activity 3 2 3 6" xfId="20089" xr:uid="{00000000-0005-0000-0000-00006C0E0000}"/>
    <cellStyle name="Activity 3 2 4" xfId="11978" xr:uid="{00000000-0005-0000-0000-00006D0E0000}"/>
    <cellStyle name="Activity 3 2 4 2" xfId="16284" xr:uid="{00000000-0005-0000-0000-00006E0E0000}"/>
    <cellStyle name="Activity 3 2 4 3" xfId="17363" xr:uid="{00000000-0005-0000-0000-00006F0E0000}"/>
    <cellStyle name="Activity 3 2 4 4" xfId="18381" xr:uid="{00000000-0005-0000-0000-0000700E0000}"/>
    <cellStyle name="Activity 3 2 4 5" xfId="19351" xr:uid="{00000000-0005-0000-0000-0000710E0000}"/>
    <cellStyle name="Activity 3 2 4 6" xfId="20257" xr:uid="{00000000-0005-0000-0000-0000720E0000}"/>
    <cellStyle name="Activity 3 2 5" xfId="13861" xr:uid="{00000000-0005-0000-0000-0000730E0000}"/>
    <cellStyle name="Activity 3 2 6" xfId="14894" xr:uid="{00000000-0005-0000-0000-0000740E0000}"/>
    <cellStyle name="Activity 3 2 7" xfId="13922" xr:uid="{00000000-0005-0000-0000-0000750E0000}"/>
    <cellStyle name="Activity 3 2 8" xfId="13611" xr:uid="{00000000-0005-0000-0000-0000760E0000}"/>
    <cellStyle name="Activity 3 2 9" xfId="17380" xr:uid="{00000000-0005-0000-0000-0000770E0000}"/>
    <cellStyle name="Activity 3 3" xfId="7994" xr:uid="{00000000-0005-0000-0000-0000780E0000}"/>
    <cellStyle name="Activity 3 3 2" xfId="14519" xr:uid="{00000000-0005-0000-0000-0000790E0000}"/>
    <cellStyle name="Activity 3 3 3" xfId="12132" xr:uid="{00000000-0005-0000-0000-00007A0E0000}"/>
    <cellStyle name="Activity 3 3 4" xfId="13442" xr:uid="{00000000-0005-0000-0000-00007B0E0000}"/>
    <cellStyle name="Activity 3 3 5" xfId="14966" xr:uid="{00000000-0005-0000-0000-00007C0E0000}"/>
    <cellStyle name="Activity 3 3 6" xfId="12044" xr:uid="{00000000-0005-0000-0000-00007D0E0000}"/>
    <cellStyle name="Activity 3 4" xfId="11419" xr:uid="{00000000-0005-0000-0000-00007E0E0000}"/>
    <cellStyle name="Activity 3 4 2" xfId="15725" xr:uid="{00000000-0005-0000-0000-00007F0E0000}"/>
    <cellStyle name="Activity 3 4 3" xfId="16804" xr:uid="{00000000-0005-0000-0000-0000800E0000}"/>
    <cellStyle name="Activity 3 4 4" xfId="17833" xr:uid="{00000000-0005-0000-0000-0000810E0000}"/>
    <cellStyle name="Activity 3 4 5" xfId="18803" xr:uid="{00000000-0005-0000-0000-0000820E0000}"/>
    <cellStyle name="Activity 3 4 6" xfId="19709" xr:uid="{00000000-0005-0000-0000-0000830E0000}"/>
    <cellStyle name="Activity 3 5" xfId="11614" xr:uid="{00000000-0005-0000-0000-0000840E0000}"/>
    <cellStyle name="Activity 3 5 2" xfId="15920" xr:uid="{00000000-0005-0000-0000-0000850E0000}"/>
    <cellStyle name="Activity 3 5 3" xfId="16999" xr:uid="{00000000-0005-0000-0000-0000860E0000}"/>
    <cellStyle name="Activity 3 5 4" xfId="18023" xr:uid="{00000000-0005-0000-0000-0000870E0000}"/>
    <cellStyle name="Activity 3 5 5" xfId="18993" xr:uid="{00000000-0005-0000-0000-0000880E0000}"/>
    <cellStyle name="Activity 3 5 6" xfId="19899" xr:uid="{00000000-0005-0000-0000-0000890E0000}"/>
    <cellStyle name="Activity 3 6" xfId="12823" xr:uid="{00000000-0005-0000-0000-00008A0E0000}"/>
    <cellStyle name="Activity 3 7" xfId="12475" xr:uid="{00000000-0005-0000-0000-00008B0E0000}"/>
    <cellStyle name="Activity 3 8" xfId="13651" xr:uid="{00000000-0005-0000-0000-00008C0E0000}"/>
    <cellStyle name="Activity 3 9" xfId="11995" xr:uid="{00000000-0005-0000-0000-00008D0E0000}"/>
    <cellStyle name="Activity 4" xfId="6017" xr:uid="{00000000-0005-0000-0000-00008E0E0000}"/>
    <cellStyle name="Activity 4 2" xfId="11113" xr:uid="{00000000-0005-0000-0000-00008F0E0000}"/>
    <cellStyle name="Activity 4 2 2" xfId="15419" xr:uid="{00000000-0005-0000-0000-0000900E0000}"/>
    <cellStyle name="Activity 4 2 3" xfId="16498" xr:uid="{00000000-0005-0000-0000-0000910E0000}"/>
    <cellStyle name="Activity 4 2 4" xfId="17533" xr:uid="{00000000-0005-0000-0000-0000920E0000}"/>
    <cellStyle name="Activity 4 2 5" xfId="18503" xr:uid="{00000000-0005-0000-0000-0000930E0000}"/>
    <cellStyle name="Activity 4 2 6" xfId="19409" xr:uid="{00000000-0005-0000-0000-0000940E0000}"/>
    <cellStyle name="Activity 4 3" xfId="11695" xr:uid="{00000000-0005-0000-0000-0000950E0000}"/>
    <cellStyle name="Activity 4 3 2" xfId="16001" xr:uid="{00000000-0005-0000-0000-0000960E0000}"/>
    <cellStyle name="Activity 4 3 3" xfId="17080" xr:uid="{00000000-0005-0000-0000-0000970E0000}"/>
    <cellStyle name="Activity 4 3 4" xfId="18103" xr:uid="{00000000-0005-0000-0000-0000980E0000}"/>
    <cellStyle name="Activity 4 3 5" xfId="19073" xr:uid="{00000000-0005-0000-0000-0000990E0000}"/>
    <cellStyle name="Activity 4 3 6" xfId="19979" xr:uid="{00000000-0005-0000-0000-00009A0E0000}"/>
    <cellStyle name="Activity 4 4" xfId="11867" xr:uid="{00000000-0005-0000-0000-00009B0E0000}"/>
    <cellStyle name="Activity 4 4 2" xfId="16173" xr:uid="{00000000-0005-0000-0000-00009C0E0000}"/>
    <cellStyle name="Activity 4 4 3" xfId="17252" xr:uid="{00000000-0005-0000-0000-00009D0E0000}"/>
    <cellStyle name="Activity 4 4 4" xfId="18271" xr:uid="{00000000-0005-0000-0000-00009E0E0000}"/>
    <cellStyle name="Activity 4 4 5" xfId="19241" xr:uid="{00000000-0005-0000-0000-00009F0E0000}"/>
    <cellStyle name="Activity 4 4 6" xfId="20147" xr:uid="{00000000-0005-0000-0000-0000A00E0000}"/>
    <cellStyle name="Activity 4 5" xfId="13750" xr:uid="{00000000-0005-0000-0000-0000A10E0000}"/>
    <cellStyle name="Activity 4 6" xfId="15031" xr:uid="{00000000-0005-0000-0000-0000A20E0000}"/>
    <cellStyle name="Activity 4 7" xfId="13062" xr:uid="{00000000-0005-0000-0000-0000A30E0000}"/>
    <cellStyle name="Activity 4 8" xfId="16390" xr:uid="{00000000-0005-0000-0000-0000A40E0000}"/>
    <cellStyle name="Activity 4 9" xfId="14367" xr:uid="{00000000-0005-0000-0000-0000A50E0000}"/>
    <cellStyle name="Activity 5" xfId="6721" xr:uid="{00000000-0005-0000-0000-0000A60E0000}"/>
    <cellStyle name="Activity 5 2" xfId="14106" xr:uid="{00000000-0005-0000-0000-0000A70E0000}"/>
    <cellStyle name="Activity 5 3" xfId="12349" xr:uid="{00000000-0005-0000-0000-0000A80E0000}"/>
    <cellStyle name="Activity 5 4" xfId="14997" xr:uid="{00000000-0005-0000-0000-0000A90E0000}"/>
    <cellStyle name="Activity 5 5" xfId="12140" xr:uid="{00000000-0005-0000-0000-0000AA0E0000}"/>
    <cellStyle name="Activity 5 6" xfId="12232" xr:uid="{00000000-0005-0000-0000-0000AB0E0000}"/>
    <cellStyle name="Activity 6" xfId="11250" xr:uid="{00000000-0005-0000-0000-0000AC0E0000}"/>
    <cellStyle name="Activity 6 2" xfId="15556" xr:uid="{00000000-0005-0000-0000-0000AD0E0000}"/>
    <cellStyle name="Activity 6 3" xfId="16635" xr:uid="{00000000-0005-0000-0000-0000AE0E0000}"/>
    <cellStyle name="Activity 6 4" xfId="17667" xr:uid="{00000000-0005-0000-0000-0000AF0E0000}"/>
    <cellStyle name="Activity 6 5" xfId="18637" xr:uid="{00000000-0005-0000-0000-0000B00E0000}"/>
    <cellStyle name="Activity 6 6" xfId="19543" xr:uid="{00000000-0005-0000-0000-0000B10E0000}"/>
    <cellStyle name="Activity 7" xfId="11549" xr:uid="{00000000-0005-0000-0000-0000B20E0000}"/>
    <cellStyle name="Activity 7 2" xfId="15855" xr:uid="{00000000-0005-0000-0000-0000B30E0000}"/>
    <cellStyle name="Activity 7 3" xfId="16934" xr:uid="{00000000-0005-0000-0000-0000B40E0000}"/>
    <cellStyle name="Activity 7 4" xfId="17959" xr:uid="{00000000-0005-0000-0000-0000B50E0000}"/>
    <cellStyle name="Activity 7 5" xfId="18929" xr:uid="{00000000-0005-0000-0000-0000B60E0000}"/>
    <cellStyle name="Activity 7 6" xfId="19835" xr:uid="{00000000-0005-0000-0000-0000B70E0000}"/>
    <cellStyle name="Activity 8" xfId="12326" xr:uid="{00000000-0005-0000-0000-0000B80E0000}"/>
    <cellStyle name="Activity 9" xfId="12962" xr:uid="{00000000-0005-0000-0000-0000B90E0000}"/>
    <cellStyle name="Actual Date" xfId="1379" xr:uid="{00000000-0005-0000-0000-0000BA0E0000}"/>
    <cellStyle name="APSDate" xfId="484" xr:uid="{00000000-0005-0000-0000-0000BB0E0000}"/>
    <cellStyle name="APSDate 2" xfId="485" xr:uid="{00000000-0005-0000-0000-0000BC0E0000}"/>
    <cellStyle name="APSDate 2 2" xfId="486" xr:uid="{00000000-0005-0000-0000-0000BD0E0000}"/>
    <cellStyle name="APSDate 2 3" xfId="487" xr:uid="{00000000-0005-0000-0000-0000BE0E0000}"/>
    <cellStyle name="APSDate 3" xfId="488" xr:uid="{00000000-0005-0000-0000-0000BF0E0000}"/>
    <cellStyle name="APSDate 3 2" xfId="489" xr:uid="{00000000-0005-0000-0000-0000C00E0000}"/>
    <cellStyle name="APSDate 3 3" xfId="490" xr:uid="{00000000-0005-0000-0000-0000C10E0000}"/>
    <cellStyle name="APSDate 4" xfId="491" xr:uid="{00000000-0005-0000-0000-0000C20E0000}"/>
    <cellStyle name="APSDate 4 2" xfId="492" xr:uid="{00000000-0005-0000-0000-0000C30E0000}"/>
    <cellStyle name="APSDate 4 3" xfId="493" xr:uid="{00000000-0005-0000-0000-0000C40E0000}"/>
    <cellStyle name="Assumption" xfId="1380" xr:uid="{00000000-0005-0000-0000-0000C50E0000}"/>
    <cellStyle name="AZNORMAL" xfId="494" xr:uid="{00000000-0005-0000-0000-0000C60E0000}"/>
    <cellStyle name="AZNORMAL 2" xfId="495" xr:uid="{00000000-0005-0000-0000-0000C70E0000}"/>
    <cellStyle name="AZNORMAL 2 2" xfId="496" xr:uid="{00000000-0005-0000-0000-0000C80E0000}"/>
    <cellStyle name="AZNORMAL 2 3" xfId="497" xr:uid="{00000000-0005-0000-0000-0000C90E0000}"/>
    <cellStyle name="AZNORMAL 3" xfId="498" xr:uid="{00000000-0005-0000-0000-0000CA0E0000}"/>
    <cellStyle name="AZNORMAL 3 2" xfId="499" xr:uid="{00000000-0005-0000-0000-0000CB0E0000}"/>
    <cellStyle name="AZNORMAL 3 3" xfId="500" xr:uid="{00000000-0005-0000-0000-0000CC0E0000}"/>
    <cellStyle name="AZNORMAL 4" xfId="501" xr:uid="{00000000-0005-0000-0000-0000CD0E0000}"/>
    <cellStyle name="AZNORMAL 4 2" xfId="502" xr:uid="{00000000-0005-0000-0000-0000CE0E0000}"/>
    <cellStyle name="AZNORMAL 4 3" xfId="503" xr:uid="{00000000-0005-0000-0000-0000CF0E0000}"/>
    <cellStyle name="Bad" xfId="114" builtinId="27" customBuiltin="1"/>
    <cellStyle name="Bad 2" xfId="38" xr:uid="{00000000-0005-0000-0000-0000D10E0000}"/>
    <cellStyle name="Bad 2 2" xfId="836" xr:uid="{00000000-0005-0000-0000-0000D20E0000}"/>
    <cellStyle name="Bad 2 3" xfId="1381" xr:uid="{00000000-0005-0000-0000-0000D30E0000}"/>
    <cellStyle name="Bad 3" xfId="324" xr:uid="{00000000-0005-0000-0000-0000D40E0000}"/>
    <cellStyle name="Bad 3 2" xfId="837" xr:uid="{00000000-0005-0000-0000-0000D50E0000}"/>
    <cellStyle name="Bad 4" xfId="325" xr:uid="{00000000-0005-0000-0000-0000D60E0000}"/>
    <cellStyle name="Bad 5" xfId="326" xr:uid="{00000000-0005-0000-0000-0000D70E0000}"/>
    <cellStyle name="Bad 6" xfId="327" xr:uid="{00000000-0005-0000-0000-0000D80E0000}"/>
    <cellStyle name="Bad 7" xfId="328" xr:uid="{00000000-0005-0000-0000-0000D90E0000}"/>
    <cellStyle name="Bad 8" xfId="329" xr:uid="{00000000-0005-0000-0000-0000DA0E0000}"/>
    <cellStyle name="Bad 9" xfId="725" xr:uid="{00000000-0005-0000-0000-0000DB0E0000}"/>
    <cellStyle name="BegBal" xfId="1382" xr:uid="{00000000-0005-0000-0000-0000DC0E0000}"/>
    <cellStyle name="BIM" xfId="1383" xr:uid="{00000000-0005-0000-0000-0000DD0E0000}"/>
    <cellStyle name="Calculation" xfId="118" builtinId="22" customBuiltin="1"/>
    <cellStyle name="Calculation 2" xfId="39" xr:uid="{00000000-0005-0000-0000-0000DF0E0000}"/>
    <cellStyle name="Calculation 2 2" xfId="520" xr:uid="{00000000-0005-0000-0000-0000E00E0000}"/>
    <cellStyle name="Calculation 2 2 2" xfId="838" xr:uid="{00000000-0005-0000-0000-0000E10E0000}"/>
    <cellStyle name="Calculation 2 2 3" xfId="2335" xr:uid="{00000000-0005-0000-0000-0000E20E0000}"/>
    <cellStyle name="Calculation 2 2 3 10" xfId="14769" xr:uid="{00000000-0005-0000-0000-0000E30E0000}"/>
    <cellStyle name="Calculation 2 2 3 11" xfId="14710" xr:uid="{00000000-0005-0000-0000-0000E40E0000}"/>
    <cellStyle name="Calculation 2 2 3 2" xfId="6044" xr:uid="{00000000-0005-0000-0000-0000E50E0000}"/>
    <cellStyle name="Calculation 2 2 3 2 2" xfId="11140" xr:uid="{00000000-0005-0000-0000-0000E60E0000}"/>
    <cellStyle name="Calculation 2 2 3 2 2 2" xfId="15446" xr:uid="{00000000-0005-0000-0000-0000E70E0000}"/>
    <cellStyle name="Calculation 2 2 3 2 2 3" xfId="16525" xr:uid="{00000000-0005-0000-0000-0000E80E0000}"/>
    <cellStyle name="Calculation 2 2 3 2 2 4" xfId="17559" xr:uid="{00000000-0005-0000-0000-0000E90E0000}"/>
    <cellStyle name="Calculation 2 2 3 2 2 5" xfId="18529" xr:uid="{00000000-0005-0000-0000-0000EA0E0000}"/>
    <cellStyle name="Calculation 2 2 3 2 2 6" xfId="19435" xr:uid="{00000000-0005-0000-0000-0000EB0E0000}"/>
    <cellStyle name="Calculation 2 2 3 2 3" xfId="11722" xr:uid="{00000000-0005-0000-0000-0000EC0E0000}"/>
    <cellStyle name="Calculation 2 2 3 2 3 2" xfId="16028" xr:uid="{00000000-0005-0000-0000-0000ED0E0000}"/>
    <cellStyle name="Calculation 2 2 3 2 3 3" xfId="17107" xr:uid="{00000000-0005-0000-0000-0000EE0E0000}"/>
    <cellStyle name="Calculation 2 2 3 2 3 4" xfId="18129" xr:uid="{00000000-0005-0000-0000-0000EF0E0000}"/>
    <cellStyle name="Calculation 2 2 3 2 3 5" xfId="19099" xr:uid="{00000000-0005-0000-0000-0000F00E0000}"/>
    <cellStyle name="Calculation 2 2 3 2 3 6" xfId="20005" xr:uid="{00000000-0005-0000-0000-0000F10E0000}"/>
    <cellStyle name="Calculation 2 2 3 2 4" xfId="11894" xr:uid="{00000000-0005-0000-0000-0000F20E0000}"/>
    <cellStyle name="Calculation 2 2 3 2 4 2" xfId="16200" xr:uid="{00000000-0005-0000-0000-0000F30E0000}"/>
    <cellStyle name="Calculation 2 2 3 2 4 3" xfId="17279" xr:uid="{00000000-0005-0000-0000-0000F40E0000}"/>
    <cellStyle name="Calculation 2 2 3 2 4 4" xfId="18297" xr:uid="{00000000-0005-0000-0000-0000F50E0000}"/>
    <cellStyle name="Calculation 2 2 3 2 4 5" xfId="19267" xr:uid="{00000000-0005-0000-0000-0000F60E0000}"/>
    <cellStyle name="Calculation 2 2 3 2 4 6" xfId="20173" xr:uid="{00000000-0005-0000-0000-0000F70E0000}"/>
    <cellStyle name="Calculation 2 2 3 2 5" xfId="13777" xr:uid="{00000000-0005-0000-0000-0000F80E0000}"/>
    <cellStyle name="Calculation 2 2 3 2 6" xfId="15358" xr:uid="{00000000-0005-0000-0000-0000F90E0000}"/>
    <cellStyle name="Calculation 2 2 3 2 7" xfId="16439" xr:uid="{00000000-0005-0000-0000-0000FA0E0000}"/>
    <cellStyle name="Calculation 2 2 3 2 8" xfId="12908" xr:uid="{00000000-0005-0000-0000-0000FB0E0000}"/>
    <cellStyle name="Calculation 2 2 3 2 9" xfId="15088" xr:uid="{00000000-0005-0000-0000-0000FC0E0000}"/>
    <cellStyle name="Calculation 2 2 3 3" xfId="4787" xr:uid="{00000000-0005-0000-0000-0000FD0E0000}"/>
    <cellStyle name="Calculation 2 2 3 3 2" xfId="9883" xr:uid="{00000000-0005-0000-0000-0000FE0E0000}"/>
    <cellStyle name="Calculation 2 2 3 3 2 2" xfId="15038" xr:uid="{00000000-0005-0000-0000-0000FF0E0000}"/>
    <cellStyle name="Calculation 2 2 3 3 2 3" xfId="12280" xr:uid="{00000000-0005-0000-0000-0000000F0000}"/>
    <cellStyle name="Calculation 2 2 3 3 2 4" xfId="15335" xr:uid="{00000000-0005-0000-0000-0000010F0000}"/>
    <cellStyle name="Calculation 2 2 3 3 2 5" xfId="13396" xr:uid="{00000000-0005-0000-0000-0000020F0000}"/>
    <cellStyle name="Calculation 2 2 3 3 2 6" xfId="12417" xr:uid="{00000000-0005-0000-0000-0000030F0000}"/>
    <cellStyle name="Calculation 2 2 3 3 3" xfId="11564" xr:uid="{00000000-0005-0000-0000-0000040F0000}"/>
    <cellStyle name="Calculation 2 2 3 3 3 2" xfId="15870" xr:uid="{00000000-0005-0000-0000-0000050F0000}"/>
    <cellStyle name="Calculation 2 2 3 3 3 3" xfId="16949" xr:uid="{00000000-0005-0000-0000-0000060F0000}"/>
    <cellStyle name="Calculation 2 2 3 3 3 4" xfId="17973" xr:uid="{00000000-0005-0000-0000-0000070F0000}"/>
    <cellStyle name="Calculation 2 2 3 3 3 5" xfId="18943" xr:uid="{00000000-0005-0000-0000-0000080F0000}"/>
    <cellStyle name="Calculation 2 2 3 3 3 6" xfId="19849" xr:uid="{00000000-0005-0000-0000-0000090F0000}"/>
    <cellStyle name="Calculation 2 2 3 3 4" xfId="11245" xr:uid="{00000000-0005-0000-0000-00000A0F0000}"/>
    <cellStyle name="Calculation 2 2 3 3 4 2" xfId="15551" xr:uid="{00000000-0005-0000-0000-00000B0F0000}"/>
    <cellStyle name="Calculation 2 2 3 3 4 3" xfId="16630" xr:uid="{00000000-0005-0000-0000-00000C0F0000}"/>
    <cellStyle name="Calculation 2 2 3 3 4 4" xfId="17662" xr:uid="{00000000-0005-0000-0000-00000D0F0000}"/>
    <cellStyle name="Calculation 2 2 3 3 4 5" xfId="18632" xr:uid="{00000000-0005-0000-0000-00000E0F0000}"/>
    <cellStyle name="Calculation 2 2 3 3 4 6" xfId="19538" xr:uid="{00000000-0005-0000-0000-00000F0F0000}"/>
    <cellStyle name="Calculation 2 2 3 3 5" xfId="13367" xr:uid="{00000000-0005-0000-0000-0000100F0000}"/>
    <cellStyle name="Calculation 2 2 3 3 6" xfId="12423" xr:uid="{00000000-0005-0000-0000-0000110F0000}"/>
    <cellStyle name="Calculation 2 2 3 3 7" xfId="12239" xr:uid="{00000000-0005-0000-0000-0000120F0000}"/>
    <cellStyle name="Calculation 2 2 3 3 8" xfId="13038" xr:uid="{00000000-0005-0000-0000-0000130F0000}"/>
    <cellStyle name="Calculation 2 2 3 3 9" xfId="16451" xr:uid="{00000000-0005-0000-0000-0000140F0000}"/>
    <cellStyle name="Calculation 2 2 3 4" xfId="7444" xr:uid="{00000000-0005-0000-0000-0000150F0000}"/>
    <cellStyle name="Calculation 2 2 3 4 2" xfId="14319" xr:uid="{00000000-0005-0000-0000-0000160F0000}"/>
    <cellStyle name="Calculation 2 2 3 4 3" xfId="12318" xr:uid="{00000000-0005-0000-0000-0000170F0000}"/>
    <cellStyle name="Calculation 2 2 3 4 4" xfId="14647" xr:uid="{00000000-0005-0000-0000-0000180F0000}"/>
    <cellStyle name="Calculation 2 2 3 4 5" xfId="13324" xr:uid="{00000000-0005-0000-0000-0000190F0000}"/>
    <cellStyle name="Calculation 2 2 3 4 6" xfId="13359" xr:uid="{00000000-0005-0000-0000-00001A0F0000}"/>
    <cellStyle name="Calculation 2 2 3 5" xfId="11325" xr:uid="{00000000-0005-0000-0000-00001B0F0000}"/>
    <cellStyle name="Calculation 2 2 3 5 2" xfId="15631" xr:uid="{00000000-0005-0000-0000-00001C0F0000}"/>
    <cellStyle name="Calculation 2 2 3 5 3" xfId="16710" xr:uid="{00000000-0005-0000-0000-00001D0F0000}"/>
    <cellStyle name="Calculation 2 2 3 5 4" xfId="17739" xr:uid="{00000000-0005-0000-0000-00001E0F0000}"/>
    <cellStyle name="Calculation 2 2 3 5 5" xfId="18709" xr:uid="{00000000-0005-0000-0000-00001F0F0000}"/>
    <cellStyle name="Calculation 2 2 3 5 6" xfId="19615" xr:uid="{00000000-0005-0000-0000-0000200F0000}"/>
    <cellStyle name="Calculation 2 2 3 6" xfId="11634" xr:uid="{00000000-0005-0000-0000-0000210F0000}"/>
    <cellStyle name="Calculation 2 2 3 6 2" xfId="15940" xr:uid="{00000000-0005-0000-0000-0000220F0000}"/>
    <cellStyle name="Calculation 2 2 3 6 3" xfId="17019" xr:uid="{00000000-0005-0000-0000-0000230F0000}"/>
    <cellStyle name="Calculation 2 2 3 6 4" xfId="18043" xr:uid="{00000000-0005-0000-0000-0000240F0000}"/>
    <cellStyle name="Calculation 2 2 3 6 5" xfId="19013" xr:uid="{00000000-0005-0000-0000-0000250F0000}"/>
    <cellStyle name="Calculation 2 2 3 6 6" xfId="19919" xr:uid="{00000000-0005-0000-0000-0000260F0000}"/>
    <cellStyle name="Calculation 2 2 3 7" xfId="12616" xr:uid="{00000000-0005-0000-0000-0000270F0000}"/>
    <cellStyle name="Calculation 2 2 3 8" xfId="13293" xr:uid="{00000000-0005-0000-0000-0000280F0000}"/>
    <cellStyle name="Calculation 2 2 3 9" xfId="14181" xr:uid="{00000000-0005-0000-0000-0000290F0000}"/>
    <cellStyle name="Calculation 2 2 4" xfId="3604" xr:uid="{00000000-0005-0000-0000-00002A0F0000}"/>
    <cellStyle name="Calculation 2 2 4 2" xfId="8703" xr:uid="{00000000-0005-0000-0000-00002B0F0000}"/>
    <cellStyle name="Calculation 2 2 4 2 2" xfId="14704" xr:uid="{00000000-0005-0000-0000-00002C0F0000}"/>
    <cellStyle name="Calculation 2 2 4 2 3" xfId="15126" xr:uid="{00000000-0005-0000-0000-00002D0F0000}"/>
    <cellStyle name="Calculation 2 2 4 2 4" xfId="13980" xr:uid="{00000000-0005-0000-0000-00002E0F0000}"/>
    <cellStyle name="Calculation 2 2 4 2 5" xfId="14721" xr:uid="{00000000-0005-0000-0000-00002F0F0000}"/>
    <cellStyle name="Calculation 2 2 4 2 6" xfId="17398" xr:uid="{00000000-0005-0000-0000-0000300F0000}"/>
    <cellStyle name="Calculation 2 2 4 3" xfId="11469" xr:uid="{00000000-0005-0000-0000-0000310F0000}"/>
    <cellStyle name="Calculation 2 2 4 3 2" xfId="15775" xr:uid="{00000000-0005-0000-0000-0000320F0000}"/>
    <cellStyle name="Calculation 2 2 4 3 3" xfId="16854" xr:uid="{00000000-0005-0000-0000-0000330F0000}"/>
    <cellStyle name="Calculation 2 2 4 3 4" xfId="17881" xr:uid="{00000000-0005-0000-0000-0000340F0000}"/>
    <cellStyle name="Calculation 2 2 4 3 5" xfId="18851" xr:uid="{00000000-0005-0000-0000-0000350F0000}"/>
    <cellStyle name="Calculation 2 2 4 3 6" xfId="19757" xr:uid="{00000000-0005-0000-0000-0000360F0000}"/>
    <cellStyle name="Calculation 2 2 4 4" xfId="11252" xr:uid="{00000000-0005-0000-0000-0000370F0000}"/>
    <cellStyle name="Calculation 2 2 4 4 2" xfId="15558" xr:uid="{00000000-0005-0000-0000-0000380F0000}"/>
    <cellStyle name="Calculation 2 2 4 4 3" xfId="16637" xr:uid="{00000000-0005-0000-0000-0000390F0000}"/>
    <cellStyle name="Calculation 2 2 4 4 4" xfId="17669" xr:uid="{00000000-0005-0000-0000-00003A0F0000}"/>
    <cellStyle name="Calculation 2 2 4 4 5" xfId="18639" xr:uid="{00000000-0005-0000-0000-00003B0F0000}"/>
    <cellStyle name="Calculation 2 2 4 4 6" xfId="19545" xr:uid="{00000000-0005-0000-0000-00003C0F0000}"/>
    <cellStyle name="Calculation 2 2 4 5" xfId="13019" xr:uid="{00000000-0005-0000-0000-00003D0F0000}"/>
    <cellStyle name="Calculation 2 2 4 6" xfId="15065" xr:uid="{00000000-0005-0000-0000-00003E0F0000}"/>
    <cellStyle name="Calculation 2 2 4 7" xfId="12788" xr:uid="{00000000-0005-0000-0000-00003F0F0000}"/>
    <cellStyle name="Calculation 2 2 4 8" xfId="13086" xr:uid="{00000000-0005-0000-0000-0000400F0000}"/>
    <cellStyle name="Calculation 2 2 4 9" xfId="14609" xr:uid="{00000000-0005-0000-0000-0000410F0000}"/>
    <cellStyle name="Calculation 2 3" xfId="1004" xr:uid="{00000000-0005-0000-0000-0000420F0000}"/>
    <cellStyle name="Calculation 2 3 10" xfId="15219" xr:uid="{00000000-0005-0000-0000-0000430F0000}"/>
    <cellStyle name="Calculation 2 3 11" xfId="12558" xr:uid="{00000000-0005-0000-0000-0000440F0000}"/>
    <cellStyle name="Calculation 2 3 12" xfId="14577" xr:uid="{00000000-0005-0000-0000-0000450F0000}"/>
    <cellStyle name="Calculation 2 3 2" xfId="1096" xr:uid="{00000000-0005-0000-0000-0000460F0000}"/>
    <cellStyle name="Calculation 2 3 2 2" xfId="2686" xr:uid="{00000000-0005-0000-0000-0000470F0000}"/>
    <cellStyle name="Calculation 2 3 2 2 10" xfId="12454" xr:uid="{00000000-0005-0000-0000-0000480F0000}"/>
    <cellStyle name="Calculation 2 3 2 2 11" xfId="12519" xr:uid="{00000000-0005-0000-0000-0000490F0000}"/>
    <cellStyle name="Calculation 2 3 2 2 2" xfId="6086" xr:uid="{00000000-0005-0000-0000-00004A0F0000}"/>
    <cellStyle name="Calculation 2 3 2 2 2 2" xfId="11182" xr:uid="{00000000-0005-0000-0000-00004B0F0000}"/>
    <cellStyle name="Calculation 2 3 2 2 2 2 2" xfId="15488" xr:uid="{00000000-0005-0000-0000-00004C0F0000}"/>
    <cellStyle name="Calculation 2 3 2 2 2 2 3" xfId="16567" xr:uid="{00000000-0005-0000-0000-00004D0F0000}"/>
    <cellStyle name="Calculation 2 3 2 2 2 2 4" xfId="17601" xr:uid="{00000000-0005-0000-0000-00004E0F0000}"/>
    <cellStyle name="Calculation 2 3 2 2 2 2 5" xfId="18571" xr:uid="{00000000-0005-0000-0000-00004F0F0000}"/>
    <cellStyle name="Calculation 2 3 2 2 2 2 6" xfId="19477" xr:uid="{00000000-0005-0000-0000-0000500F0000}"/>
    <cellStyle name="Calculation 2 3 2 2 2 3" xfId="11764" xr:uid="{00000000-0005-0000-0000-0000510F0000}"/>
    <cellStyle name="Calculation 2 3 2 2 2 3 2" xfId="16070" xr:uid="{00000000-0005-0000-0000-0000520F0000}"/>
    <cellStyle name="Calculation 2 3 2 2 2 3 3" xfId="17149" xr:uid="{00000000-0005-0000-0000-0000530F0000}"/>
    <cellStyle name="Calculation 2 3 2 2 2 3 4" xfId="18171" xr:uid="{00000000-0005-0000-0000-0000540F0000}"/>
    <cellStyle name="Calculation 2 3 2 2 2 3 5" xfId="19141" xr:uid="{00000000-0005-0000-0000-0000550F0000}"/>
    <cellStyle name="Calculation 2 3 2 2 2 3 6" xfId="20047" xr:uid="{00000000-0005-0000-0000-0000560F0000}"/>
    <cellStyle name="Calculation 2 3 2 2 2 4" xfId="11936" xr:uid="{00000000-0005-0000-0000-0000570F0000}"/>
    <cellStyle name="Calculation 2 3 2 2 2 4 2" xfId="16242" xr:uid="{00000000-0005-0000-0000-0000580F0000}"/>
    <cellStyle name="Calculation 2 3 2 2 2 4 3" xfId="17321" xr:uid="{00000000-0005-0000-0000-0000590F0000}"/>
    <cellStyle name="Calculation 2 3 2 2 2 4 4" xfId="18339" xr:uid="{00000000-0005-0000-0000-00005A0F0000}"/>
    <cellStyle name="Calculation 2 3 2 2 2 4 5" xfId="19309" xr:uid="{00000000-0005-0000-0000-00005B0F0000}"/>
    <cellStyle name="Calculation 2 3 2 2 2 4 6" xfId="20215" xr:uid="{00000000-0005-0000-0000-00005C0F0000}"/>
    <cellStyle name="Calculation 2 3 2 2 2 5" xfId="13819" xr:uid="{00000000-0005-0000-0000-00005D0F0000}"/>
    <cellStyle name="Calculation 2 3 2 2 2 6" xfId="12856" xr:uid="{00000000-0005-0000-0000-00005E0F0000}"/>
    <cellStyle name="Calculation 2 3 2 2 2 7" xfId="14366" xr:uid="{00000000-0005-0000-0000-00005F0F0000}"/>
    <cellStyle name="Calculation 2 3 2 2 2 8" xfId="12998" xr:uid="{00000000-0005-0000-0000-0000600F0000}"/>
    <cellStyle name="Calculation 2 3 2 2 2 9" xfId="13255" xr:uid="{00000000-0005-0000-0000-0000610F0000}"/>
    <cellStyle name="Calculation 2 3 2 2 3" xfId="5094" xr:uid="{00000000-0005-0000-0000-0000620F0000}"/>
    <cellStyle name="Calculation 2 3 2 2 3 2" xfId="10190" xr:uid="{00000000-0005-0000-0000-0000630F0000}"/>
    <cellStyle name="Calculation 2 3 2 2 3 2 2" xfId="15128" xr:uid="{00000000-0005-0000-0000-0000640F0000}"/>
    <cellStyle name="Calculation 2 3 2 2 3 2 3" xfId="13083" xr:uid="{00000000-0005-0000-0000-0000650F0000}"/>
    <cellStyle name="Calculation 2 3 2 2 3 2 4" xfId="12455" xr:uid="{00000000-0005-0000-0000-0000660F0000}"/>
    <cellStyle name="Calculation 2 3 2 2 3 2 5" xfId="14154" xr:uid="{00000000-0005-0000-0000-0000670F0000}"/>
    <cellStyle name="Calculation 2 3 2 2 3 2 6" xfId="14987" xr:uid="{00000000-0005-0000-0000-0000680F0000}"/>
    <cellStyle name="Calculation 2 3 2 2 3 3" xfId="11572" xr:uid="{00000000-0005-0000-0000-0000690F0000}"/>
    <cellStyle name="Calculation 2 3 2 2 3 3 2" xfId="15878" xr:uid="{00000000-0005-0000-0000-00006A0F0000}"/>
    <cellStyle name="Calculation 2 3 2 2 3 3 3" xfId="16957" xr:uid="{00000000-0005-0000-0000-00006B0F0000}"/>
    <cellStyle name="Calculation 2 3 2 2 3 3 4" xfId="17981" xr:uid="{00000000-0005-0000-0000-00006C0F0000}"/>
    <cellStyle name="Calculation 2 3 2 2 3 3 5" xfId="18951" xr:uid="{00000000-0005-0000-0000-00006D0F0000}"/>
    <cellStyle name="Calculation 2 3 2 2 3 3 6" xfId="19857" xr:uid="{00000000-0005-0000-0000-00006E0F0000}"/>
    <cellStyle name="Calculation 2 3 2 2 3 4" xfId="11610" xr:uid="{00000000-0005-0000-0000-00006F0F0000}"/>
    <cellStyle name="Calculation 2 3 2 2 3 4 2" xfId="15916" xr:uid="{00000000-0005-0000-0000-0000700F0000}"/>
    <cellStyle name="Calculation 2 3 2 2 3 4 3" xfId="16995" xr:uid="{00000000-0005-0000-0000-0000710F0000}"/>
    <cellStyle name="Calculation 2 3 2 2 3 4 4" xfId="18019" xr:uid="{00000000-0005-0000-0000-0000720F0000}"/>
    <cellStyle name="Calculation 2 3 2 2 3 4 5" xfId="18989" xr:uid="{00000000-0005-0000-0000-0000730F0000}"/>
    <cellStyle name="Calculation 2 3 2 2 3 4 6" xfId="19895" xr:uid="{00000000-0005-0000-0000-0000740F0000}"/>
    <cellStyle name="Calculation 2 3 2 2 3 5" xfId="13448" xr:uid="{00000000-0005-0000-0000-0000750F0000}"/>
    <cellStyle name="Calculation 2 3 2 2 3 6" xfId="12599" xr:uid="{00000000-0005-0000-0000-0000760F0000}"/>
    <cellStyle name="Calculation 2 3 2 2 3 7" xfId="12503" xr:uid="{00000000-0005-0000-0000-0000770F0000}"/>
    <cellStyle name="Calculation 2 3 2 2 3 8" xfId="12029" xr:uid="{00000000-0005-0000-0000-0000780F0000}"/>
    <cellStyle name="Calculation 2 3 2 2 3 9" xfId="12026" xr:uid="{00000000-0005-0000-0000-0000790F0000}"/>
    <cellStyle name="Calculation 2 3 2 2 4" xfId="7789" xr:uid="{00000000-0005-0000-0000-00007A0F0000}"/>
    <cellStyle name="Calculation 2 3 2 2 4 2" xfId="14440" xr:uid="{00000000-0005-0000-0000-00007B0F0000}"/>
    <cellStyle name="Calculation 2 3 2 2 4 3" xfId="14086" xr:uid="{00000000-0005-0000-0000-00007C0F0000}"/>
    <cellStyle name="Calculation 2 3 2 2 4 4" xfId="12353" xr:uid="{00000000-0005-0000-0000-00007D0F0000}"/>
    <cellStyle name="Calculation 2 3 2 2 4 5" xfId="13641" xr:uid="{00000000-0005-0000-0000-00007E0F0000}"/>
    <cellStyle name="Calculation 2 3 2 2 4 6" xfId="15216" xr:uid="{00000000-0005-0000-0000-00007F0F0000}"/>
    <cellStyle name="Calculation 2 3 2 2 5" xfId="11372" xr:uid="{00000000-0005-0000-0000-0000800F0000}"/>
    <cellStyle name="Calculation 2 3 2 2 5 2" xfId="15678" xr:uid="{00000000-0005-0000-0000-0000810F0000}"/>
    <cellStyle name="Calculation 2 3 2 2 5 3" xfId="16757" xr:uid="{00000000-0005-0000-0000-0000820F0000}"/>
    <cellStyle name="Calculation 2 3 2 2 5 4" xfId="17786" xr:uid="{00000000-0005-0000-0000-0000830F0000}"/>
    <cellStyle name="Calculation 2 3 2 2 5 5" xfId="18756" xr:uid="{00000000-0005-0000-0000-0000840F0000}"/>
    <cellStyle name="Calculation 2 3 2 2 5 6" xfId="19662" xr:uid="{00000000-0005-0000-0000-0000850F0000}"/>
    <cellStyle name="Calculation 2 3 2 2 6" xfId="11533" xr:uid="{00000000-0005-0000-0000-0000860F0000}"/>
    <cellStyle name="Calculation 2 3 2 2 6 2" xfId="15839" xr:uid="{00000000-0005-0000-0000-0000870F0000}"/>
    <cellStyle name="Calculation 2 3 2 2 6 3" xfId="16918" xr:uid="{00000000-0005-0000-0000-0000880F0000}"/>
    <cellStyle name="Calculation 2 3 2 2 6 4" xfId="17943" xr:uid="{00000000-0005-0000-0000-0000890F0000}"/>
    <cellStyle name="Calculation 2 3 2 2 6 5" xfId="18913" xr:uid="{00000000-0005-0000-0000-00008A0F0000}"/>
    <cellStyle name="Calculation 2 3 2 2 6 6" xfId="19819" xr:uid="{00000000-0005-0000-0000-00008B0F0000}"/>
    <cellStyle name="Calculation 2 3 2 2 7" xfId="12743" xr:uid="{00000000-0005-0000-0000-00008C0F0000}"/>
    <cellStyle name="Calculation 2 3 2 2 8" xfId="15108" xr:uid="{00000000-0005-0000-0000-00008D0F0000}"/>
    <cellStyle name="Calculation 2 3 2 2 9" xfId="12787" xr:uid="{00000000-0005-0000-0000-00008E0F0000}"/>
    <cellStyle name="Calculation 2 3 2 3" xfId="3911" xr:uid="{00000000-0005-0000-0000-00008F0F0000}"/>
    <cellStyle name="Calculation 2 3 2 3 2" xfId="9010" xr:uid="{00000000-0005-0000-0000-0000900F0000}"/>
    <cellStyle name="Calculation 2 3 2 3 2 2" xfId="14788" xr:uid="{00000000-0005-0000-0000-0000910F0000}"/>
    <cellStyle name="Calculation 2 3 2 3 2 3" xfId="14744" xr:uid="{00000000-0005-0000-0000-0000920F0000}"/>
    <cellStyle name="Calculation 2 3 2 3 2 4" xfId="14844" xr:uid="{00000000-0005-0000-0000-0000930F0000}"/>
    <cellStyle name="Calculation 2 3 2 3 2 5" xfId="12418" xr:uid="{00000000-0005-0000-0000-0000940F0000}"/>
    <cellStyle name="Calculation 2 3 2 3 2 6" xfId="14627" xr:uid="{00000000-0005-0000-0000-0000950F0000}"/>
    <cellStyle name="Calculation 2 3 2 3 3" xfId="11478" xr:uid="{00000000-0005-0000-0000-0000960F0000}"/>
    <cellStyle name="Calculation 2 3 2 3 3 2" xfId="15784" xr:uid="{00000000-0005-0000-0000-0000970F0000}"/>
    <cellStyle name="Calculation 2 3 2 3 3 3" xfId="16863" xr:uid="{00000000-0005-0000-0000-0000980F0000}"/>
    <cellStyle name="Calculation 2 3 2 3 3 4" xfId="17889" xr:uid="{00000000-0005-0000-0000-0000990F0000}"/>
    <cellStyle name="Calculation 2 3 2 3 3 5" xfId="18859" xr:uid="{00000000-0005-0000-0000-00009A0F0000}"/>
    <cellStyle name="Calculation 2 3 2 3 3 6" xfId="19765" xr:uid="{00000000-0005-0000-0000-00009B0F0000}"/>
    <cellStyle name="Calculation 2 3 2 3 4" xfId="6172" xr:uid="{00000000-0005-0000-0000-00009C0F0000}"/>
    <cellStyle name="Calculation 2 3 2 3 4 2" xfId="13904" xr:uid="{00000000-0005-0000-0000-00009D0F0000}"/>
    <cellStyle name="Calculation 2 3 2 3 4 3" xfId="13538" xr:uid="{00000000-0005-0000-0000-00009E0F0000}"/>
    <cellStyle name="Calculation 2 3 2 3 4 4" xfId="13221" xr:uid="{00000000-0005-0000-0000-00009F0F0000}"/>
    <cellStyle name="Calculation 2 3 2 3 4 5" xfId="13963" xr:uid="{00000000-0005-0000-0000-0000A00F0000}"/>
    <cellStyle name="Calculation 2 3 2 3 4 6" xfId="16411" xr:uid="{00000000-0005-0000-0000-0000A10F0000}"/>
    <cellStyle name="Calculation 2 3 2 3 5" xfId="13100" xr:uid="{00000000-0005-0000-0000-0000A20F0000}"/>
    <cellStyle name="Calculation 2 3 2 3 6" xfId="15285" xr:uid="{00000000-0005-0000-0000-0000A30F0000}"/>
    <cellStyle name="Calculation 2 3 2 3 7" xfId="16381" xr:uid="{00000000-0005-0000-0000-0000A40F0000}"/>
    <cellStyle name="Calculation 2 3 2 3 8" xfId="12594" xr:uid="{00000000-0005-0000-0000-0000A50F0000}"/>
    <cellStyle name="Calculation 2 3 2 3 9" xfId="18431" xr:uid="{00000000-0005-0000-0000-0000A60F0000}"/>
    <cellStyle name="Calculation 2 3 3" xfId="2634" xr:uid="{00000000-0005-0000-0000-0000A70F0000}"/>
    <cellStyle name="Calculation 2 3 3 10" xfId="13924" xr:uid="{00000000-0005-0000-0000-0000A80F0000}"/>
    <cellStyle name="Calculation 2 3 3 2" xfId="6050" xr:uid="{00000000-0005-0000-0000-0000A90F0000}"/>
    <cellStyle name="Calculation 2 3 3 2 2" xfId="11146" xr:uid="{00000000-0005-0000-0000-0000AA0F0000}"/>
    <cellStyle name="Calculation 2 3 3 2 2 2" xfId="15452" xr:uid="{00000000-0005-0000-0000-0000AB0F0000}"/>
    <cellStyle name="Calculation 2 3 3 2 2 3" xfId="16531" xr:uid="{00000000-0005-0000-0000-0000AC0F0000}"/>
    <cellStyle name="Calculation 2 3 3 2 2 4" xfId="17565" xr:uid="{00000000-0005-0000-0000-0000AD0F0000}"/>
    <cellStyle name="Calculation 2 3 3 2 2 5" xfId="18535" xr:uid="{00000000-0005-0000-0000-0000AE0F0000}"/>
    <cellStyle name="Calculation 2 3 3 2 2 6" xfId="19441" xr:uid="{00000000-0005-0000-0000-0000AF0F0000}"/>
    <cellStyle name="Calculation 2 3 3 2 3" xfId="11728" xr:uid="{00000000-0005-0000-0000-0000B00F0000}"/>
    <cellStyle name="Calculation 2 3 3 2 3 2" xfId="16034" xr:uid="{00000000-0005-0000-0000-0000B10F0000}"/>
    <cellStyle name="Calculation 2 3 3 2 3 3" xfId="17113" xr:uid="{00000000-0005-0000-0000-0000B20F0000}"/>
    <cellStyle name="Calculation 2 3 3 2 3 4" xfId="18135" xr:uid="{00000000-0005-0000-0000-0000B30F0000}"/>
    <cellStyle name="Calculation 2 3 3 2 3 5" xfId="19105" xr:uid="{00000000-0005-0000-0000-0000B40F0000}"/>
    <cellStyle name="Calculation 2 3 3 2 3 6" xfId="20011" xr:uid="{00000000-0005-0000-0000-0000B50F0000}"/>
    <cellStyle name="Calculation 2 3 3 2 4" xfId="11900" xr:uid="{00000000-0005-0000-0000-0000B60F0000}"/>
    <cellStyle name="Calculation 2 3 3 2 4 2" xfId="16206" xr:uid="{00000000-0005-0000-0000-0000B70F0000}"/>
    <cellStyle name="Calculation 2 3 3 2 4 3" xfId="17285" xr:uid="{00000000-0005-0000-0000-0000B80F0000}"/>
    <cellStyle name="Calculation 2 3 3 2 4 4" xfId="18303" xr:uid="{00000000-0005-0000-0000-0000B90F0000}"/>
    <cellStyle name="Calculation 2 3 3 2 4 5" xfId="19273" xr:uid="{00000000-0005-0000-0000-0000BA0F0000}"/>
    <cellStyle name="Calculation 2 3 3 2 4 6" xfId="20179" xr:uid="{00000000-0005-0000-0000-0000BB0F0000}"/>
    <cellStyle name="Calculation 2 3 3 2 5" xfId="13783" xr:uid="{00000000-0005-0000-0000-0000BC0F0000}"/>
    <cellStyle name="Calculation 2 3 3 2 6" xfId="13349" xr:uid="{00000000-0005-0000-0000-0000BD0F0000}"/>
    <cellStyle name="Calculation 2 3 3 2 7" xfId="12883" xr:uid="{00000000-0005-0000-0000-0000BE0F0000}"/>
    <cellStyle name="Calculation 2 3 3 2 8" xfId="14957" xr:uid="{00000000-0005-0000-0000-0000BF0F0000}"/>
    <cellStyle name="Calculation 2 3 3 2 9" xfId="18456" xr:uid="{00000000-0005-0000-0000-0000C00F0000}"/>
    <cellStyle name="Calculation 2 3 3 3" xfId="7737" xr:uid="{00000000-0005-0000-0000-0000C10F0000}"/>
    <cellStyle name="Calculation 2 3 3 3 2" xfId="14403" xr:uid="{00000000-0005-0000-0000-0000C20F0000}"/>
    <cellStyle name="Calculation 2 3 3 3 3" xfId="14326" xr:uid="{00000000-0005-0000-0000-0000C30F0000}"/>
    <cellStyle name="Calculation 2 3 3 3 4" xfId="14096" xr:uid="{00000000-0005-0000-0000-0000C40F0000}"/>
    <cellStyle name="Calculation 2 3 3 3 5" xfId="14976" xr:uid="{00000000-0005-0000-0000-0000C50F0000}"/>
    <cellStyle name="Calculation 2 3 3 3 6" xfId="14942" xr:uid="{00000000-0005-0000-0000-0000C60F0000}"/>
    <cellStyle name="Calculation 2 3 3 4" xfId="11336" xr:uid="{00000000-0005-0000-0000-0000C70F0000}"/>
    <cellStyle name="Calculation 2 3 3 4 2" xfId="15642" xr:uid="{00000000-0005-0000-0000-0000C80F0000}"/>
    <cellStyle name="Calculation 2 3 3 4 3" xfId="16721" xr:uid="{00000000-0005-0000-0000-0000C90F0000}"/>
    <cellStyle name="Calculation 2 3 3 4 4" xfId="17750" xr:uid="{00000000-0005-0000-0000-0000CA0F0000}"/>
    <cellStyle name="Calculation 2 3 3 4 5" xfId="18720" xr:uid="{00000000-0005-0000-0000-0000CB0F0000}"/>
    <cellStyle name="Calculation 2 3 3 4 6" xfId="19626" xr:uid="{00000000-0005-0000-0000-0000CC0F0000}"/>
    <cellStyle name="Calculation 2 3 3 5" xfId="11445" xr:uid="{00000000-0005-0000-0000-0000CD0F0000}"/>
    <cellStyle name="Calculation 2 3 3 5 2" xfId="15751" xr:uid="{00000000-0005-0000-0000-0000CE0F0000}"/>
    <cellStyle name="Calculation 2 3 3 5 3" xfId="16830" xr:uid="{00000000-0005-0000-0000-0000CF0F0000}"/>
    <cellStyle name="Calculation 2 3 3 5 4" xfId="17858" xr:uid="{00000000-0005-0000-0000-0000D00F0000}"/>
    <cellStyle name="Calculation 2 3 3 5 5" xfId="18828" xr:uid="{00000000-0005-0000-0000-0000D10F0000}"/>
    <cellStyle name="Calculation 2 3 3 5 6" xfId="19734" xr:uid="{00000000-0005-0000-0000-0000D20F0000}"/>
    <cellStyle name="Calculation 2 3 3 6" xfId="12704" xr:uid="{00000000-0005-0000-0000-0000D30F0000}"/>
    <cellStyle name="Calculation 2 3 3 7" xfId="14621" xr:uid="{00000000-0005-0000-0000-0000D40F0000}"/>
    <cellStyle name="Calculation 2 3 3 8" xfId="14731" xr:uid="{00000000-0005-0000-0000-0000D50F0000}"/>
    <cellStyle name="Calculation 2 3 3 9" xfId="15356" xr:uid="{00000000-0005-0000-0000-0000D60F0000}"/>
    <cellStyle name="Calculation 2 3 4" xfId="5975" xr:uid="{00000000-0005-0000-0000-0000D70F0000}"/>
    <cellStyle name="Calculation 2 3 4 2" xfId="11071" xr:uid="{00000000-0005-0000-0000-0000D80F0000}"/>
    <cellStyle name="Calculation 2 3 4 2 2" xfId="15377" xr:uid="{00000000-0005-0000-0000-0000D90F0000}"/>
    <cellStyle name="Calculation 2 3 4 2 3" xfId="16456" xr:uid="{00000000-0005-0000-0000-0000DA0F0000}"/>
    <cellStyle name="Calculation 2 3 4 2 4" xfId="17491" xr:uid="{00000000-0005-0000-0000-0000DB0F0000}"/>
    <cellStyle name="Calculation 2 3 4 2 5" xfId="18461" xr:uid="{00000000-0005-0000-0000-0000DC0F0000}"/>
    <cellStyle name="Calculation 2 3 4 2 6" xfId="19367" xr:uid="{00000000-0005-0000-0000-0000DD0F0000}"/>
    <cellStyle name="Calculation 2 3 4 3" xfId="11653" xr:uid="{00000000-0005-0000-0000-0000DE0F0000}"/>
    <cellStyle name="Calculation 2 3 4 3 2" xfId="15959" xr:uid="{00000000-0005-0000-0000-0000DF0F0000}"/>
    <cellStyle name="Calculation 2 3 4 3 3" xfId="17038" xr:uid="{00000000-0005-0000-0000-0000E00F0000}"/>
    <cellStyle name="Calculation 2 3 4 3 4" xfId="18061" xr:uid="{00000000-0005-0000-0000-0000E10F0000}"/>
    <cellStyle name="Calculation 2 3 4 3 5" xfId="19031" xr:uid="{00000000-0005-0000-0000-0000E20F0000}"/>
    <cellStyle name="Calculation 2 3 4 3 6" xfId="19937" xr:uid="{00000000-0005-0000-0000-0000E30F0000}"/>
    <cellStyle name="Calculation 2 3 4 4" xfId="11825" xr:uid="{00000000-0005-0000-0000-0000E40F0000}"/>
    <cellStyle name="Calculation 2 3 4 4 2" xfId="16131" xr:uid="{00000000-0005-0000-0000-0000E50F0000}"/>
    <cellStyle name="Calculation 2 3 4 4 3" xfId="17210" xr:uid="{00000000-0005-0000-0000-0000E60F0000}"/>
    <cellStyle name="Calculation 2 3 4 4 4" xfId="18229" xr:uid="{00000000-0005-0000-0000-0000E70F0000}"/>
    <cellStyle name="Calculation 2 3 4 4 5" xfId="19199" xr:uid="{00000000-0005-0000-0000-0000E80F0000}"/>
    <cellStyle name="Calculation 2 3 4 4 6" xfId="20105" xr:uid="{00000000-0005-0000-0000-0000E90F0000}"/>
    <cellStyle name="Calculation 2 3 4 5" xfId="13708" xr:uid="{00000000-0005-0000-0000-0000EA0F0000}"/>
    <cellStyle name="Calculation 2 3 4 6" xfId="14558" xr:uid="{00000000-0005-0000-0000-0000EB0F0000}"/>
    <cellStyle name="Calculation 2 3 4 7" xfId="15084" xr:uid="{00000000-0005-0000-0000-0000EC0F0000}"/>
    <cellStyle name="Calculation 2 3 4 8" xfId="12679" xr:uid="{00000000-0005-0000-0000-0000ED0F0000}"/>
    <cellStyle name="Calculation 2 3 4 9" xfId="13325" xr:uid="{00000000-0005-0000-0000-0000EE0F0000}"/>
    <cellStyle name="Calculation 2 3 5" xfId="6481" xr:uid="{00000000-0005-0000-0000-0000EF0F0000}"/>
    <cellStyle name="Calculation 2 3 5 2" xfId="13994" xr:uid="{00000000-0005-0000-0000-0000F00F0000}"/>
    <cellStyle name="Calculation 2 3 5 3" xfId="13192" xr:uid="{00000000-0005-0000-0000-0000F10F0000}"/>
    <cellStyle name="Calculation 2 3 5 4" xfId="14939" xr:uid="{00000000-0005-0000-0000-0000F20F0000}"/>
    <cellStyle name="Calculation 2 3 5 5" xfId="14749" xr:uid="{00000000-0005-0000-0000-0000F30F0000}"/>
    <cellStyle name="Calculation 2 3 5 6" xfId="18409" xr:uid="{00000000-0005-0000-0000-0000F40F0000}"/>
    <cellStyle name="Calculation 2 3 6" xfId="6144" xr:uid="{00000000-0005-0000-0000-0000F50F0000}"/>
    <cellStyle name="Calculation 2 3 6 2" xfId="13877" xr:uid="{00000000-0005-0000-0000-0000F60F0000}"/>
    <cellStyle name="Calculation 2 3 6 3" xfId="14135" xr:uid="{00000000-0005-0000-0000-0000F70F0000}"/>
    <cellStyle name="Calculation 2 3 6 4" xfId="14864" xr:uid="{00000000-0005-0000-0000-0000F80F0000}"/>
    <cellStyle name="Calculation 2 3 6 5" xfId="14299" xr:uid="{00000000-0005-0000-0000-0000F90F0000}"/>
    <cellStyle name="Calculation 2 3 6 6" xfId="12527" xr:uid="{00000000-0005-0000-0000-0000FA0F0000}"/>
    <cellStyle name="Calculation 2 3 7" xfId="11308" xr:uid="{00000000-0005-0000-0000-0000FB0F0000}"/>
    <cellStyle name="Calculation 2 3 7 2" xfId="15614" xr:uid="{00000000-0005-0000-0000-0000FC0F0000}"/>
    <cellStyle name="Calculation 2 3 7 3" xfId="16693" xr:uid="{00000000-0005-0000-0000-0000FD0F0000}"/>
    <cellStyle name="Calculation 2 3 7 4" xfId="17722" xr:uid="{00000000-0005-0000-0000-0000FE0F0000}"/>
    <cellStyle name="Calculation 2 3 7 5" xfId="18692" xr:uid="{00000000-0005-0000-0000-0000FF0F0000}"/>
    <cellStyle name="Calculation 2 3 7 6" xfId="19598" xr:uid="{00000000-0005-0000-0000-000000100000}"/>
    <cellStyle name="Calculation 2 3 8" xfId="12196" xr:uid="{00000000-0005-0000-0000-000001100000}"/>
    <cellStyle name="Calculation 2 3 9" xfId="13920" xr:uid="{00000000-0005-0000-0000-000002100000}"/>
    <cellStyle name="Calculation 2 4" xfId="1384" xr:uid="{00000000-0005-0000-0000-000003100000}"/>
    <cellStyle name="Calculation 2 5" xfId="157" xr:uid="{00000000-0005-0000-0000-000004100000}"/>
    <cellStyle name="Calculation 3" xfId="330" xr:uid="{00000000-0005-0000-0000-000005100000}"/>
    <cellStyle name="Calculation 3 2" xfId="839" xr:uid="{00000000-0005-0000-0000-000006100000}"/>
    <cellStyle name="Calculation 3 3" xfId="1005" xr:uid="{00000000-0005-0000-0000-000007100000}"/>
    <cellStyle name="Calculation 3 3 10" xfId="13411" xr:uid="{00000000-0005-0000-0000-000008100000}"/>
    <cellStyle name="Calculation 3 3 11" xfId="14301" xr:uid="{00000000-0005-0000-0000-000009100000}"/>
    <cellStyle name="Calculation 3 3 12" xfId="12545" xr:uid="{00000000-0005-0000-0000-00000A100000}"/>
    <cellStyle name="Calculation 3 3 2" xfId="1097" xr:uid="{00000000-0005-0000-0000-00000B100000}"/>
    <cellStyle name="Calculation 3 3 2 2" xfId="2687" xr:uid="{00000000-0005-0000-0000-00000C100000}"/>
    <cellStyle name="Calculation 3 3 2 2 10" xfId="14926" xr:uid="{00000000-0005-0000-0000-00000D100000}"/>
    <cellStyle name="Calculation 3 3 2 2 11" xfId="15338" xr:uid="{00000000-0005-0000-0000-00000E100000}"/>
    <cellStyle name="Calculation 3 3 2 2 2" xfId="6087" xr:uid="{00000000-0005-0000-0000-00000F100000}"/>
    <cellStyle name="Calculation 3 3 2 2 2 2" xfId="11183" xr:uid="{00000000-0005-0000-0000-000010100000}"/>
    <cellStyle name="Calculation 3 3 2 2 2 2 2" xfId="15489" xr:uid="{00000000-0005-0000-0000-000011100000}"/>
    <cellStyle name="Calculation 3 3 2 2 2 2 3" xfId="16568" xr:uid="{00000000-0005-0000-0000-000012100000}"/>
    <cellStyle name="Calculation 3 3 2 2 2 2 4" xfId="17602" xr:uid="{00000000-0005-0000-0000-000013100000}"/>
    <cellStyle name="Calculation 3 3 2 2 2 2 5" xfId="18572" xr:uid="{00000000-0005-0000-0000-000014100000}"/>
    <cellStyle name="Calculation 3 3 2 2 2 2 6" xfId="19478" xr:uid="{00000000-0005-0000-0000-000015100000}"/>
    <cellStyle name="Calculation 3 3 2 2 2 3" xfId="11765" xr:uid="{00000000-0005-0000-0000-000016100000}"/>
    <cellStyle name="Calculation 3 3 2 2 2 3 2" xfId="16071" xr:uid="{00000000-0005-0000-0000-000017100000}"/>
    <cellStyle name="Calculation 3 3 2 2 2 3 3" xfId="17150" xr:uid="{00000000-0005-0000-0000-000018100000}"/>
    <cellStyle name="Calculation 3 3 2 2 2 3 4" xfId="18172" xr:uid="{00000000-0005-0000-0000-000019100000}"/>
    <cellStyle name="Calculation 3 3 2 2 2 3 5" xfId="19142" xr:uid="{00000000-0005-0000-0000-00001A100000}"/>
    <cellStyle name="Calculation 3 3 2 2 2 3 6" xfId="20048" xr:uid="{00000000-0005-0000-0000-00001B100000}"/>
    <cellStyle name="Calculation 3 3 2 2 2 4" xfId="11937" xr:uid="{00000000-0005-0000-0000-00001C100000}"/>
    <cellStyle name="Calculation 3 3 2 2 2 4 2" xfId="16243" xr:uid="{00000000-0005-0000-0000-00001D100000}"/>
    <cellStyle name="Calculation 3 3 2 2 2 4 3" xfId="17322" xr:uid="{00000000-0005-0000-0000-00001E100000}"/>
    <cellStyle name="Calculation 3 3 2 2 2 4 4" xfId="18340" xr:uid="{00000000-0005-0000-0000-00001F100000}"/>
    <cellStyle name="Calculation 3 3 2 2 2 4 5" xfId="19310" xr:uid="{00000000-0005-0000-0000-000020100000}"/>
    <cellStyle name="Calculation 3 3 2 2 2 4 6" xfId="20216" xr:uid="{00000000-0005-0000-0000-000021100000}"/>
    <cellStyle name="Calculation 3 3 2 2 2 5" xfId="13820" xr:uid="{00000000-0005-0000-0000-000022100000}"/>
    <cellStyle name="Calculation 3 3 2 2 2 6" xfId="12380" xr:uid="{00000000-0005-0000-0000-000023100000}"/>
    <cellStyle name="Calculation 3 3 2 2 2 7" xfId="13321" xr:uid="{00000000-0005-0000-0000-000024100000}"/>
    <cellStyle name="Calculation 3 3 2 2 2 8" xfId="17475" xr:uid="{00000000-0005-0000-0000-000025100000}"/>
    <cellStyle name="Calculation 3 3 2 2 2 9" xfId="13241" xr:uid="{00000000-0005-0000-0000-000026100000}"/>
    <cellStyle name="Calculation 3 3 2 2 3" xfId="5095" xr:uid="{00000000-0005-0000-0000-000027100000}"/>
    <cellStyle name="Calculation 3 3 2 2 3 2" xfId="10191" xr:uid="{00000000-0005-0000-0000-000028100000}"/>
    <cellStyle name="Calculation 3 3 2 2 3 2 2" xfId="15129" xr:uid="{00000000-0005-0000-0000-000029100000}"/>
    <cellStyle name="Calculation 3 3 2 2 3 2 3" xfId="14392" xr:uid="{00000000-0005-0000-0000-00002A100000}"/>
    <cellStyle name="Calculation 3 3 2 2 3 2 4" xfId="12315" xr:uid="{00000000-0005-0000-0000-00002B100000}"/>
    <cellStyle name="Calculation 3 3 2 2 3 2 5" xfId="12882" xr:uid="{00000000-0005-0000-0000-00002C100000}"/>
    <cellStyle name="Calculation 3 3 2 2 3 2 6" xfId="17482" xr:uid="{00000000-0005-0000-0000-00002D100000}"/>
    <cellStyle name="Calculation 3 3 2 2 3 3" xfId="11573" xr:uid="{00000000-0005-0000-0000-00002E100000}"/>
    <cellStyle name="Calculation 3 3 2 2 3 3 2" xfId="15879" xr:uid="{00000000-0005-0000-0000-00002F100000}"/>
    <cellStyle name="Calculation 3 3 2 2 3 3 3" xfId="16958" xr:uid="{00000000-0005-0000-0000-000030100000}"/>
    <cellStyle name="Calculation 3 3 2 2 3 3 4" xfId="17982" xr:uid="{00000000-0005-0000-0000-000031100000}"/>
    <cellStyle name="Calculation 3 3 2 2 3 3 5" xfId="18952" xr:uid="{00000000-0005-0000-0000-000032100000}"/>
    <cellStyle name="Calculation 3 3 2 2 3 3 6" xfId="19858" xr:uid="{00000000-0005-0000-0000-000033100000}"/>
    <cellStyle name="Calculation 3 3 2 2 3 4" xfId="11416" xr:uid="{00000000-0005-0000-0000-000034100000}"/>
    <cellStyle name="Calculation 3 3 2 2 3 4 2" xfId="15722" xr:uid="{00000000-0005-0000-0000-000035100000}"/>
    <cellStyle name="Calculation 3 3 2 2 3 4 3" xfId="16801" xr:uid="{00000000-0005-0000-0000-000036100000}"/>
    <cellStyle name="Calculation 3 3 2 2 3 4 4" xfId="17830" xr:uid="{00000000-0005-0000-0000-000037100000}"/>
    <cellStyle name="Calculation 3 3 2 2 3 4 5" xfId="18800" xr:uid="{00000000-0005-0000-0000-000038100000}"/>
    <cellStyle name="Calculation 3 3 2 2 3 4 6" xfId="19706" xr:uid="{00000000-0005-0000-0000-000039100000}"/>
    <cellStyle name="Calculation 3 3 2 2 3 5" xfId="13449" xr:uid="{00000000-0005-0000-0000-00003A100000}"/>
    <cellStyle name="Calculation 3 3 2 2 3 6" xfId="14284" xr:uid="{00000000-0005-0000-0000-00003B100000}"/>
    <cellStyle name="Calculation 3 3 2 2 3 7" xfId="13445" xr:uid="{00000000-0005-0000-0000-00003C100000}"/>
    <cellStyle name="Calculation 3 3 2 2 3 8" xfId="12000" xr:uid="{00000000-0005-0000-0000-00003D100000}"/>
    <cellStyle name="Calculation 3 3 2 2 3 9" xfId="17389" xr:uid="{00000000-0005-0000-0000-00003E100000}"/>
    <cellStyle name="Calculation 3 3 2 2 4" xfId="7790" xr:uid="{00000000-0005-0000-0000-00003F100000}"/>
    <cellStyle name="Calculation 3 3 2 2 4 2" xfId="14441" xr:uid="{00000000-0005-0000-0000-000040100000}"/>
    <cellStyle name="Calculation 3 3 2 2 4 3" xfId="14854" xr:uid="{00000000-0005-0000-0000-000041100000}"/>
    <cellStyle name="Calculation 3 3 2 2 4 4" xfId="13960" xr:uid="{00000000-0005-0000-0000-000042100000}"/>
    <cellStyle name="Calculation 3 3 2 2 4 5" xfId="13400" xr:uid="{00000000-0005-0000-0000-000043100000}"/>
    <cellStyle name="Calculation 3 3 2 2 4 6" xfId="13220" xr:uid="{00000000-0005-0000-0000-000044100000}"/>
    <cellStyle name="Calculation 3 3 2 2 5" xfId="11373" xr:uid="{00000000-0005-0000-0000-000045100000}"/>
    <cellStyle name="Calculation 3 3 2 2 5 2" xfId="15679" xr:uid="{00000000-0005-0000-0000-000046100000}"/>
    <cellStyle name="Calculation 3 3 2 2 5 3" xfId="16758" xr:uid="{00000000-0005-0000-0000-000047100000}"/>
    <cellStyle name="Calculation 3 3 2 2 5 4" xfId="17787" xr:uid="{00000000-0005-0000-0000-000048100000}"/>
    <cellStyle name="Calculation 3 3 2 2 5 5" xfId="18757" xr:uid="{00000000-0005-0000-0000-000049100000}"/>
    <cellStyle name="Calculation 3 3 2 2 5 6" xfId="19663" xr:uid="{00000000-0005-0000-0000-00004A100000}"/>
    <cellStyle name="Calculation 3 3 2 2 6" xfId="11624" xr:uid="{00000000-0005-0000-0000-00004B100000}"/>
    <cellStyle name="Calculation 3 3 2 2 6 2" xfId="15930" xr:uid="{00000000-0005-0000-0000-00004C100000}"/>
    <cellStyle name="Calculation 3 3 2 2 6 3" xfId="17009" xr:uid="{00000000-0005-0000-0000-00004D100000}"/>
    <cellStyle name="Calculation 3 3 2 2 6 4" xfId="18033" xr:uid="{00000000-0005-0000-0000-00004E100000}"/>
    <cellStyle name="Calculation 3 3 2 2 6 5" xfId="19003" xr:uid="{00000000-0005-0000-0000-00004F100000}"/>
    <cellStyle name="Calculation 3 3 2 2 6 6" xfId="19909" xr:uid="{00000000-0005-0000-0000-000050100000}"/>
    <cellStyle name="Calculation 3 3 2 2 7" xfId="12744" xr:uid="{00000000-0005-0000-0000-000051100000}"/>
    <cellStyle name="Calculation 3 3 2 2 8" xfId="13429" xr:uid="{00000000-0005-0000-0000-000052100000}"/>
    <cellStyle name="Calculation 3 3 2 2 9" xfId="14575" xr:uid="{00000000-0005-0000-0000-000053100000}"/>
    <cellStyle name="Calculation 3 3 2 3" xfId="3912" xr:uid="{00000000-0005-0000-0000-000054100000}"/>
    <cellStyle name="Calculation 3 3 2 3 2" xfId="9011" xr:uid="{00000000-0005-0000-0000-000055100000}"/>
    <cellStyle name="Calculation 3 3 2 3 2 2" xfId="14789" xr:uid="{00000000-0005-0000-0000-000056100000}"/>
    <cellStyle name="Calculation 3 3 2 3 2 3" xfId="13059" xr:uid="{00000000-0005-0000-0000-000057100000}"/>
    <cellStyle name="Calculation 3 3 2 3 2 4" xfId="14605" xr:uid="{00000000-0005-0000-0000-000058100000}"/>
    <cellStyle name="Calculation 3 3 2 3 2 5" xfId="12954" xr:uid="{00000000-0005-0000-0000-000059100000}"/>
    <cellStyle name="Calculation 3 3 2 3 2 6" xfId="13600" xr:uid="{00000000-0005-0000-0000-00005A100000}"/>
    <cellStyle name="Calculation 3 3 2 3 3" xfId="11479" xr:uid="{00000000-0005-0000-0000-00005B100000}"/>
    <cellStyle name="Calculation 3 3 2 3 3 2" xfId="15785" xr:uid="{00000000-0005-0000-0000-00005C100000}"/>
    <cellStyle name="Calculation 3 3 2 3 3 3" xfId="16864" xr:uid="{00000000-0005-0000-0000-00005D100000}"/>
    <cellStyle name="Calculation 3 3 2 3 3 4" xfId="17890" xr:uid="{00000000-0005-0000-0000-00005E100000}"/>
    <cellStyle name="Calculation 3 3 2 3 3 5" xfId="18860" xr:uid="{00000000-0005-0000-0000-00005F100000}"/>
    <cellStyle name="Calculation 3 3 2 3 3 6" xfId="19766" xr:uid="{00000000-0005-0000-0000-000060100000}"/>
    <cellStyle name="Calculation 3 3 2 3 4" xfId="6173" xr:uid="{00000000-0005-0000-0000-000061100000}"/>
    <cellStyle name="Calculation 3 3 2 3 4 2" xfId="13905" xr:uid="{00000000-0005-0000-0000-000062100000}"/>
    <cellStyle name="Calculation 3 3 2 3 4 3" xfId="12845" xr:uid="{00000000-0005-0000-0000-000063100000}"/>
    <cellStyle name="Calculation 3 3 2 3 4 4" xfId="12175" xr:uid="{00000000-0005-0000-0000-000064100000}"/>
    <cellStyle name="Calculation 3 3 2 3 4 5" xfId="16374" xr:uid="{00000000-0005-0000-0000-000065100000}"/>
    <cellStyle name="Calculation 3 3 2 3 4 6" xfId="14238" xr:uid="{00000000-0005-0000-0000-000066100000}"/>
    <cellStyle name="Calculation 3 3 2 3 5" xfId="13101" xr:uid="{00000000-0005-0000-0000-000067100000}"/>
    <cellStyle name="Calculation 3 3 2 3 6" xfId="13605" xr:uid="{00000000-0005-0000-0000-000068100000}"/>
    <cellStyle name="Calculation 3 3 2 3 7" xfId="12141" xr:uid="{00000000-0005-0000-0000-000069100000}"/>
    <cellStyle name="Calculation 3 3 2 3 8" xfId="15087" xr:uid="{00000000-0005-0000-0000-00006A100000}"/>
    <cellStyle name="Calculation 3 3 2 3 9" xfId="15241" xr:uid="{00000000-0005-0000-0000-00006B100000}"/>
    <cellStyle name="Calculation 3 3 3" xfId="2635" xr:uid="{00000000-0005-0000-0000-00006C100000}"/>
    <cellStyle name="Calculation 3 3 3 10" xfId="18438" xr:uid="{00000000-0005-0000-0000-00006D100000}"/>
    <cellStyle name="Calculation 3 3 3 2" xfId="6051" xr:uid="{00000000-0005-0000-0000-00006E100000}"/>
    <cellStyle name="Calculation 3 3 3 2 2" xfId="11147" xr:uid="{00000000-0005-0000-0000-00006F100000}"/>
    <cellStyle name="Calculation 3 3 3 2 2 2" xfId="15453" xr:uid="{00000000-0005-0000-0000-000070100000}"/>
    <cellStyle name="Calculation 3 3 3 2 2 3" xfId="16532" xr:uid="{00000000-0005-0000-0000-000071100000}"/>
    <cellStyle name="Calculation 3 3 3 2 2 4" xfId="17566" xr:uid="{00000000-0005-0000-0000-000072100000}"/>
    <cellStyle name="Calculation 3 3 3 2 2 5" xfId="18536" xr:uid="{00000000-0005-0000-0000-000073100000}"/>
    <cellStyle name="Calculation 3 3 3 2 2 6" xfId="19442" xr:uid="{00000000-0005-0000-0000-000074100000}"/>
    <cellStyle name="Calculation 3 3 3 2 3" xfId="11729" xr:uid="{00000000-0005-0000-0000-000075100000}"/>
    <cellStyle name="Calculation 3 3 3 2 3 2" xfId="16035" xr:uid="{00000000-0005-0000-0000-000076100000}"/>
    <cellStyle name="Calculation 3 3 3 2 3 3" xfId="17114" xr:uid="{00000000-0005-0000-0000-000077100000}"/>
    <cellStyle name="Calculation 3 3 3 2 3 4" xfId="18136" xr:uid="{00000000-0005-0000-0000-000078100000}"/>
    <cellStyle name="Calculation 3 3 3 2 3 5" xfId="19106" xr:uid="{00000000-0005-0000-0000-000079100000}"/>
    <cellStyle name="Calculation 3 3 3 2 3 6" xfId="20012" xr:uid="{00000000-0005-0000-0000-00007A100000}"/>
    <cellStyle name="Calculation 3 3 3 2 4" xfId="11901" xr:uid="{00000000-0005-0000-0000-00007B100000}"/>
    <cellStyle name="Calculation 3 3 3 2 4 2" xfId="16207" xr:uid="{00000000-0005-0000-0000-00007C100000}"/>
    <cellStyle name="Calculation 3 3 3 2 4 3" xfId="17286" xr:uid="{00000000-0005-0000-0000-00007D100000}"/>
    <cellStyle name="Calculation 3 3 3 2 4 4" xfId="18304" xr:uid="{00000000-0005-0000-0000-00007E100000}"/>
    <cellStyle name="Calculation 3 3 3 2 4 5" xfId="19274" xr:uid="{00000000-0005-0000-0000-00007F100000}"/>
    <cellStyle name="Calculation 3 3 3 2 4 6" xfId="20180" xr:uid="{00000000-0005-0000-0000-000080100000}"/>
    <cellStyle name="Calculation 3 3 3 2 5" xfId="13784" xr:uid="{00000000-0005-0000-0000-000081100000}"/>
    <cellStyle name="Calculation 3 3 3 2 6" xfId="14680" xr:uid="{00000000-0005-0000-0000-000082100000}"/>
    <cellStyle name="Calculation 3 3 3 2 7" xfId="13064" xr:uid="{00000000-0005-0000-0000-000083100000}"/>
    <cellStyle name="Calculation 3 3 3 2 8" xfId="15030" xr:uid="{00000000-0005-0000-0000-000084100000}"/>
    <cellStyle name="Calculation 3 3 3 2 9" xfId="15083" xr:uid="{00000000-0005-0000-0000-000085100000}"/>
    <cellStyle name="Calculation 3 3 3 3" xfId="7738" xr:uid="{00000000-0005-0000-0000-000086100000}"/>
    <cellStyle name="Calculation 3 3 3 3 2" xfId="14404" xr:uid="{00000000-0005-0000-0000-000087100000}"/>
    <cellStyle name="Calculation 3 3 3 3 3" xfId="15045" xr:uid="{00000000-0005-0000-0000-000088100000}"/>
    <cellStyle name="Calculation 3 3 3 3 4" xfId="14755" xr:uid="{00000000-0005-0000-0000-000089100000}"/>
    <cellStyle name="Calculation 3 3 3 3 5" xfId="17385" xr:uid="{00000000-0005-0000-0000-00008A100000}"/>
    <cellStyle name="Calculation 3 3 3 3 6" xfId="12992" xr:uid="{00000000-0005-0000-0000-00008B100000}"/>
    <cellStyle name="Calculation 3 3 3 4" xfId="11337" xr:uid="{00000000-0005-0000-0000-00008C100000}"/>
    <cellStyle name="Calculation 3 3 3 4 2" xfId="15643" xr:uid="{00000000-0005-0000-0000-00008D100000}"/>
    <cellStyle name="Calculation 3 3 3 4 3" xfId="16722" xr:uid="{00000000-0005-0000-0000-00008E100000}"/>
    <cellStyle name="Calculation 3 3 3 4 4" xfId="17751" xr:uid="{00000000-0005-0000-0000-00008F100000}"/>
    <cellStyle name="Calculation 3 3 3 4 5" xfId="18721" xr:uid="{00000000-0005-0000-0000-000090100000}"/>
    <cellStyle name="Calculation 3 3 3 4 6" xfId="19627" xr:uid="{00000000-0005-0000-0000-000091100000}"/>
    <cellStyle name="Calculation 3 3 3 5" xfId="11283" xr:uid="{00000000-0005-0000-0000-000092100000}"/>
    <cellStyle name="Calculation 3 3 3 5 2" xfId="15589" xr:uid="{00000000-0005-0000-0000-000093100000}"/>
    <cellStyle name="Calculation 3 3 3 5 3" xfId="16668" xr:uid="{00000000-0005-0000-0000-000094100000}"/>
    <cellStyle name="Calculation 3 3 3 5 4" xfId="17698" xr:uid="{00000000-0005-0000-0000-000095100000}"/>
    <cellStyle name="Calculation 3 3 3 5 5" xfId="18668" xr:uid="{00000000-0005-0000-0000-000096100000}"/>
    <cellStyle name="Calculation 3 3 3 5 6" xfId="19574" xr:uid="{00000000-0005-0000-0000-000097100000}"/>
    <cellStyle name="Calculation 3 3 3 6" xfId="12705" xr:uid="{00000000-0005-0000-0000-000098100000}"/>
    <cellStyle name="Calculation 3 3 3 7" xfId="15304" xr:uid="{00000000-0005-0000-0000-000099100000}"/>
    <cellStyle name="Calculation 3 3 3 8" xfId="16400" xr:uid="{00000000-0005-0000-0000-00009A100000}"/>
    <cellStyle name="Calculation 3 3 3 9" xfId="12818" xr:uid="{00000000-0005-0000-0000-00009B100000}"/>
    <cellStyle name="Calculation 3 3 4" xfId="5976" xr:uid="{00000000-0005-0000-0000-00009C100000}"/>
    <cellStyle name="Calculation 3 3 4 2" xfId="11072" xr:uid="{00000000-0005-0000-0000-00009D100000}"/>
    <cellStyle name="Calculation 3 3 4 2 2" xfId="15378" xr:uid="{00000000-0005-0000-0000-00009E100000}"/>
    <cellStyle name="Calculation 3 3 4 2 3" xfId="16457" xr:uid="{00000000-0005-0000-0000-00009F100000}"/>
    <cellStyle name="Calculation 3 3 4 2 4" xfId="17492" xr:uid="{00000000-0005-0000-0000-0000A0100000}"/>
    <cellStyle name="Calculation 3 3 4 2 5" xfId="18462" xr:uid="{00000000-0005-0000-0000-0000A1100000}"/>
    <cellStyle name="Calculation 3 3 4 2 6" xfId="19368" xr:uid="{00000000-0005-0000-0000-0000A2100000}"/>
    <cellStyle name="Calculation 3 3 4 3" xfId="11654" xr:uid="{00000000-0005-0000-0000-0000A3100000}"/>
    <cellStyle name="Calculation 3 3 4 3 2" xfId="15960" xr:uid="{00000000-0005-0000-0000-0000A4100000}"/>
    <cellStyle name="Calculation 3 3 4 3 3" xfId="17039" xr:uid="{00000000-0005-0000-0000-0000A5100000}"/>
    <cellStyle name="Calculation 3 3 4 3 4" xfId="18062" xr:uid="{00000000-0005-0000-0000-0000A6100000}"/>
    <cellStyle name="Calculation 3 3 4 3 5" xfId="19032" xr:uid="{00000000-0005-0000-0000-0000A7100000}"/>
    <cellStyle name="Calculation 3 3 4 3 6" xfId="19938" xr:uid="{00000000-0005-0000-0000-0000A8100000}"/>
    <cellStyle name="Calculation 3 3 4 4" xfId="11826" xr:uid="{00000000-0005-0000-0000-0000A9100000}"/>
    <cellStyle name="Calculation 3 3 4 4 2" xfId="16132" xr:uid="{00000000-0005-0000-0000-0000AA100000}"/>
    <cellStyle name="Calculation 3 3 4 4 3" xfId="17211" xr:uid="{00000000-0005-0000-0000-0000AB100000}"/>
    <cellStyle name="Calculation 3 3 4 4 4" xfId="18230" xr:uid="{00000000-0005-0000-0000-0000AC100000}"/>
    <cellStyle name="Calculation 3 3 4 4 5" xfId="19200" xr:uid="{00000000-0005-0000-0000-0000AD100000}"/>
    <cellStyle name="Calculation 3 3 4 4 6" xfId="20106" xr:uid="{00000000-0005-0000-0000-0000AE100000}"/>
    <cellStyle name="Calculation 3 3 4 5" xfId="13709" xr:uid="{00000000-0005-0000-0000-0000AF100000}"/>
    <cellStyle name="Calculation 3 3 4 6" xfId="15235" xr:uid="{00000000-0005-0000-0000-0000B0100000}"/>
    <cellStyle name="Calculation 3 3 4 7" xfId="16347" xr:uid="{00000000-0005-0000-0000-0000B1100000}"/>
    <cellStyle name="Calculation 3 3 4 8" xfId="14065" xr:uid="{00000000-0005-0000-0000-0000B2100000}"/>
    <cellStyle name="Calculation 3 3 4 9" xfId="18422" xr:uid="{00000000-0005-0000-0000-0000B3100000}"/>
    <cellStyle name="Calculation 3 3 5" xfId="6482" xr:uid="{00000000-0005-0000-0000-0000B4100000}"/>
    <cellStyle name="Calculation 3 3 5 2" xfId="13995" xr:uid="{00000000-0005-0000-0000-0000B5100000}"/>
    <cellStyle name="Calculation 3 3 5 3" xfId="14537" xr:uid="{00000000-0005-0000-0000-0000B6100000}"/>
    <cellStyle name="Calculation 3 3 5 4" xfId="14506" xr:uid="{00000000-0005-0000-0000-0000B7100000}"/>
    <cellStyle name="Calculation 3 3 5 5" xfId="15201" xr:uid="{00000000-0005-0000-0000-0000B8100000}"/>
    <cellStyle name="Calculation 3 3 5 6" xfId="12563" xr:uid="{00000000-0005-0000-0000-0000B9100000}"/>
    <cellStyle name="Calculation 3 3 6" xfId="6707" xr:uid="{00000000-0005-0000-0000-0000BA100000}"/>
    <cellStyle name="Calculation 3 3 6 2" xfId="14103" xr:uid="{00000000-0005-0000-0000-0000BB100000}"/>
    <cellStyle name="Calculation 3 3 6 3" xfId="13182" xr:uid="{00000000-0005-0000-0000-0000BC100000}"/>
    <cellStyle name="Calculation 3 3 6 4" xfId="12443" xr:uid="{00000000-0005-0000-0000-0000BD100000}"/>
    <cellStyle name="Calculation 3 3 6 5" xfId="14631" xr:uid="{00000000-0005-0000-0000-0000BE100000}"/>
    <cellStyle name="Calculation 3 3 6 6" xfId="18401" xr:uid="{00000000-0005-0000-0000-0000BF100000}"/>
    <cellStyle name="Calculation 3 3 7" xfId="11307" xr:uid="{00000000-0005-0000-0000-0000C0100000}"/>
    <cellStyle name="Calculation 3 3 7 2" xfId="15613" xr:uid="{00000000-0005-0000-0000-0000C1100000}"/>
    <cellStyle name="Calculation 3 3 7 3" xfId="16692" xr:uid="{00000000-0005-0000-0000-0000C2100000}"/>
    <cellStyle name="Calculation 3 3 7 4" xfId="17721" xr:uid="{00000000-0005-0000-0000-0000C3100000}"/>
    <cellStyle name="Calculation 3 3 7 5" xfId="18691" xr:uid="{00000000-0005-0000-0000-0000C4100000}"/>
    <cellStyle name="Calculation 3 3 7 6" xfId="19597" xr:uid="{00000000-0005-0000-0000-0000C5100000}"/>
    <cellStyle name="Calculation 3 3 8" xfId="12197" xr:uid="{00000000-0005-0000-0000-0000C6100000}"/>
    <cellStyle name="Calculation 3 3 9" xfId="14709" xr:uid="{00000000-0005-0000-0000-0000C7100000}"/>
    <cellStyle name="Calculation 4" xfId="331" xr:uid="{00000000-0005-0000-0000-0000C8100000}"/>
    <cellStyle name="Calculation 4 2" xfId="1006" xr:uid="{00000000-0005-0000-0000-0000C9100000}"/>
    <cellStyle name="Calculation 4 2 10" xfId="13385" xr:uid="{00000000-0005-0000-0000-0000CA100000}"/>
    <cellStyle name="Calculation 4 2 11" xfId="15268" xr:uid="{00000000-0005-0000-0000-0000CB100000}"/>
    <cellStyle name="Calculation 4 2 12" xfId="13388" xr:uid="{00000000-0005-0000-0000-0000CC100000}"/>
    <cellStyle name="Calculation 4 2 2" xfId="1098" xr:uid="{00000000-0005-0000-0000-0000CD100000}"/>
    <cellStyle name="Calculation 4 2 2 2" xfId="2688" xr:uid="{00000000-0005-0000-0000-0000CE100000}"/>
    <cellStyle name="Calculation 4 2 2 2 10" xfId="14758" xr:uid="{00000000-0005-0000-0000-0000CF100000}"/>
    <cellStyle name="Calculation 4 2 2 2 11" xfId="12444" xr:uid="{00000000-0005-0000-0000-0000D0100000}"/>
    <cellStyle name="Calculation 4 2 2 2 2" xfId="6088" xr:uid="{00000000-0005-0000-0000-0000D1100000}"/>
    <cellStyle name="Calculation 4 2 2 2 2 2" xfId="11184" xr:uid="{00000000-0005-0000-0000-0000D2100000}"/>
    <cellStyle name="Calculation 4 2 2 2 2 2 2" xfId="15490" xr:uid="{00000000-0005-0000-0000-0000D3100000}"/>
    <cellStyle name="Calculation 4 2 2 2 2 2 3" xfId="16569" xr:uid="{00000000-0005-0000-0000-0000D4100000}"/>
    <cellStyle name="Calculation 4 2 2 2 2 2 4" xfId="17603" xr:uid="{00000000-0005-0000-0000-0000D5100000}"/>
    <cellStyle name="Calculation 4 2 2 2 2 2 5" xfId="18573" xr:uid="{00000000-0005-0000-0000-0000D6100000}"/>
    <cellStyle name="Calculation 4 2 2 2 2 2 6" xfId="19479" xr:uid="{00000000-0005-0000-0000-0000D7100000}"/>
    <cellStyle name="Calculation 4 2 2 2 2 3" xfId="11766" xr:uid="{00000000-0005-0000-0000-0000D8100000}"/>
    <cellStyle name="Calculation 4 2 2 2 2 3 2" xfId="16072" xr:uid="{00000000-0005-0000-0000-0000D9100000}"/>
    <cellStyle name="Calculation 4 2 2 2 2 3 3" xfId="17151" xr:uid="{00000000-0005-0000-0000-0000DA100000}"/>
    <cellStyle name="Calculation 4 2 2 2 2 3 4" xfId="18173" xr:uid="{00000000-0005-0000-0000-0000DB100000}"/>
    <cellStyle name="Calculation 4 2 2 2 2 3 5" xfId="19143" xr:uid="{00000000-0005-0000-0000-0000DC100000}"/>
    <cellStyle name="Calculation 4 2 2 2 2 3 6" xfId="20049" xr:uid="{00000000-0005-0000-0000-0000DD100000}"/>
    <cellStyle name="Calculation 4 2 2 2 2 4" xfId="11938" xr:uid="{00000000-0005-0000-0000-0000DE100000}"/>
    <cellStyle name="Calculation 4 2 2 2 2 4 2" xfId="16244" xr:uid="{00000000-0005-0000-0000-0000DF100000}"/>
    <cellStyle name="Calculation 4 2 2 2 2 4 3" xfId="17323" xr:uid="{00000000-0005-0000-0000-0000E0100000}"/>
    <cellStyle name="Calculation 4 2 2 2 2 4 4" xfId="18341" xr:uid="{00000000-0005-0000-0000-0000E1100000}"/>
    <cellStyle name="Calculation 4 2 2 2 2 4 5" xfId="19311" xr:uid="{00000000-0005-0000-0000-0000E2100000}"/>
    <cellStyle name="Calculation 4 2 2 2 2 4 6" xfId="20217" xr:uid="{00000000-0005-0000-0000-0000E3100000}"/>
    <cellStyle name="Calculation 4 2 2 2 2 5" xfId="13821" xr:uid="{00000000-0005-0000-0000-0000E4100000}"/>
    <cellStyle name="Calculation 4 2 2 2 2 6" xfId="14145" xr:uid="{00000000-0005-0000-0000-0000E5100000}"/>
    <cellStyle name="Calculation 4 2 2 2 2 7" xfId="12021" xr:uid="{00000000-0005-0000-0000-0000E6100000}"/>
    <cellStyle name="Calculation 4 2 2 2 2 8" xfId="12250" xr:uid="{00000000-0005-0000-0000-0000E7100000}"/>
    <cellStyle name="Calculation 4 2 2 2 2 9" xfId="14250" xr:uid="{00000000-0005-0000-0000-0000E8100000}"/>
    <cellStyle name="Calculation 4 2 2 2 3" xfId="5096" xr:uid="{00000000-0005-0000-0000-0000E9100000}"/>
    <cellStyle name="Calculation 4 2 2 2 3 2" xfId="10192" xr:uid="{00000000-0005-0000-0000-0000EA100000}"/>
    <cellStyle name="Calculation 4 2 2 2 3 2 2" xfId="15130" xr:uid="{00000000-0005-0000-0000-0000EB100000}"/>
    <cellStyle name="Calculation 4 2 2 2 3 2 3" xfId="15109" xr:uid="{00000000-0005-0000-0000-0000EC100000}"/>
    <cellStyle name="Calculation 4 2 2 2 3 2 4" xfId="12698" xr:uid="{00000000-0005-0000-0000-0000ED100000}"/>
    <cellStyle name="Calculation 4 2 2 2 3 2 5" xfId="12813" xr:uid="{00000000-0005-0000-0000-0000EE100000}"/>
    <cellStyle name="Calculation 4 2 2 2 3 2 6" xfId="15089" xr:uid="{00000000-0005-0000-0000-0000EF100000}"/>
    <cellStyle name="Calculation 4 2 2 2 3 3" xfId="11574" xr:uid="{00000000-0005-0000-0000-0000F0100000}"/>
    <cellStyle name="Calculation 4 2 2 2 3 3 2" xfId="15880" xr:uid="{00000000-0005-0000-0000-0000F1100000}"/>
    <cellStyle name="Calculation 4 2 2 2 3 3 3" xfId="16959" xr:uid="{00000000-0005-0000-0000-0000F2100000}"/>
    <cellStyle name="Calculation 4 2 2 2 3 3 4" xfId="17983" xr:uid="{00000000-0005-0000-0000-0000F3100000}"/>
    <cellStyle name="Calculation 4 2 2 2 3 3 5" xfId="18953" xr:uid="{00000000-0005-0000-0000-0000F4100000}"/>
    <cellStyle name="Calculation 4 2 2 2 3 3 6" xfId="19859" xr:uid="{00000000-0005-0000-0000-0000F5100000}"/>
    <cellStyle name="Calculation 4 2 2 2 3 4" xfId="11244" xr:uid="{00000000-0005-0000-0000-0000F6100000}"/>
    <cellStyle name="Calculation 4 2 2 2 3 4 2" xfId="15550" xr:uid="{00000000-0005-0000-0000-0000F7100000}"/>
    <cellStyle name="Calculation 4 2 2 2 3 4 3" xfId="16629" xr:uid="{00000000-0005-0000-0000-0000F8100000}"/>
    <cellStyle name="Calculation 4 2 2 2 3 4 4" xfId="17661" xr:uid="{00000000-0005-0000-0000-0000F9100000}"/>
    <cellStyle name="Calculation 4 2 2 2 3 4 5" xfId="18631" xr:uid="{00000000-0005-0000-0000-0000FA100000}"/>
    <cellStyle name="Calculation 4 2 2 2 3 4 6" xfId="19537" xr:uid="{00000000-0005-0000-0000-0000FB100000}"/>
    <cellStyle name="Calculation 4 2 2 2 3 5" xfId="13450" xr:uid="{00000000-0005-0000-0000-0000FC100000}"/>
    <cellStyle name="Calculation 4 2 2 2 3 6" xfId="15017" xr:uid="{00000000-0005-0000-0000-0000FD100000}"/>
    <cellStyle name="Calculation 4 2 2 2 3 7" xfId="13034" xr:uid="{00000000-0005-0000-0000-0000FE100000}"/>
    <cellStyle name="Calculation 4 2 2 2 3 8" xfId="17471" xr:uid="{00000000-0005-0000-0000-0000FF100000}"/>
    <cellStyle name="Calculation 4 2 2 2 3 9" xfId="12010" xr:uid="{00000000-0005-0000-0000-000000110000}"/>
    <cellStyle name="Calculation 4 2 2 2 4" xfId="7791" xr:uid="{00000000-0005-0000-0000-000001110000}"/>
    <cellStyle name="Calculation 4 2 2 2 4 2" xfId="14442" xr:uid="{00000000-0005-0000-0000-000002110000}"/>
    <cellStyle name="Calculation 4 2 2 2 4 3" xfId="13167" xr:uid="{00000000-0005-0000-0000-000003110000}"/>
    <cellStyle name="Calculation 4 2 2 2 4 4" xfId="15277" xr:uid="{00000000-0005-0000-0000-000004110000}"/>
    <cellStyle name="Calculation 4 2 2 2 4 5" xfId="12300" xr:uid="{00000000-0005-0000-0000-000005110000}"/>
    <cellStyle name="Calculation 4 2 2 2 4 6" xfId="17387" xr:uid="{00000000-0005-0000-0000-000006110000}"/>
    <cellStyle name="Calculation 4 2 2 2 5" xfId="11374" xr:uid="{00000000-0005-0000-0000-000007110000}"/>
    <cellStyle name="Calculation 4 2 2 2 5 2" xfId="15680" xr:uid="{00000000-0005-0000-0000-000008110000}"/>
    <cellStyle name="Calculation 4 2 2 2 5 3" xfId="16759" xr:uid="{00000000-0005-0000-0000-000009110000}"/>
    <cellStyle name="Calculation 4 2 2 2 5 4" xfId="17788" xr:uid="{00000000-0005-0000-0000-00000A110000}"/>
    <cellStyle name="Calculation 4 2 2 2 5 5" xfId="18758" xr:uid="{00000000-0005-0000-0000-00000B110000}"/>
    <cellStyle name="Calculation 4 2 2 2 5 6" xfId="19664" xr:uid="{00000000-0005-0000-0000-00000C110000}"/>
    <cellStyle name="Calculation 4 2 2 2 6" xfId="11436" xr:uid="{00000000-0005-0000-0000-00000D110000}"/>
    <cellStyle name="Calculation 4 2 2 2 6 2" xfId="15742" xr:uid="{00000000-0005-0000-0000-00000E110000}"/>
    <cellStyle name="Calculation 4 2 2 2 6 3" xfId="16821" xr:uid="{00000000-0005-0000-0000-00000F110000}"/>
    <cellStyle name="Calculation 4 2 2 2 6 4" xfId="17849" xr:uid="{00000000-0005-0000-0000-000010110000}"/>
    <cellStyle name="Calculation 4 2 2 2 6 5" xfId="18819" xr:uid="{00000000-0005-0000-0000-000011110000}"/>
    <cellStyle name="Calculation 4 2 2 2 6 6" xfId="19725" xr:uid="{00000000-0005-0000-0000-000012110000}"/>
    <cellStyle name="Calculation 4 2 2 2 7" xfId="12745" xr:uid="{00000000-0005-0000-0000-000013110000}"/>
    <cellStyle name="Calculation 4 2 2 2 8" xfId="12688" xr:uid="{00000000-0005-0000-0000-000014110000}"/>
    <cellStyle name="Calculation 4 2 2 2 9" xfId="14216" xr:uid="{00000000-0005-0000-0000-000015110000}"/>
    <cellStyle name="Calculation 4 2 2 3" xfId="3913" xr:uid="{00000000-0005-0000-0000-000016110000}"/>
    <cellStyle name="Calculation 4 2 2 3 2" xfId="9012" xr:uid="{00000000-0005-0000-0000-000017110000}"/>
    <cellStyle name="Calculation 4 2 2 3 2 2" xfId="14790" xr:uid="{00000000-0005-0000-0000-000018110000}"/>
    <cellStyle name="Calculation 4 2 2 3 2 3" xfId="14354" xr:uid="{00000000-0005-0000-0000-000019110000}"/>
    <cellStyle name="Calculation 4 2 2 3 2 4" xfId="13171" xr:uid="{00000000-0005-0000-0000-00001A110000}"/>
    <cellStyle name="Calculation 4 2 2 3 2 5" xfId="13421" xr:uid="{00000000-0005-0000-0000-00001B110000}"/>
    <cellStyle name="Calculation 4 2 2 3 2 6" xfId="14830" xr:uid="{00000000-0005-0000-0000-00001C110000}"/>
    <cellStyle name="Calculation 4 2 2 3 3" xfId="11480" xr:uid="{00000000-0005-0000-0000-00001D110000}"/>
    <cellStyle name="Calculation 4 2 2 3 3 2" xfId="15786" xr:uid="{00000000-0005-0000-0000-00001E110000}"/>
    <cellStyle name="Calculation 4 2 2 3 3 3" xfId="16865" xr:uid="{00000000-0005-0000-0000-00001F110000}"/>
    <cellStyle name="Calculation 4 2 2 3 3 4" xfId="17891" xr:uid="{00000000-0005-0000-0000-000020110000}"/>
    <cellStyle name="Calculation 4 2 2 3 3 5" xfId="18861" xr:uid="{00000000-0005-0000-0000-000021110000}"/>
    <cellStyle name="Calculation 4 2 2 3 3 6" xfId="19767" xr:uid="{00000000-0005-0000-0000-000022110000}"/>
    <cellStyle name="Calculation 4 2 2 3 4" xfId="6174" xr:uid="{00000000-0005-0000-0000-000023110000}"/>
    <cellStyle name="Calculation 4 2 2 3 4 2" xfId="13906" xr:uid="{00000000-0005-0000-0000-000024110000}"/>
    <cellStyle name="Calculation 4 2 2 3 4 3" xfId="14137" xr:uid="{00000000-0005-0000-0000-000025110000}"/>
    <cellStyle name="Calculation 4 2 2 3 4 4" xfId="14524" xr:uid="{00000000-0005-0000-0000-000026110000}"/>
    <cellStyle name="Calculation 4 2 2 3 4 5" xfId="14571" xr:uid="{00000000-0005-0000-0000-000027110000}"/>
    <cellStyle name="Calculation 4 2 2 3 4 6" xfId="17393" xr:uid="{00000000-0005-0000-0000-000028110000}"/>
    <cellStyle name="Calculation 4 2 2 3 5" xfId="13102" xr:uid="{00000000-0005-0000-0000-000029110000}"/>
    <cellStyle name="Calculation 4 2 2 3 6" xfId="12903" xr:uid="{00000000-0005-0000-0000-00002A110000}"/>
    <cellStyle name="Calculation 4 2 2 3 7" xfId="15297" xr:uid="{00000000-0005-0000-0000-00002B110000}"/>
    <cellStyle name="Calculation 4 2 2 3 8" xfId="14064" xr:uid="{00000000-0005-0000-0000-00002C110000}"/>
    <cellStyle name="Calculation 4 2 2 3 9" xfId="13638" xr:uid="{00000000-0005-0000-0000-00002D110000}"/>
    <cellStyle name="Calculation 4 2 3" xfId="2636" xr:uid="{00000000-0005-0000-0000-00002E110000}"/>
    <cellStyle name="Calculation 4 2 3 10" xfId="13161" xr:uid="{00000000-0005-0000-0000-00002F110000}"/>
    <cellStyle name="Calculation 4 2 3 2" xfId="6052" xr:uid="{00000000-0005-0000-0000-000030110000}"/>
    <cellStyle name="Calculation 4 2 3 2 2" xfId="11148" xr:uid="{00000000-0005-0000-0000-000031110000}"/>
    <cellStyle name="Calculation 4 2 3 2 2 2" xfId="15454" xr:uid="{00000000-0005-0000-0000-000032110000}"/>
    <cellStyle name="Calculation 4 2 3 2 2 3" xfId="16533" xr:uid="{00000000-0005-0000-0000-000033110000}"/>
    <cellStyle name="Calculation 4 2 3 2 2 4" xfId="17567" xr:uid="{00000000-0005-0000-0000-000034110000}"/>
    <cellStyle name="Calculation 4 2 3 2 2 5" xfId="18537" xr:uid="{00000000-0005-0000-0000-000035110000}"/>
    <cellStyle name="Calculation 4 2 3 2 2 6" xfId="19443" xr:uid="{00000000-0005-0000-0000-000036110000}"/>
    <cellStyle name="Calculation 4 2 3 2 3" xfId="11730" xr:uid="{00000000-0005-0000-0000-000037110000}"/>
    <cellStyle name="Calculation 4 2 3 2 3 2" xfId="16036" xr:uid="{00000000-0005-0000-0000-000038110000}"/>
    <cellStyle name="Calculation 4 2 3 2 3 3" xfId="17115" xr:uid="{00000000-0005-0000-0000-000039110000}"/>
    <cellStyle name="Calculation 4 2 3 2 3 4" xfId="18137" xr:uid="{00000000-0005-0000-0000-00003A110000}"/>
    <cellStyle name="Calculation 4 2 3 2 3 5" xfId="19107" xr:uid="{00000000-0005-0000-0000-00003B110000}"/>
    <cellStyle name="Calculation 4 2 3 2 3 6" xfId="20013" xr:uid="{00000000-0005-0000-0000-00003C110000}"/>
    <cellStyle name="Calculation 4 2 3 2 4" xfId="11902" xr:uid="{00000000-0005-0000-0000-00003D110000}"/>
    <cellStyle name="Calculation 4 2 3 2 4 2" xfId="16208" xr:uid="{00000000-0005-0000-0000-00003E110000}"/>
    <cellStyle name="Calculation 4 2 3 2 4 3" xfId="17287" xr:uid="{00000000-0005-0000-0000-00003F110000}"/>
    <cellStyle name="Calculation 4 2 3 2 4 4" xfId="18305" xr:uid="{00000000-0005-0000-0000-000040110000}"/>
    <cellStyle name="Calculation 4 2 3 2 4 5" xfId="19275" xr:uid="{00000000-0005-0000-0000-000041110000}"/>
    <cellStyle name="Calculation 4 2 3 2 4 6" xfId="20181" xr:uid="{00000000-0005-0000-0000-000042110000}"/>
    <cellStyle name="Calculation 4 2 3 2 5" xfId="13785" xr:uid="{00000000-0005-0000-0000-000043110000}"/>
    <cellStyle name="Calculation 4 2 3 2 6" xfId="15361" xr:uid="{00000000-0005-0000-0000-000044110000}"/>
    <cellStyle name="Calculation 4 2 3 2 7" xfId="16442" xr:uid="{00000000-0005-0000-0000-000045110000}"/>
    <cellStyle name="Calculation 4 2 3 2 8" xfId="15054" xr:uid="{00000000-0005-0000-0000-000046110000}"/>
    <cellStyle name="Calculation 4 2 3 2 9" xfId="14236" xr:uid="{00000000-0005-0000-0000-000047110000}"/>
    <cellStyle name="Calculation 4 2 3 3" xfId="7739" xr:uid="{00000000-0005-0000-0000-000048110000}"/>
    <cellStyle name="Calculation 4 2 3 3 2" xfId="14405" xr:uid="{00000000-0005-0000-0000-000049110000}"/>
    <cellStyle name="Calculation 4 2 3 3 3" xfId="13372" xr:uid="{00000000-0005-0000-0000-00004A110000}"/>
    <cellStyle name="Calculation 4 2 3 3 4" xfId="14583" xr:uid="{00000000-0005-0000-0000-00004B110000}"/>
    <cellStyle name="Calculation 4 2 3 3 5" xfId="16356" xr:uid="{00000000-0005-0000-0000-00004C110000}"/>
    <cellStyle name="Calculation 4 2 3 3 6" xfId="17439" xr:uid="{00000000-0005-0000-0000-00004D110000}"/>
    <cellStyle name="Calculation 4 2 3 4" xfId="11338" xr:uid="{00000000-0005-0000-0000-00004E110000}"/>
    <cellStyle name="Calculation 4 2 3 4 2" xfId="15644" xr:uid="{00000000-0005-0000-0000-00004F110000}"/>
    <cellStyle name="Calculation 4 2 3 4 3" xfId="16723" xr:uid="{00000000-0005-0000-0000-000050110000}"/>
    <cellStyle name="Calculation 4 2 3 4 4" xfId="17752" xr:uid="{00000000-0005-0000-0000-000051110000}"/>
    <cellStyle name="Calculation 4 2 3 4 5" xfId="18722" xr:uid="{00000000-0005-0000-0000-000052110000}"/>
    <cellStyle name="Calculation 4 2 3 4 6" xfId="19628" xr:uid="{00000000-0005-0000-0000-000053110000}"/>
    <cellStyle name="Calculation 4 2 3 5" xfId="11282" xr:uid="{00000000-0005-0000-0000-000054110000}"/>
    <cellStyle name="Calculation 4 2 3 5 2" xfId="15588" xr:uid="{00000000-0005-0000-0000-000055110000}"/>
    <cellStyle name="Calculation 4 2 3 5 3" xfId="16667" xr:uid="{00000000-0005-0000-0000-000056110000}"/>
    <cellStyle name="Calculation 4 2 3 5 4" xfId="17697" xr:uid="{00000000-0005-0000-0000-000057110000}"/>
    <cellStyle name="Calculation 4 2 3 5 5" xfId="18667" xr:uid="{00000000-0005-0000-0000-000058110000}"/>
    <cellStyle name="Calculation 4 2 3 5 6" xfId="19573" xr:uid="{00000000-0005-0000-0000-000059110000}"/>
    <cellStyle name="Calculation 4 2 3 6" xfId="12706" xr:uid="{00000000-0005-0000-0000-00005A110000}"/>
    <cellStyle name="Calculation 4 2 3 7" xfId="13633" xr:uid="{00000000-0005-0000-0000-00005B110000}"/>
    <cellStyle name="Calculation 4 2 3 8" xfId="14693" xr:uid="{00000000-0005-0000-0000-00005C110000}"/>
    <cellStyle name="Calculation 4 2 3 9" xfId="14722" xr:uid="{00000000-0005-0000-0000-00005D110000}"/>
    <cellStyle name="Calculation 4 2 4" xfId="5977" xr:uid="{00000000-0005-0000-0000-00005E110000}"/>
    <cellStyle name="Calculation 4 2 4 2" xfId="11073" xr:uid="{00000000-0005-0000-0000-00005F110000}"/>
    <cellStyle name="Calculation 4 2 4 2 2" xfId="15379" xr:uid="{00000000-0005-0000-0000-000060110000}"/>
    <cellStyle name="Calculation 4 2 4 2 3" xfId="16458" xr:uid="{00000000-0005-0000-0000-000061110000}"/>
    <cellStyle name="Calculation 4 2 4 2 4" xfId="17493" xr:uid="{00000000-0005-0000-0000-000062110000}"/>
    <cellStyle name="Calculation 4 2 4 2 5" xfId="18463" xr:uid="{00000000-0005-0000-0000-000063110000}"/>
    <cellStyle name="Calculation 4 2 4 2 6" xfId="19369" xr:uid="{00000000-0005-0000-0000-000064110000}"/>
    <cellStyle name="Calculation 4 2 4 3" xfId="11655" xr:uid="{00000000-0005-0000-0000-000065110000}"/>
    <cellStyle name="Calculation 4 2 4 3 2" xfId="15961" xr:uid="{00000000-0005-0000-0000-000066110000}"/>
    <cellStyle name="Calculation 4 2 4 3 3" xfId="17040" xr:uid="{00000000-0005-0000-0000-000067110000}"/>
    <cellStyle name="Calculation 4 2 4 3 4" xfId="18063" xr:uid="{00000000-0005-0000-0000-000068110000}"/>
    <cellStyle name="Calculation 4 2 4 3 5" xfId="19033" xr:uid="{00000000-0005-0000-0000-000069110000}"/>
    <cellStyle name="Calculation 4 2 4 3 6" xfId="19939" xr:uid="{00000000-0005-0000-0000-00006A110000}"/>
    <cellStyle name="Calculation 4 2 4 4" xfId="11827" xr:uid="{00000000-0005-0000-0000-00006B110000}"/>
    <cellStyle name="Calculation 4 2 4 4 2" xfId="16133" xr:uid="{00000000-0005-0000-0000-00006C110000}"/>
    <cellStyle name="Calculation 4 2 4 4 3" xfId="17212" xr:uid="{00000000-0005-0000-0000-00006D110000}"/>
    <cellStyle name="Calculation 4 2 4 4 4" xfId="18231" xr:uid="{00000000-0005-0000-0000-00006E110000}"/>
    <cellStyle name="Calculation 4 2 4 4 5" xfId="19201" xr:uid="{00000000-0005-0000-0000-00006F110000}"/>
    <cellStyle name="Calculation 4 2 4 4 6" xfId="20107" xr:uid="{00000000-0005-0000-0000-000070110000}"/>
    <cellStyle name="Calculation 4 2 4 5" xfId="13710" xr:uid="{00000000-0005-0000-0000-000071110000}"/>
    <cellStyle name="Calculation 4 2 4 6" xfId="13553" xr:uid="{00000000-0005-0000-0000-000072110000}"/>
    <cellStyle name="Calculation 4 2 4 7" xfId="14568" xr:uid="{00000000-0005-0000-0000-000073110000}"/>
    <cellStyle name="Calculation 4 2 4 8" xfId="155" xr:uid="{00000000-0005-0000-0000-000074110000}"/>
    <cellStyle name="Calculation 4 2 4 9" xfId="17425" xr:uid="{00000000-0005-0000-0000-000075110000}"/>
    <cellStyle name="Calculation 4 2 5" xfId="6483" xr:uid="{00000000-0005-0000-0000-000076110000}"/>
    <cellStyle name="Calculation 4 2 5 2" xfId="13996" xr:uid="{00000000-0005-0000-0000-000077110000}"/>
    <cellStyle name="Calculation 4 2 5 3" xfId="15210" xr:uid="{00000000-0005-0000-0000-000078110000}"/>
    <cellStyle name="Calculation 4 2 5 4" xfId="16326" xr:uid="{00000000-0005-0000-0000-000079110000}"/>
    <cellStyle name="Calculation 4 2 5 5" xfId="12359" xr:uid="{00000000-0005-0000-0000-00007A110000}"/>
    <cellStyle name="Calculation 4 2 5 6" xfId="12494" xr:uid="{00000000-0005-0000-0000-00007B110000}"/>
    <cellStyle name="Calculation 4 2 6" xfId="6165" xr:uid="{00000000-0005-0000-0000-00007C110000}"/>
    <cellStyle name="Calculation 4 2 6 2" xfId="13897" xr:uid="{00000000-0005-0000-0000-00007D110000}"/>
    <cellStyle name="Calculation 4 2 6 3" xfId="12847" xr:uid="{00000000-0005-0000-0000-00007E110000}"/>
    <cellStyle name="Calculation 4 2 6 4" xfId="12191" xr:uid="{00000000-0005-0000-0000-00007F110000}"/>
    <cellStyle name="Calculation 4 2 6 5" xfId="17410" xr:uid="{00000000-0005-0000-0000-000080110000}"/>
    <cellStyle name="Calculation 4 2 6 6" xfId="13696" xr:uid="{00000000-0005-0000-0000-000081110000}"/>
    <cellStyle name="Calculation 4 2 7" xfId="11306" xr:uid="{00000000-0005-0000-0000-000082110000}"/>
    <cellStyle name="Calculation 4 2 7 2" xfId="15612" xr:uid="{00000000-0005-0000-0000-000083110000}"/>
    <cellStyle name="Calculation 4 2 7 3" xfId="16691" xr:uid="{00000000-0005-0000-0000-000084110000}"/>
    <cellStyle name="Calculation 4 2 7 4" xfId="17720" xr:uid="{00000000-0005-0000-0000-000085110000}"/>
    <cellStyle name="Calculation 4 2 7 5" xfId="18690" xr:uid="{00000000-0005-0000-0000-000086110000}"/>
    <cellStyle name="Calculation 4 2 7 6" xfId="19596" xr:uid="{00000000-0005-0000-0000-000087110000}"/>
    <cellStyle name="Calculation 4 2 8" xfId="12198" xr:uid="{00000000-0005-0000-0000-000088110000}"/>
    <cellStyle name="Calculation 4 2 9" xfId="13025" xr:uid="{00000000-0005-0000-0000-000089110000}"/>
    <cellStyle name="Calculation 5" xfId="332" xr:uid="{00000000-0005-0000-0000-00008A110000}"/>
    <cellStyle name="Calculation 5 2" xfId="1007" xr:uid="{00000000-0005-0000-0000-00008B110000}"/>
    <cellStyle name="Calculation 5 2 10" xfId="12004" xr:uid="{00000000-0005-0000-0000-00008C110000}"/>
    <cellStyle name="Calculation 5 2 11" xfId="12646" xr:uid="{00000000-0005-0000-0000-00008D110000}"/>
    <cellStyle name="Calculation 5 2 12" xfId="16401" xr:uid="{00000000-0005-0000-0000-00008E110000}"/>
    <cellStyle name="Calculation 5 2 2" xfId="1099" xr:uid="{00000000-0005-0000-0000-00008F110000}"/>
    <cellStyle name="Calculation 5 2 2 2" xfId="2689" xr:uid="{00000000-0005-0000-0000-000090110000}"/>
    <cellStyle name="Calculation 5 2 2 2 10" xfId="12249" xr:uid="{00000000-0005-0000-0000-000091110000}"/>
    <cellStyle name="Calculation 5 2 2 2 11" xfId="12053" xr:uid="{00000000-0005-0000-0000-000092110000}"/>
    <cellStyle name="Calculation 5 2 2 2 2" xfId="6089" xr:uid="{00000000-0005-0000-0000-000093110000}"/>
    <cellStyle name="Calculation 5 2 2 2 2 2" xfId="11185" xr:uid="{00000000-0005-0000-0000-000094110000}"/>
    <cellStyle name="Calculation 5 2 2 2 2 2 2" xfId="15491" xr:uid="{00000000-0005-0000-0000-000095110000}"/>
    <cellStyle name="Calculation 5 2 2 2 2 2 3" xfId="16570" xr:uid="{00000000-0005-0000-0000-000096110000}"/>
    <cellStyle name="Calculation 5 2 2 2 2 2 4" xfId="17604" xr:uid="{00000000-0005-0000-0000-000097110000}"/>
    <cellStyle name="Calculation 5 2 2 2 2 2 5" xfId="18574" xr:uid="{00000000-0005-0000-0000-000098110000}"/>
    <cellStyle name="Calculation 5 2 2 2 2 2 6" xfId="19480" xr:uid="{00000000-0005-0000-0000-000099110000}"/>
    <cellStyle name="Calculation 5 2 2 2 2 3" xfId="11767" xr:uid="{00000000-0005-0000-0000-00009A110000}"/>
    <cellStyle name="Calculation 5 2 2 2 2 3 2" xfId="16073" xr:uid="{00000000-0005-0000-0000-00009B110000}"/>
    <cellStyle name="Calculation 5 2 2 2 2 3 3" xfId="17152" xr:uid="{00000000-0005-0000-0000-00009C110000}"/>
    <cellStyle name="Calculation 5 2 2 2 2 3 4" xfId="18174" xr:uid="{00000000-0005-0000-0000-00009D110000}"/>
    <cellStyle name="Calculation 5 2 2 2 2 3 5" xfId="19144" xr:uid="{00000000-0005-0000-0000-00009E110000}"/>
    <cellStyle name="Calculation 5 2 2 2 2 3 6" xfId="20050" xr:uid="{00000000-0005-0000-0000-00009F110000}"/>
    <cellStyle name="Calculation 5 2 2 2 2 4" xfId="11939" xr:uid="{00000000-0005-0000-0000-0000A0110000}"/>
    <cellStyle name="Calculation 5 2 2 2 2 4 2" xfId="16245" xr:uid="{00000000-0005-0000-0000-0000A1110000}"/>
    <cellStyle name="Calculation 5 2 2 2 2 4 3" xfId="17324" xr:uid="{00000000-0005-0000-0000-0000A2110000}"/>
    <cellStyle name="Calculation 5 2 2 2 2 4 4" xfId="18342" xr:uid="{00000000-0005-0000-0000-0000A3110000}"/>
    <cellStyle name="Calculation 5 2 2 2 2 4 5" xfId="19312" xr:uid="{00000000-0005-0000-0000-0000A4110000}"/>
    <cellStyle name="Calculation 5 2 2 2 2 4 6" xfId="20218" xr:uid="{00000000-0005-0000-0000-0000A5110000}"/>
    <cellStyle name="Calculation 5 2 2 2 2 5" xfId="13822" xr:uid="{00000000-0005-0000-0000-0000A6110000}"/>
    <cellStyle name="Calculation 5 2 2 2 2 6" xfId="14898" xr:uid="{00000000-0005-0000-0000-0000A7110000}"/>
    <cellStyle name="Calculation 5 2 2 2 2 7" xfId="15046" xr:uid="{00000000-0005-0000-0000-0000A8110000}"/>
    <cellStyle name="Calculation 5 2 2 2 2 8" xfId="14962" xr:uid="{00000000-0005-0000-0000-0000A9110000}"/>
    <cellStyle name="Calculation 5 2 2 2 2 9" xfId="13559" xr:uid="{00000000-0005-0000-0000-0000AA110000}"/>
    <cellStyle name="Calculation 5 2 2 2 3" xfId="5097" xr:uid="{00000000-0005-0000-0000-0000AB110000}"/>
    <cellStyle name="Calculation 5 2 2 2 3 2" xfId="10193" xr:uid="{00000000-0005-0000-0000-0000AC110000}"/>
    <cellStyle name="Calculation 5 2 2 2 3 2 2" xfId="15131" xr:uid="{00000000-0005-0000-0000-0000AD110000}"/>
    <cellStyle name="Calculation 5 2 2 2 3 2 3" xfId="13430" xr:uid="{00000000-0005-0000-0000-0000AE110000}"/>
    <cellStyle name="Calculation 5 2 2 2 3 2 4" xfId="15254" xr:uid="{00000000-0005-0000-0000-0000AF110000}"/>
    <cellStyle name="Calculation 5 2 2 2 3 2 5" xfId="1152" xr:uid="{00000000-0005-0000-0000-0000B0110000}"/>
    <cellStyle name="Calculation 5 2 2 2 3 2 6" xfId="13495" xr:uid="{00000000-0005-0000-0000-0000B1110000}"/>
    <cellStyle name="Calculation 5 2 2 2 3 3" xfId="11575" xr:uid="{00000000-0005-0000-0000-0000B2110000}"/>
    <cellStyle name="Calculation 5 2 2 2 3 3 2" xfId="15881" xr:uid="{00000000-0005-0000-0000-0000B3110000}"/>
    <cellStyle name="Calculation 5 2 2 2 3 3 3" xfId="16960" xr:uid="{00000000-0005-0000-0000-0000B4110000}"/>
    <cellStyle name="Calculation 5 2 2 2 3 3 4" xfId="17984" xr:uid="{00000000-0005-0000-0000-0000B5110000}"/>
    <cellStyle name="Calculation 5 2 2 2 3 3 5" xfId="18954" xr:uid="{00000000-0005-0000-0000-0000B6110000}"/>
    <cellStyle name="Calculation 5 2 2 2 3 3 6" xfId="19860" xr:uid="{00000000-0005-0000-0000-0000B7110000}"/>
    <cellStyle name="Calculation 5 2 2 2 3 4" xfId="6166" xr:uid="{00000000-0005-0000-0000-0000B8110000}"/>
    <cellStyle name="Calculation 5 2 2 2 3 4 2" xfId="13898" xr:uid="{00000000-0005-0000-0000-0000B9110000}"/>
    <cellStyle name="Calculation 5 2 2 2 3 4 3" xfId="12371" xr:uid="{00000000-0005-0000-0000-0000BA110000}"/>
    <cellStyle name="Calculation 5 2 2 2 3 4 4" xfId="13314" xr:uid="{00000000-0005-0000-0000-0000BB110000}"/>
    <cellStyle name="Calculation 5 2 2 2 3 4 5" xfId="12161" xr:uid="{00000000-0005-0000-0000-0000BC110000}"/>
    <cellStyle name="Calculation 5 2 2 2 3 4 6" xfId="13289" xr:uid="{00000000-0005-0000-0000-0000BD110000}"/>
    <cellStyle name="Calculation 5 2 2 2 3 5" xfId="13451" xr:uid="{00000000-0005-0000-0000-0000BE110000}"/>
    <cellStyle name="Calculation 5 2 2 2 3 6" xfId="13341" xr:uid="{00000000-0005-0000-0000-0000BF110000}"/>
    <cellStyle name="Calculation 5 2 2 2 3 7" xfId="13579" xr:uid="{00000000-0005-0000-0000-0000C0110000}"/>
    <cellStyle name="Calculation 5 2 2 2 3 8" xfId="14346" xr:uid="{00000000-0005-0000-0000-0000C1110000}"/>
    <cellStyle name="Calculation 5 2 2 2 3 9" xfId="12821" xr:uid="{00000000-0005-0000-0000-0000C2110000}"/>
    <cellStyle name="Calculation 5 2 2 2 4" xfId="7792" xr:uid="{00000000-0005-0000-0000-0000C3110000}"/>
    <cellStyle name="Calculation 5 2 2 2 4 2" xfId="14443" xr:uid="{00000000-0005-0000-0000-0000C4110000}"/>
    <cellStyle name="Calculation 5 2 2 2 4 3" xfId="14510" xr:uid="{00000000-0005-0000-0000-0000C5110000}"/>
    <cellStyle name="Calculation 5 2 2 2 4 4" xfId="13051" xr:uid="{00000000-0005-0000-0000-0000C6110000}"/>
    <cellStyle name="Calculation 5 2 2 2 4 5" xfId="13181" xr:uid="{00000000-0005-0000-0000-0000C7110000}"/>
    <cellStyle name="Calculation 5 2 2 2 4 6" xfId="13076" xr:uid="{00000000-0005-0000-0000-0000C8110000}"/>
    <cellStyle name="Calculation 5 2 2 2 5" xfId="11375" xr:uid="{00000000-0005-0000-0000-0000C9110000}"/>
    <cellStyle name="Calculation 5 2 2 2 5 2" xfId="15681" xr:uid="{00000000-0005-0000-0000-0000CA110000}"/>
    <cellStyle name="Calculation 5 2 2 2 5 3" xfId="16760" xr:uid="{00000000-0005-0000-0000-0000CB110000}"/>
    <cellStyle name="Calculation 5 2 2 2 5 4" xfId="17789" xr:uid="{00000000-0005-0000-0000-0000CC110000}"/>
    <cellStyle name="Calculation 5 2 2 2 5 5" xfId="18759" xr:uid="{00000000-0005-0000-0000-0000CD110000}"/>
    <cellStyle name="Calculation 5 2 2 2 5 6" xfId="19665" xr:uid="{00000000-0005-0000-0000-0000CE110000}"/>
    <cellStyle name="Calculation 5 2 2 2 6" xfId="11273" xr:uid="{00000000-0005-0000-0000-0000CF110000}"/>
    <cellStyle name="Calculation 5 2 2 2 6 2" xfId="15579" xr:uid="{00000000-0005-0000-0000-0000D0110000}"/>
    <cellStyle name="Calculation 5 2 2 2 6 3" xfId="16658" xr:uid="{00000000-0005-0000-0000-0000D1110000}"/>
    <cellStyle name="Calculation 5 2 2 2 6 4" xfId="17688" xr:uid="{00000000-0005-0000-0000-0000D2110000}"/>
    <cellStyle name="Calculation 5 2 2 2 6 5" xfId="18658" xr:uid="{00000000-0005-0000-0000-0000D3110000}"/>
    <cellStyle name="Calculation 5 2 2 2 6 6" xfId="19564" xr:uid="{00000000-0005-0000-0000-0000D4110000}"/>
    <cellStyle name="Calculation 5 2 2 2 7" xfId="12746" xr:uid="{00000000-0005-0000-0000-0000D5110000}"/>
    <cellStyle name="Calculation 5 2 2 2 8" xfId="12146" xr:uid="{00000000-0005-0000-0000-0000D6110000}"/>
    <cellStyle name="Calculation 5 2 2 2 9" xfId="13087" xr:uid="{00000000-0005-0000-0000-0000D7110000}"/>
    <cellStyle name="Calculation 5 2 2 3" xfId="3914" xr:uid="{00000000-0005-0000-0000-0000D8110000}"/>
    <cellStyle name="Calculation 5 2 2 3 2" xfId="9013" xr:uid="{00000000-0005-0000-0000-0000D9110000}"/>
    <cellStyle name="Calculation 5 2 2 3 2 2" xfId="14791" xr:uid="{00000000-0005-0000-0000-0000DA110000}"/>
    <cellStyle name="Calculation 5 2 2 3 2 3" xfId="15076" xr:uid="{00000000-0005-0000-0000-0000DB110000}"/>
    <cellStyle name="Calculation 5 2 2 3 2 4" xfId="13142" xr:uid="{00000000-0005-0000-0000-0000DC110000}"/>
    <cellStyle name="Calculation 5 2 2 3 2 5" xfId="15314" xr:uid="{00000000-0005-0000-0000-0000DD110000}"/>
    <cellStyle name="Calculation 5 2 2 3 2 6" xfId="13507" xr:uid="{00000000-0005-0000-0000-0000DE110000}"/>
    <cellStyle name="Calculation 5 2 2 3 3" xfId="11481" xr:uid="{00000000-0005-0000-0000-0000DF110000}"/>
    <cellStyle name="Calculation 5 2 2 3 3 2" xfId="15787" xr:uid="{00000000-0005-0000-0000-0000E0110000}"/>
    <cellStyle name="Calculation 5 2 2 3 3 3" xfId="16866" xr:uid="{00000000-0005-0000-0000-0000E1110000}"/>
    <cellStyle name="Calculation 5 2 2 3 3 4" xfId="17892" xr:uid="{00000000-0005-0000-0000-0000E2110000}"/>
    <cellStyle name="Calculation 5 2 2 3 3 5" xfId="18862" xr:uid="{00000000-0005-0000-0000-0000E3110000}"/>
    <cellStyle name="Calculation 5 2 2 3 3 6" xfId="19768" xr:uid="{00000000-0005-0000-0000-0000E4110000}"/>
    <cellStyle name="Calculation 5 2 2 3 4" xfId="6175" xr:uid="{00000000-0005-0000-0000-0000E5110000}"/>
    <cellStyle name="Calculation 5 2 2 3 4 2" xfId="13907" xr:uid="{00000000-0005-0000-0000-0000E6110000}"/>
    <cellStyle name="Calculation 5 2 2 3 4 3" xfId="14890" xr:uid="{00000000-0005-0000-0000-0000E7110000}"/>
    <cellStyle name="Calculation 5 2 2 3 4 4" xfId="12677" xr:uid="{00000000-0005-0000-0000-0000E8110000}"/>
    <cellStyle name="Calculation 5 2 2 3 4 5" xfId="17406" xr:uid="{00000000-0005-0000-0000-0000E9110000}"/>
    <cellStyle name="Calculation 5 2 2 3 4 6" xfId="12655" xr:uid="{00000000-0005-0000-0000-0000EA110000}"/>
    <cellStyle name="Calculation 5 2 2 3 5" xfId="13103" xr:uid="{00000000-0005-0000-0000-0000EB110000}"/>
    <cellStyle name="Calculation 5 2 2 3 6" xfId="14191" xr:uid="{00000000-0005-0000-0000-0000EC110000}"/>
    <cellStyle name="Calculation 5 2 2 3 7" xfId="12274" xr:uid="{00000000-0005-0000-0000-0000ED110000}"/>
    <cellStyle name="Calculation 5 2 2 3 8" xfId="13626" xr:uid="{00000000-0005-0000-0000-0000EE110000}"/>
    <cellStyle name="Calculation 5 2 2 3 9" xfId="14763" xr:uid="{00000000-0005-0000-0000-0000EF110000}"/>
    <cellStyle name="Calculation 5 2 3" xfId="2637" xr:uid="{00000000-0005-0000-0000-0000F0110000}"/>
    <cellStyle name="Calculation 5 2 3 10" xfId="13571" xr:uid="{00000000-0005-0000-0000-0000F1110000}"/>
    <cellStyle name="Calculation 5 2 3 2" xfId="6053" xr:uid="{00000000-0005-0000-0000-0000F2110000}"/>
    <cellStyle name="Calculation 5 2 3 2 2" xfId="11149" xr:uid="{00000000-0005-0000-0000-0000F3110000}"/>
    <cellStyle name="Calculation 5 2 3 2 2 2" xfId="15455" xr:uid="{00000000-0005-0000-0000-0000F4110000}"/>
    <cellStyle name="Calculation 5 2 3 2 2 3" xfId="16534" xr:uid="{00000000-0005-0000-0000-0000F5110000}"/>
    <cellStyle name="Calculation 5 2 3 2 2 4" xfId="17568" xr:uid="{00000000-0005-0000-0000-0000F6110000}"/>
    <cellStyle name="Calculation 5 2 3 2 2 5" xfId="18538" xr:uid="{00000000-0005-0000-0000-0000F7110000}"/>
    <cellStyle name="Calculation 5 2 3 2 2 6" xfId="19444" xr:uid="{00000000-0005-0000-0000-0000F8110000}"/>
    <cellStyle name="Calculation 5 2 3 2 3" xfId="11731" xr:uid="{00000000-0005-0000-0000-0000F9110000}"/>
    <cellStyle name="Calculation 5 2 3 2 3 2" xfId="16037" xr:uid="{00000000-0005-0000-0000-0000FA110000}"/>
    <cellStyle name="Calculation 5 2 3 2 3 3" xfId="17116" xr:uid="{00000000-0005-0000-0000-0000FB110000}"/>
    <cellStyle name="Calculation 5 2 3 2 3 4" xfId="18138" xr:uid="{00000000-0005-0000-0000-0000FC110000}"/>
    <cellStyle name="Calculation 5 2 3 2 3 5" xfId="19108" xr:uid="{00000000-0005-0000-0000-0000FD110000}"/>
    <cellStyle name="Calculation 5 2 3 2 3 6" xfId="20014" xr:uid="{00000000-0005-0000-0000-0000FE110000}"/>
    <cellStyle name="Calculation 5 2 3 2 4" xfId="11903" xr:uid="{00000000-0005-0000-0000-0000FF110000}"/>
    <cellStyle name="Calculation 5 2 3 2 4 2" xfId="16209" xr:uid="{00000000-0005-0000-0000-000000120000}"/>
    <cellStyle name="Calculation 5 2 3 2 4 3" xfId="17288" xr:uid="{00000000-0005-0000-0000-000001120000}"/>
    <cellStyle name="Calculation 5 2 3 2 4 4" xfId="18306" xr:uid="{00000000-0005-0000-0000-000002120000}"/>
    <cellStyle name="Calculation 5 2 3 2 4 5" xfId="19276" xr:uid="{00000000-0005-0000-0000-000003120000}"/>
    <cellStyle name="Calculation 5 2 3 2 4 6" xfId="20182" xr:uid="{00000000-0005-0000-0000-000004120000}"/>
    <cellStyle name="Calculation 5 2 3 2 5" xfId="13786" xr:uid="{00000000-0005-0000-0000-000005120000}"/>
    <cellStyle name="Calculation 5 2 3 2 6" xfId="13693" xr:uid="{00000000-0005-0000-0000-000006120000}"/>
    <cellStyle name="Calculation 5 2 3 2 7" xfId="13217" xr:uid="{00000000-0005-0000-0000-000007120000}"/>
    <cellStyle name="Calculation 5 2 3 2 8" xfId="14963" xr:uid="{00000000-0005-0000-0000-000008120000}"/>
    <cellStyle name="Calculation 5 2 3 2 9" xfId="15102" xr:uid="{00000000-0005-0000-0000-000009120000}"/>
    <cellStyle name="Calculation 5 2 3 3" xfId="7740" xr:uid="{00000000-0005-0000-0000-00000A120000}"/>
    <cellStyle name="Calculation 5 2 3 3 2" xfId="14406" xr:uid="{00000000-0005-0000-0000-00000B120000}"/>
    <cellStyle name="Calculation 5 2 3 3 3" xfId="12626" xr:uid="{00000000-0005-0000-0000-00000C120000}"/>
    <cellStyle name="Calculation 5 2 3 3 4" xfId="13290" xr:uid="{00000000-0005-0000-0000-00000D120000}"/>
    <cellStyle name="Calculation 5 2 3 3 5" xfId="12007" xr:uid="{00000000-0005-0000-0000-00000E120000}"/>
    <cellStyle name="Calculation 5 2 3 3 6" xfId="15075" xr:uid="{00000000-0005-0000-0000-00000F120000}"/>
    <cellStyle name="Calculation 5 2 3 4" xfId="11339" xr:uid="{00000000-0005-0000-0000-000010120000}"/>
    <cellStyle name="Calculation 5 2 3 4 2" xfId="15645" xr:uid="{00000000-0005-0000-0000-000011120000}"/>
    <cellStyle name="Calculation 5 2 3 4 3" xfId="16724" xr:uid="{00000000-0005-0000-0000-000012120000}"/>
    <cellStyle name="Calculation 5 2 3 4 4" xfId="17753" xr:uid="{00000000-0005-0000-0000-000013120000}"/>
    <cellStyle name="Calculation 5 2 3 4 5" xfId="18723" xr:uid="{00000000-0005-0000-0000-000014120000}"/>
    <cellStyle name="Calculation 5 2 3 4 6" xfId="19629" xr:uid="{00000000-0005-0000-0000-000015120000}"/>
    <cellStyle name="Calculation 5 2 3 5" xfId="11281" xr:uid="{00000000-0005-0000-0000-000016120000}"/>
    <cellStyle name="Calculation 5 2 3 5 2" xfId="15587" xr:uid="{00000000-0005-0000-0000-000017120000}"/>
    <cellStyle name="Calculation 5 2 3 5 3" xfId="16666" xr:uid="{00000000-0005-0000-0000-000018120000}"/>
    <cellStyle name="Calculation 5 2 3 5 4" xfId="17696" xr:uid="{00000000-0005-0000-0000-000019120000}"/>
    <cellStyle name="Calculation 5 2 3 5 5" xfId="18666" xr:uid="{00000000-0005-0000-0000-00001A120000}"/>
    <cellStyle name="Calculation 5 2 3 5 6" xfId="19572" xr:uid="{00000000-0005-0000-0000-00001B120000}"/>
    <cellStyle name="Calculation 5 2 3 6" xfId="12707" xr:uid="{00000000-0005-0000-0000-00001C120000}"/>
    <cellStyle name="Calculation 5 2 3 7" xfId="12926" xr:uid="{00000000-0005-0000-0000-00001D120000}"/>
    <cellStyle name="Calculation 5 2 3 8" xfId="12091" xr:uid="{00000000-0005-0000-0000-00001E120000}"/>
    <cellStyle name="Calculation 5 2 3 9" xfId="12316" xr:uid="{00000000-0005-0000-0000-00001F120000}"/>
    <cellStyle name="Calculation 5 2 4" xfId="5978" xr:uid="{00000000-0005-0000-0000-000020120000}"/>
    <cellStyle name="Calculation 5 2 4 2" xfId="11074" xr:uid="{00000000-0005-0000-0000-000021120000}"/>
    <cellStyle name="Calculation 5 2 4 2 2" xfId="15380" xr:uid="{00000000-0005-0000-0000-000022120000}"/>
    <cellStyle name="Calculation 5 2 4 2 3" xfId="16459" xr:uid="{00000000-0005-0000-0000-000023120000}"/>
    <cellStyle name="Calculation 5 2 4 2 4" xfId="17494" xr:uid="{00000000-0005-0000-0000-000024120000}"/>
    <cellStyle name="Calculation 5 2 4 2 5" xfId="18464" xr:uid="{00000000-0005-0000-0000-000025120000}"/>
    <cellStyle name="Calculation 5 2 4 2 6" xfId="19370" xr:uid="{00000000-0005-0000-0000-000026120000}"/>
    <cellStyle name="Calculation 5 2 4 3" xfId="11656" xr:uid="{00000000-0005-0000-0000-000027120000}"/>
    <cellStyle name="Calculation 5 2 4 3 2" xfId="15962" xr:uid="{00000000-0005-0000-0000-000028120000}"/>
    <cellStyle name="Calculation 5 2 4 3 3" xfId="17041" xr:uid="{00000000-0005-0000-0000-000029120000}"/>
    <cellStyle name="Calculation 5 2 4 3 4" xfId="18064" xr:uid="{00000000-0005-0000-0000-00002A120000}"/>
    <cellStyle name="Calculation 5 2 4 3 5" xfId="19034" xr:uid="{00000000-0005-0000-0000-00002B120000}"/>
    <cellStyle name="Calculation 5 2 4 3 6" xfId="19940" xr:uid="{00000000-0005-0000-0000-00002C120000}"/>
    <cellStyle name="Calculation 5 2 4 4" xfId="11828" xr:uid="{00000000-0005-0000-0000-00002D120000}"/>
    <cellStyle name="Calculation 5 2 4 4 2" xfId="16134" xr:uid="{00000000-0005-0000-0000-00002E120000}"/>
    <cellStyle name="Calculation 5 2 4 4 3" xfId="17213" xr:uid="{00000000-0005-0000-0000-00002F120000}"/>
    <cellStyle name="Calculation 5 2 4 4 4" xfId="18232" xr:uid="{00000000-0005-0000-0000-000030120000}"/>
    <cellStyle name="Calculation 5 2 4 4 5" xfId="19202" xr:uid="{00000000-0005-0000-0000-000031120000}"/>
    <cellStyle name="Calculation 5 2 4 4 6" xfId="20108" xr:uid="{00000000-0005-0000-0000-000032120000}"/>
    <cellStyle name="Calculation 5 2 4 5" xfId="13711" xr:uid="{00000000-0005-0000-0000-000033120000}"/>
    <cellStyle name="Calculation 5 2 4 6" xfId="12859" xr:uid="{00000000-0005-0000-0000-000034120000}"/>
    <cellStyle name="Calculation 5 2 4 7" xfId="13988" xr:uid="{00000000-0005-0000-0000-000035120000}"/>
    <cellStyle name="Calculation 5 2 4 8" xfId="12143" xr:uid="{00000000-0005-0000-0000-000036120000}"/>
    <cellStyle name="Calculation 5 2 4 9" xfId="14648" xr:uid="{00000000-0005-0000-0000-000037120000}"/>
    <cellStyle name="Calculation 5 2 5" xfId="6484" xr:uid="{00000000-0005-0000-0000-000038120000}"/>
    <cellStyle name="Calculation 5 2 5 2" xfId="13997" xr:uid="{00000000-0005-0000-0000-000039120000}"/>
    <cellStyle name="Calculation 5 2 5 3" xfId="13532" xr:uid="{00000000-0005-0000-0000-00003A120000}"/>
    <cellStyle name="Calculation 5 2 5 4" xfId="12636" xr:uid="{00000000-0005-0000-0000-00003B120000}"/>
    <cellStyle name="Calculation 5 2 5 5" xfId="14393" xr:uid="{00000000-0005-0000-0000-00003C120000}"/>
    <cellStyle name="Calculation 5 2 5 6" xfId="17459" xr:uid="{00000000-0005-0000-0000-00003D120000}"/>
    <cellStyle name="Calculation 5 2 6" xfId="6706" xr:uid="{00000000-0005-0000-0000-00003E120000}"/>
    <cellStyle name="Calculation 5 2 6 2" xfId="14102" xr:uid="{00000000-0005-0000-0000-00003F120000}"/>
    <cellStyle name="Calculation 5 2 6 3" xfId="14867" xr:uid="{00000000-0005-0000-0000-000040120000}"/>
    <cellStyle name="Calculation 5 2 6 4" xfId="13386" xr:uid="{00000000-0005-0000-0000-000041120000}"/>
    <cellStyle name="Calculation 5 2 6 5" xfId="14986" xr:uid="{00000000-0005-0000-0000-000042120000}"/>
    <cellStyle name="Calculation 5 2 6 6" xfId="16313" xr:uid="{00000000-0005-0000-0000-000043120000}"/>
    <cellStyle name="Calculation 5 2 7" xfId="11305" xr:uid="{00000000-0005-0000-0000-000044120000}"/>
    <cellStyle name="Calculation 5 2 7 2" xfId="15611" xr:uid="{00000000-0005-0000-0000-000045120000}"/>
    <cellStyle name="Calculation 5 2 7 3" xfId="16690" xr:uid="{00000000-0005-0000-0000-000046120000}"/>
    <cellStyle name="Calculation 5 2 7 4" xfId="17719" xr:uid="{00000000-0005-0000-0000-000047120000}"/>
    <cellStyle name="Calculation 5 2 7 5" xfId="18689" xr:uid="{00000000-0005-0000-0000-000048120000}"/>
    <cellStyle name="Calculation 5 2 7 6" xfId="19595" xr:uid="{00000000-0005-0000-0000-000049120000}"/>
    <cellStyle name="Calculation 5 2 8" xfId="12199" xr:uid="{00000000-0005-0000-0000-00004A120000}"/>
    <cellStyle name="Calculation 5 2 9" xfId="14325" xr:uid="{00000000-0005-0000-0000-00004B120000}"/>
    <cellStyle name="Calculation 6" xfId="333" xr:uid="{00000000-0005-0000-0000-00004C120000}"/>
    <cellStyle name="Calculation 6 2" xfId="1008" xr:uid="{00000000-0005-0000-0000-00004D120000}"/>
    <cellStyle name="Calculation 6 2 10" xfId="13950" xr:uid="{00000000-0005-0000-0000-00004E120000}"/>
    <cellStyle name="Calculation 6 2 11" xfId="12243" xr:uid="{00000000-0005-0000-0000-00004F120000}"/>
    <cellStyle name="Calculation 6 2 12" xfId="14703" xr:uid="{00000000-0005-0000-0000-000050120000}"/>
    <cellStyle name="Calculation 6 2 2" xfId="1100" xr:uid="{00000000-0005-0000-0000-000051120000}"/>
    <cellStyle name="Calculation 6 2 2 2" xfId="2690" xr:uid="{00000000-0005-0000-0000-000052120000}"/>
    <cellStyle name="Calculation 6 2 2 2 10" xfId="15238" xr:uid="{00000000-0005-0000-0000-000053120000}"/>
    <cellStyle name="Calculation 6 2 2 2 11" xfId="16454" xr:uid="{00000000-0005-0000-0000-000054120000}"/>
    <cellStyle name="Calculation 6 2 2 2 2" xfId="6090" xr:uid="{00000000-0005-0000-0000-000055120000}"/>
    <cellStyle name="Calculation 6 2 2 2 2 2" xfId="11186" xr:uid="{00000000-0005-0000-0000-000056120000}"/>
    <cellStyle name="Calculation 6 2 2 2 2 2 2" xfId="15492" xr:uid="{00000000-0005-0000-0000-000057120000}"/>
    <cellStyle name="Calculation 6 2 2 2 2 2 3" xfId="16571" xr:uid="{00000000-0005-0000-0000-000058120000}"/>
    <cellStyle name="Calculation 6 2 2 2 2 2 4" xfId="17605" xr:uid="{00000000-0005-0000-0000-000059120000}"/>
    <cellStyle name="Calculation 6 2 2 2 2 2 5" xfId="18575" xr:uid="{00000000-0005-0000-0000-00005A120000}"/>
    <cellStyle name="Calculation 6 2 2 2 2 2 6" xfId="19481" xr:uid="{00000000-0005-0000-0000-00005B120000}"/>
    <cellStyle name="Calculation 6 2 2 2 2 3" xfId="11768" xr:uid="{00000000-0005-0000-0000-00005C120000}"/>
    <cellStyle name="Calculation 6 2 2 2 2 3 2" xfId="16074" xr:uid="{00000000-0005-0000-0000-00005D120000}"/>
    <cellStyle name="Calculation 6 2 2 2 2 3 3" xfId="17153" xr:uid="{00000000-0005-0000-0000-00005E120000}"/>
    <cellStyle name="Calculation 6 2 2 2 2 3 4" xfId="18175" xr:uid="{00000000-0005-0000-0000-00005F120000}"/>
    <cellStyle name="Calculation 6 2 2 2 2 3 5" xfId="19145" xr:uid="{00000000-0005-0000-0000-000060120000}"/>
    <cellStyle name="Calculation 6 2 2 2 2 3 6" xfId="20051" xr:uid="{00000000-0005-0000-0000-000061120000}"/>
    <cellStyle name="Calculation 6 2 2 2 2 4" xfId="11940" xr:uid="{00000000-0005-0000-0000-000062120000}"/>
    <cellStyle name="Calculation 6 2 2 2 2 4 2" xfId="16246" xr:uid="{00000000-0005-0000-0000-000063120000}"/>
    <cellStyle name="Calculation 6 2 2 2 2 4 3" xfId="17325" xr:uid="{00000000-0005-0000-0000-000064120000}"/>
    <cellStyle name="Calculation 6 2 2 2 2 4 4" xfId="18343" xr:uid="{00000000-0005-0000-0000-000065120000}"/>
    <cellStyle name="Calculation 6 2 2 2 2 4 5" xfId="19313" xr:uid="{00000000-0005-0000-0000-000066120000}"/>
    <cellStyle name="Calculation 6 2 2 2 2 4 6" xfId="20219" xr:uid="{00000000-0005-0000-0000-000067120000}"/>
    <cellStyle name="Calculation 6 2 2 2 2 5" xfId="13823" xr:uid="{00000000-0005-0000-0000-000068120000}"/>
    <cellStyle name="Calculation 6 2 2 2 2 6" xfId="13210" xr:uid="{00000000-0005-0000-0000-000069120000}"/>
    <cellStyle name="Calculation 6 2 2 2 2 7" xfId="14592" xr:uid="{00000000-0005-0000-0000-00006A120000}"/>
    <cellStyle name="Calculation 6 2 2 2 2 8" xfId="12638" xr:uid="{00000000-0005-0000-0000-00006B120000}"/>
    <cellStyle name="Calculation 6 2 2 2 2 9" xfId="18450" xr:uid="{00000000-0005-0000-0000-00006C120000}"/>
    <cellStyle name="Calculation 6 2 2 2 3" xfId="5098" xr:uid="{00000000-0005-0000-0000-00006D120000}"/>
    <cellStyle name="Calculation 6 2 2 2 3 2" xfId="10194" xr:uid="{00000000-0005-0000-0000-00006E120000}"/>
    <cellStyle name="Calculation 6 2 2 2 3 2 2" xfId="15132" xr:uid="{00000000-0005-0000-0000-00006F120000}"/>
    <cellStyle name="Calculation 6 2 2 2 3 2 3" xfId="12690" xr:uid="{00000000-0005-0000-0000-000070120000}"/>
    <cellStyle name="Calculation 6 2 2 2 3 2 4" xfId="12179" xr:uid="{00000000-0005-0000-0000-000071120000}"/>
    <cellStyle name="Calculation 6 2 2 2 3 2 5" xfId="13373" xr:uid="{00000000-0005-0000-0000-000072120000}"/>
    <cellStyle name="Calculation 6 2 2 2 3 2 6" xfId="14728" xr:uid="{00000000-0005-0000-0000-000073120000}"/>
    <cellStyle name="Calculation 6 2 2 2 3 3" xfId="11576" xr:uid="{00000000-0005-0000-0000-000074120000}"/>
    <cellStyle name="Calculation 6 2 2 2 3 3 2" xfId="15882" xr:uid="{00000000-0005-0000-0000-000075120000}"/>
    <cellStyle name="Calculation 6 2 2 2 3 3 3" xfId="16961" xr:uid="{00000000-0005-0000-0000-000076120000}"/>
    <cellStyle name="Calculation 6 2 2 2 3 3 4" xfId="17985" xr:uid="{00000000-0005-0000-0000-000077120000}"/>
    <cellStyle name="Calculation 6 2 2 2 3 3 5" xfId="18955" xr:uid="{00000000-0005-0000-0000-000078120000}"/>
    <cellStyle name="Calculation 6 2 2 2 3 3 6" xfId="19861" xr:uid="{00000000-0005-0000-0000-000079120000}"/>
    <cellStyle name="Calculation 6 2 2 2 3 4" xfId="11514" xr:uid="{00000000-0005-0000-0000-00007A120000}"/>
    <cellStyle name="Calculation 6 2 2 2 3 4 2" xfId="15820" xr:uid="{00000000-0005-0000-0000-00007B120000}"/>
    <cellStyle name="Calculation 6 2 2 2 3 4 3" xfId="16899" xr:uid="{00000000-0005-0000-0000-00007C120000}"/>
    <cellStyle name="Calculation 6 2 2 2 3 4 4" xfId="17925" xr:uid="{00000000-0005-0000-0000-00007D120000}"/>
    <cellStyle name="Calculation 6 2 2 2 3 4 5" xfId="18895" xr:uid="{00000000-0005-0000-0000-00007E120000}"/>
    <cellStyle name="Calculation 6 2 2 2 3 4 6" xfId="19801" xr:uid="{00000000-0005-0000-0000-00007F120000}"/>
    <cellStyle name="Calculation 6 2 2 2 3 5" xfId="13452" xr:uid="{00000000-0005-0000-0000-000080120000}"/>
    <cellStyle name="Calculation 6 2 2 2 3 6" xfId="14670" xr:uid="{00000000-0005-0000-0000-000081120000}"/>
    <cellStyle name="Calculation 6 2 2 2 3 7" xfId="14499" xr:uid="{00000000-0005-0000-0000-000082120000}"/>
    <cellStyle name="Calculation 6 2 2 2 3 8" xfId="14974" xr:uid="{00000000-0005-0000-0000-000083120000}"/>
    <cellStyle name="Calculation 6 2 2 2 3 9" xfId="14347" xr:uid="{00000000-0005-0000-0000-000084120000}"/>
    <cellStyle name="Calculation 6 2 2 2 4" xfId="7793" xr:uid="{00000000-0005-0000-0000-000085120000}"/>
    <cellStyle name="Calculation 6 2 2 2 4 2" xfId="14444" xr:uid="{00000000-0005-0000-0000-000086120000}"/>
    <cellStyle name="Calculation 6 2 2 2 4 3" xfId="15191" xr:uid="{00000000-0005-0000-0000-000087120000}"/>
    <cellStyle name="Calculation 6 2 2 2 4 4" xfId="16309" xr:uid="{00000000-0005-0000-0000-000088120000}"/>
    <cellStyle name="Calculation 6 2 2 2 4 5" xfId="13973" xr:uid="{00000000-0005-0000-0000-000089120000}"/>
    <cellStyle name="Calculation 6 2 2 2 4 6" xfId="17432" xr:uid="{00000000-0005-0000-0000-00008A120000}"/>
    <cellStyle name="Calculation 6 2 2 2 5" xfId="11376" xr:uid="{00000000-0005-0000-0000-00008B120000}"/>
    <cellStyle name="Calculation 6 2 2 2 5 2" xfId="15682" xr:uid="{00000000-0005-0000-0000-00008C120000}"/>
    <cellStyle name="Calculation 6 2 2 2 5 3" xfId="16761" xr:uid="{00000000-0005-0000-0000-00008D120000}"/>
    <cellStyle name="Calculation 6 2 2 2 5 4" xfId="17790" xr:uid="{00000000-0005-0000-0000-00008E120000}"/>
    <cellStyle name="Calculation 6 2 2 2 5 5" xfId="18760" xr:uid="{00000000-0005-0000-0000-00008F120000}"/>
    <cellStyle name="Calculation 6 2 2 2 5 6" xfId="19666" xr:uid="{00000000-0005-0000-0000-000090120000}"/>
    <cellStyle name="Calculation 6 2 2 2 6" xfId="11531" xr:uid="{00000000-0005-0000-0000-000091120000}"/>
    <cellStyle name="Calculation 6 2 2 2 6 2" xfId="15837" xr:uid="{00000000-0005-0000-0000-000092120000}"/>
    <cellStyle name="Calculation 6 2 2 2 6 3" xfId="16916" xr:uid="{00000000-0005-0000-0000-000093120000}"/>
    <cellStyle name="Calculation 6 2 2 2 6 4" xfId="17941" xr:uid="{00000000-0005-0000-0000-000094120000}"/>
    <cellStyle name="Calculation 6 2 2 2 6 5" xfId="18911" xr:uid="{00000000-0005-0000-0000-000095120000}"/>
    <cellStyle name="Calculation 6 2 2 2 6 6" xfId="19817" xr:uid="{00000000-0005-0000-0000-000096120000}"/>
    <cellStyle name="Calculation 6 2 2 2 7" xfId="12747" xr:uid="{00000000-0005-0000-0000-000097120000}"/>
    <cellStyle name="Calculation 6 2 2 2 8" xfId="12621" xr:uid="{00000000-0005-0000-0000-000098120000}"/>
    <cellStyle name="Calculation 6 2 2 2 9" xfId="13294" xr:uid="{00000000-0005-0000-0000-000099120000}"/>
    <cellStyle name="Calculation 6 2 2 3" xfId="3915" xr:uid="{00000000-0005-0000-0000-00009A120000}"/>
    <cellStyle name="Calculation 6 2 2 3 2" xfId="9014" xr:uid="{00000000-0005-0000-0000-00009B120000}"/>
    <cellStyle name="Calculation 6 2 2 3 2 2" xfId="14792" xr:uid="{00000000-0005-0000-0000-00009C120000}"/>
    <cellStyle name="Calculation 6 2 2 3 2 3" xfId="13404" xr:uid="{00000000-0005-0000-0000-00009D120000}"/>
    <cellStyle name="Calculation 6 2 2 3 2 4" xfId="15256" xr:uid="{00000000-0005-0000-0000-00009E120000}"/>
    <cellStyle name="Calculation 6 2 2 3 2 5" xfId="12510" xr:uid="{00000000-0005-0000-0000-00009F120000}"/>
    <cellStyle name="Calculation 6 2 2 3 2 6" xfId="13434" xr:uid="{00000000-0005-0000-0000-0000A0120000}"/>
    <cellStyle name="Calculation 6 2 2 3 3" xfId="11482" xr:uid="{00000000-0005-0000-0000-0000A1120000}"/>
    <cellStyle name="Calculation 6 2 2 3 3 2" xfId="15788" xr:uid="{00000000-0005-0000-0000-0000A2120000}"/>
    <cellStyle name="Calculation 6 2 2 3 3 3" xfId="16867" xr:uid="{00000000-0005-0000-0000-0000A3120000}"/>
    <cellStyle name="Calculation 6 2 2 3 3 4" xfId="17893" xr:uid="{00000000-0005-0000-0000-0000A4120000}"/>
    <cellStyle name="Calculation 6 2 2 3 3 5" xfId="18863" xr:uid="{00000000-0005-0000-0000-0000A5120000}"/>
    <cellStyle name="Calculation 6 2 2 3 3 6" xfId="19769" xr:uid="{00000000-0005-0000-0000-0000A6120000}"/>
    <cellStyle name="Calculation 6 2 2 3 4" xfId="6180" xr:uid="{00000000-0005-0000-0000-0000A7120000}"/>
    <cellStyle name="Calculation 6 2 2 3 4 2" xfId="13912" xr:uid="{00000000-0005-0000-0000-0000A8120000}"/>
    <cellStyle name="Calculation 6 2 2 3 4 3" xfId="12846" xr:uid="{00000000-0005-0000-0000-0000A9120000}"/>
    <cellStyle name="Calculation 6 2 2 3 4 4" xfId="12253" xr:uid="{00000000-0005-0000-0000-0000AA120000}"/>
    <cellStyle name="Calculation 6 2 2 3 4 5" xfId="15325" xr:uid="{00000000-0005-0000-0000-0000AB120000}"/>
    <cellStyle name="Calculation 6 2 2 3 4 6" xfId="1146" xr:uid="{00000000-0005-0000-0000-0000AC120000}"/>
    <cellStyle name="Calculation 6 2 2 3 5" xfId="13104" xr:uid="{00000000-0005-0000-0000-0000AD120000}"/>
    <cellStyle name="Calculation 6 2 2 3 6" xfId="14951" xr:uid="{00000000-0005-0000-0000-0000AE120000}"/>
    <cellStyle name="Calculation 6 2 2 3 7" xfId="14834" xr:uid="{00000000-0005-0000-0000-0000AF120000}"/>
    <cellStyle name="Calculation 6 2 2 3 8" xfId="17443" xr:uid="{00000000-0005-0000-0000-0000B0120000}"/>
    <cellStyle name="Calculation 6 2 2 3 9" xfId="15373" xr:uid="{00000000-0005-0000-0000-0000B1120000}"/>
    <cellStyle name="Calculation 6 2 3" xfId="2638" xr:uid="{00000000-0005-0000-0000-0000B2120000}"/>
    <cellStyle name="Calculation 6 2 3 10" xfId="14339" xr:uid="{00000000-0005-0000-0000-0000B3120000}"/>
    <cellStyle name="Calculation 6 2 3 2" xfId="6054" xr:uid="{00000000-0005-0000-0000-0000B4120000}"/>
    <cellStyle name="Calculation 6 2 3 2 2" xfId="11150" xr:uid="{00000000-0005-0000-0000-0000B5120000}"/>
    <cellStyle name="Calculation 6 2 3 2 2 2" xfId="15456" xr:uid="{00000000-0005-0000-0000-0000B6120000}"/>
    <cellStyle name="Calculation 6 2 3 2 2 3" xfId="16535" xr:uid="{00000000-0005-0000-0000-0000B7120000}"/>
    <cellStyle name="Calculation 6 2 3 2 2 4" xfId="17569" xr:uid="{00000000-0005-0000-0000-0000B8120000}"/>
    <cellStyle name="Calculation 6 2 3 2 2 5" xfId="18539" xr:uid="{00000000-0005-0000-0000-0000B9120000}"/>
    <cellStyle name="Calculation 6 2 3 2 2 6" xfId="19445" xr:uid="{00000000-0005-0000-0000-0000BA120000}"/>
    <cellStyle name="Calculation 6 2 3 2 3" xfId="11732" xr:uid="{00000000-0005-0000-0000-0000BB120000}"/>
    <cellStyle name="Calculation 6 2 3 2 3 2" xfId="16038" xr:uid="{00000000-0005-0000-0000-0000BC120000}"/>
    <cellStyle name="Calculation 6 2 3 2 3 3" xfId="17117" xr:uid="{00000000-0005-0000-0000-0000BD120000}"/>
    <cellStyle name="Calculation 6 2 3 2 3 4" xfId="18139" xr:uid="{00000000-0005-0000-0000-0000BE120000}"/>
    <cellStyle name="Calculation 6 2 3 2 3 5" xfId="19109" xr:uid="{00000000-0005-0000-0000-0000BF120000}"/>
    <cellStyle name="Calculation 6 2 3 2 3 6" xfId="20015" xr:uid="{00000000-0005-0000-0000-0000C0120000}"/>
    <cellStyle name="Calculation 6 2 3 2 4" xfId="11904" xr:uid="{00000000-0005-0000-0000-0000C1120000}"/>
    <cellStyle name="Calculation 6 2 3 2 4 2" xfId="16210" xr:uid="{00000000-0005-0000-0000-0000C2120000}"/>
    <cellStyle name="Calculation 6 2 3 2 4 3" xfId="17289" xr:uid="{00000000-0005-0000-0000-0000C3120000}"/>
    <cellStyle name="Calculation 6 2 3 2 4 4" xfId="18307" xr:uid="{00000000-0005-0000-0000-0000C4120000}"/>
    <cellStyle name="Calculation 6 2 3 2 4 5" xfId="19277" xr:uid="{00000000-0005-0000-0000-0000C5120000}"/>
    <cellStyle name="Calculation 6 2 3 2 4 6" xfId="20183" xr:uid="{00000000-0005-0000-0000-0000C6120000}"/>
    <cellStyle name="Calculation 6 2 3 2 5" xfId="13787" xr:uid="{00000000-0005-0000-0000-0000C7120000}"/>
    <cellStyle name="Calculation 6 2 3 2 6" xfId="12994" xr:uid="{00000000-0005-0000-0000-0000C8120000}"/>
    <cellStyle name="Calculation 6 2 3 2 7" xfId="14960" xr:uid="{00000000-0005-0000-0000-0000C9120000}"/>
    <cellStyle name="Calculation 6 2 3 2 8" xfId="14781" xr:uid="{00000000-0005-0000-0000-0000CA120000}"/>
    <cellStyle name="Calculation 6 2 3 2 9" xfId="16444" xr:uid="{00000000-0005-0000-0000-0000CB120000}"/>
    <cellStyle name="Calculation 6 2 3 3" xfId="7741" xr:uid="{00000000-0005-0000-0000-0000CC120000}"/>
    <cellStyle name="Calculation 6 2 3 3 2" xfId="14407" xr:uid="{00000000-0005-0000-0000-0000CD120000}"/>
    <cellStyle name="Calculation 6 2 3 3 3" xfId="12070" xr:uid="{00000000-0005-0000-0000-0000CE120000}"/>
    <cellStyle name="Calculation 6 2 3 3 4" xfId="14303" xr:uid="{00000000-0005-0000-0000-0000CF120000}"/>
    <cellStyle name="Calculation 6 2 3 3 5" xfId="14586" xr:uid="{00000000-0005-0000-0000-0000D0120000}"/>
    <cellStyle name="Calculation 6 2 3 3 6" xfId="18397" xr:uid="{00000000-0005-0000-0000-0000D1120000}"/>
    <cellStyle name="Calculation 6 2 3 4" xfId="11340" xr:uid="{00000000-0005-0000-0000-0000D2120000}"/>
    <cellStyle name="Calculation 6 2 3 4 2" xfId="15646" xr:uid="{00000000-0005-0000-0000-0000D3120000}"/>
    <cellStyle name="Calculation 6 2 3 4 3" xfId="16725" xr:uid="{00000000-0005-0000-0000-0000D4120000}"/>
    <cellStyle name="Calculation 6 2 3 4 4" xfId="17754" xr:uid="{00000000-0005-0000-0000-0000D5120000}"/>
    <cellStyle name="Calculation 6 2 3 4 5" xfId="18724" xr:uid="{00000000-0005-0000-0000-0000D6120000}"/>
    <cellStyle name="Calculation 6 2 3 4 6" xfId="19630" xr:uid="{00000000-0005-0000-0000-0000D7120000}"/>
    <cellStyle name="Calculation 6 2 3 5" xfId="11534" xr:uid="{00000000-0005-0000-0000-0000D8120000}"/>
    <cellStyle name="Calculation 6 2 3 5 2" xfId="15840" xr:uid="{00000000-0005-0000-0000-0000D9120000}"/>
    <cellStyle name="Calculation 6 2 3 5 3" xfId="16919" xr:uid="{00000000-0005-0000-0000-0000DA120000}"/>
    <cellStyle name="Calculation 6 2 3 5 4" xfId="17944" xr:uid="{00000000-0005-0000-0000-0000DB120000}"/>
    <cellStyle name="Calculation 6 2 3 5 5" xfId="18914" xr:uid="{00000000-0005-0000-0000-0000DC120000}"/>
    <cellStyle name="Calculation 6 2 3 5 6" xfId="19820" xr:uid="{00000000-0005-0000-0000-0000DD120000}"/>
    <cellStyle name="Calculation 6 2 3 6" xfId="12708" xr:uid="{00000000-0005-0000-0000-0000DE120000}"/>
    <cellStyle name="Calculation 6 2 3 7" xfId="12493" xr:uid="{00000000-0005-0000-0000-0000DF120000}"/>
    <cellStyle name="Calculation 6 2 3 8" xfId="14340" xr:uid="{00000000-0005-0000-0000-0000E0120000}"/>
    <cellStyle name="Calculation 6 2 3 9" xfId="15316" xr:uid="{00000000-0005-0000-0000-0000E1120000}"/>
    <cellStyle name="Calculation 6 2 4" xfId="5979" xr:uid="{00000000-0005-0000-0000-0000E2120000}"/>
    <cellStyle name="Calculation 6 2 4 2" xfId="11075" xr:uid="{00000000-0005-0000-0000-0000E3120000}"/>
    <cellStyle name="Calculation 6 2 4 2 2" xfId="15381" xr:uid="{00000000-0005-0000-0000-0000E4120000}"/>
    <cellStyle name="Calculation 6 2 4 2 3" xfId="16460" xr:uid="{00000000-0005-0000-0000-0000E5120000}"/>
    <cellStyle name="Calculation 6 2 4 2 4" xfId="17495" xr:uid="{00000000-0005-0000-0000-0000E6120000}"/>
    <cellStyle name="Calculation 6 2 4 2 5" xfId="18465" xr:uid="{00000000-0005-0000-0000-0000E7120000}"/>
    <cellStyle name="Calculation 6 2 4 2 6" xfId="19371" xr:uid="{00000000-0005-0000-0000-0000E8120000}"/>
    <cellStyle name="Calculation 6 2 4 3" xfId="11657" xr:uid="{00000000-0005-0000-0000-0000E9120000}"/>
    <cellStyle name="Calculation 6 2 4 3 2" xfId="15963" xr:uid="{00000000-0005-0000-0000-0000EA120000}"/>
    <cellStyle name="Calculation 6 2 4 3 3" xfId="17042" xr:uid="{00000000-0005-0000-0000-0000EB120000}"/>
    <cellStyle name="Calculation 6 2 4 3 4" xfId="18065" xr:uid="{00000000-0005-0000-0000-0000EC120000}"/>
    <cellStyle name="Calculation 6 2 4 3 5" xfId="19035" xr:uid="{00000000-0005-0000-0000-0000ED120000}"/>
    <cellStyle name="Calculation 6 2 4 3 6" xfId="19941" xr:uid="{00000000-0005-0000-0000-0000EE120000}"/>
    <cellStyle name="Calculation 6 2 4 4" xfId="11829" xr:uid="{00000000-0005-0000-0000-0000EF120000}"/>
    <cellStyle name="Calculation 6 2 4 4 2" xfId="16135" xr:uid="{00000000-0005-0000-0000-0000F0120000}"/>
    <cellStyle name="Calculation 6 2 4 4 3" xfId="17214" xr:uid="{00000000-0005-0000-0000-0000F1120000}"/>
    <cellStyle name="Calculation 6 2 4 4 4" xfId="18233" xr:uid="{00000000-0005-0000-0000-0000F2120000}"/>
    <cellStyle name="Calculation 6 2 4 4 5" xfId="19203" xr:uid="{00000000-0005-0000-0000-0000F3120000}"/>
    <cellStyle name="Calculation 6 2 4 4 6" xfId="20109" xr:uid="{00000000-0005-0000-0000-0000F4120000}"/>
    <cellStyle name="Calculation 6 2 4 5" xfId="13712" xr:uid="{00000000-0005-0000-0000-0000F5120000}"/>
    <cellStyle name="Calculation 6 2 4 6" xfId="12385" xr:uid="{00000000-0005-0000-0000-0000F6120000}"/>
    <cellStyle name="Calculation 6 2 4 7" xfId="14253" xr:uid="{00000000-0005-0000-0000-0000F7120000}"/>
    <cellStyle name="Calculation 6 2 4 8" xfId="13287" xr:uid="{00000000-0005-0000-0000-0000F8120000}"/>
    <cellStyle name="Calculation 6 2 4 9" xfId="12108" xr:uid="{00000000-0005-0000-0000-0000F9120000}"/>
    <cellStyle name="Calculation 6 2 5" xfId="6485" xr:uid="{00000000-0005-0000-0000-0000FA120000}"/>
    <cellStyle name="Calculation 6 2 5 2" xfId="13998" xr:uid="{00000000-0005-0000-0000-0000FB120000}"/>
    <cellStyle name="Calculation 6 2 5 3" xfId="12839" xr:uid="{00000000-0005-0000-0000-0000FC120000}"/>
    <cellStyle name="Calculation 6 2 5 4" xfId="14764" xr:uid="{00000000-0005-0000-0000-0000FD120000}"/>
    <cellStyle name="Calculation 6 2 5 5" xfId="15251" xr:uid="{00000000-0005-0000-0000-0000FE120000}"/>
    <cellStyle name="Calculation 6 2 5 6" xfId="14311" xr:uid="{00000000-0005-0000-0000-0000FF120000}"/>
    <cellStyle name="Calculation 6 2 6" xfId="6164" xr:uid="{00000000-0005-0000-0000-000000130000}"/>
    <cellStyle name="Calculation 6 2 6 2" xfId="13896" xr:uid="{00000000-0005-0000-0000-000001130000}"/>
    <cellStyle name="Calculation 6 2 6 3" xfId="13540" xr:uid="{00000000-0005-0000-0000-000002130000}"/>
    <cellStyle name="Calculation 6 2 6 4" xfId="15246" xr:uid="{00000000-0005-0000-0000-000003130000}"/>
    <cellStyle name="Calculation 6 2 6 5" xfId="12125" xr:uid="{00000000-0005-0000-0000-000004130000}"/>
    <cellStyle name="Calculation 6 2 6 6" xfId="17394" xr:uid="{00000000-0005-0000-0000-000005130000}"/>
    <cellStyle name="Calculation 6 2 7" xfId="11557" xr:uid="{00000000-0005-0000-0000-000006130000}"/>
    <cellStyle name="Calculation 6 2 7 2" xfId="15863" xr:uid="{00000000-0005-0000-0000-000007130000}"/>
    <cellStyle name="Calculation 6 2 7 3" xfId="16942" xr:uid="{00000000-0005-0000-0000-000008130000}"/>
    <cellStyle name="Calculation 6 2 7 4" xfId="17967" xr:uid="{00000000-0005-0000-0000-000009130000}"/>
    <cellStyle name="Calculation 6 2 7 5" xfId="18937" xr:uid="{00000000-0005-0000-0000-00000A130000}"/>
    <cellStyle name="Calculation 6 2 7 6" xfId="19843" xr:uid="{00000000-0005-0000-0000-00000B130000}"/>
    <cellStyle name="Calculation 6 2 8" xfId="12200" xr:uid="{00000000-0005-0000-0000-00000C130000}"/>
    <cellStyle name="Calculation 6 2 9" xfId="15044" xr:uid="{00000000-0005-0000-0000-00000D130000}"/>
    <cellStyle name="Calculation 7" xfId="334" xr:uid="{00000000-0005-0000-0000-00000E130000}"/>
    <cellStyle name="Calculation 7 2" xfId="1009" xr:uid="{00000000-0005-0000-0000-00000F130000}"/>
    <cellStyle name="Calculation 7 2 10" xfId="13232" xr:uid="{00000000-0005-0000-0000-000010130000}"/>
    <cellStyle name="Calculation 7 2 11" xfId="13296" xr:uid="{00000000-0005-0000-0000-000011130000}"/>
    <cellStyle name="Calculation 7 2 12" xfId="14300" xr:uid="{00000000-0005-0000-0000-000012130000}"/>
    <cellStyle name="Calculation 7 2 2" xfId="1101" xr:uid="{00000000-0005-0000-0000-000013130000}"/>
    <cellStyle name="Calculation 7 2 2 2" xfId="2691" xr:uid="{00000000-0005-0000-0000-000014130000}"/>
    <cellStyle name="Calculation 7 2 2 2 10" xfId="16428" xr:uid="{00000000-0005-0000-0000-000015130000}"/>
    <cellStyle name="Calculation 7 2 2 2 11" xfId="12323" xr:uid="{00000000-0005-0000-0000-000016130000}"/>
    <cellStyle name="Calculation 7 2 2 2 2" xfId="6091" xr:uid="{00000000-0005-0000-0000-000017130000}"/>
    <cellStyle name="Calculation 7 2 2 2 2 2" xfId="11187" xr:uid="{00000000-0005-0000-0000-000018130000}"/>
    <cellStyle name="Calculation 7 2 2 2 2 2 2" xfId="15493" xr:uid="{00000000-0005-0000-0000-000019130000}"/>
    <cellStyle name="Calculation 7 2 2 2 2 2 3" xfId="16572" xr:uid="{00000000-0005-0000-0000-00001A130000}"/>
    <cellStyle name="Calculation 7 2 2 2 2 2 4" xfId="17606" xr:uid="{00000000-0005-0000-0000-00001B130000}"/>
    <cellStyle name="Calculation 7 2 2 2 2 2 5" xfId="18576" xr:uid="{00000000-0005-0000-0000-00001C130000}"/>
    <cellStyle name="Calculation 7 2 2 2 2 2 6" xfId="19482" xr:uid="{00000000-0005-0000-0000-00001D130000}"/>
    <cellStyle name="Calculation 7 2 2 2 2 3" xfId="11769" xr:uid="{00000000-0005-0000-0000-00001E130000}"/>
    <cellStyle name="Calculation 7 2 2 2 2 3 2" xfId="16075" xr:uid="{00000000-0005-0000-0000-00001F130000}"/>
    <cellStyle name="Calculation 7 2 2 2 2 3 3" xfId="17154" xr:uid="{00000000-0005-0000-0000-000020130000}"/>
    <cellStyle name="Calculation 7 2 2 2 2 3 4" xfId="18176" xr:uid="{00000000-0005-0000-0000-000021130000}"/>
    <cellStyle name="Calculation 7 2 2 2 2 3 5" xfId="19146" xr:uid="{00000000-0005-0000-0000-000022130000}"/>
    <cellStyle name="Calculation 7 2 2 2 2 3 6" xfId="20052" xr:uid="{00000000-0005-0000-0000-000023130000}"/>
    <cellStyle name="Calculation 7 2 2 2 2 4" xfId="11941" xr:uid="{00000000-0005-0000-0000-000024130000}"/>
    <cellStyle name="Calculation 7 2 2 2 2 4 2" xfId="16247" xr:uid="{00000000-0005-0000-0000-000025130000}"/>
    <cellStyle name="Calculation 7 2 2 2 2 4 3" xfId="17326" xr:uid="{00000000-0005-0000-0000-000026130000}"/>
    <cellStyle name="Calculation 7 2 2 2 2 4 4" xfId="18344" xr:uid="{00000000-0005-0000-0000-000027130000}"/>
    <cellStyle name="Calculation 7 2 2 2 2 4 5" xfId="19314" xr:uid="{00000000-0005-0000-0000-000028130000}"/>
    <cellStyle name="Calculation 7 2 2 2 2 4 6" xfId="20220" xr:uid="{00000000-0005-0000-0000-000029130000}"/>
    <cellStyle name="Calculation 7 2 2 2 2 5" xfId="13824" xr:uid="{00000000-0005-0000-0000-00002A130000}"/>
    <cellStyle name="Calculation 7 2 2 2 2 6" xfId="14553" xr:uid="{00000000-0005-0000-0000-00002B130000}"/>
    <cellStyle name="Calculation 7 2 2 2 2 7" xfId="15183" xr:uid="{00000000-0005-0000-0000-00002C130000}"/>
    <cellStyle name="Calculation 7 2 2 2 2 8" xfId="14526" xr:uid="{00000000-0005-0000-0000-00002D130000}"/>
    <cellStyle name="Calculation 7 2 2 2 2 9" xfId="17423" xr:uid="{00000000-0005-0000-0000-00002E130000}"/>
    <cellStyle name="Calculation 7 2 2 2 3" xfId="5099" xr:uid="{00000000-0005-0000-0000-00002F130000}"/>
    <cellStyle name="Calculation 7 2 2 2 3 2" xfId="10195" xr:uid="{00000000-0005-0000-0000-000030130000}"/>
    <cellStyle name="Calculation 7 2 2 2 3 2 2" xfId="15133" xr:uid="{00000000-0005-0000-0000-000031130000}"/>
    <cellStyle name="Calculation 7 2 2 2 3 2 3" xfId="14054" xr:uid="{00000000-0005-0000-0000-000032130000}"/>
    <cellStyle name="Calculation 7 2 2 2 3 2 4" xfId="14872" xr:uid="{00000000-0005-0000-0000-000033130000}"/>
    <cellStyle name="Calculation 7 2 2 2 3 2 5" xfId="12670" xr:uid="{00000000-0005-0000-0000-000034130000}"/>
    <cellStyle name="Calculation 7 2 2 2 3 2 6" xfId="16329" xr:uid="{00000000-0005-0000-0000-000035130000}"/>
    <cellStyle name="Calculation 7 2 2 2 3 3" xfId="11577" xr:uid="{00000000-0005-0000-0000-000036130000}"/>
    <cellStyle name="Calculation 7 2 2 2 3 3 2" xfId="15883" xr:uid="{00000000-0005-0000-0000-000037130000}"/>
    <cellStyle name="Calculation 7 2 2 2 3 3 3" xfId="16962" xr:uid="{00000000-0005-0000-0000-000038130000}"/>
    <cellStyle name="Calculation 7 2 2 2 3 3 4" xfId="17986" xr:uid="{00000000-0005-0000-0000-000039130000}"/>
    <cellStyle name="Calculation 7 2 2 2 3 3 5" xfId="18956" xr:uid="{00000000-0005-0000-0000-00003A130000}"/>
    <cellStyle name="Calculation 7 2 2 2 3 3 6" xfId="19862" xr:uid="{00000000-0005-0000-0000-00003B130000}"/>
    <cellStyle name="Calculation 7 2 2 2 3 4" xfId="11608" xr:uid="{00000000-0005-0000-0000-00003C130000}"/>
    <cellStyle name="Calculation 7 2 2 2 3 4 2" xfId="15914" xr:uid="{00000000-0005-0000-0000-00003D130000}"/>
    <cellStyle name="Calculation 7 2 2 2 3 4 3" xfId="16993" xr:uid="{00000000-0005-0000-0000-00003E130000}"/>
    <cellStyle name="Calculation 7 2 2 2 3 4 4" xfId="18017" xr:uid="{00000000-0005-0000-0000-00003F130000}"/>
    <cellStyle name="Calculation 7 2 2 2 3 4 5" xfId="18987" xr:uid="{00000000-0005-0000-0000-000040130000}"/>
    <cellStyle name="Calculation 7 2 2 2 3 4 6" xfId="19893" xr:uid="{00000000-0005-0000-0000-000041130000}"/>
    <cellStyle name="Calculation 7 2 2 2 3 5" xfId="13453" xr:uid="{00000000-0005-0000-0000-000042130000}"/>
    <cellStyle name="Calculation 7 2 2 2 3 6" xfId="15352" xr:uid="{00000000-0005-0000-0000-000043130000}"/>
    <cellStyle name="Calculation 7 2 2 2 3 7" xfId="16434" xr:uid="{00000000-0005-0000-0000-000044130000}"/>
    <cellStyle name="Calculation 7 2 2 2 3 8" xfId="14338" xr:uid="{00000000-0005-0000-0000-000045130000}"/>
    <cellStyle name="Calculation 7 2 2 2 3 9" xfId="18447" xr:uid="{00000000-0005-0000-0000-000046130000}"/>
    <cellStyle name="Calculation 7 2 2 2 4" xfId="7794" xr:uid="{00000000-0005-0000-0000-000047130000}"/>
    <cellStyle name="Calculation 7 2 2 2 4 2" xfId="14445" xr:uid="{00000000-0005-0000-0000-000048130000}"/>
    <cellStyle name="Calculation 7 2 2 2 4 3" xfId="13511" xr:uid="{00000000-0005-0000-0000-000049130000}"/>
    <cellStyle name="Calculation 7 2 2 2 4 4" xfId="14168" xr:uid="{00000000-0005-0000-0000-00004A130000}"/>
    <cellStyle name="Calculation 7 2 2 2 4 5" xfId="12024" xr:uid="{00000000-0005-0000-0000-00004B130000}"/>
    <cellStyle name="Calculation 7 2 2 2 4 6" xfId="14376" xr:uid="{00000000-0005-0000-0000-00004C130000}"/>
    <cellStyle name="Calculation 7 2 2 2 5" xfId="11377" xr:uid="{00000000-0005-0000-0000-00004D130000}"/>
    <cellStyle name="Calculation 7 2 2 2 5 2" xfId="15683" xr:uid="{00000000-0005-0000-0000-00004E130000}"/>
    <cellStyle name="Calculation 7 2 2 2 5 3" xfId="16762" xr:uid="{00000000-0005-0000-0000-00004F130000}"/>
    <cellStyle name="Calculation 7 2 2 2 5 4" xfId="17791" xr:uid="{00000000-0005-0000-0000-000050130000}"/>
    <cellStyle name="Calculation 7 2 2 2 5 5" xfId="18761" xr:uid="{00000000-0005-0000-0000-000051130000}"/>
    <cellStyle name="Calculation 7 2 2 2 5 6" xfId="19667" xr:uid="{00000000-0005-0000-0000-000052130000}"/>
    <cellStyle name="Calculation 7 2 2 2 6" xfId="11622" xr:uid="{00000000-0005-0000-0000-000053130000}"/>
    <cellStyle name="Calculation 7 2 2 2 6 2" xfId="15928" xr:uid="{00000000-0005-0000-0000-000054130000}"/>
    <cellStyle name="Calculation 7 2 2 2 6 3" xfId="17007" xr:uid="{00000000-0005-0000-0000-000055130000}"/>
    <cellStyle name="Calculation 7 2 2 2 6 4" xfId="18031" xr:uid="{00000000-0005-0000-0000-000056130000}"/>
    <cellStyle name="Calculation 7 2 2 2 6 5" xfId="19001" xr:uid="{00000000-0005-0000-0000-000057130000}"/>
    <cellStyle name="Calculation 7 2 2 2 6 6" xfId="19907" xr:uid="{00000000-0005-0000-0000-000058130000}"/>
    <cellStyle name="Calculation 7 2 2 2 7" xfId="12748" xr:uid="{00000000-0005-0000-0000-000059130000}"/>
    <cellStyle name="Calculation 7 2 2 2 8" xfId="12063" xr:uid="{00000000-0005-0000-0000-00005A130000}"/>
    <cellStyle name="Calculation 7 2 2 2 9" xfId="14683" xr:uid="{00000000-0005-0000-0000-00005B130000}"/>
    <cellStyle name="Calculation 7 2 2 3" xfId="3916" xr:uid="{00000000-0005-0000-0000-00005C130000}"/>
    <cellStyle name="Calculation 7 2 2 3 2" xfId="9015" xr:uid="{00000000-0005-0000-0000-00005D130000}"/>
    <cellStyle name="Calculation 7 2 2 3 2 2" xfId="14793" xr:uid="{00000000-0005-0000-0000-00005E130000}"/>
    <cellStyle name="Calculation 7 2 2 3 2 3" xfId="12658" xr:uid="{00000000-0005-0000-0000-00005F130000}"/>
    <cellStyle name="Calculation 7 2 2 3 2 4" xfId="12932" xr:uid="{00000000-0005-0000-0000-000060130000}"/>
    <cellStyle name="Calculation 7 2 2 3 2 5" xfId="13582" xr:uid="{00000000-0005-0000-0000-000061130000}"/>
    <cellStyle name="Calculation 7 2 2 3 2 6" xfId="12145" xr:uid="{00000000-0005-0000-0000-000062130000}"/>
    <cellStyle name="Calculation 7 2 2 3 3" xfId="11483" xr:uid="{00000000-0005-0000-0000-000063130000}"/>
    <cellStyle name="Calculation 7 2 2 3 3 2" xfId="15789" xr:uid="{00000000-0005-0000-0000-000064130000}"/>
    <cellStyle name="Calculation 7 2 2 3 3 3" xfId="16868" xr:uid="{00000000-0005-0000-0000-000065130000}"/>
    <cellStyle name="Calculation 7 2 2 3 3 4" xfId="17894" xr:uid="{00000000-0005-0000-0000-000066130000}"/>
    <cellStyle name="Calculation 7 2 2 3 3 5" xfId="18864" xr:uid="{00000000-0005-0000-0000-000067130000}"/>
    <cellStyle name="Calculation 7 2 2 3 3 6" xfId="19770" xr:uid="{00000000-0005-0000-0000-000068130000}"/>
    <cellStyle name="Calculation 7 2 2 3 4" xfId="6176" xr:uid="{00000000-0005-0000-0000-000069130000}"/>
    <cellStyle name="Calculation 7 2 2 3 4 2" xfId="13908" xr:uid="{00000000-0005-0000-0000-00006A130000}"/>
    <cellStyle name="Calculation 7 2 2 3 4 3" xfId="13202" xr:uid="{00000000-0005-0000-0000-00006B130000}"/>
    <cellStyle name="Calculation 7 2 2 3 4 4" xfId="12895" xr:uid="{00000000-0005-0000-0000-00006C130000}"/>
    <cellStyle name="Calculation 7 2 2 3 4 5" xfId="12701" xr:uid="{00000000-0005-0000-0000-00006D130000}"/>
    <cellStyle name="Calculation 7 2 2 3 4 6" xfId="14152" xr:uid="{00000000-0005-0000-0000-00006E130000}"/>
    <cellStyle name="Calculation 7 2 2 3 5" xfId="13105" xr:uid="{00000000-0005-0000-0000-00006F130000}"/>
    <cellStyle name="Calculation 7 2 2 3 6" xfId="13256" xr:uid="{00000000-0005-0000-0000-000070130000}"/>
    <cellStyle name="Calculation 7 2 2 3 7" xfId="14933" xr:uid="{00000000-0005-0000-0000-000071130000}"/>
    <cellStyle name="Calculation 7 2 2 3 8" xfId="12568" xr:uid="{00000000-0005-0000-0000-000072130000}"/>
    <cellStyle name="Calculation 7 2 2 3 9" xfId="17436" xr:uid="{00000000-0005-0000-0000-000073130000}"/>
    <cellStyle name="Calculation 7 2 3" xfId="2639" xr:uid="{00000000-0005-0000-0000-000074130000}"/>
    <cellStyle name="Calculation 7 2 3 10" xfId="14579" xr:uid="{00000000-0005-0000-0000-000075130000}"/>
    <cellStyle name="Calculation 7 2 3 2" xfId="6055" xr:uid="{00000000-0005-0000-0000-000076130000}"/>
    <cellStyle name="Calculation 7 2 3 2 2" xfId="11151" xr:uid="{00000000-0005-0000-0000-000077130000}"/>
    <cellStyle name="Calculation 7 2 3 2 2 2" xfId="15457" xr:uid="{00000000-0005-0000-0000-000078130000}"/>
    <cellStyle name="Calculation 7 2 3 2 2 3" xfId="16536" xr:uid="{00000000-0005-0000-0000-000079130000}"/>
    <cellStyle name="Calculation 7 2 3 2 2 4" xfId="17570" xr:uid="{00000000-0005-0000-0000-00007A130000}"/>
    <cellStyle name="Calculation 7 2 3 2 2 5" xfId="18540" xr:uid="{00000000-0005-0000-0000-00007B130000}"/>
    <cellStyle name="Calculation 7 2 3 2 2 6" xfId="19446" xr:uid="{00000000-0005-0000-0000-00007C130000}"/>
    <cellStyle name="Calculation 7 2 3 2 3" xfId="11733" xr:uid="{00000000-0005-0000-0000-00007D130000}"/>
    <cellStyle name="Calculation 7 2 3 2 3 2" xfId="16039" xr:uid="{00000000-0005-0000-0000-00007E130000}"/>
    <cellStyle name="Calculation 7 2 3 2 3 3" xfId="17118" xr:uid="{00000000-0005-0000-0000-00007F130000}"/>
    <cellStyle name="Calculation 7 2 3 2 3 4" xfId="18140" xr:uid="{00000000-0005-0000-0000-000080130000}"/>
    <cellStyle name="Calculation 7 2 3 2 3 5" xfId="19110" xr:uid="{00000000-0005-0000-0000-000081130000}"/>
    <cellStyle name="Calculation 7 2 3 2 3 6" xfId="20016" xr:uid="{00000000-0005-0000-0000-000082130000}"/>
    <cellStyle name="Calculation 7 2 3 2 4" xfId="11905" xr:uid="{00000000-0005-0000-0000-000083130000}"/>
    <cellStyle name="Calculation 7 2 3 2 4 2" xfId="16211" xr:uid="{00000000-0005-0000-0000-000084130000}"/>
    <cellStyle name="Calculation 7 2 3 2 4 3" xfId="17290" xr:uid="{00000000-0005-0000-0000-000085130000}"/>
    <cellStyle name="Calculation 7 2 3 2 4 4" xfId="18308" xr:uid="{00000000-0005-0000-0000-000086130000}"/>
    <cellStyle name="Calculation 7 2 3 2 4 5" xfId="19278" xr:uid="{00000000-0005-0000-0000-000087130000}"/>
    <cellStyle name="Calculation 7 2 3 2 4 6" xfId="20184" xr:uid="{00000000-0005-0000-0000-000088130000}"/>
    <cellStyle name="Calculation 7 2 3 2 5" xfId="13788" xr:uid="{00000000-0005-0000-0000-000089130000}"/>
    <cellStyle name="Calculation 7 2 3 2 6" xfId="12592" xr:uid="{00000000-0005-0000-0000-00008A130000}"/>
    <cellStyle name="Calculation 7 2 3 2 7" xfId="12505" xr:uid="{00000000-0005-0000-0000-00008B130000}"/>
    <cellStyle name="Calculation 7 2 3 2 8" xfId="17477" xr:uid="{00000000-0005-0000-0000-00008C130000}"/>
    <cellStyle name="Calculation 7 2 3 2 9" xfId="13435" xr:uid="{00000000-0005-0000-0000-00008D130000}"/>
    <cellStyle name="Calculation 7 2 3 3" xfId="7742" xr:uid="{00000000-0005-0000-0000-00008E130000}"/>
    <cellStyle name="Calculation 7 2 3 3 2" xfId="14408" xr:uid="{00000000-0005-0000-0000-00008F130000}"/>
    <cellStyle name="Calculation 7 2 3 3 3" xfId="13972" xr:uid="{00000000-0005-0000-0000-000090130000}"/>
    <cellStyle name="Calculation 7 2 3 3 4" xfId="14130" xr:uid="{00000000-0005-0000-0000-000091130000}"/>
    <cellStyle name="Calculation 7 2 3 3 5" xfId="16435" xr:uid="{00000000-0005-0000-0000-000092130000}"/>
    <cellStyle name="Calculation 7 2 3 3 6" xfId="12792" xr:uid="{00000000-0005-0000-0000-000093130000}"/>
    <cellStyle name="Calculation 7 2 3 4" xfId="11341" xr:uid="{00000000-0005-0000-0000-000094130000}"/>
    <cellStyle name="Calculation 7 2 3 4 2" xfId="15647" xr:uid="{00000000-0005-0000-0000-000095130000}"/>
    <cellStyle name="Calculation 7 2 3 4 3" xfId="16726" xr:uid="{00000000-0005-0000-0000-000096130000}"/>
    <cellStyle name="Calculation 7 2 3 4 4" xfId="17755" xr:uid="{00000000-0005-0000-0000-000097130000}"/>
    <cellStyle name="Calculation 7 2 3 4 5" xfId="18725" xr:uid="{00000000-0005-0000-0000-000098130000}"/>
    <cellStyle name="Calculation 7 2 3 4 6" xfId="19631" xr:uid="{00000000-0005-0000-0000-000099130000}"/>
    <cellStyle name="Calculation 7 2 3 5" xfId="11625" xr:uid="{00000000-0005-0000-0000-00009A130000}"/>
    <cellStyle name="Calculation 7 2 3 5 2" xfId="15931" xr:uid="{00000000-0005-0000-0000-00009B130000}"/>
    <cellStyle name="Calculation 7 2 3 5 3" xfId="17010" xr:uid="{00000000-0005-0000-0000-00009C130000}"/>
    <cellStyle name="Calculation 7 2 3 5 4" xfId="18034" xr:uid="{00000000-0005-0000-0000-00009D130000}"/>
    <cellStyle name="Calculation 7 2 3 5 5" xfId="19004" xr:uid="{00000000-0005-0000-0000-00009E130000}"/>
    <cellStyle name="Calculation 7 2 3 5 6" xfId="19910" xr:uid="{00000000-0005-0000-0000-00009F130000}"/>
    <cellStyle name="Calculation 7 2 3 6" xfId="12709" xr:uid="{00000000-0005-0000-0000-0000A0130000}"/>
    <cellStyle name="Calculation 7 2 3 7" xfId="12247" xr:uid="{00000000-0005-0000-0000-0000A1130000}"/>
    <cellStyle name="Calculation 7 2 3 8" xfId="12552" xr:uid="{00000000-0005-0000-0000-0000A2130000}"/>
    <cellStyle name="Calculation 7 2 3 9" xfId="12356" xr:uid="{00000000-0005-0000-0000-0000A3130000}"/>
    <cellStyle name="Calculation 7 2 4" xfId="5980" xr:uid="{00000000-0005-0000-0000-0000A4130000}"/>
    <cellStyle name="Calculation 7 2 4 2" xfId="11076" xr:uid="{00000000-0005-0000-0000-0000A5130000}"/>
    <cellStyle name="Calculation 7 2 4 2 2" xfId="15382" xr:uid="{00000000-0005-0000-0000-0000A6130000}"/>
    <cellStyle name="Calculation 7 2 4 2 3" xfId="16461" xr:uid="{00000000-0005-0000-0000-0000A7130000}"/>
    <cellStyle name="Calculation 7 2 4 2 4" xfId="17496" xr:uid="{00000000-0005-0000-0000-0000A8130000}"/>
    <cellStyle name="Calculation 7 2 4 2 5" xfId="18466" xr:uid="{00000000-0005-0000-0000-0000A9130000}"/>
    <cellStyle name="Calculation 7 2 4 2 6" xfId="19372" xr:uid="{00000000-0005-0000-0000-0000AA130000}"/>
    <cellStyle name="Calculation 7 2 4 3" xfId="11658" xr:uid="{00000000-0005-0000-0000-0000AB130000}"/>
    <cellStyle name="Calculation 7 2 4 3 2" xfId="15964" xr:uid="{00000000-0005-0000-0000-0000AC130000}"/>
    <cellStyle name="Calculation 7 2 4 3 3" xfId="17043" xr:uid="{00000000-0005-0000-0000-0000AD130000}"/>
    <cellStyle name="Calculation 7 2 4 3 4" xfId="18066" xr:uid="{00000000-0005-0000-0000-0000AE130000}"/>
    <cellStyle name="Calculation 7 2 4 3 5" xfId="19036" xr:uid="{00000000-0005-0000-0000-0000AF130000}"/>
    <cellStyle name="Calculation 7 2 4 3 6" xfId="19942" xr:uid="{00000000-0005-0000-0000-0000B0130000}"/>
    <cellStyle name="Calculation 7 2 4 4" xfId="11830" xr:uid="{00000000-0005-0000-0000-0000B1130000}"/>
    <cellStyle name="Calculation 7 2 4 4 2" xfId="16136" xr:uid="{00000000-0005-0000-0000-0000B2130000}"/>
    <cellStyle name="Calculation 7 2 4 4 3" xfId="17215" xr:uid="{00000000-0005-0000-0000-0000B3130000}"/>
    <cellStyle name="Calculation 7 2 4 4 4" xfId="18234" xr:uid="{00000000-0005-0000-0000-0000B4130000}"/>
    <cellStyle name="Calculation 7 2 4 4 5" xfId="19204" xr:uid="{00000000-0005-0000-0000-0000B5130000}"/>
    <cellStyle name="Calculation 7 2 4 4 6" xfId="20110" xr:uid="{00000000-0005-0000-0000-0000B6130000}"/>
    <cellStyle name="Calculation 7 2 4 5" xfId="13713" xr:uid="{00000000-0005-0000-0000-0000B7130000}"/>
    <cellStyle name="Calculation 7 2 4 6" xfId="12384" xr:uid="{00000000-0005-0000-0000-0000B8130000}"/>
    <cellStyle name="Calculation 7 2 4 7" xfId="12536" xr:uid="{00000000-0005-0000-0000-0000B9130000}"/>
    <cellStyle name="Calculation 7 2 4 8" xfId="17420" xr:uid="{00000000-0005-0000-0000-0000BA130000}"/>
    <cellStyle name="Calculation 7 2 4 9" xfId="13071" xr:uid="{00000000-0005-0000-0000-0000BB130000}"/>
    <cellStyle name="Calculation 7 2 5" xfId="6486" xr:uid="{00000000-0005-0000-0000-0000BC130000}"/>
    <cellStyle name="Calculation 7 2 5 2" xfId="13999" xr:uid="{00000000-0005-0000-0000-0000BD130000}"/>
    <cellStyle name="Calculation 7 2 5 3" xfId="12364" xr:uid="{00000000-0005-0000-0000-0000BE130000}"/>
    <cellStyle name="Calculation 7 2 5 4" xfId="12957" xr:uid="{00000000-0005-0000-0000-0000BF130000}"/>
    <cellStyle name="Calculation 7 2 5 5" xfId="17402" xr:uid="{00000000-0005-0000-0000-0000C0130000}"/>
    <cellStyle name="Calculation 7 2 5 6" xfId="12431" xr:uid="{00000000-0005-0000-0000-0000C1130000}"/>
    <cellStyle name="Calculation 7 2 6" xfId="6705" xr:uid="{00000000-0005-0000-0000-0000C2130000}"/>
    <cellStyle name="Calculation 7 2 6 2" xfId="14101" xr:uid="{00000000-0005-0000-0000-0000C3130000}"/>
    <cellStyle name="Calculation 7 2 6 3" xfId="14113" xr:uid="{00000000-0005-0000-0000-0000C4130000}"/>
    <cellStyle name="Calculation 7 2 6 4" xfId="14525" xr:uid="{00000000-0005-0000-0000-0000C5130000}"/>
    <cellStyle name="Calculation 7 2 6 5" xfId="12695" xr:uid="{00000000-0005-0000-0000-0000C6130000}"/>
    <cellStyle name="Calculation 7 2 6 6" xfId="15375" xr:uid="{00000000-0005-0000-0000-0000C7130000}"/>
    <cellStyle name="Calculation 7 2 7" xfId="11646" xr:uid="{00000000-0005-0000-0000-0000C8130000}"/>
    <cellStyle name="Calculation 7 2 7 2" xfId="15952" xr:uid="{00000000-0005-0000-0000-0000C9130000}"/>
    <cellStyle name="Calculation 7 2 7 3" xfId="17031" xr:uid="{00000000-0005-0000-0000-0000CA130000}"/>
    <cellStyle name="Calculation 7 2 7 4" xfId="18055" xr:uid="{00000000-0005-0000-0000-0000CB130000}"/>
    <cellStyle name="Calculation 7 2 7 5" xfId="19025" xr:uid="{00000000-0005-0000-0000-0000CC130000}"/>
    <cellStyle name="Calculation 7 2 7 6" xfId="19931" xr:uid="{00000000-0005-0000-0000-0000CD130000}"/>
    <cellStyle name="Calculation 7 2 8" xfId="12201" xr:uid="{00000000-0005-0000-0000-0000CE130000}"/>
    <cellStyle name="Calculation 7 2 9" xfId="13371" xr:uid="{00000000-0005-0000-0000-0000CF130000}"/>
    <cellStyle name="Calculation 8" xfId="335" xr:uid="{00000000-0005-0000-0000-0000D0130000}"/>
    <cellStyle name="Calculation 8 2" xfId="1010" xr:uid="{00000000-0005-0000-0000-0000D1130000}"/>
    <cellStyle name="Calculation 8 2 10" xfId="14977" xr:uid="{00000000-0005-0000-0000-0000D2130000}"/>
    <cellStyle name="Calculation 8 2 11" xfId="12928" xr:uid="{00000000-0005-0000-0000-0000D3130000}"/>
    <cellStyle name="Calculation 8 2 12" xfId="17452" xr:uid="{00000000-0005-0000-0000-0000D4130000}"/>
    <cellStyle name="Calculation 8 2 2" xfId="1102" xr:uid="{00000000-0005-0000-0000-0000D5130000}"/>
    <cellStyle name="Calculation 8 2 2 2" xfId="2692" xr:uid="{00000000-0005-0000-0000-0000D6130000}"/>
    <cellStyle name="Calculation 8 2 2 2 10" xfId="12654" xr:uid="{00000000-0005-0000-0000-0000D7130000}"/>
    <cellStyle name="Calculation 8 2 2 2 11" xfId="14616" xr:uid="{00000000-0005-0000-0000-0000D8130000}"/>
    <cellStyle name="Calculation 8 2 2 2 2" xfId="6092" xr:uid="{00000000-0005-0000-0000-0000D9130000}"/>
    <cellStyle name="Calculation 8 2 2 2 2 2" xfId="11188" xr:uid="{00000000-0005-0000-0000-0000DA130000}"/>
    <cellStyle name="Calculation 8 2 2 2 2 2 2" xfId="15494" xr:uid="{00000000-0005-0000-0000-0000DB130000}"/>
    <cellStyle name="Calculation 8 2 2 2 2 2 3" xfId="16573" xr:uid="{00000000-0005-0000-0000-0000DC130000}"/>
    <cellStyle name="Calculation 8 2 2 2 2 2 4" xfId="17607" xr:uid="{00000000-0005-0000-0000-0000DD130000}"/>
    <cellStyle name="Calculation 8 2 2 2 2 2 5" xfId="18577" xr:uid="{00000000-0005-0000-0000-0000DE130000}"/>
    <cellStyle name="Calculation 8 2 2 2 2 2 6" xfId="19483" xr:uid="{00000000-0005-0000-0000-0000DF130000}"/>
    <cellStyle name="Calculation 8 2 2 2 2 3" xfId="11770" xr:uid="{00000000-0005-0000-0000-0000E0130000}"/>
    <cellStyle name="Calculation 8 2 2 2 2 3 2" xfId="16076" xr:uid="{00000000-0005-0000-0000-0000E1130000}"/>
    <cellStyle name="Calculation 8 2 2 2 2 3 3" xfId="17155" xr:uid="{00000000-0005-0000-0000-0000E2130000}"/>
    <cellStyle name="Calculation 8 2 2 2 2 3 4" xfId="18177" xr:uid="{00000000-0005-0000-0000-0000E3130000}"/>
    <cellStyle name="Calculation 8 2 2 2 2 3 5" xfId="19147" xr:uid="{00000000-0005-0000-0000-0000E4130000}"/>
    <cellStyle name="Calculation 8 2 2 2 2 3 6" xfId="20053" xr:uid="{00000000-0005-0000-0000-0000E5130000}"/>
    <cellStyle name="Calculation 8 2 2 2 2 4" xfId="11942" xr:uid="{00000000-0005-0000-0000-0000E6130000}"/>
    <cellStyle name="Calculation 8 2 2 2 2 4 2" xfId="16248" xr:uid="{00000000-0005-0000-0000-0000E7130000}"/>
    <cellStyle name="Calculation 8 2 2 2 2 4 3" xfId="17327" xr:uid="{00000000-0005-0000-0000-0000E8130000}"/>
    <cellStyle name="Calculation 8 2 2 2 2 4 4" xfId="18345" xr:uid="{00000000-0005-0000-0000-0000E9130000}"/>
    <cellStyle name="Calculation 8 2 2 2 2 4 5" xfId="19315" xr:uid="{00000000-0005-0000-0000-0000EA130000}"/>
    <cellStyle name="Calculation 8 2 2 2 2 4 6" xfId="20221" xr:uid="{00000000-0005-0000-0000-0000EB130000}"/>
    <cellStyle name="Calculation 8 2 2 2 2 5" xfId="13825" xr:uid="{00000000-0005-0000-0000-0000EC130000}"/>
    <cellStyle name="Calculation 8 2 2 2 2 6" xfId="15230" xr:uid="{00000000-0005-0000-0000-0000ED130000}"/>
    <cellStyle name="Calculation 8 2 2 2 2 7" xfId="16342" xr:uid="{00000000-0005-0000-0000-0000EE130000}"/>
    <cellStyle name="Calculation 8 2 2 2 2 8" xfId="12783" xr:uid="{00000000-0005-0000-0000-0000EF130000}"/>
    <cellStyle name="Calculation 8 2 2 2 2 9" xfId="14379" xr:uid="{00000000-0005-0000-0000-0000F0130000}"/>
    <cellStyle name="Calculation 8 2 2 2 3" xfId="5100" xr:uid="{00000000-0005-0000-0000-0000F1130000}"/>
    <cellStyle name="Calculation 8 2 2 2 3 2" xfId="10196" xr:uid="{00000000-0005-0000-0000-0000F2130000}"/>
    <cellStyle name="Calculation 8 2 2 2 3 2 2" xfId="15134" xr:uid="{00000000-0005-0000-0000-0000F3130000}"/>
    <cellStyle name="Calculation 8 2 2 2 3 2 3" xfId="14828" xr:uid="{00000000-0005-0000-0000-0000F4130000}"/>
    <cellStyle name="Calculation 8 2 2 2 3 2 4" xfId="13154" xr:uid="{00000000-0005-0000-0000-0000F5130000}"/>
    <cellStyle name="Calculation 8 2 2 2 3 2 5" xfId="14641" xr:uid="{00000000-0005-0000-0000-0000F6130000}"/>
    <cellStyle name="Calculation 8 2 2 2 3 2 6" xfId="14271" xr:uid="{00000000-0005-0000-0000-0000F7130000}"/>
    <cellStyle name="Calculation 8 2 2 2 3 3" xfId="11578" xr:uid="{00000000-0005-0000-0000-0000F8130000}"/>
    <cellStyle name="Calculation 8 2 2 2 3 3 2" xfId="15884" xr:uid="{00000000-0005-0000-0000-0000F9130000}"/>
    <cellStyle name="Calculation 8 2 2 2 3 3 3" xfId="16963" xr:uid="{00000000-0005-0000-0000-0000FA130000}"/>
    <cellStyle name="Calculation 8 2 2 2 3 3 4" xfId="17987" xr:uid="{00000000-0005-0000-0000-0000FB130000}"/>
    <cellStyle name="Calculation 8 2 2 2 3 3 5" xfId="18957" xr:uid="{00000000-0005-0000-0000-0000FC130000}"/>
    <cellStyle name="Calculation 8 2 2 2 3 3 6" xfId="19863" xr:uid="{00000000-0005-0000-0000-0000FD130000}"/>
    <cellStyle name="Calculation 8 2 2 2 3 4" xfId="11414" xr:uid="{00000000-0005-0000-0000-0000FE130000}"/>
    <cellStyle name="Calculation 8 2 2 2 3 4 2" xfId="15720" xr:uid="{00000000-0005-0000-0000-0000FF130000}"/>
    <cellStyle name="Calculation 8 2 2 2 3 4 3" xfId="16799" xr:uid="{00000000-0005-0000-0000-000000140000}"/>
    <cellStyle name="Calculation 8 2 2 2 3 4 4" xfId="17828" xr:uid="{00000000-0005-0000-0000-000001140000}"/>
    <cellStyle name="Calculation 8 2 2 2 3 4 5" xfId="18798" xr:uid="{00000000-0005-0000-0000-000002140000}"/>
    <cellStyle name="Calculation 8 2 2 2 3 4 6" xfId="19704" xr:uid="{00000000-0005-0000-0000-000003140000}"/>
    <cellStyle name="Calculation 8 2 2 2 3 5" xfId="13454" xr:uid="{00000000-0005-0000-0000-000004140000}"/>
    <cellStyle name="Calculation 8 2 2 2 3 6" xfId="13685" xr:uid="{00000000-0005-0000-0000-000005140000}"/>
    <cellStyle name="Calculation 8 2 2 2 3 7" xfId="14903" xr:uid="{00000000-0005-0000-0000-000006140000}"/>
    <cellStyle name="Calculation 8 2 2 2 3 8" xfId="12058" xr:uid="{00000000-0005-0000-0000-000007140000}"/>
    <cellStyle name="Calculation 8 2 2 2 3 9" xfId="17422" xr:uid="{00000000-0005-0000-0000-000008140000}"/>
    <cellStyle name="Calculation 8 2 2 2 4" xfId="7795" xr:uid="{00000000-0005-0000-0000-000009140000}"/>
    <cellStyle name="Calculation 8 2 2 2 4 2" xfId="14446" xr:uid="{00000000-0005-0000-0000-00000A140000}"/>
    <cellStyle name="Calculation 8 2 2 2 4 3" xfId="12814" xr:uid="{00000000-0005-0000-0000-00000B140000}"/>
    <cellStyle name="Calculation 8 2 2 2 4 4" xfId="12478" xr:uid="{00000000-0005-0000-0000-00000C140000}"/>
    <cellStyle name="Calculation 8 2 2 2 4 5" xfId="13023" xr:uid="{00000000-0005-0000-0000-00000D140000}"/>
    <cellStyle name="Calculation 8 2 2 2 4 6" xfId="13009" xr:uid="{00000000-0005-0000-0000-00000E140000}"/>
    <cellStyle name="Calculation 8 2 2 2 5" xfId="11378" xr:uid="{00000000-0005-0000-0000-00000F140000}"/>
    <cellStyle name="Calculation 8 2 2 2 5 2" xfId="15684" xr:uid="{00000000-0005-0000-0000-000010140000}"/>
    <cellStyle name="Calculation 8 2 2 2 5 3" xfId="16763" xr:uid="{00000000-0005-0000-0000-000011140000}"/>
    <cellStyle name="Calculation 8 2 2 2 5 4" xfId="17792" xr:uid="{00000000-0005-0000-0000-000012140000}"/>
    <cellStyle name="Calculation 8 2 2 2 5 5" xfId="18762" xr:uid="{00000000-0005-0000-0000-000013140000}"/>
    <cellStyle name="Calculation 8 2 2 2 5 6" xfId="19668" xr:uid="{00000000-0005-0000-0000-000014140000}"/>
    <cellStyle name="Calculation 8 2 2 2 6" xfId="11434" xr:uid="{00000000-0005-0000-0000-000015140000}"/>
    <cellStyle name="Calculation 8 2 2 2 6 2" xfId="15740" xr:uid="{00000000-0005-0000-0000-000016140000}"/>
    <cellStyle name="Calculation 8 2 2 2 6 3" xfId="16819" xr:uid="{00000000-0005-0000-0000-000017140000}"/>
    <cellStyle name="Calculation 8 2 2 2 6 4" xfId="17847" xr:uid="{00000000-0005-0000-0000-000018140000}"/>
    <cellStyle name="Calculation 8 2 2 2 6 5" xfId="18817" xr:uid="{00000000-0005-0000-0000-000019140000}"/>
    <cellStyle name="Calculation 8 2 2 2 6 6" xfId="19723" xr:uid="{00000000-0005-0000-0000-00001A140000}"/>
    <cellStyle name="Calculation 8 2 2 2 7" xfId="12749" xr:uid="{00000000-0005-0000-0000-00001B140000}"/>
    <cellStyle name="Calculation 8 2 2 2 8" xfId="12062" xr:uid="{00000000-0005-0000-0000-00001C140000}"/>
    <cellStyle name="Calculation 8 2 2 2 9" xfId="12574" xr:uid="{00000000-0005-0000-0000-00001D140000}"/>
    <cellStyle name="Calculation 8 2 2 3" xfId="3917" xr:uid="{00000000-0005-0000-0000-00001E140000}"/>
    <cellStyle name="Calculation 8 2 2 3 2" xfId="9016" xr:uid="{00000000-0005-0000-0000-00001F140000}"/>
    <cellStyle name="Calculation 8 2 2 3 2 2" xfId="14794" xr:uid="{00000000-0005-0000-0000-000020140000}"/>
    <cellStyle name="Calculation 8 2 2 3 2 3" xfId="12094" xr:uid="{00000000-0005-0000-0000-000021140000}"/>
    <cellStyle name="Calculation 8 2 2 3 2 4" xfId="13691" xr:uid="{00000000-0005-0000-0000-000022140000}"/>
    <cellStyle name="Calculation 8 2 2 3 2 5" xfId="12087" xr:uid="{00000000-0005-0000-0000-000023140000}"/>
    <cellStyle name="Calculation 8 2 2 3 2 6" xfId="12469" xr:uid="{00000000-0005-0000-0000-000024140000}"/>
    <cellStyle name="Calculation 8 2 2 3 3" xfId="11484" xr:uid="{00000000-0005-0000-0000-000025140000}"/>
    <cellStyle name="Calculation 8 2 2 3 3 2" xfId="15790" xr:uid="{00000000-0005-0000-0000-000026140000}"/>
    <cellStyle name="Calculation 8 2 2 3 3 3" xfId="16869" xr:uid="{00000000-0005-0000-0000-000027140000}"/>
    <cellStyle name="Calculation 8 2 2 3 3 4" xfId="17895" xr:uid="{00000000-0005-0000-0000-000028140000}"/>
    <cellStyle name="Calculation 8 2 2 3 3 5" xfId="18865" xr:uid="{00000000-0005-0000-0000-000029140000}"/>
    <cellStyle name="Calculation 8 2 2 3 3 6" xfId="19771" xr:uid="{00000000-0005-0000-0000-00002A140000}"/>
    <cellStyle name="Calculation 8 2 2 3 4" xfId="11249" xr:uid="{00000000-0005-0000-0000-00002B140000}"/>
    <cellStyle name="Calculation 8 2 2 3 4 2" xfId="15555" xr:uid="{00000000-0005-0000-0000-00002C140000}"/>
    <cellStyle name="Calculation 8 2 2 3 4 3" xfId="16634" xr:uid="{00000000-0005-0000-0000-00002D140000}"/>
    <cellStyle name="Calculation 8 2 2 3 4 4" xfId="17666" xr:uid="{00000000-0005-0000-0000-00002E140000}"/>
    <cellStyle name="Calculation 8 2 2 3 4 5" xfId="18636" xr:uid="{00000000-0005-0000-0000-00002F140000}"/>
    <cellStyle name="Calculation 8 2 2 3 4 6" xfId="19542" xr:uid="{00000000-0005-0000-0000-000030140000}"/>
    <cellStyle name="Calculation 8 2 2 3 5" xfId="13106" xr:uid="{00000000-0005-0000-0000-000031140000}"/>
    <cellStyle name="Calculation 8 2 2 3 6" xfId="14602" xr:uid="{00000000-0005-0000-0000-000032140000}"/>
    <cellStyle name="Calculation 8 2 2 3 7" xfId="12805" xr:uid="{00000000-0005-0000-0000-000033140000}"/>
    <cellStyle name="Calculation 8 2 2 3 8" xfId="13007" xr:uid="{00000000-0005-0000-0000-000034140000}"/>
    <cellStyle name="Calculation 8 2 2 3 9" xfId="13316" xr:uid="{00000000-0005-0000-0000-000035140000}"/>
    <cellStyle name="Calculation 8 2 3" xfId="2640" xr:uid="{00000000-0005-0000-0000-000036140000}"/>
    <cellStyle name="Calculation 8 2 3 10" xfId="12092" xr:uid="{00000000-0005-0000-0000-000037140000}"/>
    <cellStyle name="Calculation 8 2 3 2" xfId="6056" xr:uid="{00000000-0005-0000-0000-000038140000}"/>
    <cellStyle name="Calculation 8 2 3 2 2" xfId="11152" xr:uid="{00000000-0005-0000-0000-000039140000}"/>
    <cellStyle name="Calculation 8 2 3 2 2 2" xfId="15458" xr:uid="{00000000-0005-0000-0000-00003A140000}"/>
    <cellStyle name="Calculation 8 2 3 2 2 3" xfId="16537" xr:uid="{00000000-0005-0000-0000-00003B140000}"/>
    <cellStyle name="Calculation 8 2 3 2 2 4" xfId="17571" xr:uid="{00000000-0005-0000-0000-00003C140000}"/>
    <cellStyle name="Calculation 8 2 3 2 2 5" xfId="18541" xr:uid="{00000000-0005-0000-0000-00003D140000}"/>
    <cellStyle name="Calculation 8 2 3 2 2 6" xfId="19447" xr:uid="{00000000-0005-0000-0000-00003E140000}"/>
    <cellStyle name="Calculation 8 2 3 2 3" xfId="11734" xr:uid="{00000000-0005-0000-0000-00003F140000}"/>
    <cellStyle name="Calculation 8 2 3 2 3 2" xfId="16040" xr:uid="{00000000-0005-0000-0000-000040140000}"/>
    <cellStyle name="Calculation 8 2 3 2 3 3" xfId="17119" xr:uid="{00000000-0005-0000-0000-000041140000}"/>
    <cellStyle name="Calculation 8 2 3 2 3 4" xfId="18141" xr:uid="{00000000-0005-0000-0000-000042140000}"/>
    <cellStyle name="Calculation 8 2 3 2 3 5" xfId="19111" xr:uid="{00000000-0005-0000-0000-000043140000}"/>
    <cellStyle name="Calculation 8 2 3 2 3 6" xfId="20017" xr:uid="{00000000-0005-0000-0000-000044140000}"/>
    <cellStyle name="Calculation 8 2 3 2 4" xfId="11906" xr:uid="{00000000-0005-0000-0000-000045140000}"/>
    <cellStyle name="Calculation 8 2 3 2 4 2" xfId="16212" xr:uid="{00000000-0005-0000-0000-000046140000}"/>
    <cellStyle name="Calculation 8 2 3 2 4 3" xfId="17291" xr:uid="{00000000-0005-0000-0000-000047140000}"/>
    <cellStyle name="Calculation 8 2 3 2 4 4" xfId="18309" xr:uid="{00000000-0005-0000-0000-000048140000}"/>
    <cellStyle name="Calculation 8 2 3 2 4 5" xfId="19279" xr:uid="{00000000-0005-0000-0000-000049140000}"/>
    <cellStyle name="Calculation 8 2 3 2 4 6" xfId="20185" xr:uid="{00000000-0005-0000-0000-00004A140000}"/>
    <cellStyle name="Calculation 8 2 3 2 5" xfId="13789" xr:uid="{00000000-0005-0000-0000-00004B140000}"/>
    <cellStyle name="Calculation 8 2 3 2 6" xfId="14289" xr:uid="{00000000-0005-0000-0000-00004C140000}"/>
    <cellStyle name="Calculation 8 2 3 2 7" xfId="14330" xr:uid="{00000000-0005-0000-0000-00004D140000}"/>
    <cellStyle name="Calculation 8 2 3 2 8" xfId="14185" xr:uid="{00000000-0005-0000-0000-00004E140000}"/>
    <cellStyle name="Calculation 8 2 3 2 9" xfId="12025" xr:uid="{00000000-0005-0000-0000-00004F140000}"/>
    <cellStyle name="Calculation 8 2 3 3" xfId="7743" xr:uid="{00000000-0005-0000-0000-000050140000}"/>
    <cellStyle name="Calculation 8 2 3 3 2" xfId="14409" xr:uid="{00000000-0005-0000-0000-000051140000}"/>
    <cellStyle name="Calculation 8 2 3 3 3" xfId="14768" xr:uid="{00000000-0005-0000-0000-000052140000}"/>
    <cellStyle name="Calculation 8 2 3 3 4" xfId="12114" xr:uid="{00000000-0005-0000-0000-000053140000}"/>
    <cellStyle name="Calculation 8 2 3 3 5" xfId="12170" xr:uid="{00000000-0005-0000-0000-000054140000}"/>
    <cellStyle name="Calculation 8 2 3 3 6" xfId="14952" xr:uid="{00000000-0005-0000-0000-000055140000}"/>
    <cellStyle name="Calculation 8 2 3 4" xfId="11342" xr:uid="{00000000-0005-0000-0000-000056140000}"/>
    <cellStyle name="Calculation 8 2 3 4 2" xfId="15648" xr:uid="{00000000-0005-0000-0000-000057140000}"/>
    <cellStyle name="Calculation 8 2 3 4 3" xfId="16727" xr:uid="{00000000-0005-0000-0000-000058140000}"/>
    <cellStyle name="Calculation 8 2 3 4 4" xfId="17756" xr:uid="{00000000-0005-0000-0000-000059140000}"/>
    <cellStyle name="Calculation 8 2 3 4 5" xfId="18726" xr:uid="{00000000-0005-0000-0000-00005A140000}"/>
    <cellStyle name="Calculation 8 2 3 4 6" xfId="19632" xr:uid="{00000000-0005-0000-0000-00005B140000}"/>
    <cellStyle name="Calculation 8 2 3 5" xfId="11437" xr:uid="{00000000-0005-0000-0000-00005C140000}"/>
    <cellStyle name="Calculation 8 2 3 5 2" xfId="15743" xr:uid="{00000000-0005-0000-0000-00005D140000}"/>
    <cellStyle name="Calculation 8 2 3 5 3" xfId="16822" xr:uid="{00000000-0005-0000-0000-00005E140000}"/>
    <cellStyle name="Calculation 8 2 3 5 4" xfId="17850" xr:uid="{00000000-0005-0000-0000-00005F140000}"/>
    <cellStyle name="Calculation 8 2 3 5 5" xfId="18820" xr:uid="{00000000-0005-0000-0000-000060140000}"/>
    <cellStyle name="Calculation 8 2 3 5 6" xfId="19726" xr:uid="{00000000-0005-0000-0000-000061140000}"/>
    <cellStyle name="Calculation 8 2 3 6" xfId="12710" xr:uid="{00000000-0005-0000-0000-000062140000}"/>
    <cellStyle name="Calculation 8 2 3 7" xfId="12240" xr:uid="{00000000-0005-0000-0000-000063140000}"/>
    <cellStyle name="Calculation 8 2 3 8" xfId="14361" xr:uid="{00000000-0005-0000-0000-000064140000}"/>
    <cellStyle name="Calculation 8 2 3 9" xfId="16387" xr:uid="{00000000-0005-0000-0000-000065140000}"/>
    <cellStyle name="Calculation 8 2 4" xfId="5981" xr:uid="{00000000-0005-0000-0000-000066140000}"/>
    <cellStyle name="Calculation 8 2 4 2" xfId="11077" xr:uid="{00000000-0005-0000-0000-000067140000}"/>
    <cellStyle name="Calculation 8 2 4 2 2" xfId="15383" xr:uid="{00000000-0005-0000-0000-000068140000}"/>
    <cellStyle name="Calculation 8 2 4 2 3" xfId="16462" xr:uid="{00000000-0005-0000-0000-000069140000}"/>
    <cellStyle name="Calculation 8 2 4 2 4" xfId="17497" xr:uid="{00000000-0005-0000-0000-00006A140000}"/>
    <cellStyle name="Calculation 8 2 4 2 5" xfId="18467" xr:uid="{00000000-0005-0000-0000-00006B140000}"/>
    <cellStyle name="Calculation 8 2 4 2 6" xfId="19373" xr:uid="{00000000-0005-0000-0000-00006C140000}"/>
    <cellStyle name="Calculation 8 2 4 3" xfId="11659" xr:uid="{00000000-0005-0000-0000-00006D140000}"/>
    <cellStyle name="Calculation 8 2 4 3 2" xfId="15965" xr:uid="{00000000-0005-0000-0000-00006E140000}"/>
    <cellStyle name="Calculation 8 2 4 3 3" xfId="17044" xr:uid="{00000000-0005-0000-0000-00006F140000}"/>
    <cellStyle name="Calculation 8 2 4 3 4" xfId="18067" xr:uid="{00000000-0005-0000-0000-000070140000}"/>
    <cellStyle name="Calculation 8 2 4 3 5" xfId="19037" xr:uid="{00000000-0005-0000-0000-000071140000}"/>
    <cellStyle name="Calculation 8 2 4 3 6" xfId="19943" xr:uid="{00000000-0005-0000-0000-000072140000}"/>
    <cellStyle name="Calculation 8 2 4 4" xfId="11831" xr:uid="{00000000-0005-0000-0000-000073140000}"/>
    <cellStyle name="Calculation 8 2 4 4 2" xfId="16137" xr:uid="{00000000-0005-0000-0000-000074140000}"/>
    <cellStyle name="Calculation 8 2 4 4 3" xfId="17216" xr:uid="{00000000-0005-0000-0000-000075140000}"/>
    <cellStyle name="Calculation 8 2 4 4 4" xfId="18235" xr:uid="{00000000-0005-0000-0000-000076140000}"/>
    <cellStyle name="Calculation 8 2 4 4 5" xfId="19205" xr:uid="{00000000-0005-0000-0000-000077140000}"/>
    <cellStyle name="Calculation 8 2 4 4 6" xfId="20111" xr:uid="{00000000-0005-0000-0000-000078140000}"/>
    <cellStyle name="Calculation 8 2 4 5" xfId="13714" xr:uid="{00000000-0005-0000-0000-000079140000}"/>
    <cellStyle name="Calculation 8 2 4 6" xfId="12383" xr:uid="{00000000-0005-0000-0000-00007A140000}"/>
    <cellStyle name="Calculation 8 2 4 7" xfId="12956" xr:uid="{00000000-0005-0000-0000-00007B140000}"/>
    <cellStyle name="Calculation 8 2 4 8" xfId="13561" xr:uid="{00000000-0005-0000-0000-00007C140000}"/>
    <cellStyle name="Calculation 8 2 4 9" xfId="14298" xr:uid="{00000000-0005-0000-0000-00007D140000}"/>
    <cellStyle name="Calculation 8 2 5" xfId="6487" xr:uid="{00000000-0005-0000-0000-00007E140000}"/>
    <cellStyle name="Calculation 8 2 5 2" xfId="14000" xr:uid="{00000000-0005-0000-0000-00007F140000}"/>
    <cellStyle name="Calculation 8 2 5 3" xfId="14127" xr:uid="{00000000-0005-0000-0000-000080140000}"/>
    <cellStyle name="Calculation 8 2 5 4" xfId="15198" xr:uid="{00000000-0005-0000-0000-000081140000}"/>
    <cellStyle name="Calculation 8 2 5 5" xfId="13989" xr:uid="{00000000-0005-0000-0000-000082140000}"/>
    <cellStyle name="Calculation 8 2 5 6" xfId="15127" xr:uid="{00000000-0005-0000-0000-000083140000}"/>
    <cellStyle name="Calculation 8 2 6" xfId="6163" xr:uid="{00000000-0005-0000-0000-000084140000}"/>
    <cellStyle name="Calculation 8 2 6 2" xfId="13895" xr:uid="{00000000-0005-0000-0000-000085140000}"/>
    <cellStyle name="Calculation 8 2 6 3" xfId="15223" xr:uid="{00000000-0005-0000-0000-000086140000}"/>
    <cellStyle name="Calculation 8 2 6 4" xfId="16336" xr:uid="{00000000-0005-0000-0000-000087140000}"/>
    <cellStyle name="Calculation 8 2 6 5" xfId="12013" xr:uid="{00000000-0005-0000-0000-000088140000}"/>
    <cellStyle name="Calculation 8 2 6 6" xfId="12657" xr:uid="{00000000-0005-0000-0000-000089140000}"/>
    <cellStyle name="Calculation 8 2 7" xfId="11456" xr:uid="{00000000-0005-0000-0000-00008A140000}"/>
    <cellStyle name="Calculation 8 2 7 2" xfId="15762" xr:uid="{00000000-0005-0000-0000-00008B140000}"/>
    <cellStyle name="Calculation 8 2 7 3" xfId="16841" xr:uid="{00000000-0005-0000-0000-00008C140000}"/>
    <cellStyle name="Calculation 8 2 7 4" xfId="17869" xr:uid="{00000000-0005-0000-0000-00008D140000}"/>
    <cellStyle name="Calculation 8 2 7 5" xfId="18839" xr:uid="{00000000-0005-0000-0000-00008E140000}"/>
    <cellStyle name="Calculation 8 2 7 6" xfId="19745" xr:uid="{00000000-0005-0000-0000-00008F140000}"/>
    <cellStyle name="Calculation 8 2 8" xfId="12202" xr:uid="{00000000-0005-0000-0000-000090140000}"/>
    <cellStyle name="Calculation 8 2 9" xfId="12625" xr:uid="{00000000-0005-0000-0000-000091140000}"/>
    <cellStyle name="Calculation 9" xfId="903" xr:uid="{00000000-0005-0000-0000-000092140000}"/>
    <cellStyle name="Calculation in Model" xfId="1385" xr:uid="{00000000-0005-0000-0000-000093140000}"/>
    <cellStyle name="Calculation in Model 10" xfId="13616" xr:uid="{00000000-0005-0000-0000-000094140000}"/>
    <cellStyle name="Calculation in Model 11" xfId="13489" xr:uid="{00000000-0005-0000-0000-000095140000}"/>
    <cellStyle name="Calculation in Model 12" xfId="12976" xr:uid="{00000000-0005-0000-0000-000096140000}"/>
    <cellStyle name="Calculation in Model 2" xfId="2248" xr:uid="{00000000-0005-0000-0000-000097140000}"/>
    <cellStyle name="Calculation in Model 2 10" xfId="13395" xr:uid="{00000000-0005-0000-0000-000098140000}"/>
    <cellStyle name="Calculation in Model 2 11" xfId="15237" xr:uid="{00000000-0005-0000-0000-000099140000}"/>
    <cellStyle name="Calculation in Model 2 2" xfId="2571" xr:uid="{00000000-0005-0000-0000-00009A140000}"/>
    <cellStyle name="Calculation in Model 2 2 10" xfId="15295" xr:uid="{00000000-0005-0000-0000-00009B140000}"/>
    <cellStyle name="Calculation in Model 2 2 2" xfId="6049" xr:uid="{00000000-0005-0000-0000-00009C140000}"/>
    <cellStyle name="Calculation in Model 2 2 2 2" xfId="11145" xr:uid="{00000000-0005-0000-0000-00009D140000}"/>
    <cellStyle name="Calculation in Model 2 2 2 2 2" xfId="15451" xr:uid="{00000000-0005-0000-0000-00009E140000}"/>
    <cellStyle name="Calculation in Model 2 2 2 2 3" xfId="16530" xr:uid="{00000000-0005-0000-0000-00009F140000}"/>
    <cellStyle name="Calculation in Model 2 2 2 2 4" xfId="17564" xr:uid="{00000000-0005-0000-0000-0000A0140000}"/>
    <cellStyle name="Calculation in Model 2 2 2 2 5" xfId="18534" xr:uid="{00000000-0005-0000-0000-0000A1140000}"/>
    <cellStyle name="Calculation in Model 2 2 2 2 6" xfId="19440" xr:uid="{00000000-0005-0000-0000-0000A2140000}"/>
    <cellStyle name="Calculation in Model 2 2 2 3" xfId="11727" xr:uid="{00000000-0005-0000-0000-0000A3140000}"/>
    <cellStyle name="Calculation in Model 2 2 2 3 2" xfId="16033" xr:uid="{00000000-0005-0000-0000-0000A4140000}"/>
    <cellStyle name="Calculation in Model 2 2 2 3 3" xfId="17112" xr:uid="{00000000-0005-0000-0000-0000A5140000}"/>
    <cellStyle name="Calculation in Model 2 2 2 3 4" xfId="18134" xr:uid="{00000000-0005-0000-0000-0000A6140000}"/>
    <cellStyle name="Calculation in Model 2 2 2 3 5" xfId="19104" xr:uid="{00000000-0005-0000-0000-0000A7140000}"/>
    <cellStyle name="Calculation in Model 2 2 2 3 6" xfId="20010" xr:uid="{00000000-0005-0000-0000-0000A8140000}"/>
    <cellStyle name="Calculation in Model 2 2 2 4" xfId="11899" xr:uid="{00000000-0005-0000-0000-0000A9140000}"/>
    <cellStyle name="Calculation in Model 2 2 2 4 2" xfId="16205" xr:uid="{00000000-0005-0000-0000-0000AA140000}"/>
    <cellStyle name="Calculation in Model 2 2 2 4 3" xfId="17284" xr:uid="{00000000-0005-0000-0000-0000AB140000}"/>
    <cellStyle name="Calculation in Model 2 2 2 4 4" xfId="18302" xr:uid="{00000000-0005-0000-0000-0000AC140000}"/>
    <cellStyle name="Calculation in Model 2 2 2 4 5" xfId="19272" xr:uid="{00000000-0005-0000-0000-0000AD140000}"/>
    <cellStyle name="Calculation in Model 2 2 2 4 6" xfId="20178" xr:uid="{00000000-0005-0000-0000-0000AE140000}"/>
    <cellStyle name="Calculation in Model 2 2 2 5" xfId="13782" xr:uid="{00000000-0005-0000-0000-0000AF140000}"/>
    <cellStyle name="Calculation in Model 2 2 2 6" xfId="15024" xr:uid="{00000000-0005-0000-0000-0000B0140000}"/>
    <cellStyle name="Calculation in Model 2 2 2 7" xfId="13984" xr:uid="{00000000-0005-0000-0000-0000B1140000}"/>
    <cellStyle name="Calculation in Model 2 2 2 8" xfId="16389" xr:uid="{00000000-0005-0000-0000-0000B2140000}"/>
    <cellStyle name="Calculation in Model 2 2 2 9" xfId="14501" xr:uid="{00000000-0005-0000-0000-0000B3140000}"/>
    <cellStyle name="Calculation in Model 2 2 3" xfId="7674" xr:uid="{00000000-0005-0000-0000-0000B4140000}"/>
    <cellStyle name="Calculation in Model 2 2 3 2" xfId="14390" xr:uid="{00000000-0005-0000-0000-0000B5140000}"/>
    <cellStyle name="Calculation in Model 2 2 3 3" xfId="12089" xr:uid="{00000000-0005-0000-0000-0000B6140000}"/>
    <cellStyle name="Calculation in Model 2 2 3 4" xfId="14288" xr:uid="{00000000-0005-0000-0000-0000B7140000}"/>
    <cellStyle name="Calculation in Model 2 2 3 5" xfId="16427" xr:uid="{00000000-0005-0000-0000-0000B8140000}"/>
    <cellStyle name="Calculation in Model 2 2 3 6" xfId="16420" xr:uid="{00000000-0005-0000-0000-0000B9140000}"/>
    <cellStyle name="Calculation in Model 2 2 4" xfId="11334" xr:uid="{00000000-0005-0000-0000-0000BA140000}"/>
    <cellStyle name="Calculation in Model 2 2 4 2" xfId="15640" xr:uid="{00000000-0005-0000-0000-0000BB140000}"/>
    <cellStyle name="Calculation in Model 2 2 4 3" xfId="16719" xr:uid="{00000000-0005-0000-0000-0000BC140000}"/>
    <cellStyle name="Calculation in Model 2 2 4 4" xfId="17748" xr:uid="{00000000-0005-0000-0000-0000BD140000}"/>
    <cellStyle name="Calculation in Model 2 2 4 5" xfId="18718" xr:uid="{00000000-0005-0000-0000-0000BE140000}"/>
    <cellStyle name="Calculation in Model 2 2 4 6" xfId="19624" xr:uid="{00000000-0005-0000-0000-0000BF140000}"/>
    <cellStyle name="Calculation in Model 2 2 5" xfId="11633" xr:uid="{00000000-0005-0000-0000-0000C0140000}"/>
    <cellStyle name="Calculation in Model 2 2 5 2" xfId="15939" xr:uid="{00000000-0005-0000-0000-0000C1140000}"/>
    <cellStyle name="Calculation in Model 2 2 5 3" xfId="17018" xr:uid="{00000000-0005-0000-0000-0000C2140000}"/>
    <cellStyle name="Calculation in Model 2 2 5 4" xfId="18042" xr:uid="{00000000-0005-0000-0000-0000C3140000}"/>
    <cellStyle name="Calculation in Model 2 2 5 5" xfId="19012" xr:uid="{00000000-0005-0000-0000-0000C4140000}"/>
    <cellStyle name="Calculation in Model 2 2 5 6" xfId="19918" xr:uid="{00000000-0005-0000-0000-0000C5140000}"/>
    <cellStyle name="Calculation in Model 2 2 6" xfId="12687" xr:uid="{00000000-0005-0000-0000-0000C6140000}"/>
    <cellStyle name="Calculation in Model 2 2 7" xfId="12496" xr:uid="{00000000-0005-0000-0000-0000C7140000}"/>
    <cellStyle name="Calculation in Model 2 2 8" xfId="14632" xr:uid="{00000000-0005-0000-0000-0000C8140000}"/>
    <cellStyle name="Calculation in Model 2 2 9" xfId="12468" xr:uid="{00000000-0005-0000-0000-0000C9140000}"/>
    <cellStyle name="Calculation in Model 2 3" xfId="6036" xr:uid="{00000000-0005-0000-0000-0000CA140000}"/>
    <cellStyle name="Calculation in Model 2 3 2" xfId="11132" xr:uid="{00000000-0005-0000-0000-0000CB140000}"/>
    <cellStyle name="Calculation in Model 2 3 2 2" xfId="15438" xr:uid="{00000000-0005-0000-0000-0000CC140000}"/>
    <cellStyle name="Calculation in Model 2 3 2 3" xfId="16517" xr:uid="{00000000-0005-0000-0000-0000CD140000}"/>
    <cellStyle name="Calculation in Model 2 3 2 4" xfId="17551" xr:uid="{00000000-0005-0000-0000-0000CE140000}"/>
    <cellStyle name="Calculation in Model 2 3 2 5" xfId="18521" xr:uid="{00000000-0005-0000-0000-0000CF140000}"/>
    <cellStyle name="Calculation in Model 2 3 2 6" xfId="19427" xr:uid="{00000000-0005-0000-0000-0000D0140000}"/>
    <cellStyle name="Calculation in Model 2 3 3" xfId="11714" xr:uid="{00000000-0005-0000-0000-0000D1140000}"/>
    <cellStyle name="Calculation in Model 2 3 3 2" xfId="16020" xr:uid="{00000000-0005-0000-0000-0000D2140000}"/>
    <cellStyle name="Calculation in Model 2 3 3 3" xfId="17099" xr:uid="{00000000-0005-0000-0000-0000D3140000}"/>
    <cellStyle name="Calculation in Model 2 3 3 4" xfId="18121" xr:uid="{00000000-0005-0000-0000-0000D4140000}"/>
    <cellStyle name="Calculation in Model 2 3 3 5" xfId="19091" xr:uid="{00000000-0005-0000-0000-0000D5140000}"/>
    <cellStyle name="Calculation in Model 2 3 3 6" xfId="19997" xr:uid="{00000000-0005-0000-0000-0000D6140000}"/>
    <cellStyle name="Calculation in Model 2 3 4" xfId="11886" xr:uid="{00000000-0005-0000-0000-0000D7140000}"/>
    <cellStyle name="Calculation in Model 2 3 4 2" xfId="16192" xr:uid="{00000000-0005-0000-0000-0000D8140000}"/>
    <cellStyle name="Calculation in Model 2 3 4 3" xfId="17271" xr:uid="{00000000-0005-0000-0000-0000D9140000}"/>
    <cellStyle name="Calculation in Model 2 3 4 4" xfId="18289" xr:uid="{00000000-0005-0000-0000-0000DA140000}"/>
    <cellStyle name="Calculation in Model 2 3 4 5" xfId="19259" xr:uid="{00000000-0005-0000-0000-0000DB140000}"/>
    <cellStyle name="Calculation in Model 2 3 4 6" xfId="20165" xr:uid="{00000000-0005-0000-0000-0000DC140000}"/>
    <cellStyle name="Calculation in Model 2 3 5" xfId="13769" xr:uid="{00000000-0005-0000-0000-0000DD140000}"/>
    <cellStyle name="Calculation in Model 2 3 6" xfId="15354" xr:uid="{00000000-0005-0000-0000-0000DE140000}"/>
    <cellStyle name="Calculation in Model 2 3 7" xfId="16437" xr:uid="{00000000-0005-0000-0000-0000DF140000}"/>
    <cellStyle name="Calculation in Model 2 3 8" xfId="13412" xr:uid="{00000000-0005-0000-0000-0000E0140000}"/>
    <cellStyle name="Calculation in Model 2 3 9" xfId="16302" xr:uid="{00000000-0005-0000-0000-0000E1140000}"/>
    <cellStyle name="Calculation in Model 2 4" xfId="7357" xr:uid="{00000000-0005-0000-0000-0000E2140000}"/>
    <cellStyle name="Calculation in Model 2 4 2" xfId="14286" xr:uid="{00000000-0005-0000-0000-0000E3140000}"/>
    <cellStyle name="Calculation in Model 2 4 3" xfId="12106" xr:uid="{00000000-0005-0000-0000-0000E4140000}"/>
    <cellStyle name="Calculation in Model 2 4 4" xfId="13136" xr:uid="{00000000-0005-0000-0000-0000E5140000}"/>
    <cellStyle name="Calculation in Model 2 4 5" xfId="13441" xr:uid="{00000000-0005-0000-0000-0000E6140000}"/>
    <cellStyle name="Calculation in Model 2 4 6" xfId="18399" xr:uid="{00000000-0005-0000-0000-0000E7140000}"/>
    <cellStyle name="Calculation in Model 2 5" xfId="11317" xr:uid="{00000000-0005-0000-0000-0000E8140000}"/>
    <cellStyle name="Calculation in Model 2 5 2" xfId="15623" xr:uid="{00000000-0005-0000-0000-0000E9140000}"/>
    <cellStyle name="Calculation in Model 2 5 3" xfId="16702" xr:uid="{00000000-0005-0000-0000-0000EA140000}"/>
    <cellStyle name="Calculation in Model 2 5 4" xfId="17731" xr:uid="{00000000-0005-0000-0000-0000EB140000}"/>
    <cellStyle name="Calculation in Model 2 5 5" xfId="18701" xr:uid="{00000000-0005-0000-0000-0000EC140000}"/>
    <cellStyle name="Calculation in Model 2 5 6" xfId="19607" xr:uid="{00000000-0005-0000-0000-0000ED140000}"/>
    <cellStyle name="Calculation in Model 2 6" xfId="11286" xr:uid="{00000000-0005-0000-0000-0000EE140000}"/>
    <cellStyle name="Calculation in Model 2 6 2" xfId="15592" xr:uid="{00000000-0005-0000-0000-0000EF140000}"/>
    <cellStyle name="Calculation in Model 2 6 3" xfId="16671" xr:uid="{00000000-0005-0000-0000-0000F0140000}"/>
    <cellStyle name="Calculation in Model 2 6 4" xfId="17701" xr:uid="{00000000-0005-0000-0000-0000F1140000}"/>
    <cellStyle name="Calculation in Model 2 6 5" xfId="18671" xr:uid="{00000000-0005-0000-0000-0000F2140000}"/>
    <cellStyle name="Calculation in Model 2 6 6" xfId="19577" xr:uid="{00000000-0005-0000-0000-0000F3140000}"/>
    <cellStyle name="Calculation in Model 2 7" xfId="12584" xr:uid="{00000000-0005-0000-0000-0000F4140000}"/>
    <cellStyle name="Calculation in Model 2 8" xfId="14628" xr:uid="{00000000-0005-0000-0000-0000F5140000}"/>
    <cellStyle name="Calculation in Model 2 9" xfId="14046" xr:uid="{00000000-0005-0000-0000-0000F6140000}"/>
    <cellStyle name="Calculation in Model 3" xfId="3583" xr:uid="{00000000-0005-0000-0000-0000F7140000}"/>
    <cellStyle name="Calculation in Model 3 10" xfId="15202" xr:uid="{00000000-0005-0000-0000-0000F8140000}"/>
    <cellStyle name="Calculation in Model 3 2" xfId="6141" xr:uid="{00000000-0005-0000-0000-0000F9140000}"/>
    <cellStyle name="Calculation in Model 3 2 2" xfId="11237" xr:uid="{00000000-0005-0000-0000-0000FA140000}"/>
    <cellStyle name="Calculation in Model 3 2 2 2" xfId="15543" xr:uid="{00000000-0005-0000-0000-0000FB140000}"/>
    <cellStyle name="Calculation in Model 3 2 2 3" xfId="16622" xr:uid="{00000000-0005-0000-0000-0000FC140000}"/>
    <cellStyle name="Calculation in Model 3 2 2 4" xfId="17654" xr:uid="{00000000-0005-0000-0000-0000FD140000}"/>
    <cellStyle name="Calculation in Model 3 2 2 5" xfId="18624" xr:uid="{00000000-0005-0000-0000-0000FE140000}"/>
    <cellStyle name="Calculation in Model 3 2 2 6" xfId="19530" xr:uid="{00000000-0005-0000-0000-0000FF140000}"/>
    <cellStyle name="Calculation in Model 3 2 3" xfId="11819" xr:uid="{00000000-0005-0000-0000-000000150000}"/>
    <cellStyle name="Calculation in Model 3 2 3 2" xfId="16125" xr:uid="{00000000-0005-0000-0000-000001150000}"/>
    <cellStyle name="Calculation in Model 3 2 3 3" xfId="17204" xr:uid="{00000000-0005-0000-0000-000002150000}"/>
    <cellStyle name="Calculation in Model 3 2 3 4" xfId="18224" xr:uid="{00000000-0005-0000-0000-000003150000}"/>
    <cellStyle name="Calculation in Model 3 2 3 5" xfId="19194" xr:uid="{00000000-0005-0000-0000-000004150000}"/>
    <cellStyle name="Calculation in Model 3 2 3 6" xfId="20100" xr:uid="{00000000-0005-0000-0000-000005150000}"/>
    <cellStyle name="Calculation in Model 3 2 4" xfId="11991" xr:uid="{00000000-0005-0000-0000-000006150000}"/>
    <cellStyle name="Calculation in Model 3 2 4 2" xfId="16297" xr:uid="{00000000-0005-0000-0000-000007150000}"/>
    <cellStyle name="Calculation in Model 3 2 4 3" xfId="17376" xr:uid="{00000000-0005-0000-0000-000008150000}"/>
    <cellStyle name="Calculation in Model 3 2 4 4" xfId="18392" xr:uid="{00000000-0005-0000-0000-000009150000}"/>
    <cellStyle name="Calculation in Model 3 2 4 5" xfId="19362" xr:uid="{00000000-0005-0000-0000-00000A150000}"/>
    <cellStyle name="Calculation in Model 3 2 4 6" xfId="20268" xr:uid="{00000000-0005-0000-0000-00000B150000}"/>
    <cellStyle name="Calculation in Model 3 2 5" xfId="13874" xr:uid="{00000000-0005-0000-0000-00000C150000}"/>
    <cellStyle name="Calculation in Model 3 2 6" xfId="12375" xr:uid="{00000000-0005-0000-0000-00000D150000}"/>
    <cellStyle name="Calculation in Model 3 2 7" xfId="12951" xr:uid="{00000000-0005-0000-0000-00000E150000}"/>
    <cellStyle name="Calculation in Model 3 2 8" xfId="11999" xr:uid="{00000000-0005-0000-0000-00000F150000}"/>
    <cellStyle name="Calculation in Model 3 2 9" xfId="13174" xr:uid="{00000000-0005-0000-0000-000010150000}"/>
    <cellStyle name="Calculation in Model 3 3" xfId="8686" xr:uid="{00000000-0005-0000-0000-000011150000}"/>
    <cellStyle name="Calculation in Model 3 3 2" xfId="14697" xr:uid="{00000000-0005-0000-0000-000012150000}"/>
    <cellStyle name="Calculation in Model 3 3 3" xfId="13014" xr:uid="{00000000-0005-0000-0000-000013150000}"/>
    <cellStyle name="Calculation in Model 3 3 4" xfId="12032" xr:uid="{00000000-0005-0000-0000-000014150000}"/>
    <cellStyle name="Calculation in Model 3 3 5" xfId="14530" xr:uid="{00000000-0005-0000-0000-000015150000}"/>
    <cellStyle name="Calculation in Model 3 3 6" xfId="13068" xr:uid="{00000000-0005-0000-0000-000016150000}"/>
    <cellStyle name="Calculation in Model 3 4" xfId="11468" xr:uid="{00000000-0005-0000-0000-000017150000}"/>
    <cellStyle name="Calculation in Model 3 4 2" xfId="15774" xr:uid="{00000000-0005-0000-0000-000018150000}"/>
    <cellStyle name="Calculation in Model 3 4 3" xfId="16853" xr:uid="{00000000-0005-0000-0000-000019150000}"/>
    <cellStyle name="Calculation in Model 3 4 4" xfId="17880" xr:uid="{00000000-0005-0000-0000-00001A150000}"/>
    <cellStyle name="Calculation in Model 3 4 5" xfId="18850" xr:uid="{00000000-0005-0000-0000-00001B150000}"/>
    <cellStyle name="Calculation in Model 3 4 6" xfId="19756" xr:uid="{00000000-0005-0000-0000-00001C150000}"/>
    <cellStyle name="Calculation in Model 3 5" xfId="11422" xr:uid="{00000000-0005-0000-0000-00001D150000}"/>
    <cellStyle name="Calculation in Model 3 5 2" xfId="15728" xr:uid="{00000000-0005-0000-0000-00001E150000}"/>
    <cellStyle name="Calculation in Model 3 5 3" xfId="16807" xr:uid="{00000000-0005-0000-0000-00001F150000}"/>
    <cellStyle name="Calculation in Model 3 5 4" xfId="17836" xr:uid="{00000000-0005-0000-0000-000020150000}"/>
    <cellStyle name="Calculation in Model 3 5 5" xfId="18806" xr:uid="{00000000-0005-0000-0000-000021150000}"/>
    <cellStyle name="Calculation in Model 3 5 6" xfId="19712" xr:uid="{00000000-0005-0000-0000-000022150000}"/>
    <cellStyle name="Calculation in Model 3 6" xfId="13013" xr:uid="{00000000-0005-0000-0000-000023150000}"/>
    <cellStyle name="Calculation in Model 3 7" xfId="12173" xr:uid="{00000000-0005-0000-0000-000024150000}"/>
    <cellStyle name="Calculation in Model 3 8" xfId="13985" xr:uid="{00000000-0005-0000-0000-000025150000}"/>
    <cellStyle name="Calculation in Model 3 9" xfId="12669" xr:uid="{00000000-0005-0000-0000-000026150000}"/>
    <cellStyle name="Calculation in Model 4" xfId="6018" xr:uid="{00000000-0005-0000-0000-000027150000}"/>
    <cellStyle name="Calculation in Model 4 2" xfId="11114" xr:uid="{00000000-0005-0000-0000-000028150000}"/>
    <cellStyle name="Calculation in Model 4 2 2" xfId="15420" xr:uid="{00000000-0005-0000-0000-000029150000}"/>
    <cellStyle name="Calculation in Model 4 2 3" xfId="16499" xr:uid="{00000000-0005-0000-0000-00002A150000}"/>
    <cellStyle name="Calculation in Model 4 2 4" xfId="17534" xr:uid="{00000000-0005-0000-0000-00002B150000}"/>
    <cellStyle name="Calculation in Model 4 2 5" xfId="18504" xr:uid="{00000000-0005-0000-0000-00002C150000}"/>
    <cellStyle name="Calculation in Model 4 2 6" xfId="19410" xr:uid="{00000000-0005-0000-0000-00002D150000}"/>
    <cellStyle name="Calculation in Model 4 3" xfId="11696" xr:uid="{00000000-0005-0000-0000-00002E150000}"/>
    <cellStyle name="Calculation in Model 4 3 2" xfId="16002" xr:uid="{00000000-0005-0000-0000-00002F150000}"/>
    <cellStyle name="Calculation in Model 4 3 3" xfId="17081" xr:uid="{00000000-0005-0000-0000-000030150000}"/>
    <cellStyle name="Calculation in Model 4 3 4" xfId="18104" xr:uid="{00000000-0005-0000-0000-000031150000}"/>
    <cellStyle name="Calculation in Model 4 3 5" xfId="19074" xr:uid="{00000000-0005-0000-0000-000032150000}"/>
    <cellStyle name="Calculation in Model 4 3 6" xfId="19980" xr:uid="{00000000-0005-0000-0000-000033150000}"/>
    <cellStyle name="Calculation in Model 4 4" xfId="11868" xr:uid="{00000000-0005-0000-0000-000034150000}"/>
    <cellStyle name="Calculation in Model 4 4 2" xfId="16174" xr:uid="{00000000-0005-0000-0000-000035150000}"/>
    <cellStyle name="Calculation in Model 4 4 3" xfId="17253" xr:uid="{00000000-0005-0000-0000-000036150000}"/>
    <cellStyle name="Calculation in Model 4 4 4" xfId="18272" xr:uid="{00000000-0005-0000-0000-000037150000}"/>
    <cellStyle name="Calculation in Model 4 4 5" xfId="19242" xr:uid="{00000000-0005-0000-0000-000038150000}"/>
    <cellStyle name="Calculation in Model 4 4 6" xfId="20148" xr:uid="{00000000-0005-0000-0000-000039150000}"/>
    <cellStyle name="Calculation in Model 4 5" xfId="13751" xr:uid="{00000000-0005-0000-0000-00003A150000}"/>
    <cellStyle name="Calculation in Model 4 6" xfId="13354" xr:uid="{00000000-0005-0000-0000-00003B150000}"/>
    <cellStyle name="Calculation in Model 4 7" xfId="14176" xr:uid="{00000000-0005-0000-0000-00003C150000}"/>
    <cellStyle name="Calculation in Model 4 8" xfId="148" xr:uid="{00000000-0005-0000-0000-00003D150000}"/>
    <cellStyle name="Calculation in Model 4 9" xfId="18460" xr:uid="{00000000-0005-0000-0000-00003E150000}"/>
    <cellStyle name="Calculation in Model 5" xfId="6722" xr:uid="{00000000-0005-0000-0000-00003F150000}"/>
    <cellStyle name="Calculation in Model 5 2" xfId="14107" xr:uid="{00000000-0005-0000-0000-000040150000}"/>
    <cellStyle name="Calculation in Model 5 3" xfId="14111" xr:uid="{00000000-0005-0000-0000-000041150000}"/>
    <cellStyle name="Calculation in Model 5 4" xfId="13523" xr:uid="{00000000-0005-0000-0000-000042150000}"/>
    <cellStyle name="Calculation in Model 5 5" xfId="12565" xr:uid="{00000000-0005-0000-0000-000043150000}"/>
    <cellStyle name="Calculation in Model 5 6" xfId="13621" xr:uid="{00000000-0005-0000-0000-000044150000}"/>
    <cellStyle name="Calculation in Model 6" xfId="11251" xr:uid="{00000000-0005-0000-0000-000045150000}"/>
    <cellStyle name="Calculation in Model 6 2" xfId="15557" xr:uid="{00000000-0005-0000-0000-000046150000}"/>
    <cellStyle name="Calculation in Model 6 3" xfId="16636" xr:uid="{00000000-0005-0000-0000-000047150000}"/>
    <cellStyle name="Calculation in Model 6 4" xfId="17668" xr:uid="{00000000-0005-0000-0000-000048150000}"/>
    <cellStyle name="Calculation in Model 6 5" xfId="18638" xr:uid="{00000000-0005-0000-0000-000049150000}"/>
    <cellStyle name="Calculation in Model 6 6" xfId="19544" xr:uid="{00000000-0005-0000-0000-00004A150000}"/>
    <cellStyle name="Calculation in Model 7" xfId="11295" xr:uid="{00000000-0005-0000-0000-00004B150000}"/>
    <cellStyle name="Calculation in Model 7 2" xfId="15601" xr:uid="{00000000-0005-0000-0000-00004C150000}"/>
    <cellStyle name="Calculation in Model 7 3" xfId="16680" xr:uid="{00000000-0005-0000-0000-00004D150000}"/>
    <cellStyle name="Calculation in Model 7 4" xfId="17709" xr:uid="{00000000-0005-0000-0000-00004E150000}"/>
    <cellStyle name="Calculation in Model 7 5" xfId="18679" xr:uid="{00000000-0005-0000-0000-00004F150000}"/>
    <cellStyle name="Calculation in Model 7 6" xfId="19585" xr:uid="{00000000-0005-0000-0000-000050150000}"/>
    <cellStyle name="Calculation in Model 8" xfId="12328" xr:uid="{00000000-0005-0000-0000-000051150000}"/>
    <cellStyle name="Calculation in Model 9" xfId="12963" xr:uid="{00000000-0005-0000-0000-000052150000}"/>
    <cellStyle name="Check Cell" xfId="120" builtinId="23" customBuiltin="1"/>
    <cellStyle name="Check Cell 2" xfId="40" xr:uid="{00000000-0005-0000-0000-000054150000}"/>
    <cellStyle name="Check Cell 2 2" xfId="840" xr:uid="{00000000-0005-0000-0000-000055150000}"/>
    <cellStyle name="Check Cell 2 3" xfId="1386" xr:uid="{00000000-0005-0000-0000-000056150000}"/>
    <cellStyle name="Check Cell 3" xfId="336" xr:uid="{00000000-0005-0000-0000-000057150000}"/>
    <cellStyle name="Check Cell 3 2" xfId="841" xr:uid="{00000000-0005-0000-0000-000058150000}"/>
    <cellStyle name="Check Cell 4" xfId="337" xr:uid="{00000000-0005-0000-0000-000059150000}"/>
    <cellStyle name="Check Cell 5" xfId="338" xr:uid="{00000000-0005-0000-0000-00005A150000}"/>
    <cellStyle name="Check Cell 6" xfId="339" xr:uid="{00000000-0005-0000-0000-00005B150000}"/>
    <cellStyle name="Check Cell 7" xfId="340" xr:uid="{00000000-0005-0000-0000-00005C150000}"/>
    <cellStyle name="Check Cell 8" xfId="341" xr:uid="{00000000-0005-0000-0000-00005D150000}"/>
    <cellStyle name="Check Cell 9" xfId="904" xr:uid="{00000000-0005-0000-0000-00005E150000}"/>
    <cellStyle name="ColLevel_" xfId="1387" xr:uid="{00000000-0005-0000-0000-00005F150000}"/>
    <cellStyle name="column1" xfId="1388" xr:uid="{00000000-0005-0000-0000-000060150000}"/>
    <cellStyle name="Comma" xfId="1" builtinId="3"/>
    <cellStyle name="Comma  - Style1" xfId="1389" xr:uid="{00000000-0005-0000-0000-000062150000}"/>
    <cellStyle name="Comma  - Style2" xfId="1390" xr:uid="{00000000-0005-0000-0000-000063150000}"/>
    <cellStyle name="Comma  - Style3" xfId="1391" xr:uid="{00000000-0005-0000-0000-000064150000}"/>
    <cellStyle name="Comma  - Style4" xfId="1392" xr:uid="{00000000-0005-0000-0000-000065150000}"/>
    <cellStyle name="Comma  - Style5" xfId="1393" xr:uid="{00000000-0005-0000-0000-000066150000}"/>
    <cellStyle name="Comma  - Style6" xfId="1394" xr:uid="{00000000-0005-0000-0000-000067150000}"/>
    <cellStyle name="Comma  - Style7" xfId="1395" xr:uid="{00000000-0005-0000-0000-000068150000}"/>
    <cellStyle name="Comma  - Style8" xfId="1396" xr:uid="{00000000-0005-0000-0000-000069150000}"/>
    <cellStyle name="Comma [0] 2" xfId="1397" xr:uid="{00000000-0005-0000-0000-00006A150000}"/>
    <cellStyle name="Comma 10" xfId="1398" xr:uid="{00000000-0005-0000-0000-00006B150000}"/>
    <cellStyle name="Comma 10 2" xfId="1399" xr:uid="{00000000-0005-0000-0000-00006C150000}"/>
    <cellStyle name="Comma 10 2 2" xfId="2892" xr:uid="{00000000-0005-0000-0000-00006D150000}"/>
    <cellStyle name="Comma 10 2 2 2" xfId="5291" xr:uid="{00000000-0005-0000-0000-00006E150000}"/>
    <cellStyle name="Comma 10 2 2 2 2" xfId="10387" xr:uid="{00000000-0005-0000-0000-00006F150000}"/>
    <cellStyle name="Comma 10 2 2 3" xfId="7995" xr:uid="{00000000-0005-0000-0000-000070150000}"/>
    <cellStyle name="Comma 10 2 3" xfId="4099" xr:uid="{00000000-0005-0000-0000-000071150000}"/>
    <cellStyle name="Comma 10 2 3 2" xfId="9195" xr:uid="{00000000-0005-0000-0000-000072150000}"/>
    <cellStyle name="Comma 10 2 4" xfId="6724" xr:uid="{00000000-0005-0000-0000-000073150000}"/>
    <cellStyle name="Comma 10 3" xfId="1400" xr:uid="{00000000-0005-0000-0000-000074150000}"/>
    <cellStyle name="Comma 10 3 2" xfId="2893" xr:uid="{00000000-0005-0000-0000-000075150000}"/>
    <cellStyle name="Comma 10 3 2 2" xfId="5292" xr:uid="{00000000-0005-0000-0000-000076150000}"/>
    <cellStyle name="Comma 10 3 2 2 2" xfId="10388" xr:uid="{00000000-0005-0000-0000-000077150000}"/>
    <cellStyle name="Comma 10 3 2 3" xfId="7996" xr:uid="{00000000-0005-0000-0000-000078150000}"/>
    <cellStyle name="Comma 10 3 3" xfId="4100" xr:uid="{00000000-0005-0000-0000-000079150000}"/>
    <cellStyle name="Comma 10 3 3 2" xfId="9196" xr:uid="{00000000-0005-0000-0000-00007A150000}"/>
    <cellStyle name="Comma 10 3 4" xfId="6725" xr:uid="{00000000-0005-0000-0000-00007B150000}"/>
    <cellStyle name="Comma 11" xfId="1401" xr:uid="{00000000-0005-0000-0000-00007C150000}"/>
    <cellStyle name="Comma 11 2" xfId="1402" xr:uid="{00000000-0005-0000-0000-00007D150000}"/>
    <cellStyle name="Comma 11 2 2" xfId="2894" xr:uid="{00000000-0005-0000-0000-00007E150000}"/>
    <cellStyle name="Comma 11 2 2 2" xfId="5293" xr:uid="{00000000-0005-0000-0000-00007F150000}"/>
    <cellStyle name="Comma 11 2 2 2 2" xfId="10389" xr:uid="{00000000-0005-0000-0000-000080150000}"/>
    <cellStyle name="Comma 11 2 2 3" xfId="7997" xr:uid="{00000000-0005-0000-0000-000081150000}"/>
    <cellStyle name="Comma 11 2 3" xfId="4101" xr:uid="{00000000-0005-0000-0000-000082150000}"/>
    <cellStyle name="Comma 11 2 3 2" xfId="9197" xr:uid="{00000000-0005-0000-0000-000083150000}"/>
    <cellStyle name="Comma 11 2 4" xfId="6726" xr:uid="{00000000-0005-0000-0000-000084150000}"/>
    <cellStyle name="Comma 11 3" xfId="1403" xr:uid="{00000000-0005-0000-0000-000085150000}"/>
    <cellStyle name="Comma 11 3 2" xfId="2895" xr:uid="{00000000-0005-0000-0000-000086150000}"/>
    <cellStyle name="Comma 11 3 2 2" xfId="5294" xr:uid="{00000000-0005-0000-0000-000087150000}"/>
    <cellStyle name="Comma 11 3 2 2 2" xfId="10390" xr:uid="{00000000-0005-0000-0000-000088150000}"/>
    <cellStyle name="Comma 11 3 2 3" xfId="7998" xr:uid="{00000000-0005-0000-0000-000089150000}"/>
    <cellStyle name="Comma 11 3 3" xfId="4102" xr:uid="{00000000-0005-0000-0000-00008A150000}"/>
    <cellStyle name="Comma 11 3 3 2" xfId="9198" xr:uid="{00000000-0005-0000-0000-00008B150000}"/>
    <cellStyle name="Comma 11 3 4" xfId="6727" xr:uid="{00000000-0005-0000-0000-00008C150000}"/>
    <cellStyle name="Comma 12" xfId="1404" xr:uid="{00000000-0005-0000-0000-00008D150000}"/>
    <cellStyle name="Comma 13" xfId="1405" xr:uid="{00000000-0005-0000-0000-00008E150000}"/>
    <cellStyle name="Comma 14" xfId="1406" xr:uid="{00000000-0005-0000-0000-00008F150000}"/>
    <cellStyle name="Comma 15" xfId="1407" xr:uid="{00000000-0005-0000-0000-000090150000}"/>
    <cellStyle name="Comma 16" xfId="1408" xr:uid="{00000000-0005-0000-0000-000091150000}"/>
    <cellStyle name="Comma 17" xfId="1409" xr:uid="{00000000-0005-0000-0000-000092150000}"/>
    <cellStyle name="Comma 18" xfId="1410" xr:uid="{00000000-0005-0000-0000-000093150000}"/>
    <cellStyle name="Comma 19" xfId="1411" xr:uid="{00000000-0005-0000-0000-000094150000}"/>
    <cellStyle name="Comma 2" xfId="342" xr:uid="{00000000-0005-0000-0000-000095150000}"/>
    <cellStyle name="Comma 2 2" xfId="95" xr:uid="{00000000-0005-0000-0000-000096150000}"/>
    <cellStyle name="Comma 2 3" xfId="1413" xr:uid="{00000000-0005-0000-0000-000097150000}"/>
    <cellStyle name="Comma 2 3 2" xfId="1414" xr:uid="{00000000-0005-0000-0000-000098150000}"/>
    <cellStyle name="Comma 2 3 2 2" xfId="1415" xr:uid="{00000000-0005-0000-0000-000099150000}"/>
    <cellStyle name="Comma 2 3 2 2 2" xfId="2900" xr:uid="{00000000-0005-0000-0000-00009A150000}"/>
    <cellStyle name="Comma 2 3 2 2 2 2" xfId="5298" xr:uid="{00000000-0005-0000-0000-00009B150000}"/>
    <cellStyle name="Comma 2 3 2 2 2 2 2" xfId="10394" xr:uid="{00000000-0005-0000-0000-00009C150000}"/>
    <cellStyle name="Comma 2 3 2 2 2 3" xfId="8003" xr:uid="{00000000-0005-0000-0000-00009D150000}"/>
    <cellStyle name="Comma 2 3 2 2 3" xfId="4106" xr:uid="{00000000-0005-0000-0000-00009E150000}"/>
    <cellStyle name="Comma 2 3 2 2 3 2" xfId="9202" xr:uid="{00000000-0005-0000-0000-00009F150000}"/>
    <cellStyle name="Comma 2 3 2 2 4" xfId="6731" xr:uid="{00000000-0005-0000-0000-0000A0150000}"/>
    <cellStyle name="Comma 2 3 2 3" xfId="2899" xr:uid="{00000000-0005-0000-0000-0000A1150000}"/>
    <cellStyle name="Comma 2 3 2 3 2" xfId="5297" xr:uid="{00000000-0005-0000-0000-0000A2150000}"/>
    <cellStyle name="Comma 2 3 2 3 2 2" xfId="10393" xr:uid="{00000000-0005-0000-0000-0000A3150000}"/>
    <cellStyle name="Comma 2 3 2 3 3" xfId="8002" xr:uid="{00000000-0005-0000-0000-0000A4150000}"/>
    <cellStyle name="Comma 2 3 2 4" xfId="4105" xr:uid="{00000000-0005-0000-0000-0000A5150000}"/>
    <cellStyle name="Comma 2 3 2 4 2" xfId="9201" xr:uid="{00000000-0005-0000-0000-0000A6150000}"/>
    <cellStyle name="Comma 2 3 2 5" xfId="6730" xr:uid="{00000000-0005-0000-0000-0000A7150000}"/>
    <cellStyle name="Comma 2 3 3" xfId="1416" xr:uid="{00000000-0005-0000-0000-0000A8150000}"/>
    <cellStyle name="Comma 2 3 3 2" xfId="2901" xr:uid="{00000000-0005-0000-0000-0000A9150000}"/>
    <cellStyle name="Comma 2 3 3 2 2" xfId="5299" xr:uid="{00000000-0005-0000-0000-0000AA150000}"/>
    <cellStyle name="Comma 2 3 3 2 2 2" xfId="10395" xr:uid="{00000000-0005-0000-0000-0000AB150000}"/>
    <cellStyle name="Comma 2 3 3 2 3" xfId="8004" xr:uid="{00000000-0005-0000-0000-0000AC150000}"/>
    <cellStyle name="Comma 2 3 3 3" xfId="4107" xr:uid="{00000000-0005-0000-0000-0000AD150000}"/>
    <cellStyle name="Comma 2 3 3 3 2" xfId="9203" xr:uid="{00000000-0005-0000-0000-0000AE150000}"/>
    <cellStyle name="Comma 2 3 3 4" xfId="6732" xr:uid="{00000000-0005-0000-0000-0000AF150000}"/>
    <cellStyle name="Comma 2 3 4" xfId="1417" xr:uid="{00000000-0005-0000-0000-0000B0150000}"/>
    <cellStyle name="Comma 2 3 4 2" xfId="2902" xr:uid="{00000000-0005-0000-0000-0000B1150000}"/>
    <cellStyle name="Comma 2 3 4 2 2" xfId="5300" xr:uid="{00000000-0005-0000-0000-0000B2150000}"/>
    <cellStyle name="Comma 2 3 4 2 2 2" xfId="10396" xr:uid="{00000000-0005-0000-0000-0000B3150000}"/>
    <cellStyle name="Comma 2 3 4 2 3" xfId="8005" xr:uid="{00000000-0005-0000-0000-0000B4150000}"/>
    <cellStyle name="Comma 2 3 4 3" xfId="4108" xr:uid="{00000000-0005-0000-0000-0000B5150000}"/>
    <cellStyle name="Comma 2 3 4 3 2" xfId="9204" xr:uid="{00000000-0005-0000-0000-0000B6150000}"/>
    <cellStyle name="Comma 2 3 4 4" xfId="6733" xr:uid="{00000000-0005-0000-0000-0000B7150000}"/>
    <cellStyle name="Comma 2 3 5" xfId="2898" xr:uid="{00000000-0005-0000-0000-0000B8150000}"/>
    <cellStyle name="Comma 2 3 5 2" xfId="5296" xr:uid="{00000000-0005-0000-0000-0000B9150000}"/>
    <cellStyle name="Comma 2 3 5 2 2" xfId="10392" xr:uid="{00000000-0005-0000-0000-0000BA150000}"/>
    <cellStyle name="Comma 2 3 5 3" xfId="8001" xr:uid="{00000000-0005-0000-0000-0000BB150000}"/>
    <cellStyle name="Comma 2 3 6" xfId="4104" xr:uid="{00000000-0005-0000-0000-0000BC150000}"/>
    <cellStyle name="Comma 2 3 6 2" xfId="9200" xr:uid="{00000000-0005-0000-0000-0000BD150000}"/>
    <cellStyle name="Comma 2 3 7" xfId="6729" xr:uid="{00000000-0005-0000-0000-0000BE150000}"/>
    <cellStyle name="Comma 2 4" xfId="1418" xr:uid="{00000000-0005-0000-0000-0000BF150000}"/>
    <cellStyle name="Comma 2 4 2" xfId="1419" xr:uid="{00000000-0005-0000-0000-0000C0150000}"/>
    <cellStyle name="Comma 2 4 2 2" xfId="1420" xr:uid="{00000000-0005-0000-0000-0000C1150000}"/>
    <cellStyle name="Comma 2 4 2 2 2" xfId="2905" xr:uid="{00000000-0005-0000-0000-0000C2150000}"/>
    <cellStyle name="Comma 2 4 2 2 2 2" xfId="5303" xr:uid="{00000000-0005-0000-0000-0000C3150000}"/>
    <cellStyle name="Comma 2 4 2 2 2 2 2" xfId="10399" xr:uid="{00000000-0005-0000-0000-0000C4150000}"/>
    <cellStyle name="Comma 2 4 2 2 2 3" xfId="8008" xr:uid="{00000000-0005-0000-0000-0000C5150000}"/>
    <cellStyle name="Comma 2 4 2 2 3" xfId="4111" xr:uid="{00000000-0005-0000-0000-0000C6150000}"/>
    <cellStyle name="Comma 2 4 2 2 3 2" xfId="9207" xr:uid="{00000000-0005-0000-0000-0000C7150000}"/>
    <cellStyle name="Comma 2 4 2 2 4" xfId="6736" xr:uid="{00000000-0005-0000-0000-0000C8150000}"/>
    <cellStyle name="Comma 2 4 2 3" xfId="2904" xr:uid="{00000000-0005-0000-0000-0000C9150000}"/>
    <cellStyle name="Comma 2 4 2 3 2" xfId="5302" xr:uid="{00000000-0005-0000-0000-0000CA150000}"/>
    <cellStyle name="Comma 2 4 2 3 2 2" xfId="10398" xr:uid="{00000000-0005-0000-0000-0000CB150000}"/>
    <cellStyle name="Comma 2 4 2 3 3" xfId="8007" xr:uid="{00000000-0005-0000-0000-0000CC150000}"/>
    <cellStyle name="Comma 2 4 2 4" xfId="4110" xr:uid="{00000000-0005-0000-0000-0000CD150000}"/>
    <cellStyle name="Comma 2 4 2 4 2" xfId="9206" xr:uid="{00000000-0005-0000-0000-0000CE150000}"/>
    <cellStyle name="Comma 2 4 2 5" xfId="6735" xr:uid="{00000000-0005-0000-0000-0000CF150000}"/>
    <cellStyle name="Comma 2 4 3" xfId="1421" xr:uid="{00000000-0005-0000-0000-0000D0150000}"/>
    <cellStyle name="Comma 2 4 3 2" xfId="2906" xr:uid="{00000000-0005-0000-0000-0000D1150000}"/>
    <cellStyle name="Comma 2 4 3 2 2" xfId="5304" xr:uid="{00000000-0005-0000-0000-0000D2150000}"/>
    <cellStyle name="Comma 2 4 3 2 2 2" xfId="10400" xr:uid="{00000000-0005-0000-0000-0000D3150000}"/>
    <cellStyle name="Comma 2 4 3 2 3" xfId="8009" xr:uid="{00000000-0005-0000-0000-0000D4150000}"/>
    <cellStyle name="Comma 2 4 3 3" xfId="4112" xr:uid="{00000000-0005-0000-0000-0000D5150000}"/>
    <cellStyle name="Comma 2 4 3 3 2" xfId="9208" xr:uid="{00000000-0005-0000-0000-0000D6150000}"/>
    <cellStyle name="Comma 2 4 3 4" xfId="6737" xr:uid="{00000000-0005-0000-0000-0000D7150000}"/>
    <cellStyle name="Comma 2 4 4" xfId="1422" xr:uid="{00000000-0005-0000-0000-0000D8150000}"/>
    <cellStyle name="Comma 2 4 4 2" xfId="2907" xr:uid="{00000000-0005-0000-0000-0000D9150000}"/>
    <cellStyle name="Comma 2 4 4 2 2" xfId="5305" xr:uid="{00000000-0005-0000-0000-0000DA150000}"/>
    <cellStyle name="Comma 2 4 4 2 2 2" xfId="10401" xr:uid="{00000000-0005-0000-0000-0000DB150000}"/>
    <cellStyle name="Comma 2 4 4 2 3" xfId="8010" xr:uid="{00000000-0005-0000-0000-0000DC150000}"/>
    <cellStyle name="Comma 2 4 4 3" xfId="4113" xr:uid="{00000000-0005-0000-0000-0000DD150000}"/>
    <cellStyle name="Comma 2 4 4 3 2" xfId="9209" xr:uid="{00000000-0005-0000-0000-0000DE150000}"/>
    <cellStyle name="Comma 2 4 4 4" xfId="6738" xr:uid="{00000000-0005-0000-0000-0000DF150000}"/>
    <cellStyle name="Comma 2 4 5" xfId="2903" xr:uid="{00000000-0005-0000-0000-0000E0150000}"/>
    <cellStyle name="Comma 2 4 5 2" xfId="5301" xr:uid="{00000000-0005-0000-0000-0000E1150000}"/>
    <cellStyle name="Comma 2 4 5 2 2" xfId="10397" xr:uid="{00000000-0005-0000-0000-0000E2150000}"/>
    <cellStyle name="Comma 2 4 5 3" xfId="8006" xr:uid="{00000000-0005-0000-0000-0000E3150000}"/>
    <cellStyle name="Comma 2 4 6" xfId="4109" xr:uid="{00000000-0005-0000-0000-0000E4150000}"/>
    <cellStyle name="Comma 2 4 6 2" xfId="9205" xr:uid="{00000000-0005-0000-0000-0000E5150000}"/>
    <cellStyle name="Comma 2 4 7" xfId="6734" xr:uid="{00000000-0005-0000-0000-0000E6150000}"/>
    <cellStyle name="Comma 2 5" xfId="1423" xr:uid="{00000000-0005-0000-0000-0000E7150000}"/>
    <cellStyle name="Comma 2 5 2" xfId="1424" xr:uid="{00000000-0005-0000-0000-0000E8150000}"/>
    <cellStyle name="Comma 2 5 2 2" xfId="1425" xr:uid="{00000000-0005-0000-0000-0000E9150000}"/>
    <cellStyle name="Comma 2 5 2 2 2" xfId="2910" xr:uid="{00000000-0005-0000-0000-0000EA150000}"/>
    <cellStyle name="Comma 2 5 2 2 2 2" xfId="5308" xr:uid="{00000000-0005-0000-0000-0000EB150000}"/>
    <cellStyle name="Comma 2 5 2 2 2 2 2" xfId="10404" xr:uid="{00000000-0005-0000-0000-0000EC150000}"/>
    <cellStyle name="Comma 2 5 2 2 2 3" xfId="8013" xr:uid="{00000000-0005-0000-0000-0000ED150000}"/>
    <cellStyle name="Comma 2 5 2 2 3" xfId="4116" xr:uid="{00000000-0005-0000-0000-0000EE150000}"/>
    <cellStyle name="Comma 2 5 2 2 3 2" xfId="9212" xr:uid="{00000000-0005-0000-0000-0000EF150000}"/>
    <cellStyle name="Comma 2 5 2 2 4" xfId="6741" xr:uid="{00000000-0005-0000-0000-0000F0150000}"/>
    <cellStyle name="Comma 2 5 2 3" xfId="2909" xr:uid="{00000000-0005-0000-0000-0000F1150000}"/>
    <cellStyle name="Comma 2 5 2 3 2" xfId="5307" xr:uid="{00000000-0005-0000-0000-0000F2150000}"/>
    <cellStyle name="Comma 2 5 2 3 2 2" xfId="10403" xr:uid="{00000000-0005-0000-0000-0000F3150000}"/>
    <cellStyle name="Comma 2 5 2 3 3" xfId="8012" xr:uid="{00000000-0005-0000-0000-0000F4150000}"/>
    <cellStyle name="Comma 2 5 2 4" xfId="4115" xr:uid="{00000000-0005-0000-0000-0000F5150000}"/>
    <cellStyle name="Comma 2 5 2 4 2" xfId="9211" xr:uid="{00000000-0005-0000-0000-0000F6150000}"/>
    <cellStyle name="Comma 2 5 2 5" xfId="6740" xr:uid="{00000000-0005-0000-0000-0000F7150000}"/>
    <cellStyle name="Comma 2 5 3" xfId="1426" xr:uid="{00000000-0005-0000-0000-0000F8150000}"/>
    <cellStyle name="Comma 2 5 3 2" xfId="2911" xr:uid="{00000000-0005-0000-0000-0000F9150000}"/>
    <cellStyle name="Comma 2 5 3 2 2" xfId="5309" xr:uid="{00000000-0005-0000-0000-0000FA150000}"/>
    <cellStyle name="Comma 2 5 3 2 2 2" xfId="10405" xr:uid="{00000000-0005-0000-0000-0000FB150000}"/>
    <cellStyle name="Comma 2 5 3 2 3" xfId="8014" xr:uid="{00000000-0005-0000-0000-0000FC150000}"/>
    <cellStyle name="Comma 2 5 3 3" xfId="4117" xr:uid="{00000000-0005-0000-0000-0000FD150000}"/>
    <cellStyle name="Comma 2 5 3 3 2" xfId="9213" xr:uid="{00000000-0005-0000-0000-0000FE150000}"/>
    <cellStyle name="Comma 2 5 3 4" xfId="6742" xr:uid="{00000000-0005-0000-0000-0000FF150000}"/>
    <cellStyle name="Comma 2 5 4" xfId="1427" xr:uid="{00000000-0005-0000-0000-000000160000}"/>
    <cellStyle name="Comma 2 5 4 2" xfId="2912" xr:uid="{00000000-0005-0000-0000-000001160000}"/>
    <cellStyle name="Comma 2 5 4 2 2" xfId="5310" xr:uid="{00000000-0005-0000-0000-000002160000}"/>
    <cellStyle name="Comma 2 5 4 2 2 2" xfId="10406" xr:uid="{00000000-0005-0000-0000-000003160000}"/>
    <cellStyle name="Comma 2 5 4 2 3" xfId="8015" xr:uid="{00000000-0005-0000-0000-000004160000}"/>
    <cellStyle name="Comma 2 5 4 3" xfId="4118" xr:uid="{00000000-0005-0000-0000-000005160000}"/>
    <cellStyle name="Comma 2 5 4 3 2" xfId="9214" xr:uid="{00000000-0005-0000-0000-000006160000}"/>
    <cellStyle name="Comma 2 5 4 4" xfId="6743" xr:uid="{00000000-0005-0000-0000-000007160000}"/>
    <cellStyle name="Comma 2 5 5" xfId="2908" xr:uid="{00000000-0005-0000-0000-000008160000}"/>
    <cellStyle name="Comma 2 5 5 2" xfId="5306" xr:uid="{00000000-0005-0000-0000-000009160000}"/>
    <cellStyle name="Comma 2 5 5 2 2" xfId="10402" xr:uid="{00000000-0005-0000-0000-00000A160000}"/>
    <cellStyle name="Comma 2 5 5 3" xfId="8011" xr:uid="{00000000-0005-0000-0000-00000B160000}"/>
    <cellStyle name="Comma 2 5 6" xfId="4114" xr:uid="{00000000-0005-0000-0000-00000C160000}"/>
    <cellStyle name="Comma 2 5 6 2" xfId="9210" xr:uid="{00000000-0005-0000-0000-00000D160000}"/>
    <cellStyle name="Comma 2 5 7" xfId="6739" xr:uid="{00000000-0005-0000-0000-00000E160000}"/>
    <cellStyle name="Comma 2 6" xfId="1428" xr:uid="{00000000-0005-0000-0000-00000F160000}"/>
    <cellStyle name="Comma 2 7" xfId="1412" xr:uid="{00000000-0005-0000-0000-000010160000}"/>
    <cellStyle name="Comma 2 7 2" xfId="2897" xr:uid="{00000000-0005-0000-0000-000011160000}"/>
    <cellStyle name="Comma 2 7 2 2" xfId="5295" xr:uid="{00000000-0005-0000-0000-000012160000}"/>
    <cellStyle name="Comma 2 7 2 2 2" xfId="10391" xr:uid="{00000000-0005-0000-0000-000013160000}"/>
    <cellStyle name="Comma 2 7 2 3" xfId="8000" xr:uid="{00000000-0005-0000-0000-000014160000}"/>
    <cellStyle name="Comma 2 7 3" xfId="4103" xr:uid="{00000000-0005-0000-0000-000015160000}"/>
    <cellStyle name="Comma 2 7 3 2" xfId="9199" xr:uid="{00000000-0005-0000-0000-000016160000}"/>
    <cellStyle name="Comma 2 7 4" xfId="6728" xr:uid="{00000000-0005-0000-0000-000017160000}"/>
    <cellStyle name="Comma 20" xfId="1429" xr:uid="{00000000-0005-0000-0000-000018160000}"/>
    <cellStyle name="Comma 21" xfId="1430" xr:uid="{00000000-0005-0000-0000-000019160000}"/>
    <cellStyle name="Comma 22" xfId="1431" xr:uid="{00000000-0005-0000-0000-00001A160000}"/>
    <cellStyle name="Comma 23" xfId="1432" xr:uid="{00000000-0005-0000-0000-00001B160000}"/>
    <cellStyle name="Comma 24" xfId="1433" xr:uid="{00000000-0005-0000-0000-00001C160000}"/>
    <cellStyle name="Comma 25" xfId="1434" xr:uid="{00000000-0005-0000-0000-00001D160000}"/>
    <cellStyle name="Comma 26" xfId="1435" xr:uid="{00000000-0005-0000-0000-00001E160000}"/>
    <cellStyle name="Comma 27" xfId="1436" xr:uid="{00000000-0005-0000-0000-00001F160000}"/>
    <cellStyle name="Comma 27 2" xfId="2913" xr:uid="{00000000-0005-0000-0000-000020160000}"/>
    <cellStyle name="Comma 27 2 2" xfId="5311" xr:uid="{00000000-0005-0000-0000-000021160000}"/>
    <cellStyle name="Comma 27 2 2 2" xfId="10407" xr:uid="{00000000-0005-0000-0000-000022160000}"/>
    <cellStyle name="Comma 27 2 3" xfId="8016" xr:uid="{00000000-0005-0000-0000-000023160000}"/>
    <cellStyle name="Comma 27 3" xfId="4119" xr:uid="{00000000-0005-0000-0000-000024160000}"/>
    <cellStyle name="Comma 27 3 2" xfId="9215" xr:uid="{00000000-0005-0000-0000-000025160000}"/>
    <cellStyle name="Comma 27 4" xfId="6745" xr:uid="{00000000-0005-0000-0000-000026160000}"/>
    <cellStyle name="Comma 28" xfId="1437" xr:uid="{00000000-0005-0000-0000-000027160000}"/>
    <cellStyle name="Comma 28 2" xfId="2914" xr:uid="{00000000-0005-0000-0000-000028160000}"/>
    <cellStyle name="Comma 28 2 2" xfId="5312" xr:uid="{00000000-0005-0000-0000-000029160000}"/>
    <cellStyle name="Comma 28 2 2 2" xfId="10408" xr:uid="{00000000-0005-0000-0000-00002A160000}"/>
    <cellStyle name="Comma 28 2 3" xfId="8017" xr:uid="{00000000-0005-0000-0000-00002B160000}"/>
    <cellStyle name="Comma 28 3" xfId="4120" xr:uid="{00000000-0005-0000-0000-00002C160000}"/>
    <cellStyle name="Comma 28 3 2" xfId="9216" xr:uid="{00000000-0005-0000-0000-00002D160000}"/>
    <cellStyle name="Comma 28 4" xfId="6746" xr:uid="{00000000-0005-0000-0000-00002E160000}"/>
    <cellStyle name="Comma 29" xfId="1154" xr:uid="{00000000-0005-0000-0000-00002F160000}"/>
    <cellStyle name="Comma 29 2" xfId="2739" xr:uid="{00000000-0005-0000-0000-000030160000}"/>
    <cellStyle name="Comma 29 2 2" xfId="5141" xr:uid="{00000000-0005-0000-0000-000031160000}"/>
    <cellStyle name="Comma 29 2 2 2" xfId="10237" xr:uid="{00000000-0005-0000-0000-000032160000}"/>
    <cellStyle name="Comma 29 2 3" xfId="7842" xr:uid="{00000000-0005-0000-0000-000033160000}"/>
    <cellStyle name="Comma 29 3" xfId="3949" xr:uid="{00000000-0005-0000-0000-000034160000}"/>
    <cellStyle name="Comma 29 3 2" xfId="9045" xr:uid="{00000000-0005-0000-0000-000035160000}"/>
    <cellStyle name="Comma 29 4" xfId="6554" xr:uid="{00000000-0005-0000-0000-000036160000}"/>
    <cellStyle name="Comma 3" xfId="343" xr:uid="{00000000-0005-0000-0000-000037160000}"/>
    <cellStyle name="Comma 3 10" xfId="1438" xr:uid="{00000000-0005-0000-0000-000038160000}"/>
    <cellStyle name="Comma 3 10 2" xfId="2915" xr:uid="{00000000-0005-0000-0000-000039160000}"/>
    <cellStyle name="Comma 3 10 2 2" xfId="5313" xr:uid="{00000000-0005-0000-0000-00003A160000}"/>
    <cellStyle name="Comma 3 10 2 2 2" xfId="10409" xr:uid="{00000000-0005-0000-0000-00003B160000}"/>
    <cellStyle name="Comma 3 10 2 3" xfId="8018" xr:uid="{00000000-0005-0000-0000-00003C160000}"/>
    <cellStyle name="Comma 3 10 3" xfId="4121" xr:uid="{00000000-0005-0000-0000-00003D160000}"/>
    <cellStyle name="Comma 3 10 3 2" xfId="9217" xr:uid="{00000000-0005-0000-0000-00003E160000}"/>
    <cellStyle name="Comma 3 10 4" xfId="6747" xr:uid="{00000000-0005-0000-0000-00003F160000}"/>
    <cellStyle name="Comma 3 2" xfId="1439" xr:uid="{00000000-0005-0000-0000-000040160000}"/>
    <cellStyle name="Comma 3 3" xfId="1440" xr:uid="{00000000-0005-0000-0000-000041160000}"/>
    <cellStyle name="Comma 3 3 2" xfId="1441" xr:uid="{00000000-0005-0000-0000-000042160000}"/>
    <cellStyle name="Comma 3 3 2 2" xfId="1442" xr:uid="{00000000-0005-0000-0000-000043160000}"/>
    <cellStyle name="Comma 3 3 2 2 2" xfId="1443" xr:uid="{00000000-0005-0000-0000-000044160000}"/>
    <cellStyle name="Comma 3 3 2 2 2 2" xfId="2919" xr:uid="{00000000-0005-0000-0000-000045160000}"/>
    <cellStyle name="Comma 3 3 2 2 2 2 2" xfId="5317" xr:uid="{00000000-0005-0000-0000-000046160000}"/>
    <cellStyle name="Comma 3 3 2 2 2 2 2 2" xfId="10413" xr:uid="{00000000-0005-0000-0000-000047160000}"/>
    <cellStyle name="Comma 3 3 2 2 2 2 3" xfId="8022" xr:uid="{00000000-0005-0000-0000-000048160000}"/>
    <cellStyle name="Comma 3 3 2 2 2 3" xfId="4125" xr:uid="{00000000-0005-0000-0000-000049160000}"/>
    <cellStyle name="Comma 3 3 2 2 2 3 2" xfId="9221" xr:uid="{00000000-0005-0000-0000-00004A160000}"/>
    <cellStyle name="Comma 3 3 2 2 2 4" xfId="6751" xr:uid="{00000000-0005-0000-0000-00004B160000}"/>
    <cellStyle name="Comma 3 3 2 2 3" xfId="2918" xr:uid="{00000000-0005-0000-0000-00004C160000}"/>
    <cellStyle name="Comma 3 3 2 2 3 2" xfId="5316" xr:uid="{00000000-0005-0000-0000-00004D160000}"/>
    <cellStyle name="Comma 3 3 2 2 3 2 2" xfId="10412" xr:uid="{00000000-0005-0000-0000-00004E160000}"/>
    <cellStyle name="Comma 3 3 2 2 3 3" xfId="8021" xr:uid="{00000000-0005-0000-0000-00004F160000}"/>
    <cellStyle name="Comma 3 3 2 2 4" xfId="4124" xr:uid="{00000000-0005-0000-0000-000050160000}"/>
    <cellStyle name="Comma 3 3 2 2 4 2" xfId="9220" xr:uid="{00000000-0005-0000-0000-000051160000}"/>
    <cellStyle name="Comma 3 3 2 2 5" xfId="6750" xr:uid="{00000000-0005-0000-0000-000052160000}"/>
    <cellStyle name="Comma 3 3 2 3" xfId="1444" xr:uid="{00000000-0005-0000-0000-000053160000}"/>
    <cellStyle name="Comma 3 3 2 3 2" xfId="2920" xr:uid="{00000000-0005-0000-0000-000054160000}"/>
    <cellStyle name="Comma 3 3 2 3 2 2" xfId="5318" xr:uid="{00000000-0005-0000-0000-000055160000}"/>
    <cellStyle name="Comma 3 3 2 3 2 2 2" xfId="10414" xr:uid="{00000000-0005-0000-0000-000056160000}"/>
    <cellStyle name="Comma 3 3 2 3 2 3" xfId="8023" xr:uid="{00000000-0005-0000-0000-000057160000}"/>
    <cellStyle name="Comma 3 3 2 3 3" xfId="4126" xr:uid="{00000000-0005-0000-0000-000058160000}"/>
    <cellStyle name="Comma 3 3 2 3 3 2" xfId="9222" xr:uid="{00000000-0005-0000-0000-000059160000}"/>
    <cellStyle name="Comma 3 3 2 3 4" xfId="6752" xr:uid="{00000000-0005-0000-0000-00005A160000}"/>
    <cellStyle name="Comma 3 3 2 4" xfId="1445" xr:uid="{00000000-0005-0000-0000-00005B160000}"/>
    <cellStyle name="Comma 3 3 2 4 2" xfId="2921" xr:uid="{00000000-0005-0000-0000-00005C160000}"/>
    <cellStyle name="Comma 3 3 2 4 2 2" xfId="5319" xr:uid="{00000000-0005-0000-0000-00005D160000}"/>
    <cellStyle name="Comma 3 3 2 4 2 2 2" xfId="10415" xr:uid="{00000000-0005-0000-0000-00005E160000}"/>
    <cellStyle name="Comma 3 3 2 4 2 3" xfId="8024" xr:uid="{00000000-0005-0000-0000-00005F160000}"/>
    <cellStyle name="Comma 3 3 2 4 3" xfId="4127" xr:uid="{00000000-0005-0000-0000-000060160000}"/>
    <cellStyle name="Comma 3 3 2 4 3 2" xfId="9223" xr:uid="{00000000-0005-0000-0000-000061160000}"/>
    <cellStyle name="Comma 3 3 2 4 4" xfId="6753" xr:uid="{00000000-0005-0000-0000-000062160000}"/>
    <cellStyle name="Comma 3 3 2 5" xfId="2917" xr:uid="{00000000-0005-0000-0000-000063160000}"/>
    <cellStyle name="Comma 3 3 2 5 2" xfId="5315" xr:uid="{00000000-0005-0000-0000-000064160000}"/>
    <cellStyle name="Comma 3 3 2 5 2 2" xfId="10411" xr:uid="{00000000-0005-0000-0000-000065160000}"/>
    <cellStyle name="Comma 3 3 2 5 3" xfId="8020" xr:uid="{00000000-0005-0000-0000-000066160000}"/>
    <cellStyle name="Comma 3 3 2 6" xfId="4123" xr:uid="{00000000-0005-0000-0000-000067160000}"/>
    <cellStyle name="Comma 3 3 2 6 2" xfId="9219" xr:uid="{00000000-0005-0000-0000-000068160000}"/>
    <cellStyle name="Comma 3 3 2 7" xfId="6749" xr:uid="{00000000-0005-0000-0000-000069160000}"/>
    <cellStyle name="Comma 3 3 3" xfId="1446" xr:uid="{00000000-0005-0000-0000-00006A160000}"/>
    <cellStyle name="Comma 3 3 3 2" xfId="1447" xr:uid="{00000000-0005-0000-0000-00006B160000}"/>
    <cellStyle name="Comma 3 3 3 2 2" xfId="2923" xr:uid="{00000000-0005-0000-0000-00006C160000}"/>
    <cellStyle name="Comma 3 3 3 2 2 2" xfId="5321" xr:uid="{00000000-0005-0000-0000-00006D160000}"/>
    <cellStyle name="Comma 3 3 3 2 2 2 2" xfId="10417" xr:uid="{00000000-0005-0000-0000-00006E160000}"/>
    <cellStyle name="Comma 3 3 3 2 2 3" xfId="8026" xr:uid="{00000000-0005-0000-0000-00006F160000}"/>
    <cellStyle name="Comma 3 3 3 2 3" xfId="4129" xr:uid="{00000000-0005-0000-0000-000070160000}"/>
    <cellStyle name="Comma 3 3 3 2 3 2" xfId="9225" xr:uid="{00000000-0005-0000-0000-000071160000}"/>
    <cellStyle name="Comma 3 3 3 2 4" xfId="6755" xr:uid="{00000000-0005-0000-0000-000072160000}"/>
    <cellStyle name="Comma 3 3 3 3" xfId="2922" xr:uid="{00000000-0005-0000-0000-000073160000}"/>
    <cellStyle name="Comma 3 3 3 3 2" xfId="5320" xr:uid="{00000000-0005-0000-0000-000074160000}"/>
    <cellStyle name="Comma 3 3 3 3 2 2" xfId="10416" xr:uid="{00000000-0005-0000-0000-000075160000}"/>
    <cellStyle name="Comma 3 3 3 3 3" xfId="8025" xr:uid="{00000000-0005-0000-0000-000076160000}"/>
    <cellStyle name="Comma 3 3 3 4" xfId="4128" xr:uid="{00000000-0005-0000-0000-000077160000}"/>
    <cellStyle name="Comma 3 3 3 4 2" xfId="9224" xr:uid="{00000000-0005-0000-0000-000078160000}"/>
    <cellStyle name="Comma 3 3 3 5" xfId="6754" xr:uid="{00000000-0005-0000-0000-000079160000}"/>
    <cellStyle name="Comma 3 3 4" xfId="1448" xr:uid="{00000000-0005-0000-0000-00007A160000}"/>
    <cellStyle name="Comma 3 3 4 2" xfId="2924" xr:uid="{00000000-0005-0000-0000-00007B160000}"/>
    <cellStyle name="Comma 3 3 4 2 2" xfId="5322" xr:uid="{00000000-0005-0000-0000-00007C160000}"/>
    <cellStyle name="Comma 3 3 4 2 2 2" xfId="10418" xr:uid="{00000000-0005-0000-0000-00007D160000}"/>
    <cellStyle name="Comma 3 3 4 2 3" xfId="8027" xr:uid="{00000000-0005-0000-0000-00007E160000}"/>
    <cellStyle name="Comma 3 3 4 3" xfId="4130" xr:uid="{00000000-0005-0000-0000-00007F160000}"/>
    <cellStyle name="Comma 3 3 4 3 2" xfId="9226" xr:uid="{00000000-0005-0000-0000-000080160000}"/>
    <cellStyle name="Comma 3 3 4 4" xfId="6756" xr:uid="{00000000-0005-0000-0000-000081160000}"/>
    <cellStyle name="Comma 3 3 5" xfId="1449" xr:uid="{00000000-0005-0000-0000-000082160000}"/>
    <cellStyle name="Comma 3 3 5 2" xfId="2925" xr:uid="{00000000-0005-0000-0000-000083160000}"/>
    <cellStyle name="Comma 3 3 5 2 2" xfId="5323" xr:uid="{00000000-0005-0000-0000-000084160000}"/>
    <cellStyle name="Comma 3 3 5 2 2 2" xfId="10419" xr:uid="{00000000-0005-0000-0000-000085160000}"/>
    <cellStyle name="Comma 3 3 5 2 3" xfId="8028" xr:uid="{00000000-0005-0000-0000-000086160000}"/>
    <cellStyle name="Comma 3 3 5 3" xfId="4131" xr:uid="{00000000-0005-0000-0000-000087160000}"/>
    <cellStyle name="Comma 3 3 5 3 2" xfId="9227" xr:uid="{00000000-0005-0000-0000-000088160000}"/>
    <cellStyle name="Comma 3 3 5 4" xfId="6757" xr:uid="{00000000-0005-0000-0000-000089160000}"/>
    <cellStyle name="Comma 3 3 6" xfId="2916" xr:uid="{00000000-0005-0000-0000-00008A160000}"/>
    <cellStyle name="Comma 3 3 6 2" xfId="5314" xr:uid="{00000000-0005-0000-0000-00008B160000}"/>
    <cellStyle name="Comma 3 3 6 2 2" xfId="10410" xr:uid="{00000000-0005-0000-0000-00008C160000}"/>
    <cellStyle name="Comma 3 3 6 3" xfId="8019" xr:uid="{00000000-0005-0000-0000-00008D160000}"/>
    <cellStyle name="Comma 3 3 7" xfId="4122" xr:uid="{00000000-0005-0000-0000-00008E160000}"/>
    <cellStyle name="Comma 3 3 7 2" xfId="9218" xr:uid="{00000000-0005-0000-0000-00008F160000}"/>
    <cellStyle name="Comma 3 3 8" xfId="6748" xr:uid="{00000000-0005-0000-0000-000090160000}"/>
    <cellStyle name="Comma 3 4" xfId="1450" xr:uid="{00000000-0005-0000-0000-000091160000}"/>
    <cellStyle name="Comma 3 4 2" xfId="1451" xr:uid="{00000000-0005-0000-0000-000092160000}"/>
    <cellStyle name="Comma 3 4 2 2" xfId="1452" xr:uid="{00000000-0005-0000-0000-000093160000}"/>
    <cellStyle name="Comma 3 4 2 2 2" xfId="2928" xr:uid="{00000000-0005-0000-0000-000094160000}"/>
    <cellStyle name="Comma 3 4 2 2 2 2" xfId="5326" xr:uid="{00000000-0005-0000-0000-000095160000}"/>
    <cellStyle name="Comma 3 4 2 2 2 2 2" xfId="10422" xr:uid="{00000000-0005-0000-0000-000096160000}"/>
    <cellStyle name="Comma 3 4 2 2 2 3" xfId="8031" xr:uid="{00000000-0005-0000-0000-000097160000}"/>
    <cellStyle name="Comma 3 4 2 2 3" xfId="4134" xr:uid="{00000000-0005-0000-0000-000098160000}"/>
    <cellStyle name="Comma 3 4 2 2 3 2" xfId="9230" xr:uid="{00000000-0005-0000-0000-000099160000}"/>
    <cellStyle name="Comma 3 4 2 2 4" xfId="6760" xr:uid="{00000000-0005-0000-0000-00009A160000}"/>
    <cellStyle name="Comma 3 4 2 3" xfId="2927" xr:uid="{00000000-0005-0000-0000-00009B160000}"/>
    <cellStyle name="Comma 3 4 2 3 2" xfId="5325" xr:uid="{00000000-0005-0000-0000-00009C160000}"/>
    <cellStyle name="Comma 3 4 2 3 2 2" xfId="10421" xr:uid="{00000000-0005-0000-0000-00009D160000}"/>
    <cellStyle name="Comma 3 4 2 3 3" xfId="8030" xr:uid="{00000000-0005-0000-0000-00009E160000}"/>
    <cellStyle name="Comma 3 4 2 4" xfId="4133" xr:uid="{00000000-0005-0000-0000-00009F160000}"/>
    <cellStyle name="Comma 3 4 2 4 2" xfId="9229" xr:uid="{00000000-0005-0000-0000-0000A0160000}"/>
    <cellStyle name="Comma 3 4 2 5" xfId="6759" xr:uid="{00000000-0005-0000-0000-0000A1160000}"/>
    <cellStyle name="Comma 3 4 3" xfId="1453" xr:uid="{00000000-0005-0000-0000-0000A2160000}"/>
    <cellStyle name="Comma 3 4 3 2" xfId="2929" xr:uid="{00000000-0005-0000-0000-0000A3160000}"/>
    <cellStyle name="Comma 3 4 3 2 2" xfId="5327" xr:uid="{00000000-0005-0000-0000-0000A4160000}"/>
    <cellStyle name="Comma 3 4 3 2 2 2" xfId="10423" xr:uid="{00000000-0005-0000-0000-0000A5160000}"/>
    <cellStyle name="Comma 3 4 3 2 3" xfId="8032" xr:uid="{00000000-0005-0000-0000-0000A6160000}"/>
    <cellStyle name="Comma 3 4 3 3" xfId="4135" xr:uid="{00000000-0005-0000-0000-0000A7160000}"/>
    <cellStyle name="Comma 3 4 3 3 2" xfId="9231" xr:uid="{00000000-0005-0000-0000-0000A8160000}"/>
    <cellStyle name="Comma 3 4 3 4" xfId="6761" xr:uid="{00000000-0005-0000-0000-0000A9160000}"/>
    <cellStyle name="Comma 3 4 4" xfId="1454" xr:uid="{00000000-0005-0000-0000-0000AA160000}"/>
    <cellStyle name="Comma 3 4 4 2" xfId="2930" xr:uid="{00000000-0005-0000-0000-0000AB160000}"/>
    <cellStyle name="Comma 3 4 4 2 2" xfId="5328" xr:uid="{00000000-0005-0000-0000-0000AC160000}"/>
    <cellStyle name="Comma 3 4 4 2 2 2" xfId="10424" xr:uid="{00000000-0005-0000-0000-0000AD160000}"/>
    <cellStyle name="Comma 3 4 4 2 3" xfId="8033" xr:uid="{00000000-0005-0000-0000-0000AE160000}"/>
    <cellStyle name="Comma 3 4 4 3" xfId="4136" xr:uid="{00000000-0005-0000-0000-0000AF160000}"/>
    <cellStyle name="Comma 3 4 4 3 2" xfId="9232" xr:uid="{00000000-0005-0000-0000-0000B0160000}"/>
    <cellStyle name="Comma 3 4 4 4" xfId="6762" xr:uid="{00000000-0005-0000-0000-0000B1160000}"/>
    <cellStyle name="Comma 3 4 5" xfId="2926" xr:uid="{00000000-0005-0000-0000-0000B2160000}"/>
    <cellStyle name="Comma 3 4 5 2" xfId="5324" xr:uid="{00000000-0005-0000-0000-0000B3160000}"/>
    <cellStyle name="Comma 3 4 5 2 2" xfId="10420" xr:uid="{00000000-0005-0000-0000-0000B4160000}"/>
    <cellStyle name="Comma 3 4 5 3" xfId="8029" xr:uid="{00000000-0005-0000-0000-0000B5160000}"/>
    <cellStyle name="Comma 3 4 6" xfId="4132" xr:uid="{00000000-0005-0000-0000-0000B6160000}"/>
    <cellStyle name="Comma 3 4 6 2" xfId="9228" xr:uid="{00000000-0005-0000-0000-0000B7160000}"/>
    <cellStyle name="Comma 3 4 7" xfId="6758" xr:uid="{00000000-0005-0000-0000-0000B8160000}"/>
    <cellStyle name="Comma 3 5" xfId="1455" xr:uid="{00000000-0005-0000-0000-0000B9160000}"/>
    <cellStyle name="Comma 3 5 2" xfId="1456" xr:uid="{00000000-0005-0000-0000-0000BA160000}"/>
    <cellStyle name="Comma 3 5 2 2" xfId="1457" xr:uid="{00000000-0005-0000-0000-0000BB160000}"/>
    <cellStyle name="Comma 3 5 2 2 2" xfId="2933" xr:uid="{00000000-0005-0000-0000-0000BC160000}"/>
    <cellStyle name="Comma 3 5 2 2 2 2" xfId="5331" xr:uid="{00000000-0005-0000-0000-0000BD160000}"/>
    <cellStyle name="Comma 3 5 2 2 2 2 2" xfId="10427" xr:uid="{00000000-0005-0000-0000-0000BE160000}"/>
    <cellStyle name="Comma 3 5 2 2 2 3" xfId="8036" xr:uid="{00000000-0005-0000-0000-0000BF160000}"/>
    <cellStyle name="Comma 3 5 2 2 3" xfId="4139" xr:uid="{00000000-0005-0000-0000-0000C0160000}"/>
    <cellStyle name="Comma 3 5 2 2 3 2" xfId="9235" xr:uid="{00000000-0005-0000-0000-0000C1160000}"/>
    <cellStyle name="Comma 3 5 2 2 4" xfId="6765" xr:uid="{00000000-0005-0000-0000-0000C2160000}"/>
    <cellStyle name="Comma 3 5 2 3" xfId="2932" xr:uid="{00000000-0005-0000-0000-0000C3160000}"/>
    <cellStyle name="Comma 3 5 2 3 2" xfId="5330" xr:uid="{00000000-0005-0000-0000-0000C4160000}"/>
    <cellStyle name="Comma 3 5 2 3 2 2" xfId="10426" xr:uid="{00000000-0005-0000-0000-0000C5160000}"/>
    <cellStyle name="Comma 3 5 2 3 3" xfId="8035" xr:uid="{00000000-0005-0000-0000-0000C6160000}"/>
    <cellStyle name="Comma 3 5 2 4" xfId="4138" xr:uid="{00000000-0005-0000-0000-0000C7160000}"/>
    <cellStyle name="Comma 3 5 2 4 2" xfId="9234" xr:uid="{00000000-0005-0000-0000-0000C8160000}"/>
    <cellStyle name="Comma 3 5 2 5" xfId="6764" xr:uid="{00000000-0005-0000-0000-0000C9160000}"/>
    <cellStyle name="Comma 3 5 3" xfId="1458" xr:uid="{00000000-0005-0000-0000-0000CA160000}"/>
    <cellStyle name="Comma 3 5 3 2" xfId="2934" xr:uid="{00000000-0005-0000-0000-0000CB160000}"/>
    <cellStyle name="Comma 3 5 3 2 2" xfId="5332" xr:uid="{00000000-0005-0000-0000-0000CC160000}"/>
    <cellStyle name="Comma 3 5 3 2 2 2" xfId="10428" xr:uid="{00000000-0005-0000-0000-0000CD160000}"/>
    <cellStyle name="Comma 3 5 3 2 3" xfId="8037" xr:uid="{00000000-0005-0000-0000-0000CE160000}"/>
    <cellStyle name="Comma 3 5 3 3" xfId="4140" xr:uid="{00000000-0005-0000-0000-0000CF160000}"/>
    <cellStyle name="Comma 3 5 3 3 2" xfId="9236" xr:uid="{00000000-0005-0000-0000-0000D0160000}"/>
    <cellStyle name="Comma 3 5 3 4" xfId="6766" xr:uid="{00000000-0005-0000-0000-0000D1160000}"/>
    <cellStyle name="Comma 3 5 4" xfId="1459" xr:uid="{00000000-0005-0000-0000-0000D2160000}"/>
    <cellStyle name="Comma 3 5 4 2" xfId="2935" xr:uid="{00000000-0005-0000-0000-0000D3160000}"/>
    <cellStyle name="Comma 3 5 4 2 2" xfId="5333" xr:uid="{00000000-0005-0000-0000-0000D4160000}"/>
    <cellStyle name="Comma 3 5 4 2 2 2" xfId="10429" xr:uid="{00000000-0005-0000-0000-0000D5160000}"/>
    <cellStyle name="Comma 3 5 4 2 3" xfId="8038" xr:uid="{00000000-0005-0000-0000-0000D6160000}"/>
    <cellStyle name="Comma 3 5 4 3" xfId="4141" xr:uid="{00000000-0005-0000-0000-0000D7160000}"/>
    <cellStyle name="Comma 3 5 4 3 2" xfId="9237" xr:uid="{00000000-0005-0000-0000-0000D8160000}"/>
    <cellStyle name="Comma 3 5 4 4" xfId="6767" xr:uid="{00000000-0005-0000-0000-0000D9160000}"/>
    <cellStyle name="Comma 3 5 5" xfId="2931" xr:uid="{00000000-0005-0000-0000-0000DA160000}"/>
    <cellStyle name="Comma 3 5 5 2" xfId="5329" xr:uid="{00000000-0005-0000-0000-0000DB160000}"/>
    <cellStyle name="Comma 3 5 5 2 2" xfId="10425" xr:uid="{00000000-0005-0000-0000-0000DC160000}"/>
    <cellStyle name="Comma 3 5 5 3" xfId="8034" xr:uid="{00000000-0005-0000-0000-0000DD160000}"/>
    <cellStyle name="Comma 3 5 6" xfId="4137" xr:uid="{00000000-0005-0000-0000-0000DE160000}"/>
    <cellStyle name="Comma 3 5 6 2" xfId="9233" xr:uid="{00000000-0005-0000-0000-0000DF160000}"/>
    <cellStyle name="Comma 3 5 7" xfId="6763" xr:uid="{00000000-0005-0000-0000-0000E0160000}"/>
    <cellStyle name="Comma 3 6" xfId="1460" xr:uid="{00000000-0005-0000-0000-0000E1160000}"/>
    <cellStyle name="Comma 3 6 2" xfId="1461" xr:uid="{00000000-0005-0000-0000-0000E2160000}"/>
    <cellStyle name="Comma 3 6 2 2" xfId="1462" xr:uid="{00000000-0005-0000-0000-0000E3160000}"/>
    <cellStyle name="Comma 3 6 2 2 2" xfId="2938" xr:uid="{00000000-0005-0000-0000-0000E4160000}"/>
    <cellStyle name="Comma 3 6 2 2 2 2" xfId="5336" xr:uid="{00000000-0005-0000-0000-0000E5160000}"/>
    <cellStyle name="Comma 3 6 2 2 2 2 2" xfId="10432" xr:uid="{00000000-0005-0000-0000-0000E6160000}"/>
    <cellStyle name="Comma 3 6 2 2 2 3" xfId="8041" xr:uid="{00000000-0005-0000-0000-0000E7160000}"/>
    <cellStyle name="Comma 3 6 2 2 3" xfId="4144" xr:uid="{00000000-0005-0000-0000-0000E8160000}"/>
    <cellStyle name="Comma 3 6 2 2 3 2" xfId="9240" xr:uid="{00000000-0005-0000-0000-0000E9160000}"/>
    <cellStyle name="Comma 3 6 2 2 4" xfId="6770" xr:uid="{00000000-0005-0000-0000-0000EA160000}"/>
    <cellStyle name="Comma 3 6 2 3" xfId="2937" xr:uid="{00000000-0005-0000-0000-0000EB160000}"/>
    <cellStyle name="Comma 3 6 2 3 2" xfId="5335" xr:uid="{00000000-0005-0000-0000-0000EC160000}"/>
    <cellStyle name="Comma 3 6 2 3 2 2" xfId="10431" xr:uid="{00000000-0005-0000-0000-0000ED160000}"/>
    <cellStyle name="Comma 3 6 2 3 3" xfId="8040" xr:uid="{00000000-0005-0000-0000-0000EE160000}"/>
    <cellStyle name="Comma 3 6 2 4" xfId="4143" xr:uid="{00000000-0005-0000-0000-0000EF160000}"/>
    <cellStyle name="Comma 3 6 2 4 2" xfId="9239" xr:uid="{00000000-0005-0000-0000-0000F0160000}"/>
    <cellStyle name="Comma 3 6 2 5" xfId="6769" xr:uid="{00000000-0005-0000-0000-0000F1160000}"/>
    <cellStyle name="Comma 3 6 3" xfId="1463" xr:uid="{00000000-0005-0000-0000-0000F2160000}"/>
    <cellStyle name="Comma 3 6 3 2" xfId="2939" xr:uid="{00000000-0005-0000-0000-0000F3160000}"/>
    <cellStyle name="Comma 3 6 3 2 2" xfId="5337" xr:uid="{00000000-0005-0000-0000-0000F4160000}"/>
    <cellStyle name="Comma 3 6 3 2 2 2" xfId="10433" xr:uid="{00000000-0005-0000-0000-0000F5160000}"/>
    <cellStyle name="Comma 3 6 3 2 3" xfId="8042" xr:uid="{00000000-0005-0000-0000-0000F6160000}"/>
    <cellStyle name="Comma 3 6 3 3" xfId="4145" xr:uid="{00000000-0005-0000-0000-0000F7160000}"/>
    <cellStyle name="Comma 3 6 3 3 2" xfId="9241" xr:uid="{00000000-0005-0000-0000-0000F8160000}"/>
    <cellStyle name="Comma 3 6 3 4" xfId="6771" xr:uid="{00000000-0005-0000-0000-0000F9160000}"/>
    <cellStyle name="Comma 3 6 4" xfId="1464" xr:uid="{00000000-0005-0000-0000-0000FA160000}"/>
    <cellStyle name="Comma 3 6 4 2" xfId="2940" xr:uid="{00000000-0005-0000-0000-0000FB160000}"/>
    <cellStyle name="Comma 3 6 4 2 2" xfId="5338" xr:uid="{00000000-0005-0000-0000-0000FC160000}"/>
    <cellStyle name="Comma 3 6 4 2 2 2" xfId="10434" xr:uid="{00000000-0005-0000-0000-0000FD160000}"/>
    <cellStyle name="Comma 3 6 4 2 3" xfId="8043" xr:uid="{00000000-0005-0000-0000-0000FE160000}"/>
    <cellStyle name="Comma 3 6 4 3" xfId="4146" xr:uid="{00000000-0005-0000-0000-0000FF160000}"/>
    <cellStyle name="Comma 3 6 4 3 2" xfId="9242" xr:uid="{00000000-0005-0000-0000-000000170000}"/>
    <cellStyle name="Comma 3 6 4 4" xfId="6772" xr:uid="{00000000-0005-0000-0000-000001170000}"/>
    <cellStyle name="Comma 3 6 5" xfId="2936" xr:uid="{00000000-0005-0000-0000-000002170000}"/>
    <cellStyle name="Comma 3 6 5 2" xfId="5334" xr:uid="{00000000-0005-0000-0000-000003170000}"/>
    <cellStyle name="Comma 3 6 5 2 2" xfId="10430" xr:uid="{00000000-0005-0000-0000-000004170000}"/>
    <cellStyle name="Comma 3 6 5 3" xfId="8039" xr:uid="{00000000-0005-0000-0000-000005170000}"/>
    <cellStyle name="Comma 3 6 6" xfId="4142" xr:uid="{00000000-0005-0000-0000-000006170000}"/>
    <cellStyle name="Comma 3 6 6 2" xfId="9238" xr:uid="{00000000-0005-0000-0000-000007170000}"/>
    <cellStyle name="Comma 3 6 7" xfId="6768" xr:uid="{00000000-0005-0000-0000-000008170000}"/>
    <cellStyle name="Comma 3 7" xfId="1465" xr:uid="{00000000-0005-0000-0000-000009170000}"/>
    <cellStyle name="Comma 3 7 2" xfId="1466" xr:uid="{00000000-0005-0000-0000-00000A170000}"/>
    <cellStyle name="Comma 3 7 2 2" xfId="2942" xr:uid="{00000000-0005-0000-0000-00000B170000}"/>
    <cellStyle name="Comma 3 7 2 2 2" xfId="5340" xr:uid="{00000000-0005-0000-0000-00000C170000}"/>
    <cellStyle name="Comma 3 7 2 2 2 2" xfId="10436" xr:uid="{00000000-0005-0000-0000-00000D170000}"/>
    <cellStyle name="Comma 3 7 2 2 3" xfId="8045" xr:uid="{00000000-0005-0000-0000-00000E170000}"/>
    <cellStyle name="Comma 3 7 2 3" xfId="4148" xr:uid="{00000000-0005-0000-0000-00000F170000}"/>
    <cellStyle name="Comma 3 7 2 3 2" xfId="9244" xr:uid="{00000000-0005-0000-0000-000010170000}"/>
    <cellStyle name="Comma 3 7 2 4" xfId="6774" xr:uid="{00000000-0005-0000-0000-000011170000}"/>
    <cellStyle name="Comma 3 7 3" xfId="2941" xr:uid="{00000000-0005-0000-0000-000012170000}"/>
    <cellStyle name="Comma 3 7 3 2" xfId="5339" xr:uid="{00000000-0005-0000-0000-000013170000}"/>
    <cellStyle name="Comma 3 7 3 2 2" xfId="10435" xr:uid="{00000000-0005-0000-0000-000014170000}"/>
    <cellStyle name="Comma 3 7 3 3" xfId="8044" xr:uid="{00000000-0005-0000-0000-000015170000}"/>
    <cellStyle name="Comma 3 7 4" xfId="4147" xr:uid="{00000000-0005-0000-0000-000016170000}"/>
    <cellStyle name="Comma 3 7 4 2" xfId="9243" xr:uid="{00000000-0005-0000-0000-000017170000}"/>
    <cellStyle name="Comma 3 7 5" xfId="6773" xr:uid="{00000000-0005-0000-0000-000018170000}"/>
    <cellStyle name="Comma 3 8" xfId="1467" xr:uid="{00000000-0005-0000-0000-000019170000}"/>
    <cellStyle name="Comma 3 8 2" xfId="2943" xr:uid="{00000000-0005-0000-0000-00001A170000}"/>
    <cellStyle name="Comma 3 8 2 2" xfId="5341" xr:uid="{00000000-0005-0000-0000-00001B170000}"/>
    <cellStyle name="Comma 3 8 2 2 2" xfId="10437" xr:uid="{00000000-0005-0000-0000-00001C170000}"/>
    <cellStyle name="Comma 3 8 2 3" xfId="8046" xr:uid="{00000000-0005-0000-0000-00001D170000}"/>
    <cellStyle name="Comma 3 8 3" xfId="4149" xr:uid="{00000000-0005-0000-0000-00001E170000}"/>
    <cellStyle name="Comma 3 8 3 2" xfId="9245" xr:uid="{00000000-0005-0000-0000-00001F170000}"/>
    <cellStyle name="Comma 3 8 4" xfId="6775" xr:uid="{00000000-0005-0000-0000-000020170000}"/>
    <cellStyle name="Comma 3 9" xfId="1468" xr:uid="{00000000-0005-0000-0000-000021170000}"/>
    <cellStyle name="Comma 3 9 2" xfId="2944" xr:uid="{00000000-0005-0000-0000-000022170000}"/>
    <cellStyle name="Comma 3 9 2 2" xfId="5342" xr:uid="{00000000-0005-0000-0000-000023170000}"/>
    <cellStyle name="Comma 3 9 2 2 2" xfId="10438" xr:uid="{00000000-0005-0000-0000-000024170000}"/>
    <cellStyle name="Comma 3 9 2 3" xfId="8047" xr:uid="{00000000-0005-0000-0000-000025170000}"/>
    <cellStyle name="Comma 3 9 3" xfId="4150" xr:uid="{00000000-0005-0000-0000-000026170000}"/>
    <cellStyle name="Comma 3 9 3 2" xfId="9246" xr:uid="{00000000-0005-0000-0000-000027170000}"/>
    <cellStyle name="Comma 3 9 4" xfId="6776" xr:uid="{00000000-0005-0000-0000-000028170000}"/>
    <cellStyle name="Comma 30" xfId="1842" xr:uid="{00000000-0005-0000-0000-000029170000}"/>
    <cellStyle name="Comma 30 2" xfId="3232" xr:uid="{00000000-0005-0000-0000-00002A170000}"/>
    <cellStyle name="Comma 30 2 2" xfId="5628" xr:uid="{00000000-0005-0000-0000-00002B170000}"/>
    <cellStyle name="Comma 30 2 2 2" xfId="10724" xr:uid="{00000000-0005-0000-0000-00002C170000}"/>
    <cellStyle name="Comma 30 2 3" xfId="8335" xr:uid="{00000000-0005-0000-0000-00002D170000}"/>
    <cellStyle name="Comma 30 3" xfId="4436" xr:uid="{00000000-0005-0000-0000-00002E170000}"/>
    <cellStyle name="Comma 30 3 2" xfId="9532" xr:uid="{00000000-0005-0000-0000-00002F170000}"/>
    <cellStyle name="Comma 30 4" xfId="7074" xr:uid="{00000000-0005-0000-0000-000030170000}"/>
    <cellStyle name="Comma 31" xfId="2268" xr:uid="{00000000-0005-0000-0000-000031170000}"/>
    <cellStyle name="Comma 31 2" xfId="3521" xr:uid="{00000000-0005-0000-0000-000032170000}"/>
    <cellStyle name="Comma 31 2 2" xfId="5916" xr:uid="{00000000-0005-0000-0000-000033170000}"/>
    <cellStyle name="Comma 31 2 2 2" xfId="11012" xr:uid="{00000000-0005-0000-0000-000034170000}"/>
    <cellStyle name="Comma 31 2 3" xfId="8624" xr:uid="{00000000-0005-0000-0000-000035170000}"/>
    <cellStyle name="Comma 31 3" xfId="4727" xr:uid="{00000000-0005-0000-0000-000036170000}"/>
    <cellStyle name="Comma 31 3 2" xfId="9823" xr:uid="{00000000-0005-0000-0000-000037170000}"/>
    <cellStyle name="Comma 31 4" xfId="7377" xr:uid="{00000000-0005-0000-0000-000038170000}"/>
    <cellStyle name="Comma 32" xfId="2270" xr:uid="{00000000-0005-0000-0000-000039170000}"/>
    <cellStyle name="Comma 32 2" xfId="3523" xr:uid="{00000000-0005-0000-0000-00003A170000}"/>
    <cellStyle name="Comma 32 2 2" xfId="5918" xr:uid="{00000000-0005-0000-0000-00003B170000}"/>
    <cellStyle name="Comma 32 2 2 2" xfId="11014" xr:uid="{00000000-0005-0000-0000-00003C170000}"/>
    <cellStyle name="Comma 32 2 3" xfId="8626" xr:uid="{00000000-0005-0000-0000-00003D170000}"/>
    <cellStyle name="Comma 32 3" xfId="4729" xr:uid="{00000000-0005-0000-0000-00003E170000}"/>
    <cellStyle name="Comma 32 3 2" xfId="9825" xr:uid="{00000000-0005-0000-0000-00003F170000}"/>
    <cellStyle name="Comma 32 4" xfId="7379" xr:uid="{00000000-0005-0000-0000-000040170000}"/>
    <cellStyle name="Comma 33" xfId="2272" xr:uid="{00000000-0005-0000-0000-000041170000}"/>
    <cellStyle name="Comma 33 2" xfId="3525" xr:uid="{00000000-0005-0000-0000-000042170000}"/>
    <cellStyle name="Comma 33 2 2" xfId="5920" xr:uid="{00000000-0005-0000-0000-000043170000}"/>
    <cellStyle name="Comma 33 2 2 2" xfId="11016" xr:uid="{00000000-0005-0000-0000-000044170000}"/>
    <cellStyle name="Comma 33 2 3" xfId="8628" xr:uid="{00000000-0005-0000-0000-000045170000}"/>
    <cellStyle name="Comma 33 3" xfId="4731" xr:uid="{00000000-0005-0000-0000-000046170000}"/>
    <cellStyle name="Comma 33 3 2" xfId="9827" xr:uid="{00000000-0005-0000-0000-000047170000}"/>
    <cellStyle name="Comma 33 4" xfId="7381" xr:uid="{00000000-0005-0000-0000-000048170000}"/>
    <cellStyle name="Comma 34" xfId="2274" xr:uid="{00000000-0005-0000-0000-000049170000}"/>
    <cellStyle name="Comma 34 2" xfId="3527" xr:uid="{00000000-0005-0000-0000-00004A170000}"/>
    <cellStyle name="Comma 34 2 2" xfId="5922" xr:uid="{00000000-0005-0000-0000-00004B170000}"/>
    <cellStyle name="Comma 34 2 2 2" xfId="11018" xr:uid="{00000000-0005-0000-0000-00004C170000}"/>
    <cellStyle name="Comma 34 2 3" xfId="8630" xr:uid="{00000000-0005-0000-0000-00004D170000}"/>
    <cellStyle name="Comma 34 3" xfId="4733" xr:uid="{00000000-0005-0000-0000-00004E170000}"/>
    <cellStyle name="Comma 34 3 2" xfId="9829" xr:uid="{00000000-0005-0000-0000-00004F170000}"/>
    <cellStyle name="Comma 34 4" xfId="7383" xr:uid="{00000000-0005-0000-0000-000050170000}"/>
    <cellStyle name="Comma 35" xfId="2277" xr:uid="{00000000-0005-0000-0000-000051170000}"/>
    <cellStyle name="Comma 35 2" xfId="3530" xr:uid="{00000000-0005-0000-0000-000052170000}"/>
    <cellStyle name="Comma 35 2 2" xfId="5925" xr:uid="{00000000-0005-0000-0000-000053170000}"/>
    <cellStyle name="Comma 35 2 2 2" xfId="11021" xr:uid="{00000000-0005-0000-0000-000054170000}"/>
    <cellStyle name="Comma 35 2 3" xfId="8633" xr:uid="{00000000-0005-0000-0000-000055170000}"/>
    <cellStyle name="Comma 35 3" xfId="4736" xr:uid="{00000000-0005-0000-0000-000056170000}"/>
    <cellStyle name="Comma 35 3 2" xfId="9832" xr:uid="{00000000-0005-0000-0000-000057170000}"/>
    <cellStyle name="Comma 35 4" xfId="7386" xr:uid="{00000000-0005-0000-0000-000058170000}"/>
    <cellStyle name="Comma 36" xfId="2280" xr:uid="{00000000-0005-0000-0000-000059170000}"/>
    <cellStyle name="Comma 36 2" xfId="3533" xr:uid="{00000000-0005-0000-0000-00005A170000}"/>
    <cellStyle name="Comma 36 2 2" xfId="5928" xr:uid="{00000000-0005-0000-0000-00005B170000}"/>
    <cellStyle name="Comma 36 2 2 2" xfId="11024" xr:uid="{00000000-0005-0000-0000-00005C170000}"/>
    <cellStyle name="Comma 36 2 3" xfId="8636" xr:uid="{00000000-0005-0000-0000-00005D170000}"/>
    <cellStyle name="Comma 36 3" xfId="4739" xr:uid="{00000000-0005-0000-0000-00005E170000}"/>
    <cellStyle name="Comma 36 3 2" xfId="9835" xr:uid="{00000000-0005-0000-0000-00005F170000}"/>
    <cellStyle name="Comma 36 4" xfId="7389" xr:uid="{00000000-0005-0000-0000-000060170000}"/>
    <cellStyle name="Comma 37" xfId="2276" xr:uid="{00000000-0005-0000-0000-000061170000}"/>
    <cellStyle name="Comma 37 2" xfId="3529" xr:uid="{00000000-0005-0000-0000-000062170000}"/>
    <cellStyle name="Comma 37 2 2" xfId="5924" xr:uid="{00000000-0005-0000-0000-000063170000}"/>
    <cellStyle name="Comma 37 2 2 2" xfId="11020" xr:uid="{00000000-0005-0000-0000-000064170000}"/>
    <cellStyle name="Comma 37 2 3" xfId="8632" xr:uid="{00000000-0005-0000-0000-000065170000}"/>
    <cellStyle name="Comma 37 3" xfId="4735" xr:uid="{00000000-0005-0000-0000-000066170000}"/>
    <cellStyle name="Comma 37 3 2" xfId="9831" xr:uid="{00000000-0005-0000-0000-000067170000}"/>
    <cellStyle name="Comma 37 4" xfId="7385" xr:uid="{00000000-0005-0000-0000-000068170000}"/>
    <cellStyle name="Comma 38" xfId="2256" xr:uid="{00000000-0005-0000-0000-000069170000}"/>
    <cellStyle name="Comma 38 2" xfId="3509" xr:uid="{00000000-0005-0000-0000-00006A170000}"/>
    <cellStyle name="Comma 38 2 2" xfId="5904" xr:uid="{00000000-0005-0000-0000-00006B170000}"/>
    <cellStyle name="Comma 38 2 2 2" xfId="11000" xr:uid="{00000000-0005-0000-0000-00006C170000}"/>
    <cellStyle name="Comma 38 2 3" xfId="8612" xr:uid="{00000000-0005-0000-0000-00006D170000}"/>
    <cellStyle name="Comma 38 3" xfId="4715" xr:uid="{00000000-0005-0000-0000-00006E170000}"/>
    <cellStyle name="Comma 38 3 2" xfId="9811" xr:uid="{00000000-0005-0000-0000-00006F170000}"/>
    <cellStyle name="Comma 38 4" xfId="7365" xr:uid="{00000000-0005-0000-0000-000070170000}"/>
    <cellStyle name="Comma 39" xfId="2254" xr:uid="{00000000-0005-0000-0000-000071170000}"/>
    <cellStyle name="Comma 39 2" xfId="3507" xr:uid="{00000000-0005-0000-0000-000072170000}"/>
    <cellStyle name="Comma 39 2 2" xfId="5902" xr:uid="{00000000-0005-0000-0000-000073170000}"/>
    <cellStyle name="Comma 39 2 2 2" xfId="10998" xr:uid="{00000000-0005-0000-0000-000074170000}"/>
    <cellStyle name="Comma 39 2 3" xfId="8610" xr:uid="{00000000-0005-0000-0000-000075170000}"/>
    <cellStyle name="Comma 39 3" xfId="4713" xr:uid="{00000000-0005-0000-0000-000076170000}"/>
    <cellStyle name="Comma 39 3 2" xfId="9809" xr:uid="{00000000-0005-0000-0000-000077170000}"/>
    <cellStyle name="Comma 39 4" xfId="7363" xr:uid="{00000000-0005-0000-0000-000078170000}"/>
    <cellStyle name="Comma 4" xfId="868" xr:uid="{00000000-0005-0000-0000-000079170000}"/>
    <cellStyle name="Comma 4 10" xfId="2573" xr:uid="{00000000-0005-0000-0000-00007A170000}"/>
    <cellStyle name="Comma 4 10 2" xfId="5017" xr:uid="{00000000-0005-0000-0000-00007B170000}"/>
    <cellStyle name="Comma 4 10 2 2" xfId="10113" xr:uid="{00000000-0005-0000-0000-00007C170000}"/>
    <cellStyle name="Comma 4 10 3" xfId="7676" xr:uid="{00000000-0005-0000-0000-00007D170000}"/>
    <cellStyle name="Comma 4 11" xfId="3834" xr:uid="{00000000-0005-0000-0000-00007E170000}"/>
    <cellStyle name="Comma 4 11 2" xfId="8933" xr:uid="{00000000-0005-0000-0000-00007F170000}"/>
    <cellStyle name="Comma 4 12" xfId="6419" xr:uid="{00000000-0005-0000-0000-000080170000}"/>
    <cellStyle name="Comma 4 2" xfId="1040" xr:uid="{00000000-0005-0000-0000-000081170000}"/>
    <cellStyle name="Comma 4 2 2" xfId="1471" xr:uid="{00000000-0005-0000-0000-000082170000}"/>
    <cellStyle name="Comma 4 2 2 2" xfId="1472" xr:uid="{00000000-0005-0000-0000-000083170000}"/>
    <cellStyle name="Comma 4 2 2 2 2" xfId="1473" xr:uid="{00000000-0005-0000-0000-000084170000}"/>
    <cellStyle name="Comma 4 2 2 2 2 2" xfId="2949" xr:uid="{00000000-0005-0000-0000-000085170000}"/>
    <cellStyle name="Comma 4 2 2 2 2 2 2" xfId="5347" xr:uid="{00000000-0005-0000-0000-000086170000}"/>
    <cellStyle name="Comma 4 2 2 2 2 2 2 2" xfId="10443" xr:uid="{00000000-0005-0000-0000-000087170000}"/>
    <cellStyle name="Comma 4 2 2 2 2 2 3" xfId="8052" xr:uid="{00000000-0005-0000-0000-000088170000}"/>
    <cellStyle name="Comma 4 2 2 2 2 3" xfId="4155" xr:uid="{00000000-0005-0000-0000-000089170000}"/>
    <cellStyle name="Comma 4 2 2 2 2 3 2" xfId="9251" xr:uid="{00000000-0005-0000-0000-00008A170000}"/>
    <cellStyle name="Comma 4 2 2 2 2 4" xfId="6781" xr:uid="{00000000-0005-0000-0000-00008B170000}"/>
    <cellStyle name="Comma 4 2 2 2 3" xfId="2948" xr:uid="{00000000-0005-0000-0000-00008C170000}"/>
    <cellStyle name="Comma 4 2 2 2 3 2" xfId="5346" xr:uid="{00000000-0005-0000-0000-00008D170000}"/>
    <cellStyle name="Comma 4 2 2 2 3 2 2" xfId="10442" xr:uid="{00000000-0005-0000-0000-00008E170000}"/>
    <cellStyle name="Comma 4 2 2 2 3 3" xfId="8051" xr:uid="{00000000-0005-0000-0000-00008F170000}"/>
    <cellStyle name="Comma 4 2 2 2 4" xfId="4154" xr:uid="{00000000-0005-0000-0000-000090170000}"/>
    <cellStyle name="Comma 4 2 2 2 4 2" xfId="9250" xr:uid="{00000000-0005-0000-0000-000091170000}"/>
    <cellStyle name="Comma 4 2 2 2 5" xfId="6780" xr:uid="{00000000-0005-0000-0000-000092170000}"/>
    <cellStyle name="Comma 4 2 2 3" xfId="1474" xr:uid="{00000000-0005-0000-0000-000093170000}"/>
    <cellStyle name="Comma 4 2 2 3 2" xfId="2950" xr:uid="{00000000-0005-0000-0000-000094170000}"/>
    <cellStyle name="Comma 4 2 2 3 2 2" xfId="5348" xr:uid="{00000000-0005-0000-0000-000095170000}"/>
    <cellStyle name="Comma 4 2 2 3 2 2 2" xfId="10444" xr:uid="{00000000-0005-0000-0000-000096170000}"/>
    <cellStyle name="Comma 4 2 2 3 2 3" xfId="8053" xr:uid="{00000000-0005-0000-0000-000097170000}"/>
    <cellStyle name="Comma 4 2 2 3 3" xfId="4156" xr:uid="{00000000-0005-0000-0000-000098170000}"/>
    <cellStyle name="Comma 4 2 2 3 3 2" xfId="9252" xr:uid="{00000000-0005-0000-0000-000099170000}"/>
    <cellStyle name="Comma 4 2 2 3 4" xfId="6782" xr:uid="{00000000-0005-0000-0000-00009A170000}"/>
    <cellStyle name="Comma 4 2 2 4" xfId="1475" xr:uid="{00000000-0005-0000-0000-00009B170000}"/>
    <cellStyle name="Comma 4 2 2 4 2" xfId="2951" xr:uid="{00000000-0005-0000-0000-00009C170000}"/>
    <cellStyle name="Comma 4 2 2 4 2 2" xfId="5349" xr:uid="{00000000-0005-0000-0000-00009D170000}"/>
    <cellStyle name="Comma 4 2 2 4 2 2 2" xfId="10445" xr:uid="{00000000-0005-0000-0000-00009E170000}"/>
    <cellStyle name="Comma 4 2 2 4 2 3" xfId="8054" xr:uid="{00000000-0005-0000-0000-00009F170000}"/>
    <cellStyle name="Comma 4 2 2 4 3" xfId="4157" xr:uid="{00000000-0005-0000-0000-0000A0170000}"/>
    <cellStyle name="Comma 4 2 2 4 3 2" xfId="9253" xr:uid="{00000000-0005-0000-0000-0000A1170000}"/>
    <cellStyle name="Comma 4 2 2 4 4" xfId="6783" xr:uid="{00000000-0005-0000-0000-0000A2170000}"/>
    <cellStyle name="Comma 4 2 2 5" xfId="2947" xr:uid="{00000000-0005-0000-0000-0000A3170000}"/>
    <cellStyle name="Comma 4 2 2 5 2" xfId="5345" xr:uid="{00000000-0005-0000-0000-0000A4170000}"/>
    <cellStyle name="Comma 4 2 2 5 2 2" xfId="10441" xr:uid="{00000000-0005-0000-0000-0000A5170000}"/>
    <cellStyle name="Comma 4 2 2 5 3" xfId="8050" xr:uid="{00000000-0005-0000-0000-0000A6170000}"/>
    <cellStyle name="Comma 4 2 2 6" xfId="4153" xr:uid="{00000000-0005-0000-0000-0000A7170000}"/>
    <cellStyle name="Comma 4 2 2 6 2" xfId="9249" xr:uid="{00000000-0005-0000-0000-0000A8170000}"/>
    <cellStyle name="Comma 4 2 2 7" xfId="6779" xr:uid="{00000000-0005-0000-0000-0000A9170000}"/>
    <cellStyle name="Comma 4 2 3" xfId="1476" xr:uid="{00000000-0005-0000-0000-0000AA170000}"/>
    <cellStyle name="Comma 4 2 3 2" xfId="1477" xr:uid="{00000000-0005-0000-0000-0000AB170000}"/>
    <cellStyle name="Comma 4 2 3 2 2" xfId="2953" xr:uid="{00000000-0005-0000-0000-0000AC170000}"/>
    <cellStyle name="Comma 4 2 3 2 2 2" xfId="5351" xr:uid="{00000000-0005-0000-0000-0000AD170000}"/>
    <cellStyle name="Comma 4 2 3 2 2 2 2" xfId="10447" xr:uid="{00000000-0005-0000-0000-0000AE170000}"/>
    <cellStyle name="Comma 4 2 3 2 2 3" xfId="8056" xr:uid="{00000000-0005-0000-0000-0000AF170000}"/>
    <cellStyle name="Comma 4 2 3 2 3" xfId="4159" xr:uid="{00000000-0005-0000-0000-0000B0170000}"/>
    <cellStyle name="Comma 4 2 3 2 3 2" xfId="9255" xr:uid="{00000000-0005-0000-0000-0000B1170000}"/>
    <cellStyle name="Comma 4 2 3 2 4" xfId="6785" xr:uid="{00000000-0005-0000-0000-0000B2170000}"/>
    <cellStyle name="Comma 4 2 3 3" xfId="2952" xr:uid="{00000000-0005-0000-0000-0000B3170000}"/>
    <cellStyle name="Comma 4 2 3 3 2" xfId="5350" xr:uid="{00000000-0005-0000-0000-0000B4170000}"/>
    <cellStyle name="Comma 4 2 3 3 2 2" xfId="10446" xr:uid="{00000000-0005-0000-0000-0000B5170000}"/>
    <cellStyle name="Comma 4 2 3 3 3" xfId="8055" xr:uid="{00000000-0005-0000-0000-0000B6170000}"/>
    <cellStyle name="Comma 4 2 3 4" xfId="4158" xr:uid="{00000000-0005-0000-0000-0000B7170000}"/>
    <cellStyle name="Comma 4 2 3 4 2" xfId="9254" xr:uid="{00000000-0005-0000-0000-0000B8170000}"/>
    <cellStyle name="Comma 4 2 3 5" xfId="6784" xr:uid="{00000000-0005-0000-0000-0000B9170000}"/>
    <cellStyle name="Comma 4 2 4" xfId="1478" xr:uid="{00000000-0005-0000-0000-0000BA170000}"/>
    <cellStyle name="Comma 4 2 4 2" xfId="2954" xr:uid="{00000000-0005-0000-0000-0000BB170000}"/>
    <cellStyle name="Comma 4 2 4 2 2" xfId="5352" xr:uid="{00000000-0005-0000-0000-0000BC170000}"/>
    <cellStyle name="Comma 4 2 4 2 2 2" xfId="10448" xr:uid="{00000000-0005-0000-0000-0000BD170000}"/>
    <cellStyle name="Comma 4 2 4 2 3" xfId="8057" xr:uid="{00000000-0005-0000-0000-0000BE170000}"/>
    <cellStyle name="Comma 4 2 4 3" xfId="4160" xr:uid="{00000000-0005-0000-0000-0000BF170000}"/>
    <cellStyle name="Comma 4 2 4 3 2" xfId="9256" xr:uid="{00000000-0005-0000-0000-0000C0170000}"/>
    <cellStyle name="Comma 4 2 4 4" xfId="6786" xr:uid="{00000000-0005-0000-0000-0000C1170000}"/>
    <cellStyle name="Comma 4 2 5" xfId="1479" xr:uid="{00000000-0005-0000-0000-0000C2170000}"/>
    <cellStyle name="Comma 4 2 5 2" xfId="2955" xr:uid="{00000000-0005-0000-0000-0000C3170000}"/>
    <cellStyle name="Comma 4 2 5 2 2" xfId="5353" xr:uid="{00000000-0005-0000-0000-0000C4170000}"/>
    <cellStyle name="Comma 4 2 5 2 2 2" xfId="10449" xr:uid="{00000000-0005-0000-0000-0000C5170000}"/>
    <cellStyle name="Comma 4 2 5 2 3" xfId="8058" xr:uid="{00000000-0005-0000-0000-0000C6170000}"/>
    <cellStyle name="Comma 4 2 5 3" xfId="4161" xr:uid="{00000000-0005-0000-0000-0000C7170000}"/>
    <cellStyle name="Comma 4 2 5 3 2" xfId="9257" xr:uid="{00000000-0005-0000-0000-0000C8170000}"/>
    <cellStyle name="Comma 4 2 5 4" xfId="6787" xr:uid="{00000000-0005-0000-0000-0000C9170000}"/>
    <cellStyle name="Comma 4 2 6" xfId="1470" xr:uid="{00000000-0005-0000-0000-0000CA170000}"/>
    <cellStyle name="Comma 4 2 6 2" xfId="2946" xr:uid="{00000000-0005-0000-0000-0000CB170000}"/>
    <cellStyle name="Comma 4 2 6 2 2" xfId="5344" xr:uid="{00000000-0005-0000-0000-0000CC170000}"/>
    <cellStyle name="Comma 4 2 6 2 2 2" xfId="10440" xr:uid="{00000000-0005-0000-0000-0000CD170000}"/>
    <cellStyle name="Comma 4 2 6 2 3" xfId="8049" xr:uid="{00000000-0005-0000-0000-0000CE170000}"/>
    <cellStyle name="Comma 4 2 6 3" xfId="4152" xr:uid="{00000000-0005-0000-0000-0000CF170000}"/>
    <cellStyle name="Comma 4 2 6 3 2" xfId="9248" xr:uid="{00000000-0005-0000-0000-0000D0170000}"/>
    <cellStyle name="Comma 4 2 6 4" xfId="6778" xr:uid="{00000000-0005-0000-0000-0000D1170000}"/>
    <cellStyle name="Comma 4 2 7" xfId="2670" xr:uid="{00000000-0005-0000-0000-0000D2170000}"/>
    <cellStyle name="Comma 4 2 7 2" xfId="5079" xr:uid="{00000000-0005-0000-0000-0000D3170000}"/>
    <cellStyle name="Comma 4 2 7 2 2" xfId="10175" xr:uid="{00000000-0005-0000-0000-0000D4170000}"/>
    <cellStyle name="Comma 4 2 7 3" xfId="7773" xr:uid="{00000000-0005-0000-0000-0000D5170000}"/>
    <cellStyle name="Comma 4 2 8" xfId="3896" xr:uid="{00000000-0005-0000-0000-0000D6170000}"/>
    <cellStyle name="Comma 4 2 8 2" xfId="8995" xr:uid="{00000000-0005-0000-0000-0000D7170000}"/>
    <cellStyle name="Comma 4 2 9" xfId="6517" xr:uid="{00000000-0005-0000-0000-0000D8170000}"/>
    <cellStyle name="Comma 4 3" xfId="1480" xr:uid="{00000000-0005-0000-0000-0000D9170000}"/>
    <cellStyle name="Comma 4 3 2" xfId="1481" xr:uid="{00000000-0005-0000-0000-0000DA170000}"/>
    <cellStyle name="Comma 4 3 2 2" xfId="1482" xr:uid="{00000000-0005-0000-0000-0000DB170000}"/>
    <cellStyle name="Comma 4 3 2 2 2" xfId="2958" xr:uid="{00000000-0005-0000-0000-0000DC170000}"/>
    <cellStyle name="Comma 4 3 2 2 2 2" xfId="5356" xr:uid="{00000000-0005-0000-0000-0000DD170000}"/>
    <cellStyle name="Comma 4 3 2 2 2 2 2" xfId="10452" xr:uid="{00000000-0005-0000-0000-0000DE170000}"/>
    <cellStyle name="Comma 4 3 2 2 2 3" xfId="8061" xr:uid="{00000000-0005-0000-0000-0000DF170000}"/>
    <cellStyle name="Comma 4 3 2 2 3" xfId="4164" xr:uid="{00000000-0005-0000-0000-0000E0170000}"/>
    <cellStyle name="Comma 4 3 2 2 3 2" xfId="9260" xr:uid="{00000000-0005-0000-0000-0000E1170000}"/>
    <cellStyle name="Comma 4 3 2 2 4" xfId="6790" xr:uid="{00000000-0005-0000-0000-0000E2170000}"/>
    <cellStyle name="Comma 4 3 2 3" xfId="2957" xr:uid="{00000000-0005-0000-0000-0000E3170000}"/>
    <cellStyle name="Comma 4 3 2 3 2" xfId="5355" xr:uid="{00000000-0005-0000-0000-0000E4170000}"/>
    <cellStyle name="Comma 4 3 2 3 2 2" xfId="10451" xr:uid="{00000000-0005-0000-0000-0000E5170000}"/>
    <cellStyle name="Comma 4 3 2 3 3" xfId="8060" xr:uid="{00000000-0005-0000-0000-0000E6170000}"/>
    <cellStyle name="Comma 4 3 2 4" xfId="4163" xr:uid="{00000000-0005-0000-0000-0000E7170000}"/>
    <cellStyle name="Comma 4 3 2 4 2" xfId="9259" xr:uid="{00000000-0005-0000-0000-0000E8170000}"/>
    <cellStyle name="Comma 4 3 2 5" xfId="6789" xr:uid="{00000000-0005-0000-0000-0000E9170000}"/>
    <cellStyle name="Comma 4 3 3" xfId="1483" xr:uid="{00000000-0005-0000-0000-0000EA170000}"/>
    <cellStyle name="Comma 4 3 3 2" xfId="2959" xr:uid="{00000000-0005-0000-0000-0000EB170000}"/>
    <cellStyle name="Comma 4 3 3 2 2" xfId="5357" xr:uid="{00000000-0005-0000-0000-0000EC170000}"/>
    <cellStyle name="Comma 4 3 3 2 2 2" xfId="10453" xr:uid="{00000000-0005-0000-0000-0000ED170000}"/>
    <cellStyle name="Comma 4 3 3 2 3" xfId="8062" xr:uid="{00000000-0005-0000-0000-0000EE170000}"/>
    <cellStyle name="Comma 4 3 3 3" xfId="4165" xr:uid="{00000000-0005-0000-0000-0000EF170000}"/>
    <cellStyle name="Comma 4 3 3 3 2" xfId="9261" xr:uid="{00000000-0005-0000-0000-0000F0170000}"/>
    <cellStyle name="Comma 4 3 3 4" xfId="6791" xr:uid="{00000000-0005-0000-0000-0000F1170000}"/>
    <cellStyle name="Comma 4 3 4" xfId="1484" xr:uid="{00000000-0005-0000-0000-0000F2170000}"/>
    <cellStyle name="Comma 4 3 4 2" xfId="2960" xr:uid="{00000000-0005-0000-0000-0000F3170000}"/>
    <cellStyle name="Comma 4 3 4 2 2" xfId="5358" xr:uid="{00000000-0005-0000-0000-0000F4170000}"/>
    <cellStyle name="Comma 4 3 4 2 2 2" xfId="10454" xr:uid="{00000000-0005-0000-0000-0000F5170000}"/>
    <cellStyle name="Comma 4 3 4 2 3" xfId="8063" xr:uid="{00000000-0005-0000-0000-0000F6170000}"/>
    <cellStyle name="Comma 4 3 4 3" xfId="4166" xr:uid="{00000000-0005-0000-0000-0000F7170000}"/>
    <cellStyle name="Comma 4 3 4 3 2" xfId="9262" xr:uid="{00000000-0005-0000-0000-0000F8170000}"/>
    <cellStyle name="Comma 4 3 4 4" xfId="6792" xr:uid="{00000000-0005-0000-0000-0000F9170000}"/>
    <cellStyle name="Comma 4 3 5" xfId="2956" xr:uid="{00000000-0005-0000-0000-0000FA170000}"/>
    <cellStyle name="Comma 4 3 5 2" xfId="5354" xr:uid="{00000000-0005-0000-0000-0000FB170000}"/>
    <cellStyle name="Comma 4 3 5 2 2" xfId="10450" xr:uid="{00000000-0005-0000-0000-0000FC170000}"/>
    <cellStyle name="Comma 4 3 5 3" xfId="8059" xr:uid="{00000000-0005-0000-0000-0000FD170000}"/>
    <cellStyle name="Comma 4 3 6" xfId="4162" xr:uid="{00000000-0005-0000-0000-0000FE170000}"/>
    <cellStyle name="Comma 4 3 6 2" xfId="9258" xr:uid="{00000000-0005-0000-0000-0000FF170000}"/>
    <cellStyle name="Comma 4 3 7" xfId="6788" xr:uid="{00000000-0005-0000-0000-000000180000}"/>
    <cellStyle name="Comma 4 4" xfId="1485" xr:uid="{00000000-0005-0000-0000-000001180000}"/>
    <cellStyle name="Comma 4 4 2" xfId="1486" xr:uid="{00000000-0005-0000-0000-000002180000}"/>
    <cellStyle name="Comma 4 4 2 2" xfId="1487" xr:uid="{00000000-0005-0000-0000-000003180000}"/>
    <cellStyle name="Comma 4 4 2 2 2" xfId="2963" xr:uid="{00000000-0005-0000-0000-000004180000}"/>
    <cellStyle name="Comma 4 4 2 2 2 2" xfId="5361" xr:uid="{00000000-0005-0000-0000-000005180000}"/>
    <cellStyle name="Comma 4 4 2 2 2 2 2" xfId="10457" xr:uid="{00000000-0005-0000-0000-000006180000}"/>
    <cellStyle name="Comma 4 4 2 2 2 3" xfId="8066" xr:uid="{00000000-0005-0000-0000-000007180000}"/>
    <cellStyle name="Comma 4 4 2 2 3" xfId="4169" xr:uid="{00000000-0005-0000-0000-000008180000}"/>
    <cellStyle name="Comma 4 4 2 2 3 2" xfId="9265" xr:uid="{00000000-0005-0000-0000-000009180000}"/>
    <cellStyle name="Comma 4 4 2 2 4" xfId="6795" xr:uid="{00000000-0005-0000-0000-00000A180000}"/>
    <cellStyle name="Comma 4 4 2 3" xfId="2962" xr:uid="{00000000-0005-0000-0000-00000B180000}"/>
    <cellStyle name="Comma 4 4 2 3 2" xfId="5360" xr:uid="{00000000-0005-0000-0000-00000C180000}"/>
    <cellStyle name="Comma 4 4 2 3 2 2" xfId="10456" xr:uid="{00000000-0005-0000-0000-00000D180000}"/>
    <cellStyle name="Comma 4 4 2 3 3" xfId="8065" xr:uid="{00000000-0005-0000-0000-00000E180000}"/>
    <cellStyle name="Comma 4 4 2 4" xfId="4168" xr:uid="{00000000-0005-0000-0000-00000F180000}"/>
    <cellStyle name="Comma 4 4 2 4 2" xfId="9264" xr:uid="{00000000-0005-0000-0000-000010180000}"/>
    <cellStyle name="Comma 4 4 2 5" xfId="6794" xr:uid="{00000000-0005-0000-0000-000011180000}"/>
    <cellStyle name="Comma 4 4 3" xfId="1488" xr:uid="{00000000-0005-0000-0000-000012180000}"/>
    <cellStyle name="Comma 4 4 3 2" xfId="2964" xr:uid="{00000000-0005-0000-0000-000013180000}"/>
    <cellStyle name="Comma 4 4 3 2 2" xfId="5362" xr:uid="{00000000-0005-0000-0000-000014180000}"/>
    <cellStyle name="Comma 4 4 3 2 2 2" xfId="10458" xr:uid="{00000000-0005-0000-0000-000015180000}"/>
    <cellStyle name="Comma 4 4 3 2 3" xfId="8067" xr:uid="{00000000-0005-0000-0000-000016180000}"/>
    <cellStyle name="Comma 4 4 3 3" xfId="4170" xr:uid="{00000000-0005-0000-0000-000017180000}"/>
    <cellStyle name="Comma 4 4 3 3 2" xfId="9266" xr:uid="{00000000-0005-0000-0000-000018180000}"/>
    <cellStyle name="Comma 4 4 3 4" xfId="6796" xr:uid="{00000000-0005-0000-0000-000019180000}"/>
    <cellStyle name="Comma 4 4 4" xfId="1489" xr:uid="{00000000-0005-0000-0000-00001A180000}"/>
    <cellStyle name="Comma 4 4 4 2" xfId="2965" xr:uid="{00000000-0005-0000-0000-00001B180000}"/>
    <cellStyle name="Comma 4 4 4 2 2" xfId="5363" xr:uid="{00000000-0005-0000-0000-00001C180000}"/>
    <cellStyle name="Comma 4 4 4 2 2 2" xfId="10459" xr:uid="{00000000-0005-0000-0000-00001D180000}"/>
    <cellStyle name="Comma 4 4 4 2 3" xfId="8068" xr:uid="{00000000-0005-0000-0000-00001E180000}"/>
    <cellStyle name="Comma 4 4 4 3" xfId="4171" xr:uid="{00000000-0005-0000-0000-00001F180000}"/>
    <cellStyle name="Comma 4 4 4 3 2" xfId="9267" xr:uid="{00000000-0005-0000-0000-000020180000}"/>
    <cellStyle name="Comma 4 4 4 4" xfId="6797" xr:uid="{00000000-0005-0000-0000-000021180000}"/>
    <cellStyle name="Comma 4 4 5" xfId="2961" xr:uid="{00000000-0005-0000-0000-000022180000}"/>
    <cellStyle name="Comma 4 4 5 2" xfId="5359" xr:uid="{00000000-0005-0000-0000-000023180000}"/>
    <cellStyle name="Comma 4 4 5 2 2" xfId="10455" xr:uid="{00000000-0005-0000-0000-000024180000}"/>
    <cellStyle name="Comma 4 4 5 3" xfId="8064" xr:uid="{00000000-0005-0000-0000-000025180000}"/>
    <cellStyle name="Comma 4 4 6" xfId="4167" xr:uid="{00000000-0005-0000-0000-000026180000}"/>
    <cellStyle name="Comma 4 4 6 2" xfId="9263" xr:uid="{00000000-0005-0000-0000-000027180000}"/>
    <cellStyle name="Comma 4 4 7" xfId="6793" xr:uid="{00000000-0005-0000-0000-000028180000}"/>
    <cellStyle name="Comma 4 5" xfId="1490" xr:uid="{00000000-0005-0000-0000-000029180000}"/>
    <cellStyle name="Comma 4 5 2" xfId="1491" xr:uid="{00000000-0005-0000-0000-00002A180000}"/>
    <cellStyle name="Comma 4 5 2 2" xfId="1492" xr:uid="{00000000-0005-0000-0000-00002B180000}"/>
    <cellStyle name="Comma 4 5 2 2 2" xfId="2968" xr:uid="{00000000-0005-0000-0000-00002C180000}"/>
    <cellStyle name="Comma 4 5 2 2 2 2" xfId="5366" xr:uid="{00000000-0005-0000-0000-00002D180000}"/>
    <cellStyle name="Comma 4 5 2 2 2 2 2" xfId="10462" xr:uid="{00000000-0005-0000-0000-00002E180000}"/>
    <cellStyle name="Comma 4 5 2 2 2 3" xfId="8071" xr:uid="{00000000-0005-0000-0000-00002F180000}"/>
    <cellStyle name="Comma 4 5 2 2 3" xfId="4174" xr:uid="{00000000-0005-0000-0000-000030180000}"/>
    <cellStyle name="Comma 4 5 2 2 3 2" xfId="9270" xr:uid="{00000000-0005-0000-0000-000031180000}"/>
    <cellStyle name="Comma 4 5 2 2 4" xfId="6800" xr:uid="{00000000-0005-0000-0000-000032180000}"/>
    <cellStyle name="Comma 4 5 2 3" xfId="2967" xr:uid="{00000000-0005-0000-0000-000033180000}"/>
    <cellStyle name="Comma 4 5 2 3 2" xfId="5365" xr:uid="{00000000-0005-0000-0000-000034180000}"/>
    <cellStyle name="Comma 4 5 2 3 2 2" xfId="10461" xr:uid="{00000000-0005-0000-0000-000035180000}"/>
    <cellStyle name="Comma 4 5 2 3 3" xfId="8070" xr:uid="{00000000-0005-0000-0000-000036180000}"/>
    <cellStyle name="Comma 4 5 2 4" xfId="4173" xr:uid="{00000000-0005-0000-0000-000037180000}"/>
    <cellStyle name="Comma 4 5 2 4 2" xfId="9269" xr:uid="{00000000-0005-0000-0000-000038180000}"/>
    <cellStyle name="Comma 4 5 2 5" xfId="6799" xr:uid="{00000000-0005-0000-0000-000039180000}"/>
    <cellStyle name="Comma 4 5 3" xfId="1493" xr:uid="{00000000-0005-0000-0000-00003A180000}"/>
    <cellStyle name="Comma 4 5 3 2" xfId="2969" xr:uid="{00000000-0005-0000-0000-00003B180000}"/>
    <cellStyle name="Comma 4 5 3 2 2" xfId="5367" xr:uid="{00000000-0005-0000-0000-00003C180000}"/>
    <cellStyle name="Comma 4 5 3 2 2 2" xfId="10463" xr:uid="{00000000-0005-0000-0000-00003D180000}"/>
    <cellStyle name="Comma 4 5 3 2 3" xfId="8072" xr:uid="{00000000-0005-0000-0000-00003E180000}"/>
    <cellStyle name="Comma 4 5 3 3" xfId="4175" xr:uid="{00000000-0005-0000-0000-00003F180000}"/>
    <cellStyle name="Comma 4 5 3 3 2" xfId="9271" xr:uid="{00000000-0005-0000-0000-000040180000}"/>
    <cellStyle name="Comma 4 5 3 4" xfId="6801" xr:uid="{00000000-0005-0000-0000-000041180000}"/>
    <cellStyle name="Comma 4 5 4" xfId="1494" xr:uid="{00000000-0005-0000-0000-000042180000}"/>
    <cellStyle name="Comma 4 5 4 2" xfId="2970" xr:uid="{00000000-0005-0000-0000-000043180000}"/>
    <cellStyle name="Comma 4 5 4 2 2" xfId="5368" xr:uid="{00000000-0005-0000-0000-000044180000}"/>
    <cellStyle name="Comma 4 5 4 2 2 2" xfId="10464" xr:uid="{00000000-0005-0000-0000-000045180000}"/>
    <cellStyle name="Comma 4 5 4 2 3" xfId="8073" xr:uid="{00000000-0005-0000-0000-000046180000}"/>
    <cellStyle name="Comma 4 5 4 3" xfId="4176" xr:uid="{00000000-0005-0000-0000-000047180000}"/>
    <cellStyle name="Comma 4 5 4 3 2" xfId="9272" xr:uid="{00000000-0005-0000-0000-000048180000}"/>
    <cellStyle name="Comma 4 5 4 4" xfId="6802" xr:uid="{00000000-0005-0000-0000-000049180000}"/>
    <cellStyle name="Comma 4 5 5" xfId="2966" xr:uid="{00000000-0005-0000-0000-00004A180000}"/>
    <cellStyle name="Comma 4 5 5 2" xfId="5364" xr:uid="{00000000-0005-0000-0000-00004B180000}"/>
    <cellStyle name="Comma 4 5 5 2 2" xfId="10460" xr:uid="{00000000-0005-0000-0000-00004C180000}"/>
    <cellStyle name="Comma 4 5 5 3" xfId="8069" xr:uid="{00000000-0005-0000-0000-00004D180000}"/>
    <cellStyle name="Comma 4 5 6" xfId="4172" xr:uid="{00000000-0005-0000-0000-00004E180000}"/>
    <cellStyle name="Comma 4 5 6 2" xfId="9268" xr:uid="{00000000-0005-0000-0000-00004F180000}"/>
    <cellStyle name="Comma 4 5 7" xfId="6798" xr:uid="{00000000-0005-0000-0000-000050180000}"/>
    <cellStyle name="Comma 4 6" xfId="1495" xr:uid="{00000000-0005-0000-0000-000051180000}"/>
    <cellStyle name="Comma 4 6 2" xfId="1496" xr:uid="{00000000-0005-0000-0000-000052180000}"/>
    <cellStyle name="Comma 4 6 2 2" xfId="2972" xr:uid="{00000000-0005-0000-0000-000053180000}"/>
    <cellStyle name="Comma 4 6 2 2 2" xfId="5370" xr:uid="{00000000-0005-0000-0000-000054180000}"/>
    <cellStyle name="Comma 4 6 2 2 2 2" xfId="10466" xr:uid="{00000000-0005-0000-0000-000055180000}"/>
    <cellStyle name="Comma 4 6 2 2 3" xfId="8075" xr:uid="{00000000-0005-0000-0000-000056180000}"/>
    <cellStyle name="Comma 4 6 2 3" xfId="4178" xr:uid="{00000000-0005-0000-0000-000057180000}"/>
    <cellStyle name="Comma 4 6 2 3 2" xfId="9274" xr:uid="{00000000-0005-0000-0000-000058180000}"/>
    <cellStyle name="Comma 4 6 2 4" xfId="6804" xr:uid="{00000000-0005-0000-0000-000059180000}"/>
    <cellStyle name="Comma 4 6 3" xfId="2971" xr:uid="{00000000-0005-0000-0000-00005A180000}"/>
    <cellStyle name="Comma 4 6 3 2" xfId="5369" xr:uid="{00000000-0005-0000-0000-00005B180000}"/>
    <cellStyle name="Comma 4 6 3 2 2" xfId="10465" xr:uid="{00000000-0005-0000-0000-00005C180000}"/>
    <cellStyle name="Comma 4 6 3 3" xfId="8074" xr:uid="{00000000-0005-0000-0000-00005D180000}"/>
    <cellStyle name="Comma 4 6 4" xfId="4177" xr:uid="{00000000-0005-0000-0000-00005E180000}"/>
    <cellStyle name="Comma 4 6 4 2" xfId="9273" xr:uid="{00000000-0005-0000-0000-00005F180000}"/>
    <cellStyle name="Comma 4 6 5" xfId="6803" xr:uid="{00000000-0005-0000-0000-000060180000}"/>
    <cellStyle name="Comma 4 7" xfId="1497" xr:uid="{00000000-0005-0000-0000-000061180000}"/>
    <cellStyle name="Comma 4 7 2" xfId="2973" xr:uid="{00000000-0005-0000-0000-000062180000}"/>
    <cellStyle name="Comma 4 7 2 2" xfId="5371" xr:uid="{00000000-0005-0000-0000-000063180000}"/>
    <cellStyle name="Comma 4 7 2 2 2" xfId="10467" xr:uid="{00000000-0005-0000-0000-000064180000}"/>
    <cellStyle name="Comma 4 7 2 3" xfId="8076" xr:uid="{00000000-0005-0000-0000-000065180000}"/>
    <cellStyle name="Comma 4 7 3" xfId="4179" xr:uid="{00000000-0005-0000-0000-000066180000}"/>
    <cellStyle name="Comma 4 7 3 2" xfId="9275" xr:uid="{00000000-0005-0000-0000-000067180000}"/>
    <cellStyle name="Comma 4 7 4" xfId="6805" xr:uid="{00000000-0005-0000-0000-000068180000}"/>
    <cellStyle name="Comma 4 8" xfId="1498" xr:uid="{00000000-0005-0000-0000-000069180000}"/>
    <cellStyle name="Comma 4 8 2" xfId="2974" xr:uid="{00000000-0005-0000-0000-00006A180000}"/>
    <cellStyle name="Comma 4 8 2 2" xfId="5372" xr:uid="{00000000-0005-0000-0000-00006B180000}"/>
    <cellStyle name="Comma 4 8 2 2 2" xfId="10468" xr:uid="{00000000-0005-0000-0000-00006C180000}"/>
    <cellStyle name="Comma 4 8 2 3" xfId="8077" xr:uid="{00000000-0005-0000-0000-00006D180000}"/>
    <cellStyle name="Comma 4 8 3" xfId="4180" xr:uid="{00000000-0005-0000-0000-00006E180000}"/>
    <cellStyle name="Comma 4 8 3 2" xfId="9276" xr:uid="{00000000-0005-0000-0000-00006F180000}"/>
    <cellStyle name="Comma 4 8 4" xfId="6806" xr:uid="{00000000-0005-0000-0000-000070180000}"/>
    <cellStyle name="Comma 4 9" xfId="1469" xr:uid="{00000000-0005-0000-0000-000071180000}"/>
    <cellStyle name="Comma 4 9 2" xfId="2945" xr:uid="{00000000-0005-0000-0000-000072180000}"/>
    <cellStyle name="Comma 4 9 2 2" xfId="5343" xr:uid="{00000000-0005-0000-0000-000073180000}"/>
    <cellStyle name="Comma 4 9 2 2 2" xfId="10439" xr:uid="{00000000-0005-0000-0000-000074180000}"/>
    <cellStyle name="Comma 4 9 2 3" xfId="8048" xr:uid="{00000000-0005-0000-0000-000075180000}"/>
    <cellStyle name="Comma 4 9 3" xfId="4151" xr:uid="{00000000-0005-0000-0000-000076180000}"/>
    <cellStyle name="Comma 4 9 3 2" xfId="9247" xr:uid="{00000000-0005-0000-0000-000077180000}"/>
    <cellStyle name="Comma 4 9 4" xfId="6777" xr:uid="{00000000-0005-0000-0000-000078180000}"/>
    <cellStyle name="Comma 40" xfId="2253" xr:uid="{00000000-0005-0000-0000-000079180000}"/>
    <cellStyle name="Comma 40 2" xfId="3506" xr:uid="{00000000-0005-0000-0000-00007A180000}"/>
    <cellStyle name="Comma 40 2 2" xfId="5901" xr:uid="{00000000-0005-0000-0000-00007B180000}"/>
    <cellStyle name="Comma 40 2 2 2" xfId="10997" xr:uid="{00000000-0005-0000-0000-00007C180000}"/>
    <cellStyle name="Comma 40 2 3" xfId="8609" xr:uid="{00000000-0005-0000-0000-00007D180000}"/>
    <cellStyle name="Comma 40 3" xfId="4712" xr:uid="{00000000-0005-0000-0000-00007E180000}"/>
    <cellStyle name="Comma 40 3 2" xfId="9808" xr:uid="{00000000-0005-0000-0000-00007F180000}"/>
    <cellStyle name="Comma 40 4" xfId="7362" xr:uid="{00000000-0005-0000-0000-000080180000}"/>
    <cellStyle name="Comma 41" xfId="2264" xr:uid="{00000000-0005-0000-0000-000081180000}"/>
    <cellStyle name="Comma 41 2" xfId="3517" xr:uid="{00000000-0005-0000-0000-000082180000}"/>
    <cellStyle name="Comma 41 2 2" xfId="5912" xr:uid="{00000000-0005-0000-0000-000083180000}"/>
    <cellStyle name="Comma 41 2 2 2" xfId="11008" xr:uid="{00000000-0005-0000-0000-000084180000}"/>
    <cellStyle name="Comma 41 2 3" xfId="8620" xr:uid="{00000000-0005-0000-0000-000085180000}"/>
    <cellStyle name="Comma 41 3" xfId="4723" xr:uid="{00000000-0005-0000-0000-000086180000}"/>
    <cellStyle name="Comma 41 3 2" xfId="9819" xr:uid="{00000000-0005-0000-0000-000087180000}"/>
    <cellStyle name="Comma 41 4" xfId="7373" xr:uid="{00000000-0005-0000-0000-000088180000}"/>
    <cellStyle name="Comma 42" xfId="2255" xr:uid="{00000000-0005-0000-0000-000089180000}"/>
    <cellStyle name="Comma 42 2" xfId="3508" xr:uid="{00000000-0005-0000-0000-00008A180000}"/>
    <cellStyle name="Comma 42 2 2" xfId="5903" xr:uid="{00000000-0005-0000-0000-00008B180000}"/>
    <cellStyle name="Comma 42 2 2 2" xfId="10999" xr:uid="{00000000-0005-0000-0000-00008C180000}"/>
    <cellStyle name="Comma 42 2 3" xfId="8611" xr:uid="{00000000-0005-0000-0000-00008D180000}"/>
    <cellStyle name="Comma 42 3" xfId="4714" xr:uid="{00000000-0005-0000-0000-00008E180000}"/>
    <cellStyle name="Comma 42 3 2" xfId="9810" xr:uid="{00000000-0005-0000-0000-00008F180000}"/>
    <cellStyle name="Comma 42 4" xfId="7364" xr:uid="{00000000-0005-0000-0000-000090180000}"/>
    <cellStyle name="Comma 43" xfId="2249" xr:uid="{00000000-0005-0000-0000-000091180000}"/>
    <cellStyle name="Comma 43 2" xfId="3502" xr:uid="{00000000-0005-0000-0000-000092180000}"/>
    <cellStyle name="Comma 43 2 2" xfId="5897" xr:uid="{00000000-0005-0000-0000-000093180000}"/>
    <cellStyle name="Comma 43 2 2 2" xfId="10993" xr:uid="{00000000-0005-0000-0000-000094180000}"/>
    <cellStyle name="Comma 43 2 3" xfId="8605" xr:uid="{00000000-0005-0000-0000-000095180000}"/>
    <cellStyle name="Comma 43 3" xfId="4708" xr:uid="{00000000-0005-0000-0000-000096180000}"/>
    <cellStyle name="Comma 43 3 2" xfId="9804" xr:uid="{00000000-0005-0000-0000-000097180000}"/>
    <cellStyle name="Comma 43 4" xfId="7358" xr:uid="{00000000-0005-0000-0000-000098180000}"/>
    <cellStyle name="Comma 44" xfId="2257" xr:uid="{00000000-0005-0000-0000-000099180000}"/>
    <cellStyle name="Comma 44 2" xfId="3510" xr:uid="{00000000-0005-0000-0000-00009A180000}"/>
    <cellStyle name="Comma 44 2 2" xfId="5905" xr:uid="{00000000-0005-0000-0000-00009B180000}"/>
    <cellStyle name="Comma 44 2 2 2" xfId="11001" xr:uid="{00000000-0005-0000-0000-00009C180000}"/>
    <cellStyle name="Comma 44 2 3" xfId="8613" xr:uid="{00000000-0005-0000-0000-00009D180000}"/>
    <cellStyle name="Comma 44 3" xfId="4716" xr:uid="{00000000-0005-0000-0000-00009E180000}"/>
    <cellStyle name="Comma 44 3 2" xfId="9812" xr:uid="{00000000-0005-0000-0000-00009F180000}"/>
    <cellStyle name="Comma 44 4" xfId="7366" xr:uid="{00000000-0005-0000-0000-0000A0180000}"/>
    <cellStyle name="Comma 45" xfId="2291" xr:uid="{00000000-0005-0000-0000-0000A1180000}"/>
    <cellStyle name="Comma 45 2" xfId="3544" xr:uid="{00000000-0005-0000-0000-0000A2180000}"/>
    <cellStyle name="Comma 45 2 2" xfId="5939" xr:uid="{00000000-0005-0000-0000-0000A3180000}"/>
    <cellStyle name="Comma 45 2 2 2" xfId="11035" xr:uid="{00000000-0005-0000-0000-0000A4180000}"/>
    <cellStyle name="Comma 45 2 3" xfId="8647" xr:uid="{00000000-0005-0000-0000-0000A5180000}"/>
    <cellStyle name="Comma 45 3" xfId="4750" xr:uid="{00000000-0005-0000-0000-0000A6180000}"/>
    <cellStyle name="Comma 45 3 2" xfId="9846" xr:uid="{00000000-0005-0000-0000-0000A7180000}"/>
    <cellStyle name="Comma 45 4" xfId="7400" xr:uid="{00000000-0005-0000-0000-0000A8180000}"/>
    <cellStyle name="Comma 46" xfId="2293" xr:uid="{00000000-0005-0000-0000-0000A9180000}"/>
    <cellStyle name="Comma 46 2" xfId="3546" xr:uid="{00000000-0005-0000-0000-0000AA180000}"/>
    <cellStyle name="Comma 46 2 2" xfId="5941" xr:uid="{00000000-0005-0000-0000-0000AB180000}"/>
    <cellStyle name="Comma 46 2 2 2" xfId="11037" xr:uid="{00000000-0005-0000-0000-0000AC180000}"/>
    <cellStyle name="Comma 46 2 3" xfId="8649" xr:uid="{00000000-0005-0000-0000-0000AD180000}"/>
    <cellStyle name="Comma 46 3" xfId="4752" xr:uid="{00000000-0005-0000-0000-0000AE180000}"/>
    <cellStyle name="Comma 46 3 2" xfId="9848" xr:uid="{00000000-0005-0000-0000-0000AF180000}"/>
    <cellStyle name="Comma 46 4" xfId="7402" xr:uid="{00000000-0005-0000-0000-0000B0180000}"/>
    <cellStyle name="Comma 47" xfId="2295" xr:uid="{00000000-0005-0000-0000-0000B1180000}"/>
    <cellStyle name="Comma 47 2" xfId="3548" xr:uid="{00000000-0005-0000-0000-0000B2180000}"/>
    <cellStyle name="Comma 47 2 2" xfId="5943" xr:uid="{00000000-0005-0000-0000-0000B3180000}"/>
    <cellStyle name="Comma 47 2 2 2" xfId="11039" xr:uid="{00000000-0005-0000-0000-0000B4180000}"/>
    <cellStyle name="Comma 47 2 3" xfId="8651" xr:uid="{00000000-0005-0000-0000-0000B5180000}"/>
    <cellStyle name="Comma 47 3" xfId="4754" xr:uid="{00000000-0005-0000-0000-0000B6180000}"/>
    <cellStyle name="Comma 47 3 2" xfId="9850" xr:uid="{00000000-0005-0000-0000-0000B7180000}"/>
    <cellStyle name="Comma 47 4" xfId="7404" xr:uid="{00000000-0005-0000-0000-0000B8180000}"/>
    <cellStyle name="Comma 48" xfId="2297" xr:uid="{00000000-0005-0000-0000-0000B9180000}"/>
    <cellStyle name="Comma 48 2" xfId="3550" xr:uid="{00000000-0005-0000-0000-0000BA180000}"/>
    <cellStyle name="Comma 48 2 2" xfId="5945" xr:uid="{00000000-0005-0000-0000-0000BB180000}"/>
    <cellStyle name="Comma 48 2 2 2" xfId="11041" xr:uid="{00000000-0005-0000-0000-0000BC180000}"/>
    <cellStyle name="Comma 48 2 3" xfId="8653" xr:uid="{00000000-0005-0000-0000-0000BD180000}"/>
    <cellStyle name="Comma 48 3" xfId="4756" xr:uid="{00000000-0005-0000-0000-0000BE180000}"/>
    <cellStyle name="Comma 48 3 2" xfId="9852" xr:uid="{00000000-0005-0000-0000-0000BF180000}"/>
    <cellStyle name="Comma 48 4" xfId="7406" xr:uid="{00000000-0005-0000-0000-0000C0180000}"/>
    <cellStyle name="Comma 49" xfId="2299" xr:uid="{00000000-0005-0000-0000-0000C1180000}"/>
    <cellStyle name="Comma 49 2" xfId="3552" xr:uid="{00000000-0005-0000-0000-0000C2180000}"/>
    <cellStyle name="Comma 49 2 2" xfId="5947" xr:uid="{00000000-0005-0000-0000-0000C3180000}"/>
    <cellStyle name="Comma 49 2 2 2" xfId="11043" xr:uid="{00000000-0005-0000-0000-0000C4180000}"/>
    <cellStyle name="Comma 49 2 3" xfId="8655" xr:uid="{00000000-0005-0000-0000-0000C5180000}"/>
    <cellStyle name="Comma 49 3" xfId="4758" xr:uid="{00000000-0005-0000-0000-0000C6180000}"/>
    <cellStyle name="Comma 49 3 2" xfId="9854" xr:uid="{00000000-0005-0000-0000-0000C7180000}"/>
    <cellStyle name="Comma 49 4" xfId="7408" xr:uid="{00000000-0005-0000-0000-0000C8180000}"/>
    <cellStyle name="Comma 5" xfId="937" xr:uid="{00000000-0005-0000-0000-0000C9180000}"/>
    <cellStyle name="Comma 5 2" xfId="1500" xr:uid="{00000000-0005-0000-0000-0000CA180000}"/>
    <cellStyle name="Comma 5 2 2" xfId="1501" xr:uid="{00000000-0005-0000-0000-0000CB180000}"/>
    <cellStyle name="Comma 5 2 2 2" xfId="1502" xr:uid="{00000000-0005-0000-0000-0000CC180000}"/>
    <cellStyle name="Comma 5 2 2 2 2" xfId="1503" xr:uid="{00000000-0005-0000-0000-0000CD180000}"/>
    <cellStyle name="Comma 5 2 2 2 2 2" xfId="2979" xr:uid="{00000000-0005-0000-0000-0000CE180000}"/>
    <cellStyle name="Comma 5 2 2 2 2 2 2" xfId="5377" xr:uid="{00000000-0005-0000-0000-0000CF180000}"/>
    <cellStyle name="Comma 5 2 2 2 2 2 2 2" xfId="10473" xr:uid="{00000000-0005-0000-0000-0000D0180000}"/>
    <cellStyle name="Comma 5 2 2 2 2 2 3" xfId="8082" xr:uid="{00000000-0005-0000-0000-0000D1180000}"/>
    <cellStyle name="Comma 5 2 2 2 2 3" xfId="4185" xr:uid="{00000000-0005-0000-0000-0000D2180000}"/>
    <cellStyle name="Comma 5 2 2 2 2 3 2" xfId="9281" xr:uid="{00000000-0005-0000-0000-0000D3180000}"/>
    <cellStyle name="Comma 5 2 2 2 2 4" xfId="6811" xr:uid="{00000000-0005-0000-0000-0000D4180000}"/>
    <cellStyle name="Comma 5 2 2 2 3" xfId="2978" xr:uid="{00000000-0005-0000-0000-0000D5180000}"/>
    <cellStyle name="Comma 5 2 2 2 3 2" xfId="5376" xr:uid="{00000000-0005-0000-0000-0000D6180000}"/>
    <cellStyle name="Comma 5 2 2 2 3 2 2" xfId="10472" xr:uid="{00000000-0005-0000-0000-0000D7180000}"/>
    <cellStyle name="Comma 5 2 2 2 3 3" xfId="8081" xr:uid="{00000000-0005-0000-0000-0000D8180000}"/>
    <cellStyle name="Comma 5 2 2 2 4" xfId="4184" xr:uid="{00000000-0005-0000-0000-0000D9180000}"/>
    <cellStyle name="Comma 5 2 2 2 4 2" xfId="9280" xr:uid="{00000000-0005-0000-0000-0000DA180000}"/>
    <cellStyle name="Comma 5 2 2 2 5" xfId="6810" xr:uid="{00000000-0005-0000-0000-0000DB180000}"/>
    <cellStyle name="Comma 5 2 2 3" xfId="1504" xr:uid="{00000000-0005-0000-0000-0000DC180000}"/>
    <cellStyle name="Comma 5 2 2 3 2" xfId="2980" xr:uid="{00000000-0005-0000-0000-0000DD180000}"/>
    <cellStyle name="Comma 5 2 2 3 2 2" xfId="5378" xr:uid="{00000000-0005-0000-0000-0000DE180000}"/>
    <cellStyle name="Comma 5 2 2 3 2 2 2" xfId="10474" xr:uid="{00000000-0005-0000-0000-0000DF180000}"/>
    <cellStyle name="Comma 5 2 2 3 2 3" xfId="8083" xr:uid="{00000000-0005-0000-0000-0000E0180000}"/>
    <cellStyle name="Comma 5 2 2 3 3" xfId="4186" xr:uid="{00000000-0005-0000-0000-0000E1180000}"/>
    <cellStyle name="Comma 5 2 2 3 3 2" xfId="9282" xr:uid="{00000000-0005-0000-0000-0000E2180000}"/>
    <cellStyle name="Comma 5 2 2 3 4" xfId="6812" xr:uid="{00000000-0005-0000-0000-0000E3180000}"/>
    <cellStyle name="Comma 5 2 2 4" xfId="1505" xr:uid="{00000000-0005-0000-0000-0000E4180000}"/>
    <cellStyle name="Comma 5 2 2 4 2" xfId="2981" xr:uid="{00000000-0005-0000-0000-0000E5180000}"/>
    <cellStyle name="Comma 5 2 2 4 2 2" xfId="5379" xr:uid="{00000000-0005-0000-0000-0000E6180000}"/>
    <cellStyle name="Comma 5 2 2 4 2 2 2" xfId="10475" xr:uid="{00000000-0005-0000-0000-0000E7180000}"/>
    <cellStyle name="Comma 5 2 2 4 2 3" xfId="8084" xr:uid="{00000000-0005-0000-0000-0000E8180000}"/>
    <cellStyle name="Comma 5 2 2 4 3" xfId="4187" xr:uid="{00000000-0005-0000-0000-0000E9180000}"/>
    <cellStyle name="Comma 5 2 2 4 3 2" xfId="9283" xr:uid="{00000000-0005-0000-0000-0000EA180000}"/>
    <cellStyle name="Comma 5 2 2 4 4" xfId="6813" xr:uid="{00000000-0005-0000-0000-0000EB180000}"/>
    <cellStyle name="Comma 5 2 2 5" xfId="2977" xr:uid="{00000000-0005-0000-0000-0000EC180000}"/>
    <cellStyle name="Comma 5 2 2 5 2" xfId="5375" xr:uid="{00000000-0005-0000-0000-0000ED180000}"/>
    <cellStyle name="Comma 5 2 2 5 2 2" xfId="10471" xr:uid="{00000000-0005-0000-0000-0000EE180000}"/>
    <cellStyle name="Comma 5 2 2 5 3" xfId="8080" xr:uid="{00000000-0005-0000-0000-0000EF180000}"/>
    <cellStyle name="Comma 5 2 2 6" xfId="4183" xr:uid="{00000000-0005-0000-0000-0000F0180000}"/>
    <cellStyle name="Comma 5 2 2 6 2" xfId="9279" xr:uid="{00000000-0005-0000-0000-0000F1180000}"/>
    <cellStyle name="Comma 5 2 2 7" xfId="6809" xr:uid="{00000000-0005-0000-0000-0000F2180000}"/>
    <cellStyle name="Comma 5 2 3" xfId="1506" xr:uid="{00000000-0005-0000-0000-0000F3180000}"/>
    <cellStyle name="Comma 5 2 3 2" xfId="1507" xr:uid="{00000000-0005-0000-0000-0000F4180000}"/>
    <cellStyle name="Comma 5 2 3 2 2" xfId="2983" xr:uid="{00000000-0005-0000-0000-0000F5180000}"/>
    <cellStyle name="Comma 5 2 3 2 2 2" xfId="5381" xr:uid="{00000000-0005-0000-0000-0000F6180000}"/>
    <cellStyle name="Comma 5 2 3 2 2 2 2" xfId="10477" xr:uid="{00000000-0005-0000-0000-0000F7180000}"/>
    <cellStyle name="Comma 5 2 3 2 2 3" xfId="8086" xr:uid="{00000000-0005-0000-0000-0000F8180000}"/>
    <cellStyle name="Comma 5 2 3 2 3" xfId="4189" xr:uid="{00000000-0005-0000-0000-0000F9180000}"/>
    <cellStyle name="Comma 5 2 3 2 3 2" xfId="9285" xr:uid="{00000000-0005-0000-0000-0000FA180000}"/>
    <cellStyle name="Comma 5 2 3 2 4" xfId="6815" xr:uid="{00000000-0005-0000-0000-0000FB180000}"/>
    <cellStyle name="Comma 5 2 3 3" xfId="2982" xr:uid="{00000000-0005-0000-0000-0000FC180000}"/>
    <cellStyle name="Comma 5 2 3 3 2" xfId="5380" xr:uid="{00000000-0005-0000-0000-0000FD180000}"/>
    <cellStyle name="Comma 5 2 3 3 2 2" xfId="10476" xr:uid="{00000000-0005-0000-0000-0000FE180000}"/>
    <cellStyle name="Comma 5 2 3 3 3" xfId="8085" xr:uid="{00000000-0005-0000-0000-0000FF180000}"/>
    <cellStyle name="Comma 5 2 3 4" xfId="4188" xr:uid="{00000000-0005-0000-0000-000000190000}"/>
    <cellStyle name="Comma 5 2 3 4 2" xfId="9284" xr:uid="{00000000-0005-0000-0000-000001190000}"/>
    <cellStyle name="Comma 5 2 3 5" xfId="6814" xr:uid="{00000000-0005-0000-0000-000002190000}"/>
    <cellStyle name="Comma 5 2 4" xfId="1508" xr:uid="{00000000-0005-0000-0000-000003190000}"/>
    <cellStyle name="Comma 5 2 4 2" xfId="2984" xr:uid="{00000000-0005-0000-0000-000004190000}"/>
    <cellStyle name="Comma 5 2 4 2 2" xfId="5382" xr:uid="{00000000-0005-0000-0000-000005190000}"/>
    <cellStyle name="Comma 5 2 4 2 2 2" xfId="10478" xr:uid="{00000000-0005-0000-0000-000006190000}"/>
    <cellStyle name="Comma 5 2 4 2 3" xfId="8087" xr:uid="{00000000-0005-0000-0000-000007190000}"/>
    <cellStyle name="Comma 5 2 4 3" xfId="4190" xr:uid="{00000000-0005-0000-0000-000008190000}"/>
    <cellStyle name="Comma 5 2 4 3 2" xfId="9286" xr:uid="{00000000-0005-0000-0000-000009190000}"/>
    <cellStyle name="Comma 5 2 4 4" xfId="6816" xr:uid="{00000000-0005-0000-0000-00000A190000}"/>
    <cellStyle name="Comma 5 2 5" xfId="1509" xr:uid="{00000000-0005-0000-0000-00000B190000}"/>
    <cellStyle name="Comma 5 2 5 2" xfId="2985" xr:uid="{00000000-0005-0000-0000-00000C190000}"/>
    <cellStyle name="Comma 5 2 5 2 2" xfId="5383" xr:uid="{00000000-0005-0000-0000-00000D190000}"/>
    <cellStyle name="Comma 5 2 5 2 2 2" xfId="10479" xr:uid="{00000000-0005-0000-0000-00000E190000}"/>
    <cellStyle name="Comma 5 2 5 2 3" xfId="8088" xr:uid="{00000000-0005-0000-0000-00000F190000}"/>
    <cellStyle name="Comma 5 2 5 3" xfId="4191" xr:uid="{00000000-0005-0000-0000-000010190000}"/>
    <cellStyle name="Comma 5 2 5 3 2" xfId="9287" xr:uid="{00000000-0005-0000-0000-000011190000}"/>
    <cellStyle name="Comma 5 2 5 4" xfId="6817" xr:uid="{00000000-0005-0000-0000-000012190000}"/>
    <cellStyle name="Comma 5 2 6" xfId="2976" xr:uid="{00000000-0005-0000-0000-000013190000}"/>
    <cellStyle name="Comma 5 2 6 2" xfId="5374" xr:uid="{00000000-0005-0000-0000-000014190000}"/>
    <cellStyle name="Comma 5 2 6 2 2" xfId="10470" xr:uid="{00000000-0005-0000-0000-000015190000}"/>
    <cellStyle name="Comma 5 2 6 3" xfId="8079" xr:uid="{00000000-0005-0000-0000-000016190000}"/>
    <cellStyle name="Comma 5 2 7" xfId="4182" xr:uid="{00000000-0005-0000-0000-000017190000}"/>
    <cellStyle name="Comma 5 2 7 2" xfId="9278" xr:uid="{00000000-0005-0000-0000-000018190000}"/>
    <cellStyle name="Comma 5 2 8" xfId="6808" xr:uid="{00000000-0005-0000-0000-000019190000}"/>
    <cellStyle name="Comma 5 3" xfId="1510" xr:uid="{00000000-0005-0000-0000-00001A190000}"/>
    <cellStyle name="Comma 5 3 2" xfId="1511" xr:uid="{00000000-0005-0000-0000-00001B190000}"/>
    <cellStyle name="Comma 5 3 2 2" xfId="1512" xr:uid="{00000000-0005-0000-0000-00001C190000}"/>
    <cellStyle name="Comma 5 3 2 2 2" xfId="2988" xr:uid="{00000000-0005-0000-0000-00001D190000}"/>
    <cellStyle name="Comma 5 3 2 2 2 2" xfId="5386" xr:uid="{00000000-0005-0000-0000-00001E190000}"/>
    <cellStyle name="Comma 5 3 2 2 2 2 2" xfId="10482" xr:uid="{00000000-0005-0000-0000-00001F190000}"/>
    <cellStyle name="Comma 5 3 2 2 2 3" xfId="8091" xr:uid="{00000000-0005-0000-0000-000020190000}"/>
    <cellStyle name="Comma 5 3 2 2 3" xfId="4194" xr:uid="{00000000-0005-0000-0000-000021190000}"/>
    <cellStyle name="Comma 5 3 2 2 3 2" xfId="9290" xr:uid="{00000000-0005-0000-0000-000022190000}"/>
    <cellStyle name="Comma 5 3 2 2 4" xfId="6820" xr:uid="{00000000-0005-0000-0000-000023190000}"/>
    <cellStyle name="Comma 5 3 2 3" xfId="2987" xr:uid="{00000000-0005-0000-0000-000024190000}"/>
    <cellStyle name="Comma 5 3 2 3 2" xfId="5385" xr:uid="{00000000-0005-0000-0000-000025190000}"/>
    <cellStyle name="Comma 5 3 2 3 2 2" xfId="10481" xr:uid="{00000000-0005-0000-0000-000026190000}"/>
    <cellStyle name="Comma 5 3 2 3 3" xfId="8090" xr:uid="{00000000-0005-0000-0000-000027190000}"/>
    <cellStyle name="Comma 5 3 2 4" xfId="4193" xr:uid="{00000000-0005-0000-0000-000028190000}"/>
    <cellStyle name="Comma 5 3 2 4 2" xfId="9289" xr:uid="{00000000-0005-0000-0000-000029190000}"/>
    <cellStyle name="Comma 5 3 2 5" xfId="6819" xr:uid="{00000000-0005-0000-0000-00002A190000}"/>
    <cellStyle name="Comma 5 3 3" xfId="1513" xr:uid="{00000000-0005-0000-0000-00002B190000}"/>
    <cellStyle name="Comma 5 3 3 2" xfId="2989" xr:uid="{00000000-0005-0000-0000-00002C190000}"/>
    <cellStyle name="Comma 5 3 3 2 2" xfId="5387" xr:uid="{00000000-0005-0000-0000-00002D190000}"/>
    <cellStyle name="Comma 5 3 3 2 2 2" xfId="10483" xr:uid="{00000000-0005-0000-0000-00002E190000}"/>
    <cellStyle name="Comma 5 3 3 2 3" xfId="8092" xr:uid="{00000000-0005-0000-0000-00002F190000}"/>
    <cellStyle name="Comma 5 3 3 3" xfId="4195" xr:uid="{00000000-0005-0000-0000-000030190000}"/>
    <cellStyle name="Comma 5 3 3 3 2" xfId="9291" xr:uid="{00000000-0005-0000-0000-000031190000}"/>
    <cellStyle name="Comma 5 3 3 4" xfId="6821" xr:uid="{00000000-0005-0000-0000-000032190000}"/>
    <cellStyle name="Comma 5 3 4" xfId="1514" xr:uid="{00000000-0005-0000-0000-000033190000}"/>
    <cellStyle name="Comma 5 3 4 2" xfId="2990" xr:uid="{00000000-0005-0000-0000-000034190000}"/>
    <cellStyle name="Comma 5 3 4 2 2" xfId="5388" xr:uid="{00000000-0005-0000-0000-000035190000}"/>
    <cellStyle name="Comma 5 3 4 2 2 2" xfId="10484" xr:uid="{00000000-0005-0000-0000-000036190000}"/>
    <cellStyle name="Comma 5 3 4 2 3" xfId="8093" xr:uid="{00000000-0005-0000-0000-000037190000}"/>
    <cellStyle name="Comma 5 3 4 3" xfId="4196" xr:uid="{00000000-0005-0000-0000-000038190000}"/>
    <cellStyle name="Comma 5 3 4 3 2" xfId="9292" xr:uid="{00000000-0005-0000-0000-000039190000}"/>
    <cellStyle name="Comma 5 3 4 4" xfId="6822" xr:uid="{00000000-0005-0000-0000-00003A190000}"/>
    <cellStyle name="Comma 5 3 5" xfId="2986" xr:uid="{00000000-0005-0000-0000-00003B190000}"/>
    <cellStyle name="Comma 5 3 5 2" xfId="5384" xr:uid="{00000000-0005-0000-0000-00003C190000}"/>
    <cellStyle name="Comma 5 3 5 2 2" xfId="10480" xr:uid="{00000000-0005-0000-0000-00003D190000}"/>
    <cellStyle name="Comma 5 3 5 3" xfId="8089" xr:uid="{00000000-0005-0000-0000-00003E190000}"/>
    <cellStyle name="Comma 5 3 6" xfId="4192" xr:uid="{00000000-0005-0000-0000-00003F190000}"/>
    <cellStyle name="Comma 5 3 6 2" xfId="9288" xr:uid="{00000000-0005-0000-0000-000040190000}"/>
    <cellStyle name="Comma 5 3 7" xfId="6818" xr:uid="{00000000-0005-0000-0000-000041190000}"/>
    <cellStyle name="Comma 5 4" xfId="1515" xr:uid="{00000000-0005-0000-0000-000042190000}"/>
    <cellStyle name="Comma 5 4 2" xfId="1516" xr:uid="{00000000-0005-0000-0000-000043190000}"/>
    <cellStyle name="Comma 5 4 2 2" xfId="1517" xr:uid="{00000000-0005-0000-0000-000044190000}"/>
    <cellStyle name="Comma 5 4 2 2 2" xfId="2993" xr:uid="{00000000-0005-0000-0000-000045190000}"/>
    <cellStyle name="Comma 5 4 2 2 2 2" xfId="5391" xr:uid="{00000000-0005-0000-0000-000046190000}"/>
    <cellStyle name="Comma 5 4 2 2 2 2 2" xfId="10487" xr:uid="{00000000-0005-0000-0000-000047190000}"/>
    <cellStyle name="Comma 5 4 2 2 2 3" xfId="8096" xr:uid="{00000000-0005-0000-0000-000048190000}"/>
    <cellStyle name="Comma 5 4 2 2 3" xfId="4199" xr:uid="{00000000-0005-0000-0000-000049190000}"/>
    <cellStyle name="Comma 5 4 2 2 3 2" xfId="9295" xr:uid="{00000000-0005-0000-0000-00004A190000}"/>
    <cellStyle name="Comma 5 4 2 2 4" xfId="6825" xr:uid="{00000000-0005-0000-0000-00004B190000}"/>
    <cellStyle name="Comma 5 4 2 3" xfId="2992" xr:uid="{00000000-0005-0000-0000-00004C190000}"/>
    <cellStyle name="Comma 5 4 2 3 2" xfId="5390" xr:uid="{00000000-0005-0000-0000-00004D190000}"/>
    <cellStyle name="Comma 5 4 2 3 2 2" xfId="10486" xr:uid="{00000000-0005-0000-0000-00004E190000}"/>
    <cellStyle name="Comma 5 4 2 3 3" xfId="8095" xr:uid="{00000000-0005-0000-0000-00004F190000}"/>
    <cellStyle name="Comma 5 4 2 4" xfId="4198" xr:uid="{00000000-0005-0000-0000-000050190000}"/>
    <cellStyle name="Comma 5 4 2 4 2" xfId="9294" xr:uid="{00000000-0005-0000-0000-000051190000}"/>
    <cellStyle name="Comma 5 4 2 5" xfId="6824" xr:uid="{00000000-0005-0000-0000-000052190000}"/>
    <cellStyle name="Comma 5 4 3" xfId="1518" xr:uid="{00000000-0005-0000-0000-000053190000}"/>
    <cellStyle name="Comma 5 4 3 2" xfId="2994" xr:uid="{00000000-0005-0000-0000-000054190000}"/>
    <cellStyle name="Comma 5 4 3 2 2" xfId="5392" xr:uid="{00000000-0005-0000-0000-000055190000}"/>
    <cellStyle name="Comma 5 4 3 2 2 2" xfId="10488" xr:uid="{00000000-0005-0000-0000-000056190000}"/>
    <cellStyle name="Comma 5 4 3 2 3" xfId="8097" xr:uid="{00000000-0005-0000-0000-000057190000}"/>
    <cellStyle name="Comma 5 4 3 3" xfId="4200" xr:uid="{00000000-0005-0000-0000-000058190000}"/>
    <cellStyle name="Comma 5 4 3 3 2" xfId="9296" xr:uid="{00000000-0005-0000-0000-000059190000}"/>
    <cellStyle name="Comma 5 4 3 4" xfId="6826" xr:uid="{00000000-0005-0000-0000-00005A190000}"/>
    <cellStyle name="Comma 5 4 4" xfId="1519" xr:uid="{00000000-0005-0000-0000-00005B190000}"/>
    <cellStyle name="Comma 5 4 4 2" xfId="2995" xr:uid="{00000000-0005-0000-0000-00005C190000}"/>
    <cellStyle name="Comma 5 4 4 2 2" xfId="5393" xr:uid="{00000000-0005-0000-0000-00005D190000}"/>
    <cellStyle name="Comma 5 4 4 2 2 2" xfId="10489" xr:uid="{00000000-0005-0000-0000-00005E190000}"/>
    <cellStyle name="Comma 5 4 4 2 3" xfId="8098" xr:uid="{00000000-0005-0000-0000-00005F190000}"/>
    <cellStyle name="Comma 5 4 4 3" xfId="4201" xr:uid="{00000000-0005-0000-0000-000060190000}"/>
    <cellStyle name="Comma 5 4 4 3 2" xfId="9297" xr:uid="{00000000-0005-0000-0000-000061190000}"/>
    <cellStyle name="Comma 5 4 4 4" xfId="6827" xr:uid="{00000000-0005-0000-0000-000062190000}"/>
    <cellStyle name="Comma 5 4 5" xfId="2991" xr:uid="{00000000-0005-0000-0000-000063190000}"/>
    <cellStyle name="Comma 5 4 5 2" xfId="5389" xr:uid="{00000000-0005-0000-0000-000064190000}"/>
    <cellStyle name="Comma 5 4 5 2 2" xfId="10485" xr:uid="{00000000-0005-0000-0000-000065190000}"/>
    <cellStyle name="Comma 5 4 5 3" xfId="8094" xr:uid="{00000000-0005-0000-0000-000066190000}"/>
    <cellStyle name="Comma 5 4 6" xfId="4197" xr:uid="{00000000-0005-0000-0000-000067190000}"/>
    <cellStyle name="Comma 5 4 6 2" xfId="9293" xr:uid="{00000000-0005-0000-0000-000068190000}"/>
    <cellStyle name="Comma 5 4 7" xfId="6823" xr:uid="{00000000-0005-0000-0000-000069190000}"/>
    <cellStyle name="Comma 5 5" xfId="1520" xr:uid="{00000000-0005-0000-0000-00006A190000}"/>
    <cellStyle name="Comma 5 5 2" xfId="1521" xr:uid="{00000000-0005-0000-0000-00006B190000}"/>
    <cellStyle name="Comma 5 5 2 2" xfId="1522" xr:uid="{00000000-0005-0000-0000-00006C190000}"/>
    <cellStyle name="Comma 5 5 2 2 2" xfId="2998" xr:uid="{00000000-0005-0000-0000-00006D190000}"/>
    <cellStyle name="Comma 5 5 2 2 2 2" xfId="5396" xr:uid="{00000000-0005-0000-0000-00006E190000}"/>
    <cellStyle name="Comma 5 5 2 2 2 2 2" xfId="10492" xr:uid="{00000000-0005-0000-0000-00006F190000}"/>
    <cellStyle name="Comma 5 5 2 2 2 3" xfId="8101" xr:uid="{00000000-0005-0000-0000-000070190000}"/>
    <cellStyle name="Comma 5 5 2 2 3" xfId="4204" xr:uid="{00000000-0005-0000-0000-000071190000}"/>
    <cellStyle name="Comma 5 5 2 2 3 2" xfId="9300" xr:uid="{00000000-0005-0000-0000-000072190000}"/>
    <cellStyle name="Comma 5 5 2 2 4" xfId="6830" xr:uid="{00000000-0005-0000-0000-000073190000}"/>
    <cellStyle name="Comma 5 5 2 3" xfId="2997" xr:uid="{00000000-0005-0000-0000-000074190000}"/>
    <cellStyle name="Comma 5 5 2 3 2" xfId="5395" xr:uid="{00000000-0005-0000-0000-000075190000}"/>
    <cellStyle name="Comma 5 5 2 3 2 2" xfId="10491" xr:uid="{00000000-0005-0000-0000-000076190000}"/>
    <cellStyle name="Comma 5 5 2 3 3" xfId="8100" xr:uid="{00000000-0005-0000-0000-000077190000}"/>
    <cellStyle name="Comma 5 5 2 4" xfId="4203" xr:uid="{00000000-0005-0000-0000-000078190000}"/>
    <cellStyle name="Comma 5 5 2 4 2" xfId="9299" xr:uid="{00000000-0005-0000-0000-000079190000}"/>
    <cellStyle name="Comma 5 5 2 5" xfId="6829" xr:uid="{00000000-0005-0000-0000-00007A190000}"/>
    <cellStyle name="Comma 5 5 3" xfId="1523" xr:uid="{00000000-0005-0000-0000-00007B190000}"/>
    <cellStyle name="Comma 5 5 3 2" xfId="2999" xr:uid="{00000000-0005-0000-0000-00007C190000}"/>
    <cellStyle name="Comma 5 5 3 2 2" xfId="5397" xr:uid="{00000000-0005-0000-0000-00007D190000}"/>
    <cellStyle name="Comma 5 5 3 2 2 2" xfId="10493" xr:uid="{00000000-0005-0000-0000-00007E190000}"/>
    <cellStyle name="Comma 5 5 3 2 3" xfId="8102" xr:uid="{00000000-0005-0000-0000-00007F190000}"/>
    <cellStyle name="Comma 5 5 3 3" xfId="4205" xr:uid="{00000000-0005-0000-0000-000080190000}"/>
    <cellStyle name="Comma 5 5 3 3 2" xfId="9301" xr:uid="{00000000-0005-0000-0000-000081190000}"/>
    <cellStyle name="Comma 5 5 3 4" xfId="6831" xr:uid="{00000000-0005-0000-0000-000082190000}"/>
    <cellStyle name="Comma 5 5 4" xfId="1524" xr:uid="{00000000-0005-0000-0000-000083190000}"/>
    <cellStyle name="Comma 5 5 4 2" xfId="3000" xr:uid="{00000000-0005-0000-0000-000084190000}"/>
    <cellStyle name="Comma 5 5 4 2 2" xfId="5398" xr:uid="{00000000-0005-0000-0000-000085190000}"/>
    <cellStyle name="Comma 5 5 4 2 2 2" xfId="10494" xr:uid="{00000000-0005-0000-0000-000086190000}"/>
    <cellStyle name="Comma 5 5 4 2 3" xfId="8103" xr:uid="{00000000-0005-0000-0000-000087190000}"/>
    <cellStyle name="Comma 5 5 4 3" xfId="4206" xr:uid="{00000000-0005-0000-0000-000088190000}"/>
    <cellStyle name="Comma 5 5 4 3 2" xfId="9302" xr:uid="{00000000-0005-0000-0000-000089190000}"/>
    <cellStyle name="Comma 5 5 4 4" xfId="6832" xr:uid="{00000000-0005-0000-0000-00008A190000}"/>
    <cellStyle name="Comma 5 5 5" xfId="2996" xr:uid="{00000000-0005-0000-0000-00008B190000}"/>
    <cellStyle name="Comma 5 5 5 2" xfId="5394" xr:uid="{00000000-0005-0000-0000-00008C190000}"/>
    <cellStyle name="Comma 5 5 5 2 2" xfId="10490" xr:uid="{00000000-0005-0000-0000-00008D190000}"/>
    <cellStyle name="Comma 5 5 5 3" xfId="8099" xr:uid="{00000000-0005-0000-0000-00008E190000}"/>
    <cellStyle name="Comma 5 5 6" xfId="4202" xr:uid="{00000000-0005-0000-0000-00008F190000}"/>
    <cellStyle name="Comma 5 5 6 2" xfId="9298" xr:uid="{00000000-0005-0000-0000-000090190000}"/>
    <cellStyle name="Comma 5 5 7" xfId="6828" xr:uid="{00000000-0005-0000-0000-000091190000}"/>
    <cellStyle name="Comma 5 6" xfId="1525" xr:uid="{00000000-0005-0000-0000-000092190000}"/>
    <cellStyle name="Comma 5 6 2" xfId="1526" xr:uid="{00000000-0005-0000-0000-000093190000}"/>
    <cellStyle name="Comma 5 6 2 2" xfId="3002" xr:uid="{00000000-0005-0000-0000-000094190000}"/>
    <cellStyle name="Comma 5 6 2 2 2" xfId="5400" xr:uid="{00000000-0005-0000-0000-000095190000}"/>
    <cellStyle name="Comma 5 6 2 2 2 2" xfId="10496" xr:uid="{00000000-0005-0000-0000-000096190000}"/>
    <cellStyle name="Comma 5 6 2 2 3" xfId="8105" xr:uid="{00000000-0005-0000-0000-000097190000}"/>
    <cellStyle name="Comma 5 6 2 3" xfId="4208" xr:uid="{00000000-0005-0000-0000-000098190000}"/>
    <cellStyle name="Comma 5 6 2 3 2" xfId="9304" xr:uid="{00000000-0005-0000-0000-000099190000}"/>
    <cellStyle name="Comma 5 6 2 4" xfId="6834" xr:uid="{00000000-0005-0000-0000-00009A190000}"/>
    <cellStyle name="Comma 5 6 3" xfId="3001" xr:uid="{00000000-0005-0000-0000-00009B190000}"/>
    <cellStyle name="Comma 5 6 3 2" xfId="5399" xr:uid="{00000000-0005-0000-0000-00009C190000}"/>
    <cellStyle name="Comma 5 6 3 2 2" xfId="10495" xr:uid="{00000000-0005-0000-0000-00009D190000}"/>
    <cellStyle name="Comma 5 6 3 3" xfId="8104" xr:uid="{00000000-0005-0000-0000-00009E190000}"/>
    <cellStyle name="Comma 5 6 4" xfId="4207" xr:uid="{00000000-0005-0000-0000-00009F190000}"/>
    <cellStyle name="Comma 5 6 4 2" xfId="9303" xr:uid="{00000000-0005-0000-0000-0000A0190000}"/>
    <cellStyle name="Comma 5 6 5" xfId="6833" xr:uid="{00000000-0005-0000-0000-0000A1190000}"/>
    <cellStyle name="Comma 5 7" xfId="1527" xr:uid="{00000000-0005-0000-0000-0000A2190000}"/>
    <cellStyle name="Comma 5 7 2" xfId="3003" xr:uid="{00000000-0005-0000-0000-0000A3190000}"/>
    <cellStyle name="Comma 5 7 2 2" xfId="5401" xr:uid="{00000000-0005-0000-0000-0000A4190000}"/>
    <cellStyle name="Comma 5 7 2 2 2" xfId="10497" xr:uid="{00000000-0005-0000-0000-0000A5190000}"/>
    <cellStyle name="Comma 5 7 2 3" xfId="8106" xr:uid="{00000000-0005-0000-0000-0000A6190000}"/>
    <cellStyle name="Comma 5 7 3" xfId="4209" xr:uid="{00000000-0005-0000-0000-0000A7190000}"/>
    <cellStyle name="Comma 5 7 3 2" xfId="9305" xr:uid="{00000000-0005-0000-0000-0000A8190000}"/>
    <cellStyle name="Comma 5 7 4" xfId="6835" xr:uid="{00000000-0005-0000-0000-0000A9190000}"/>
    <cellStyle name="Comma 5 8" xfId="1528" xr:uid="{00000000-0005-0000-0000-0000AA190000}"/>
    <cellStyle name="Comma 5 8 2" xfId="3004" xr:uid="{00000000-0005-0000-0000-0000AB190000}"/>
    <cellStyle name="Comma 5 8 2 2" xfId="5402" xr:uid="{00000000-0005-0000-0000-0000AC190000}"/>
    <cellStyle name="Comma 5 8 2 2 2" xfId="10498" xr:uid="{00000000-0005-0000-0000-0000AD190000}"/>
    <cellStyle name="Comma 5 8 2 3" xfId="8107" xr:uid="{00000000-0005-0000-0000-0000AE190000}"/>
    <cellStyle name="Comma 5 8 3" xfId="4210" xr:uid="{00000000-0005-0000-0000-0000AF190000}"/>
    <cellStyle name="Comma 5 8 3 2" xfId="9306" xr:uid="{00000000-0005-0000-0000-0000B0190000}"/>
    <cellStyle name="Comma 5 8 4" xfId="6836" xr:uid="{00000000-0005-0000-0000-0000B1190000}"/>
    <cellStyle name="Comma 5 9" xfId="1499" xr:uid="{00000000-0005-0000-0000-0000B2190000}"/>
    <cellStyle name="Comma 5 9 2" xfId="2975" xr:uid="{00000000-0005-0000-0000-0000B3190000}"/>
    <cellStyle name="Comma 5 9 2 2" xfId="5373" xr:uid="{00000000-0005-0000-0000-0000B4190000}"/>
    <cellStyle name="Comma 5 9 2 2 2" xfId="10469" xr:uid="{00000000-0005-0000-0000-0000B5190000}"/>
    <cellStyle name="Comma 5 9 2 3" xfId="8078" xr:uid="{00000000-0005-0000-0000-0000B6190000}"/>
    <cellStyle name="Comma 5 9 3" xfId="4181" xr:uid="{00000000-0005-0000-0000-0000B7190000}"/>
    <cellStyle name="Comma 5 9 3 2" xfId="9277" xr:uid="{00000000-0005-0000-0000-0000B8190000}"/>
    <cellStyle name="Comma 5 9 4" xfId="6807" xr:uid="{00000000-0005-0000-0000-0000B9190000}"/>
    <cellStyle name="Comma 50" xfId="2301" xr:uid="{00000000-0005-0000-0000-0000BA190000}"/>
    <cellStyle name="Comma 50 2" xfId="3554" xr:uid="{00000000-0005-0000-0000-0000BB190000}"/>
    <cellStyle name="Comma 50 2 2" xfId="5949" xr:uid="{00000000-0005-0000-0000-0000BC190000}"/>
    <cellStyle name="Comma 50 2 2 2" xfId="11045" xr:uid="{00000000-0005-0000-0000-0000BD190000}"/>
    <cellStyle name="Comma 50 2 3" xfId="8657" xr:uid="{00000000-0005-0000-0000-0000BE190000}"/>
    <cellStyle name="Comma 50 3" xfId="4760" xr:uid="{00000000-0005-0000-0000-0000BF190000}"/>
    <cellStyle name="Comma 50 3 2" xfId="9856" xr:uid="{00000000-0005-0000-0000-0000C0190000}"/>
    <cellStyle name="Comma 50 4" xfId="7410" xr:uid="{00000000-0005-0000-0000-0000C1190000}"/>
    <cellStyle name="Comma 51" xfId="2303" xr:uid="{00000000-0005-0000-0000-0000C2190000}"/>
    <cellStyle name="Comma 51 2" xfId="3556" xr:uid="{00000000-0005-0000-0000-0000C3190000}"/>
    <cellStyle name="Comma 51 2 2" xfId="5951" xr:uid="{00000000-0005-0000-0000-0000C4190000}"/>
    <cellStyle name="Comma 51 2 2 2" xfId="11047" xr:uid="{00000000-0005-0000-0000-0000C5190000}"/>
    <cellStyle name="Comma 51 2 3" xfId="8659" xr:uid="{00000000-0005-0000-0000-0000C6190000}"/>
    <cellStyle name="Comma 51 3" xfId="4762" xr:uid="{00000000-0005-0000-0000-0000C7190000}"/>
    <cellStyle name="Comma 51 3 2" xfId="9858" xr:uid="{00000000-0005-0000-0000-0000C8190000}"/>
    <cellStyle name="Comma 51 4" xfId="7412" xr:uid="{00000000-0005-0000-0000-0000C9190000}"/>
    <cellStyle name="Comma 52" xfId="2305" xr:uid="{00000000-0005-0000-0000-0000CA190000}"/>
    <cellStyle name="Comma 52 2" xfId="3558" xr:uid="{00000000-0005-0000-0000-0000CB190000}"/>
    <cellStyle name="Comma 52 2 2" xfId="5953" xr:uid="{00000000-0005-0000-0000-0000CC190000}"/>
    <cellStyle name="Comma 52 2 2 2" xfId="11049" xr:uid="{00000000-0005-0000-0000-0000CD190000}"/>
    <cellStyle name="Comma 52 2 3" xfId="8661" xr:uid="{00000000-0005-0000-0000-0000CE190000}"/>
    <cellStyle name="Comma 52 3" xfId="4764" xr:uid="{00000000-0005-0000-0000-0000CF190000}"/>
    <cellStyle name="Comma 52 3 2" xfId="9860" xr:uid="{00000000-0005-0000-0000-0000D0190000}"/>
    <cellStyle name="Comma 52 4" xfId="7414" xr:uid="{00000000-0005-0000-0000-0000D1190000}"/>
    <cellStyle name="Comma 53" xfId="2307" xr:uid="{00000000-0005-0000-0000-0000D2190000}"/>
    <cellStyle name="Comma 53 2" xfId="3560" xr:uid="{00000000-0005-0000-0000-0000D3190000}"/>
    <cellStyle name="Comma 53 2 2" xfId="5955" xr:uid="{00000000-0005-0000-0000-0000D4190000}"/>
    <cellStyle name="Comma 53 2 2 2" xfId="11051" xr:uid="{00000000-0005-0000-0000-0000D5190000}"/>
    <cellStyle name="Comma 53 2 3" xfId="8663" xr:uid="{00000000-0005-0000-0000-0000D6190000}"/>
    <cellStyle name="Comma 53 3" xfId="4766" xr:uid="{00000000-0005-0000-0000-0000D7190000}"/>
    <cellStyle name="Comma 53 3 2" xfId="9862" xr:uid="{00000000-0005-0000-0000-0000D8190000}"/>
    <cellStyle name="Comma 53 4" xfId="7416" xr:uid="{00000000-0005-0000-0000-0000D9190000}"/>
    <cellStyle name="Comma 54" xfId="2309" xr:uid="{00000000-0005-0000-0000-0000DA190000}"/>
    <cellStyle name="Comma 54 2" xfId="3562" xr:uid="{00000000-0005-0000-0000-0000DB190000}"/>
    <cellStyle name="Comma 54 2 2" xfId="5957" xr:uid="{00000000-0005-0000-0000-0000DC190000}"/>
    <cellStyle name="Comma 54 2 2 2" xfId="11053" xr:uid="{00000000-0005-0000-0000-0000DD190000}"/>
    <cellStyle name="Comma 54 2 3" xfId="8665" xr:uid="{00000000-0005-0000-0000-0000DE190000}"/>
    <cellStyle name="Comma 54 3" xfId="4768" xr:uid="{00000000-0005-0000-0000-0000DF190000}"/>
    <cellStyle name="Comma 54 3 2" xfId="9864" xr:uid="{00000000-0005-0000-0000-0000E0190000}"/>
    <cellStyle name="Comma 54 4" xfId="7418" xr:uid="{00000000-0005-0000-0000-0000E1190000}"/>
    <cellStyle name="Comma 55" xfId="2311" xr:uid="{00000000-0005-0000-0000-0000E2190000}"/>
    <cellStyle name="Comma 55 2" xfId="3564" xr:uid="{00000000-0005-0000-0000-0000E3190000}"/>
    <cellStyle name="Comma 55 2 2" xfId="5959" xr:uid="{00000000-0005-0000-0000-0000E4190000}"/>
    <cellStyle name="Comma 55 2 2 2" xfId="11055" xr:uid="{00000000-0005-0000-0000-0000E5190000}"/>
    <cellStyle name="Comma 55 2 3" xfId="8667" xr:uid="{00000000-0005-0000-0000-0000E6190000}"/>
    <cellStyle name="Comma 55 3" xfId="4770" xr:uid="{00000000-0005-0000-0000-0000E7190000}"/>
    <cellStyle name="Comma 55 3 2" xfId="9866" xr:uid="{00000000-0005-0000-0000-0000E8190000}"/>
    <cellStyle name="Comma 55 4" xfId="7420" xr:uid="{00000000-0005-0000-0000-0000E9190000}"/>
    <cellStyle name="Comma 56" xfId="2313" xr:uid="{00000000-0005-0000-0000-0000EA190000}"/>
    <cellStyle name="Comma 56 2" xfId="3566" xr:uid="{00000000-0005-0000-0000-0000EB190000}"/>
    <cellStyle name="Comma 56 2 2" xfId="5961" xr:uid="{00000000-0005-0000-0000-0000EC190000}"/>
    <cellStyle name="Comma 56 2 2 2" xfId="11057" xr:uid="{00000000-0005-0000-0000-0000ED190000}"/>
    <cellStyle name="Comma 56 2 3" xfId="8669" xr:uid="{00000000-0005-0000-0000-0000EE190000}"/>
    <cellStyle name="Comma 56 3" xfId="4772" xr:uid="{00000000-0005-0000-0000-0000EF190000}"/>
    <cellStyle name="Comma 56 3 2" xfId="9868" xr:uid="{00000000-0005-0000-0000-0000F0190000}"/>
    <cellStyle name="Comma 56 4" xfId="7422" xr:uid="{00000000-0005-0000-0000-0000F1190000}"/>
    <cellStyle name="Comma 57" xfId="2315" xr:uid="{00000000-0005-0000-0000-0000F2190000}"/>
    <cellStyle name="Comma 57 2" xfId="3568" xr:uid="{00000000-0005-0000-0000-0000F3190000}"/>
    <cellStyle name="Comma 57 2 2" xfId="5963" xr:uid="{00000000-0005-0000-0000-0000F4190000}"/>
    <cellStyle name="Comma 57 2 2 2" xfId="11059" xr:uid="{00000000-0005-0000-0000-0000F5190000}"/>
    <cellStyle name="Comma 57 2 3" xfId="8671" xr:uid="{00000000-0005-0000-0000-0000F6190000}"/>
    <cellStyle name="Comma 57 3" xfId="4774" xr:uid="{00000000-0005-0000-0000-0000F7190000}"/>
    <cellStyle name="Comma 57 3 2" xfId="9870" xr:uid="{00000000-0005-0000-0000-0000F8190000}"/>
    <cellStyle name="Comma 57 4" xfId="7424" xr:uid="{00000000-0005-0000-0000-0000F9190000}"/>
    <cellStyle name="Comma 58" xfId="2317" xr:uid="{00000000-0005-0000-0000-0000FA190000}"/>
    <cellStyle name="Comma 58 2" xfId="3570" xr:uid="{00000000-0005-0000-0000-0000FB190000}"/>
    <cellStyle name="Comma 58 2 2" xfId="5965" xr:uid="{00000000-0005-0000-0000-0000FC190000}"/>
    <cellStyle name="Comma 58 2 2 2" xfId="11061" xr:uid="{00000000-0005-0000-0000-0000FD190000}"/>
    <cellStyle name="Comma 58 2 3" xfId="8673" xr:uid="{00000000-0005-0000-0000-0000FE190000}"/>
    <cellStyle name="Comma 58 3" xfId="4776" xr:uid="{00000000-0005-0000-0000-0000FF190000}"/>
    <cellStyle name="Comma 58 3 2" xfId="9872" xr:uid="{00000000-0005-0000-0000-0000001A0000}"/>
    <cellStyle name="Comma 58 4" xfId="7426" xr:uid="{00000000-0005-0000-0000-0000011A0000}"/>
    <cellStyle name="Comma 59" xfId="2319" xr:uid="{00000000-0005-0000-0000-0000021A0000}"/>
    <cellStyle name="Comma 59 2" xfId="3572" xr:uid="{00000000-0005-0000-0000-0000031A0000}"/>
    <cellStyle name="Comma 59 2 2" xfId="5967" xr:uid="{00000000-0005-0000-0000-0000041A0000}"/>
    <cellStyle name="Comma 59 2 2 2" xfId="11063" xr:uid="{00000000-0005-0000-0000-0000051A0000}"/>
    <cellStyle name="Comma 59 2 3" xfId="8675" xr:uid="{00000000-0005-0000-0000-0000061A0000}"/>
    <cellStyle name="Comma 59 3" xfId="4778" xr:uid="{00000000-0005-0000-0000-0000071A0000}"/>
    <cellStyle name="Comma 59 3 2" xfId="9874" xr:uid="{00000000-0005-0000-0000-0000081A0000}"/>
    <cellStyle name="Comma 59 4" xfId="7428" xr:uid="{00000000-0005-0000-0000-0000091A0000}"/>
    <cellStyle name="Comma 6" xfId="1139" xr:uid="{00000000-0005-0000-0000-00000A1A0000}"/>
    <cellStyle name="Comma 6 2" xfId="1530" xr:uid="{00000000-0005-0000-0000-00000B1A0000}"/>
    <cellStyle name="Comma 6 2 2" xfId="1531" xr:uid="{00000000-0005-0000-0000-00000C1A0000}"/>
    <cellStyle name="Comma 6 3" xfId="1532" xr:uid="{00000000-0005-0000-0000-00000D1A0000}"/>
    <cellStyle name="Comma 6 3 2" xfId="1533" xr:uid="{00000000-0005-0000-0000-00000E1A0000}"/>
    <cellStyle name="Comma 6 3 3" xfId="1534" xr:uid="{00000000-0005-0000-0000-00000F1A0000}"/>
    <cellStyle name="Comma 6 3 3 2" xfId="3006" xr:uid="{00000000-0005-0000-0000-0000101A0000}"/>
    <cellStyle name="Comma 6 3 3 2 2" xfId="5404" xr:uid="{00000000-0005-0000-0000-0000111A0000}"/>
    <cellStyle name="Comma 6 3 3 2 2 2" xfId="10500" xr:uid="{00000000-0005-0000-0000-0000121A0000}"/>
    <cellStyle name="Comma 6 3 3 2 3" xfId="8109" xr:uid="{00000000-0005-0000-0000-0000131A0000}"/>
    <cellStyle name="Comma 6 3 3 3" xfId="4212" xr:uid="{00000000-0005-0000-0000-0000141A0000}"/>
    <cellStyle name="Comma 6 3 3 3 2" xfId="9308" xr:uid="{00000000-0005-0000-0000-0000151A0000}"/>
    <cellStyle name="Comma 6 3 3 4" xfId="6838" xr:uid="{00000000-0005-0000-0000-0000161A0000}"/>
    <cellStyle name="Comma 6 3 4" xfId="3005" xr:uid="{00000000-0005-0000-0000-0000171A0000}"/>
    <cellStyle name="Comma 6 3 4 2" xfId="5403" xr:uid="{00000000-0005-0000-0000-0000181A0000}"/>
    <cellStyle name="Comma 6 3 4 2 2" xfId="10499" xr:uid="{00000000-0005-0000-0000-0000191A0000}"/>
    <cellStyle name="Comma 6 3 4 3" xfId="8108" xr:uid="{00000000-0005-0000-0000-00001A1A0000}"/>
    <cellStyle name="Comma 6 3 5" xfId="4211" xr:uid="{00000000-0005-0000-0000-00001B1A0000}"/>
    <cellStyle name="Comma 6 3 5 2" xfId="9307" xr:uid="{00000000-0005-0000-0000-00001C1A0000}"/>
    <cellStyle name="Comma 6 3 6" xfId="6837" xr:uid="{00000000-0005-0000-0000-00001D1A0000}"/>
    <cellStyle name="Comma 6 4" xfId="1535" xr:uid="{00000000-0005-0000-0000-00001E1A0000}"/>
    <cellStyle name="Comma 6 5" xfId="1529" xr:uid="{00000000-0005-0000-0000-00001F1A0000}"/>
    <cellStyle name="Comma 60" xfId="2321" xr:uid="{00000000-0005-0000-0000-0000201A0000}"/>
    <cellStyle name="Comma 60 2" xfId="3574" xr:uid="{00000000-0005-0000-0000-0000211A0000}"/>
    <cellStyle name="Comma 60 2 2" xfId="5969" xr:uid="{00000000-0005-0000-0000-0000221A0000}"/>
    <cellStyle name="Comma 60 2 2 2" xfId="11065" xr:uid="{00000000-0005-0000-0000-0000231A0000}"/>
    <cellStyle name="Comma 60 2 3" xfId="8677" xr:uid="{00000000-0005-0000-0000-0000241A0000}"/>
    <cellStyle name="Comma 60 3" xfId="4780" xr:uid="{00000000-0005-0000-0000-0000251A0000}"/>
    <cellStyle name="Comma 60 3 2" xfId="9876" xr:uid="{00000000-0005-0000-0000-0000261A0000}"/>
    <cellStyle name="Comma 60 4" xfId="7430" xr:uid="{00000000-0005-0000-0000-0000271A0000}"/>
    <cellStyle name="Comma 61" xfId="2323" xr:uid="{00000000-0005-0000-0000-0000281A0000}"/>
    <cellStyle name="Comma 61 2" xfId="3576" xr:uid="{00000000-0005-0000-0000-0000291A0000}"/>
    <cellStyle name="Comma 61 2 2" xfId="5971" xr:uid="{00000000-0005-0000-0000-00002A1A0000}"/>
    <cellStyle name="Comma 61 2 2 2" xfId="11067" xr:uid="{00000000-0005-0000-0000-00002B1A0000}"/>
    <cellStyle name="Comma 61 2 3" xfId="8679" xr:uid="{00000000-0005-0000-0000-00002C1A0000}"/>
    <cellStyle name="Comma 61 3" xfId="4782" xr:uid="{00000000-0005-0000-0000-00002D1A0000}"/>
    <cellStyle name="Comma 61 3 2" xfId="9878" xr:uid="{00000000-0005-0000-0000-00002E1A0000}"/>
    <cellStyle name="Comma 61 4" xfId="7432" xr:uid="{00000000-0005-0000-0000-00002F1A0000}"/>
    <cellStyle name="Comma 62" xfId="2325" xr:uid="{00000000-0005-0000-0000-0000301A0000}"/>
    <cellStyle name="Comma 62 2" xfId="3578" xr:uid="{00000000-0005-0000-0000-0000311A0000}"/>
    <cellStyle name="Comma 62 2 2" xfId="5973" xr:uid="{00000000-0005-0000-0000-0000321A0000}"/>
    <cellStyle name="Comma 62 2 2 2" xfId="11069" xr:uid="{00000000-0005-0000-0000-0000331A0000}"/>
    <cellStyle name="Comma 62 2 3" xfId="8681" xr:uid="{00000000-0005-0000-0000-0000341A0000}"/>
    <cellStyle name="Comma 62 3" xfId="4784" xr:uid="{00000000-0005-0000-0000-0000351A0000}"/>
    <cellStyle name="Comma 62 3 2" xfId="9880" xr:uid="{00000000-0005-0000-0000-0000361A0000}"/>
    <cellStyle name="Comma 62 4" xfId="7434" xr:uid="{00000000-0005-0000-0000-0000371A0000}"/>
    <cellStyle name="Comma 63" xfId="3600" xr:uid="{00000000-0005-0000-0000-0000381A0000}"/>
    <cellStyle name="Comma 64" xfId="3947" xr:uid="{00000000-0005-0000-0000-0000391A0000}"/>
    <cellStyle name="Comma 65" xfId="3585" xr:uid="{00000000-0005-0000-0000-00003A1A0000}"/>
    <cellStyle name="Comma 65 2" xfId="8688" xr:uid="{00000000-0005-0000-0000-00003B1A0000}"/>
    <cellStyle name="Comma 66" xfId="4684" xr:uid="{00000000-0005-0000-0000-00003C1A0000}"/>
    <cellStyle name="Comma 66 2" xfId="9780" xr:uid="{00000000-0005-0000-0000-00003D1A0000}"/>
    <cellStyle name="Comma 7" xfId="1536" xr:uid="{00000000-0005-0000-0000-00003E1A0000}"/>
    <cellStyle name="Comma 7 2" xfId="1537" xr:uid="{00000000-0005-0000-0000-00003F1A0000}"/>
    <cellStyle name="Comma 7 2 2" xfId="1538" xr:uid="{00000000-0005-0000-0000-0000401A0000}"/>
    <cellStyle name="Comma 7 3" xfId="1539" xr:uid="{00000000-0005-0000-0000-0000411A0000}"/>
    <cellStyle name="Comma 7 3 2" xfId="1540" xr:uid="{00000000-0005-0000-0000-0000421A0000}"/>
    <cellStyle name="Comma 8" xfId="1541" xr:uid="{00000000-0005-0000-0000-0000431A0000}"/>
    <cellStyle name="Comma 8 2" xfId="1542" xr:uid="{00000000-0005-0000-0000-0000441A0000}"/>
    <cellStyle name="Comma 8 3" xfId="1543" xr:uid="{00000000-0005-0000-0000-0000451A0000}"/>
    <cellStyle name="Comma 8 4" xfId="1544" xr:uid="{00000000-0005-0000-0000-0000461A0000}"/>
    <cellStyle name="Comma 8 4 2" xfId="3007" xr:uid="{00000000-0005-0000-0000-0000471A0000}"/>
    <cellStyle name="Comma 8 4 2 2" xfId="5405" xr:uid="{00000000-0005-0000-0000-0000481A0000}"/>
    <cellStyle name="Comma 8 4 2 2 2" xfId="10501" xr:uid="{00000000-0005-0000-0000-0000491A0000}"/>
    <cellStyle name="Comma 8 4 2 3" xfId="8110" xr:uid="{00000000-0005-0000-0000-00004A1A0000}"/>
    <cellStyle name="Comma 8 4 3" xfId="4213" xr:uid="{00000000-0005-0000-0000-00004B1A0000}"/>
    <cellStyle name="Comma 8 4 3 2" xfId="9309" xr:uid="{00000000-0005-0000-0000-00004C1A0000}"/>
    <cellStyle name="Comma 8 4 4" xfId="6839" xr:uid="{00000000-0005-0000-0000-00004D1A0000}"/>
    <cellStyle name="Comma 8 5" xfId="1545" xr:uid="{00000000-0005-0000-0000-00004E1A0000}"/>
    <cellStyle name="Comma 8 5 2" xfId="3008" xr:uid="{00000000-0005-0000-0000-00004F1A0000}"/>
    <cellStyle name="Comma 8 5 2 2" xfId="5406" xr:uid="{00000000-0005-0000-0000-0000501A0000}"/>
    <cellStyle name="Comma 8 5 2 2 2" xfId="10502" xr:uid="{00000000-0005-0000-0000-0000511A0000}"/>
    <cellStyle name="Comma 8 5 2 3" xfId="8111" xr:uid="{00000000-0005-0000-0000-0000521A0000}"/>
    <cellStyle name="Comma 8 5 3" xfId="4214" xr:uid="{00000000-0005-0000-0000-0000531A0000}"/>
    <cellStyle name="Comma 8 5 3 2" xfId="9310" xr:uid="{00000000-0005-0000-0000-0000541A0000}"/>
    <cellStyle name="Comma 8 5 4" xfId="6840" xr:uid="{00000000-0005-0000-0000-0000551A0000}"/>
    <cellStyle name="Comma 9" xfId="1546" xr:uid="{00000000-0005-0000-0000-0000561A0000}"/>
    <cellStyle name="Comma 9 2" xfId="1547" xr:uid="{00000000-0005-0000-0000-0000571A0000}"/>
    <cellStyle name="Comma 9 3" xfId="1548" xr:uid="{00000000-0005-0000-0000-0000581A0000}"/>
    <cellStyle name="Comma0" xfId="41" xr:uid="{00000000-0005-0000-0000-0000591A0000}"/>
    <cellStyle name="Comma0 2" xfId="1549" xr:uid="{00000000-0005-0000-0000-00005A1A0000}"/>
    <cellStyle name="Condition" xfId="1550" xr:uid="{00000000-0005-0000-0000-00005B1A0000}"/>
    <cellStyle name="Condition 10" xfId="12517" xr:uid="{00000000-0005-0000-0000-00005C1A0000}"/>
    <cellStyle name="Condition 11" xfId="12477" xr:uid="{00000000-0005-0000-0000-00005D1A0000}"/>
    <cellStyle name="Condition 12" xfId="14375" xr:uid="{00000000-0005-0000-0000-00005E1A0000}"/>
    <cellStyle name="Condition 2" xfId="2242" xr:uid="{00000000-0005-0000-0000-00005F1A0000}"/>
    <cellStyle name="Condition 2 2" xfId="3496" xr:uid="{00000000-0005-0000-0000-0000601A0000}"/>
    <cellStyle name="Condition 2 2 10" xfId="13962" xr:uid="{00000000-0005-0000-0000-0000611A0000}"/>
    <cellStyle name="Condition 2 2 11" xfId="13043" xr:uid="{00000000-0005-0000-0000-0000621A0000}"/>
    <cellStyle name="Condition 2 2 2" xfId="6137" xr:uid="{00000000-0005-0000-0000-0000631A0000}"/>
    <cellStyle name="Condition 2 2 2 2" xfId="11233" xr:uid="{00000000-0005-0000-0000-0000641A0000}"/>
    <cellStyle name="Condition 2 2 2 2 2" xfId="15539" xr:uid="{00000000-0005-0000-0000-0000651A0000}"/>
    <cellStyle name="Condition 2 2 2 2 3" xfId="16618" xr:uid="{00000000-0005-0000-0000-0000661A0000}"/>
    <cellStyle name="Condition 2 2 2 2 4" xfId="17650" xr:uid="{00000000-0005-0000-0000-0000671A0000}"/>
    <cellStyle name="Condition 2 2 2 2 5" xfId="18620" xr:uid="{00000000-0005-0000-0000-0000681A0000}"/>
    <cellStyle name="Condition 2 2 2 2 6" xfId="19526" xr:uid="{00000000-0005-0000-0000-0000691A0000}"/>
    <cellStyle name="Condition 2 2 2 3" xfId="11815" xr:uid="{00000000-0005-0000-0000-00006A1A0000}"/>
    <cellStyle name="Condition 2 2 2 3 2" xfId="16121" xr:uid="{00000000-0005-0000-0000-00006B1A0000}"/>
    <cellStyle name="Condition 2 2 2 3 3" xfId="17200" xr:uid="{00000000-0005-0000-0000-00006C1A0000}"/>
    <cellStyle name="Condition 2 2 2 3 4" xfId="18220" xr:uid="{00000000-0005-0000-0000-00006D1A0000}"/>
    <cellStyle name="Condition 2 2 2 3 5" xfId="19190" xr:uid="{00000000-0005-0000-0000-00006E1A0000}"/>
    <cellStyle name="Condition 2 2 2 3 6" xfId="20096" xr:uid="{00000000-0005-0000-0000-00006F1A0000}"/>
    <cellStyle name="Condition 2 2 2 4" xfId="11987" xr:uid="{00000000-0005-0000-0000-0000701A0000}"/>
    <cellStyle name="Condition 2 2 2 4 2" xfId="16293" xr:uid="{00000000-0005-0000-0000-0000711A0000}"/>
    <cellStyle name="Condition 2 2 2 4 3" xfId="17372" xr:uid="{00000000-0005-0000-0000-0000721A0000}"/>
    <cellStyle name="Condition 2 2 2 4 4" xfId="18388" xr:uid="{00000000-0005-0000-0000-0000731A0000}"/>
    <cellStyle name="Condition 2 2 2 4 5" xfId="19358" xr:uid="{00000000-0005-0000-0000-0000741A0000}"/>
    <cellStyle name="Condition 2 2 2 4 6" xfId="20264" xr:uid="{00000000-0005-0000-0000-0000751A0000}"/>
    <cellStyle name="Condition 2 2 2 5" xfId="13870" xr:uid="{00000000-0005-0000-0000-0000761A0000}"/>
    <cellStyle name="Condition 2 2 2 6" xfId="14550" xr:uid="{00000000-0005-0000-0000-0000771A0000}"/>
    <cellStyle name="Condition 2 2 2 7" xfId="14847" xr:uid="{00000000-0005-0000-0000-0000781A0000}"/>
    <cellStyle name="Condition 2 2 2 8" xfId="14657" xr:uid="{00000000-0005-0000-0000-0000791A0000}"/>
    <cellStyle name="Condition 2 2 2 9" xfId="12915" xr:uid="{00000000-0005-0000-0000-00007A1A0000}"/>
    <cellStyle name="Condition 2 2 3" xfId="5891" xr:uid="{00000000-0005-0000-0000-00007B1A0000}"/>
    <cellStyle name="Condition 2 2 3 2" xfId="10987" xr:uid="{00000000-0005-0000-0000-00007C1A0000}"/>
    <cellStyle name="Condition 2 2 3 2 2" xfId="15351" xr:uid="{00000000-0005-0000-0000-00007D1A0000}"/>
    <cellStyle name="Condition 2 2 3 2 3" xfId="16433" xr:uid="{00000000-0005-0000-0000-00007E1A0000}"/>
    <cellStyle name="Condition 2 2 3 2 4" xfId="17469" xr:uid="{00000000-0005-0000-0000-00007F1A0000}"/>
    <cellStyle name="Condition 2 2 3 2 5" xfId="18446" xr:uid="{00000000-0005-0000-0000-0000801A0000}"/>
    <cellStyle name="Condition 2 2 3 2 6" xfId="19366" xr:uid="{00000000-0005-0000-0000-0000811A0000}"/>
    <cellStyle name="Condition 2 2 3 3" xfId="11652" xr:uid="{00000000-0005-0000-0000-0000821A0000}"/>
    <cellStyle name="Condition 2 2 3 3 2" xfId="15958" xr:uid="{00000000-0005-0000-0000-0000831A0000}"/>
    <cellStyle name="Condition 2 2 3 3 3" xfId="17037" xr:uid="{00000000-0005-0000-0000-0000841A0000}"/>
    <cellStyle name="Condition 2 2 3 3 4" xfId="18060" xr:uid="{00000000-0005-0000-0000-0000851A0000}"/>
    <cellStyle name="Condition 2 2 3 3 5" xfId="19030" xr:uid="{00000000-0005-0000-0000-0000861A0000}"/>
    <cellStyle name="Condition 2 2 3 3 6" xfId="19936" xr:uid="{00000000-0005-0000-0000-0000871A0000}"/>
    <cellStyle name="Condition 2 2 3 4" xfId="11824" xr:uid="{00000000-0005-0000-0000-0000881A0000}"/>
    <cellStyle name="Condition 2 2 3 4 2" xfId="16130" xr:uid="{00000000-0005-0000-0000-0000891A0000}"/>
    <cellStyle name="Condition 2 2 3 4 3" xfId="17209" xr:uid="{00000000-0005-0000-0000-00008A1A0000}"/>
    <cellStyle name="Condition 2 2 3 4 4" xfId="18228" xr:uid="{00000000-0005-0000-0000-00008B1A0000}"/>
    <cellStyle name="Condition 2 2 3 4 5" xfId="19198" xr:uid="{00000000-0005-0000-0000-00008C1A0000}"/>
    <cellStyle name="Condition 2 2 3 4 6" xfId="20104" xr:uid="{00000000-0005-0000-0000-00008D1A0000}"/>
    <cellStyle name="Condition 2 2 3 5" xfId="13683" xr:uid="{00000000-0005-0000-0000-00008E1A0000}"/>
    <cellStyle name="Condition 2 2 3 6" xfId="13555" xr:uid="{00000000-0005-0000-0000-00008F1A0000}"/>
    <cellStyle name="Condition 2 2 3 7" xfId="15245" xr:uid="{00000000-0005-0000-0000-0000901A0000}"/>
    <cellStyle name="Condition 2 2 3 8" xfId="12680" xr:uid="{00000000-0005-0000-0000-0000911A0000}"/>
    <cellStyle name="Condition 2 2 3 9" xfId="13361" xr:uid="{00000000-0005-0000-0000-0000921A0000}"/>
    <cellStyle name="Condition 2 2 4" xfId="8599" xr:uid="{00000000-0005-0000-0000-0000931A0000}"/>
    <cellStyle name="Condition 2 2 4 2" xfId="14669" xr:uid="{00000000-0005-0000-0000-0000941A0000}"/>
    <cellStyle name="Condition 2 2 4 3" xfId="14074" xr:uid="{00000000-0005-0000-0000-0000951A0000}"/>
    <cellStyle name="Condition 2 2 4 4" xfId="14050" xr:uid="{00000000-0005-0000-0000-0000961A0000}"/>
    <cellStyle name="Condition 2 2 4 5" xfId="12066" xr:uid="{00000000-0005-0000-0000-0000971A0000}"/>
    <cellStyle name="Condition 2 2 4 6" xfId="16328" xr:uid="{00000000-0005-0000-0000-0000981A0000}"/>
    <cellStyle name="Condition 2 2 5" xfId="11463" xr:uid="{00000000-0005-0000-0000-0000991A0000}"/>
    <cellStyle name="Condition 2 2 5 2" xfId="15769" xr:uid="{00000000-0005-0000-0000-00009A1A0000}"/>
    <cellStyle name="Condition 2 2 5 3" xfId="16848" xr:uid="{00000000-0005-0000-0000-00009B1A0000}"/>
    <cellStyle name="Condition 2 2 5 4" xfId="17875" xr:uid="{00000000-0005-0000-0000-00009C1A0000}"/>
    <cellStyle name="Condition 2 2 5 5" xfId="18845" xr:uid="{00000000-0005-0000-0000-00009D1A0000}"/>
    <cellStyle name="Condition 2 2 5 6" xfId="19751" xr:uid="{00000000-0005-0000-0000-00009E1A0000}"/>
    <cellStyle name="Condition 2 2 6" xfId="11519" xr:uid="{00000000-0005-0000-0000-00009F1A0000}"/>
    <cellStyle name="Condition 2 2 6 2" xfId="15825" xr:uid="{00000000-0005-0000-0000-0000A01A0000}"/>
    <cellStyle name="Condition 2 2 6 3" xfId="16904" xr:uid="{00000000-0005-0000-0000-0000A11A0000}"/>
    <cellStyle name="Condition 2 2 6 4" xfId="17930" xr:uid="{00000000-0005-0000-0000-0000A21A0000}"/>
    <cellStyle name="Condition 2 2 6 5" xfId="18900" xr:uid="{00000000-0005-0000-0000-0000A31A0000}"/>
    <cellStyle name="Condition 2 2 6 6" xfId="19806" xr:uid="{00000000-0005-0000-0000-0000A41A0000}"/>
    <cellStyle name="Condition 2 2 7" xfId="12984" xr:uid="{00000000-0005-0000-0000-0000A51A0000}"/>
    <cellStyle name="Condition 2 2 8" xfId="14374" xr:uid="{00000000-0005-0000-0000-0000A61A0000}"/>
    <cellStyle name="Condition 2 2 9" xfId="15125" xr:uid="{00000000-0005-0000-0000-0000A71A0000}"/>
    <cellStyle name="Condition 2 3" xfId="4702" xr:uid="{00000000-0005-0000-0000-0000A81A0000}"/>
    <cellStyle name="Condition 2 3 2" xfId="9798" xr:uid="{00000000-0005-0000-0000-0000A91A0000}"/>
    <cellStyle name="Condition 2 3 2 2" xfId="15015" xr:uid="{00000000-0005-0000-0000-0000AA1A0000}"/>
    <cellStyle name="Condition 2 3 2 3" xfId="12283" xr:uid="{00000000-0005-0000-0000-0000AB1A0000}"/>
    <cellStyle name="Condition 2 3 2 4" xfId="12549" xr:uid="{00000000-0005-0000-0000-0000AC1A0000}"/>
    <cellStyle name="Condition 2 3 2 5" xfId="14737" xr:uid="{00000000-0005-0000-0000-0000AD1A0000}"/>
    <cellStyle name="Condition 2 3 2 6" xfId="12947" xr:uid="{00000000-0005-0000-0000-0000AE1A0000}"/>
    <cellStyle name="Condition 2 3 3" xfId="11563" xr:uid="{00000000-0005-0000-0000-0000AF1A0000}"/>
    <cellStyle name="Condition 2 3 3 2" xfId="15869" xr:uid="{00000000-0005-0000-0000-0000B01A0000}"/>
    <cellStyle name="Condition 2 3 3 3" xfId="16948" xr:uid="{00000000-0005-0000-0000-0000B11A0000}"/>
    <cellStyle name="Condition 2 3 3 4" xfId="17972" xr:uid="{00000000-0005-0000-0000-0000B21A0000}"/>
    <cellStyle name="Condition 2 3 3 5" xfId="18942" xr:uid="{00000000-0005-0000-0000-0000B31A0000}"/>
    <cellStyle name="Condition 2 3 3 6" xfId="19848" xr:uid="{00000000-0005-0000-0000-0000B41A0000}"/>
    <cellStyle name="Condition 2 3 4" xfId="11473" xr:uid="{00000000-0005-0000-0000-0000B51A0000}"/>
    <cellStyle name="Condition 2 3 4 2" xfId="15779" xr:uid="{00000000-0005-0000-0000-0000B61A0000}"/>
    <cellStyle name="Condition 2 3 4 3" xfId="16858" xr:uid="{00000000-0005-0000-0000-0000B71A0000}"/>
    <cellStyle name="Condition 2 3 4 4" xfId="17885" xr:uid="{00000000-0005-0000-0000-0000B81A0000}"/>
    <cellStyle name="Condition 2 3 4 5" xfId="18855" xr:uid="{00000000-0005-0000-0000-0000B91A0000}"/>
    <cellStyle name="Condition 2 3 4 6" xfId="19761" xr:uid="{00000000-0005-0000-0000-0000BA1A0000}"/>
    <cellStyle name="Condition 2 3 5" xfId="13340" xr:uid="{00000000-0005-0000-0000-0000BB1A0000}"/>
    <cellStyle name="Condition 2 3 6" xfId="13234" xr:uid="{00000000-0005-0000-0000-0000BC1A0000}"/>
    <cellStyle name="Condition 2 3 7" xfId="14182" xr:uid="{00000000-0005-0000-0000-0000BD1A0000}"/>
    <cellStyle name="Condition 2 3 8" xfId="15005" xr:uid="{00000000-0005-0000-0000-0000BE1A0000}"/>
    <cellStyle name="Condition 2 3 9" xfId="14540" xr:uid="{00000000-0005-0000-0000-0000BF1A0000}"/>
    <cellStyle name="Condition 3" xfId="2570" xr:uid="{00000000-0005-0000-0000-0000C01A0000}"/>
    <cellStyle name="Condition 3 10" xfId="13175" xr:uid="{00000000-0005-0000-0000-0000C11A0000}"/>
    <cellStyle name="Condition 3 2" xfId="6048" xr:uid="{00000000-0005-0000-0000-0000C21A0000}"/>
    <cellStyle name="Condition 3 2 2" xfId="11144" xr:uid="{00000000-0005-0000-0000-0000C31A0000}"/>
    <cellStyle name="Condition 3 2 2 2" xfId="15450" xr:uid="{00000000-0005-0000-0000-0000C41A0000}"/>
    <cellStyle name="Condition 3 2 2 3" xfId="16529" xr:uid="{00000000-0005-0000-0000-0000C51A0000}"/>
    <cellStyle name="Condition 3 2 2 4" xfId="17563" xr:uid="{00000000-0005-0000-0000-0000C61A0000}"/>
    <cellStyle name="Condition 3 2 2 5" xfId="18533" xr:uid="{00000000-0005-0000-0000-0000C71A0000}"/>
    <cellStyle name="Condition 3 2 2 6" xfId="19439" xr:uid="{00000000-0005-0000-0000-0000C81A0000}"/>
    <cellStyle name="Condition 3 2 3" xfId="11726" xr:uid="{00000000-0005-0000-0000-0000C91A0000}"/>
    <cellStyle name="Condition 3 2 3 2" xfId="16032" xr:uid="{00000000-0005-0000-0000-0000CA1A0000}"/>
    <cellStyle name="Condition 3 2 3 3" xfId="17111" xr:uid="{00000000-0005-0000-0000-0000CB1A0000}"/>
    <cellStyle name="Condition 3 2 3 4" xfId="18133" xr:uid="{00000000-0005-0000-0000-0000CC1A0000}"/>
    <cellStyle name="Condition 3 2 3 5" xfId="19103" xr:uid="{00000000-0005-0000-0000-0000CD1A0000}"/>
    <cellStyle name="Condition 3 2 3 6" xfId="20009" xr:uid="{00000000-0005-0000-0000-0000CE1A0000}"/>
    <cellStyle name="Condition 3 2 4" xfId="11898" xr:uid="{00000000-0005-0000-0000-0000CF1A0000}"/>
    <cellStyle name="Condition 3 2 4 2" xfId="16204" xr:uid="{00000000-0005-0000-0000-0000D01A0000}"/>
    <cellStyle name="Condition 3 2 4 3" xfId="17283" xr:uid="{00000000-0005-0000-0000-0000D11A0000}"/>
    <cellStyle name="Condition 3 2 4 4" xfId="18301" xr:uid="{00000000-0005-0000-0000-0000D21A0000}"/>
    <cellStyle name="Condition 3 2 4 5" xfId="19271" xr:uid="{00000000-0005-0000-0000-0000D31A0000}"/>
    <cellStyle name="Condition 3 2 4 6" xfId="20177" xr:uid="{00000000-0005-0000-0000-0000D41A0000}"/>
    <cellStyle name="Condition 3 2 5" xfId="13781" xr:uid="{00000000-0005-0000-0000-0000D51A0000}"/>
    <cellStyle name="Condition 3 2 6" xfId="14295" xr:uid="{00000000-0005-0000-0000-0000D61A0000}"/>
    <cellStyle name="Condition 3 2 7" xfId="15050" xr:uid="{00000000-0005-0000-0000-0000D71A0000}"/>
    <cellStyle name="Condition 3 2 8" xfId="15117" xr:uid="{00000000-0005-0000-0000-0000D81A0000}"/>
    <cellStyle name="Condition 3 2 9" xfId="14217" xr:uid="{00000000-0005-0000-0000-0000D91A0000}"/>
    <cellStyle name="Condition 3 3" xfId="7673" xr:uid="{00000000-0005-0000-0000-0000DA1A0000}"/>
    <cellStyle name="Condition 3 3 2" xfId="14389" xr:uid="{00000000-0005-0000-0000-0000DB1A0000}"/>
    <cellStyle name="Condition 3 3 3" xfId="12651" xr:uid="{00000000-0005-0000-0000-0000DC1A0000}"/>
    <cellStyle name="Condition 3 3 4" xfId="13288" xr:uid="{00000000-0005-0000-0000-0000DD1A0000}"/>
    <cellStyle name="Condition 3 3 5" xfId="15266" xr:uid="{00000000-0005-0000-0000-0000DE1A0000}"/>
    <cellStyle name="Condition 3 3 6" xfId="12633" xr:uid="{00000000-0005-0000-0000-0000DF1A0000}"/>
    <cellStyle name="Condition 3 4" xfId="11333" xr:uid="{00000000-0005-0000-0000-0000E01A0000}"/>
    <cellStyle name="Condition 3 4 2" xfId="15639" xr:uid="{00000000-0005-0000-0000-0000E11A0000}"/>
    <cellStyle name="Condition 3 4 3" xfId="16718" xr:uid="{00000000-0005-0000-0000-0000E21A0000}"/>
    <cellStyle name="Condition 3 4 4" xfId="17747" xr:uid="{00000000-0005-0000-0000-0000E31A0000}"/>
    <cellStyle name="Condition 3 4 5" xfId="18717" xr:uid="{00000000-0005-0000-0000-0000E41A0000}"/>
    <cellStyle name="Condition 3 4 6" xfId="19623" xr:uid="{00000000-0005-0000-0000-0000E51A0000}"/>
    <cellStyle name="Condition 3 5" xfId="11543" xr:uid="{00000000-0005-0000-0000-0000E61A0000}"/>
    <cellStyle name="Condition 3 5 2" xfId="15849" xr:uid="{00000000-0005-0000-0000-0000E71A0000}"/>
    <cellStyle name="Condition 3 5 3" xfId="16928" xr:uid="{00000000-0005-0000-0000-0000E81A0000}"/>
    <cellStyle name="Condition 3 5 4" xfId="17953" xr:uid="{00000000-0005-0000-0000-0000E91A0000}"/>
    <cellStyle name="Condition 3 5 5" xfId="18923" xr:uid="{00000000-0005-0000-0000-0000EA1A0000}"/>
    <cellStyle name="Condition 3 5 6" xfId="19829" xr:uid="{00000000-0005-0000-0000-0000EB1A0000}"/>
    <cellStyle name="Condition 3 6" xfId="12686" xr:uid="{00000000-0005-0000-0000-0000EC1A0000}"/>
    <cellStyle name="Condition 3 7" xfId="12929" xr:uid="{00000000-0005-0000-0000-0000ED1A0000}"/>
    <cellStyle name="Condition 3 8" xfId="13392" xr:uid="{00000000-0005-0000-0000-0000EE1A0000}"/>
    <cellStyle name="Condition 3 9" xfId="15094" xr:uid="{00000000-0005-0000-0000-0000EF1A0000}"/>
    <cellStyle name="Condition 4" xfId="6019" xr:uid="{00000000-0005-0000-0000-0000F01A0000}"/>
    <cellStyle name="Condition 4 2" xfId="11115" xr:uid="{00000000-0005-0000-0000-0000F11A0000}"/>
    <cellStyle name="Condition 4 2 2" xfId="15421" xr:uid="{00000000-0005-0000-0000-0000F21A0000}"/>
    <cellStyle name="Condition 4 2 3" xfId="16500" xr:uid="{00000000-0005-0000-0000-0000F31A0000}"/>
    <cellStyle name="Condition 4 2 4" xfId="17535" xr:uid="{00000000-0005-0000-0000-0000F41A0000}"/>
    <cellStyle name="Condition 4 2 5" xfId="18505" xr:uid="{00000000-0005-0000-0000-0000F51A0000}"/>
    <cellStyle name="Condition 4 2 6" xfId="19411" xr:uid="{00000000-0005-0000-0000-0000F61A0000}"/>
    <cellStyle name="Condition 4 3" xfId="11697" xr:uid="{00000000-0005-0000-0000-0000F71A0000}"/>
    <cellStyle name="Condition 4 3 2" xfId="16003" xr:uid="{00000000-0005-0000-0000-0000F81A0000}"/>
    <cellStyle name="Condition 4 3 3" xfId="17082" xr:uid="{00000000-0005-0000-0000-0000F91A0000}"/>
    <cellStyle name="Condition 4 3 4" xfId="18105" xr:uid="{00000000-0005-0000-0000-0000FA1A0000}"/>
    <cellStyle name="Condition 4 3 5" xfId="19075" xr:uid="{00000000-0005-0000-0000-0000FB1A0000}"/>
    <cellStyle name="Condition 4 3 6" xfId="19981" xr:uid="{00000000-0005-0000-0000-0000FC1A0000}"/>
    <cellStyle name="Condition 4 4" xfId="11869" xr:uid="{00000000-0005-0000-0000-0000FD1A0000}"/>
    <cellStyle name="Condition 4 4 2" xfId="16175" xr:uid="{00000000-0005-0000-0000-0000FE1A0000}"/>
    <cellStyle name="Condition 4 4 3" xfId="17254" xr:uid="{00000000-0005-0000-0000-0000FF1A0000}"/>
    <cellStyle name="Condition 4 4 4" xfId="18273" xr:uid="{00000000-0005-0000-0000-0000001B0000}"/>
    <cellStyle name="Condition 4 4 5" xfId="19243" xr:uid="{00000000-0005-0000-0000-0000011B0000}"/>
    <cellStyle name="Condition 4 4 6" xfId="20149" xr:uid="{00000000-0005-0000-0000-0000021B0000}"/>
    <cellStyle name="Condition 4 5" xfId="13752" xr:uid="{00000000-0005-0000-0000-0000031B0000}"/>
    <cellStyle name="Condition 4 6" xfId="14686" xr:uid="{00000000-0005-0000-0000-0000041B0000}"/>
    <cellStyle name="Condition 4 7" xfId="13413" xr:uid="{00000000-0005-0000-0000-0000051B0000}"/>
    <cellStyle name="Condition 4 8" xfId="15204" xr:uid="{00000000-0005-0000-0000-0000061B0000}"/>
    <cellStyle name="Condition 4 9" xfId="12271" xr:uid="{00000000-0005-0000-0000-0000071B0000}"/>
    <cellStyle name="Condition 5" xfId="6841" xr:uid="{00000000-0005-0000-0000-0000081B0000}"/>
    <cellStyle name="Condition 5 2" xfId="14155" xr:uid="{00000000-0005-0000-0000-0000091B0000}"/>
    <cellStyle name="Condition 5 3" xfId="15197" xr:uid="{00000000-0005-0000-0000-00000A1B0000}"/>
    <cellStyle name="Condition 5 4" xfId="16316" xr:uid="{00000000-0005-0000-0000-00000B1B0000}"/>
    <cellStyle name="Condition 5 5" xfId="13243" xr:uid="{00000000-0005-0000-0000-00000C1B0000}"/>
    <cellStyle name="Condition 5 6" xfId="14395" xr:uid="{00000000-0005-0000-0000-00000D1B0000}"/>
    <cellStyle name="Condition 6" xfId="11255" xr:uid="{00000000-0005-0000-0000-00000E1B0000}"/>
    <cellStyle name="Condition 6 2" xfId="15561" xr:uid="{00000000-0005-0000-0000-00000F1B0000}"/>
    <cellStyle name="Condition 6 3" xfId="16640" xr:uid="{00000000-0005-0000-0000-0000101B0000}"/>
    <cellStyle name="Condition 6 4" xfId="17672" xr:uid="{00000000-0005-0000-0000-0000111B0000}"/>
    <cellStyle name="Condition 6 5" xfId="18642" xr:uid="{00000000-0005-0000-0000-0000121B0000}"/>
    <cellStyle name="Condition 6 6" xfId="19548" xr:uid="{00000000-0005-0000-0000-0000131B0000}"/>
    <cellStyle name="Condition 7" xfId="11450" xr:uid="{00000000-0005-0000-0000-0000141B0000}"/>
    <cellStyle name="Condition 7 2" xfId="15756" xr:uid="{00000000-0005-0000-0000-0000151B0000}"/>
    <cellStyle name="Condition 7 3" xfId="16835" xr:uid="{00000000-0005-0000-0000-0000161B0000}"/>
    <cellStyle name="Condition 7 4" xfId="17863" xr:uid="{00000000-0005-0000-0000-0000171B0000}"/>
    <cellStyle name="Condition 7 5" xfId="18833" xr:uid="{00000000-0005-0000-0000-0000181B0000}"/>
    <cellStyle name="Condition 7 6" xfId="19739" xr:uid="{00000000-0005-0000-0000-0000191B0000}"/>
    <cellStyle name="Condition 8" xfId="12394" xr:uid="{00000000-0005-0000-0000-00001A1B0000}"/>
    <cellStyle name="Condition 9" xfId="12535" xr:uid="{00000000-0005-0000-0000-00001B1B0000}"/>
    <cellStyle name="Currency" xfId="2" builtinId="4"/>
    <cellStyle name="Currency 2" xfId="106" xr:uid="{00000000-0005-0000-0000-00001D1B0000}"/>
    <cellStyle name="Currency 3" xfId="344" xr:uid="{00000000-0005-0000-0000-00001E1B0000}"/>
    <cellStyle name="Currency 3 2" xfId="1551" xr:uid="{00000000-0005-0000-0000-00001F1B0000}"/>
    <cellStyle name="Currency 4" xfId="3601" xr:uid="{00000000-0005-0000-0000-0000201B0000}"/>
    <cellStyle name="Currency0" xfId="42" xr:uid="{00000000-0005-0000-0000-0000211B0000}"/>
    <cellStyle name="Currency0 2" xfId="1552" xr:uid="{00000000-0005-0000-0000-0000221B0000}"/>
    <cellStyle name="Currency2" xfId="1553" xr:uid="{00000000-0005-0000-0000-0000231B0000}"/>
    <cellStyle name="Date" xfId="43" xr:uid="{00000000-0005-0000-0000-0000241B0000}"/>
    <cellStyle name="Date 2" xfId="1554" xr:uid="{00000000-0005-0000-0000-0000251B0000}"/>
    <cellStyle name="Dezimal [0]_fee projec" xfId="1555" xr:uid="{00000000-0005-0000-0000-0000261B0000}"/>
    <cellStyle name="Dezimal_fee projec" xfId="1556" xr:uid="{00000000-0005-0000-0000-0000271B0000}"/>
    <cellStyle name="Error" xfId="1557" xr:uid="{00000000-0005-0000-0000-0000281B0000}"/>
    <cellStyle name="Errortest" xfId="1558" xr:uid="{00000000-0005-0000-0000-0000291B0000}"/>
    <cellStyle name="Explanatory Text" xfId="122" builtinId="53" customBuiltin="1"/>
    <cellStyle name="Explanatory Text 2" xfId="44" xr:uid="{00000000-0005-0000-0000-00002B1B0000}"/>
    <cellStyle name="Explanatory Text 2 2" xfId="842" xr:uid="{00000000-0005-0000-0000-00002C1B0000}"/>
    <cellStyle name="Explanatory Text 2 3" xfId="1559" xr:uid="{00000000-0005-0000-0000-00002D1B0000}"/>
    <cellStyle name="Explanatory Text 3" xfId="345" xr:uid="{00000000-0005-0000-0000-00002E1B0000}"/>
    <cellStyle name="Explanatory Text 3 2" xfId="843" xr:uid="{00000000-0005-0000-0000-00002F1B0000}"/>
    <cellStyle name="Explanatory Text 4" xfId="346" xr:uid="{00000000-0005-0000-0000-0000301B0000}"/>
    <cellStyle name="Explanatory Text 5" xfId="347" xr:uid="{00000000-0005-0000-0000-0000311B0000}"/>
    <cellStyle name="Explanatory Text 6" xfId="348" xr:uid="{00000000-0005-0000-0000-0000321B0000}"/>
    <cellStyle name="Explanatory Text 7" xfId="349" xr:uid="{00000000-0005-0000-0000-0000331B0000}"/>
    <cellStyle name="Explanatory Text 8" xfId="350" xr:uid="{00000000-0005-0000-0000-0000341B0000}"/>
    <cellStyle name="Explanatory Text 9" xfId="548" xr:uid="{00000000-0005-0000-0000-0000351B0000}"/>
    <cellStyle name="f" xfId="1560" xr:uid="{00000000-0005-0000-0000-0000361B0000}"/>
    <cellStyle name="f_vlookup" xfId="1561" xr:uid="{00000000-0005-0000-0000-0000371B0000}"/>
    <cellStyle name="File Input Cell" xfId="1562" xr:uid="{00000000-0005-0000-0000-0000381B0000}"/>
    <cellStyle name="Fixed" xfId="45" xr:uid="{00000000-0005-0000-0000-0000391B0000}"/>
    <cellStyle name="Fixed 2" xfId="1563" xr:uid="{00000000-0005-0000-0000-00003A1B0000}"/>
    <cellStyle name="Fixed Inputs from Catawba Contracts" xfId="1564" xr:uid="{00000000-0005-0000-0000-00003B1B0000}"/>
    <cellStyle name="Fixed Inputs from Catawba Contracts 10" xfId="13983" xr:uid="{00000000-0005-0000-0000-00003C1B0000}"/>
    <cellStyle name="Fixed Inputs from Catawba Contracts 11" xfId="13365" xr:uid="{00000000-0005-0000-0000-00003D1B0000}"/>
    <cellStyle name="Fixed Inputs from Catawba Contracts 12" xfId="13031" xr:uid="{00000000-0005-0000-0000-00003E1B0000}"/>
    <cellStyle name="Fixed Inputs from Catawba Contracts 2" xfId="2241" xr:uid="{00000000-0005-0000-0000-00003F1B0000}"/>
    <cellStyle name="Fixed Inputs from Catawba Contracts 2 10" xfId="12511" xr:uid="{00000000-0005-0000-0000-0000401B0000}"/>
    <cellStyle name="Fixed Inputs from Catawba Contracts 2 11" xfId="13277" xr:uid="{00000000-0005-0000-0000-0000411B0000}"/>
    <cellStyle name="Fixed Inputs from Catawba Contracts 2 2" xfId="2327" xr:uid="{00000000-0005-0000-0000-0000421B0000}"/>
    <cellStyle name="Fixed Inputs from Catawba Contracts 2 2 10" xfId="14270" xr:uid="{00000000-0005-0000-0000-0000431B0000}"/>
    <cellStyle name="Fixed Inputs from Catawba Contracts 2 2 2" xfId="6037" xr:uid="{00000000-0005-0000-0000-0000441B0000}"/>
    <cellStyle name="Fixed Inputs from Catawba Contracts 2 2 2 2" xfId="11133" xr:uid="{00000000-0005-0000-0000-0000451B0000}"/>
    <cellStyle name="Fixed Inputs from Catawba Contracts 2 2 2 2 2" xfId="15439" xr:uid="{00000000-0005-0000-0000-0000461B0000}"/>
    <cellStyle name="Fixed Inputs from Catawba Contracts 2 2 2 2 3" xfId="16518" xr:uid="{00000000-0005-0000-0000-0000471B0000}"/>
    <cellStyle name="Fixed Inputs from Catawba Contracts 2 2 2 2 4" xfId="17552" xr:uid="{00000000-0005-0000-0000-0000481B0000}"/>
    <cellStyle name="Fixed Inputs from Catawba Contracts 2 2 2 2 5" xfId="18522" xr:uid="{00000000-0005-0000-0000-0000491B0000}"/>
    <cellStyle name="Fixed Inputs from Catawba Contracts 2 2 2 2 6" xfId="19428" xr:uid="{00000000-0005-0000-0000-00004A1B0000}"/>
    <cellStyle name="Fixed Inputs from Catawba Contracts 2 2 2 3" xfId="11715" xr:uid="{00000000-0005-0000-0000-00004B1B0000}"/>
    <cellStyle name="Fixed Inputs from Catawba Contracts 2 2 2 3 2" xfId="16021" xr:uid="{00000000-0005-0000-0000-00004C1B0000}"/>
    <cellStyle name="Fixed Inputs from Catawba Contracts 2 2 2 3 3" xfId="17100" xr:uid="{00000000-0005-0000-0000-00004D1B0000}"/>
    <cellStyle name="Fixed Inputs from Catawba Contracts 2 2 2 3 4" xfId="18122" xr:uid="{00000000-0005-0000-0000-00004E1B0000}"/>
    <cellStyle name="Fixed Inputs from Catawba Contracts 2 2 2 3 5" xfId="19092" xr:uid="{00000000-0005-0000-0000-00004F1B0000}"/>
    <cellStyle name="Fixed Inputs from Catawba Contracts 2 2 2 3 6" xfId="19998" xr:uid="{00000000-0005-0000-0000-0000501B0000}"/>
    <cellStyle name="Fixed Inputs from Catawba Contracts 2 2 2 4" xfId="11887" xr:uid="{00000000-0005-0000-0000-0000511B0000}"/>
    <cellStyle name="Fixed Inputs from Catawba Contracts 2 2 2 4 2" xfId="16193" xr:uid="{00000000-0005-0000-0000-0000521B0000}"/>
    <cellStyle name="Fixed Inputs from Catawba Contracts 2 2 2 4 3" xfId="17272" xr:uid="{00000000-0005-0000-0000-0000531B0000}"/>
    <cellStyle name="Fixed Inputs from Catawba Contracts 2 2 2 4 4" xfId="18290" xr:uid="{00000000-0005-0000-0000-0000541B0000}"/>
    <cellStyle name="Fixed Inputs from Catawba Contracts 2 2 2 4 5" xfId="19260" xr:uid="{00000000-0005-0000-0000-0000551B0000}"/>
    <cellStyle name="Fixed Inputs from Catawba Contracts 2 2 2 4 6" xfId="20166" xr:uid="{00000000-0005-0000-0000-0000561B0000}"/>
    <cellStyle name="Fixed Inputs from Catawba Contracts 2 2 2 5" xfId="13770" xr:uid="{00000000-0005-0000-0000-0000571B0000}"/>
    <cellStyle name="Fixed Inputs from Catawba Contracts 2 2 2 6" xfId="13687" xr:uid="{00000000-0005-0000-0000-0000581B0000}"/>
    <cellStyle name="Fixed Inputs from Catawba Contracts 2 2 2 7" xfId="15239" xr:uid="{00000000-0005-0000-0000-0000591B0000}"/>
    <cellStyle name="Fixed Inputs from Catawba Contracts 2 2 2 8" xfId="12607" xr:uid="{00000000-0005-0000-0000-00005A1B0000}"/>
    <cellStyle name="Fixed Inputs from Catawba Contracts 2 2 2 9" xfId="15043" xr:uid="{00000000-0005-0000-0000-00005B1B0000}"/>
    <cellStyle name="Fixed Inputs from Catawba Contracts 2 2 3" xfId="7436" xr:uid="{00000000-0005-0000-0000-00005C1B0000}"/>
    <cellStyle name="Fixed Inputs from Catawba Contracts 2 2 3 2" xfId="14312" xr:uid="{00000000-0005-0000-0000-00005D1B0000}"/>
    <cellStyle name="Fixed Inputs from Catawba Contracts 2 2 3 3" xfId="12696" xr:uid="{00000000-0005-0000-0000-00005E1B0000}"/>
    <cellStyle name="Fixed Inputs from Catawba Contracts 2 2 3 4" xfId="13637" xr:uid="{00000000-0005-0000-0000-00005F1B0000}"/>
    <cellStyle name="Fixed Inputs from Catawba Contracts 2 2 3 5" xfId="15279" xr:uid="{00000000-0005-0000-0000-0000601B0000}"/>
    <cellStyle name="Fixed Inputs from Catawba Contracts 2 2 3 6" xfId="14839" xr:uid="{00000000-0005-0000-0000-0000611B0000}"/>
    <cellStyle name="Fixed Inputs from Catawba Contracts 2 2 4" xfId="11318" xr:uid="{00000000-0005-0000-0000-0000621B0000}"/>
    <cellStyle name="Fixed Inputs from Catawba Contracts 2 2 4 2" xfId="15624" xr:uid="{00000000-0005-0000-0000-0000631B0000}"/>
    <cellStyle name="Fixed Inputs from Catawba Contracts 2 2 4 3" xfId="16703" xr:uid="{00000000-0005-0000-0000-0000641B0000}"/>
    <cellStyle name="Fixed Inputs from Catawba Contracts 2 2 4 4" xfId="17732" xr:uid="{00000000-0005-0000-0000-0000651B0000}"/>
    <cellStyle name="Fixed Inputs from Catawba Contracts 2 2 4 5" xfId="18702" xr:uid="{00000000-0005-0000-0000-0000661B0000}"/>
    <cellStyle name="Fixed Inputs from Catawba Contracts 2 2 4 6" xfId="19608" xr:uid="{00000000-0005-0000-0000-0000671B0000}"/>
    <cellStyle name="Fixed Inputs from Catawba Contracts 2 2 5" xfId="11637" xr:uid="{00000000-0005-0000-0000-0000681B0000}"/>
    <cellStyle name="Fixed Inputs from Catawba Contracts 2 2 5 2" xfId="15943" xr:uid="{00000000-0005-0000-0000-0000691B0000}"/>
    <cellStyle name="Fixed Inputs from Catawba Contracts 2 2 5 3" xfId="17022" xr:uid="{00000000-0005-0000-0000-00006A1B0000}"/>
    <cellStyle name="Fixed Inputs from Catawba Contracts 2 2 5 4" xfId="18046" xr:uid="{00000000-0005-0000-0000-00006B1B0000}"/>
    <cellStyle name="Fixed Inputs from Catawba Contracts 2 2 5 5" xfId="19016" xr:uid="{00000000-0005-0000-0000-00006C1B0000}"/>
    <cellStyle name="Fixed Inputs from Catawba Contracts 2 2 5 6" xfId="19922" xr:uid="{00000000-0005-0000-0000-00006D1B0000}"/>
    <cellStyle name="Fixed Inputs from Catawba Contracts 2 2 6" xfId="12608" xr:uid="{00000000-0005-0000-0000-00006E1B0000}"/>
    <cellStyle name="Fixed Inputs from Catawba Contracts 2 2 7" xfId="13295" xr:uid="{00000000-0005-0000-0000-00006F1B0000}"/>
    <cellStyle name="Fixed Inputs from Catawba Contracts 2 2 8" xfId="13237" xr:uid="{00000000-0005-0000-0000-0000701B0000}"/>
    <cellStyle name="Fixed Inputs from Catawba Contracts 2 2 9" xfId="13216" xr:uid="{00000000-0005-0000-0000-0000711B0000}"/>
    <cellStyle name="Fixed Inputs from Catawba Contracts 2 3" xfId="6035" xr:uid="{00000000-0005-0000-0000-0000721B0000}"/>
    <cellStyle name="Fixed Inputs from Catawba Contracts 2 3 2" xfId="11131" xr:uid="{00000000-0005-0000-0000-0000731B0000}"/>
    <cellStyle name="Fixed Inputs from Catawba Contracts 2 3 2 2" xfId="15437" xr:uid="{00000000-0005-0000-0000-0000741B0000}"/>
    <cellStyle name="Fixed Inputs from Catawba Contracts 2 3 2 3" xfId="16516" xr:uid="{00000000-0005-0000-0000-0000751B0000}"/>
    <cellStyle name="Fixed Inputs from Catawba Contracts 2 3 2 4" xfId="17550" xr:uid="{00000000-0005-0000-0000-0000761B0000}"/>
    <cellStyle name="Fixed Inputs from Catawba Contracts 2 3 2 5" xfId="18520" xr:uid="{00000000-0005-0000-0000-0000771B0000}"/>
    <cellStyle name="Fixed Inputs from Catawba Contracts 2 3 2 6" xfId="19426" xr:uid="{00000000-0005-0000-0000-0000781B0000}"/>
    <cellStyle name="Fixed Inputs from Catawba Contracts 2 3 3" xfId="11713" xr:uid="{00000000-0005-0000-0000-0000791B0000}"/>
    <cellStyle name="Fixed Inputs from Catawba Contracts 2 3 3 2" xfId="16019" xr:uid="{00000000-0005-0000-0000-00007A1B0000}"/>
    <cellStyle name="Fixed Inputs from Catawba Contracts 2 3 3 3" xfId="17098" xr:uid="{00000000-0005-0000-0000-00007B1B0000}"/>
    <cellStyle name="Fixed Inputs from Catawba Contracts 2 3 3 4" xfId="18120" xr:uid="{00000000-0005-0000-0000-00007C1B0000}"/>
    <cellStyle name="Fixed Inputs from Catawba Contracts 2 3 3 5" xfId="19090" xr:uid="{00000000-0005-0000-0000-00007D1B0000}"/>
    <cellStyle name="Fixed Inputs from Catawba Contracts 2 3 3 6" xfId="19996" xr:uid="{00000000-0005-0000-0000-00007E1B0000}"/>
    <cellStyle name="Fixed Inputs from Catawba Contracts 2 3 4" xfId="11885" xr:uid="{00000000-0005-0000-0000-00007F1B0000}"/>
    <cellStyle name="Fixed Inputs from Catawba Contracts 2 3 4 2" xfId="16191" xr:uid="{00000000-0005-0000-0000-0000801B0000}"/>
    <cellStyle name="Fixed Inputs from Catawba Contracts 2 3 4 3" xfId="17270" xr:uid="{00000000-0005-0000-0000-0000811B0000}"/>
    <cellStyle name="Fixed Inputs from Catawba Contracts 2 3 4 4" xfId="18288" xr:uid="{00000000-0005-0000-0000-0000821B0000}"/>
    <cellStyle name="Fixed Inputs from Catawba Contracts 2 3 4 5" xfId="19258" xr:uid="{00000000-0005-0000-0000-0000831B0000}"/>
    <cellStyle name="Fixed Inputs from Catawba Contracts 2 3 4 6" xfId="20164" xr:uid="{00000000-0005-0000-0000-0000841B0000}"/>
    <cellStyle name="Fixed Inputs from Catawba Contracts 2 3 5" xfId="13768" xr:uid="{00000000-0005-0000-0000-0000851B0000}"/>
    <cellStyle name="Fixed Inputs from Catawba Contracts 2 3 6" xfId="14672" xr:uid="{00000000-0005-0000-0000-0000861B0000}"/>
    <cellStyle name="Fixed Inputs from Catawba Contracts 2 3 7" xfId="12804" xr:uid="{00000000-0005-0000-0000-0000871B0000}"/>
    <cellStyle name="Fixed Inputs from Catawba Contracts 2 3 8" xfId="12419" xr:uid="{00000000-0005-0000-0000-0000881B0000}"/>
    <cellStyle name="Fixed Inputs from Catawba Contracts 2 3 9" xfId="12927" xr:uid="{00000000-0005-0000-0000-0000891B0000}"/>
    <cellStyle name="Fixed Inputs from Catawba Contracts 2 4" xfId="7351" xr:uid="{00000000-0005-0000-0000-00008A1B0000}"/>
    <cellStyle name="Fixed Inputs from Catawba Contracts 2 4 2" xfId="14283" xr:uid="{00000000-0005-0000-0000-00008B1B0000}"/>
    <cellStyle name="Fixed Inputs from Catawba Contracts 2 4 3" xfId="13098" xr:uid="{00000000-0005-0000-0000-00008C1B0000}"/>
    <cellStyle name="Fixed Inputs from Catawba Contracts 2 4 4" xfId="14950" xr:uid="{00000000-0005-0000-0000-00008D1B0000}"/>
    <cellStyle name="Fixed Inputs from Catawba Contracts 2 4 5" xfId="15112" xr:uid="{00000000-0005-0000-0000-00008E1B0000}"/>
    <cellStyle name="Fixed Inputs from Catawba Contracts 2 4 6" xfId="13698" xr:uid="{00000000-0005-0000-0000-00008F1B0000}"/>
    <cellStyle name="Fixed Inputs from Catawba Contracts 2 5" xfId="11316" xr:uid="{00000000-0005-0000-0000-0000901B0000}"/>
    <cellStyle name="Fixed Inputs from Catawba Contracts 2 5 2" xfId="15622" xr:uid="{00000000-0005-0000-0000-0000911B0000}"/>
    <cellStyle name="Fixed Inputs from Catawba Contracts 2 5 3" xfId="16701" xr:uid="{00000000-0005-0000-0000-0000921B0000}"/>
    <cellStyle name="Fixed Inputs from Catawba Contracts 2 5 4" xfId="17730" xr:uid="{00000000-0005-0000-0000-0000931B0000}"/>
    <cellStyle name="Fixed Inputs from Catawba Contracts 2 5 5" xfId="18700" xr:uid="{00000000-0005-0000-0000-0000941B0000}"/>
    <cellStyle name="Fixed Inputs from Catawba Contracts 2 5 6" xfId="19606" xr:uid="{00000000-0005-0000-0000-0000951B0000}"/>
    <cellStyle name="Fixed Inputs from Catawba Contracts 2 6" xfId="11546" xr:uid="{00000000-0005-0000-0000-0000961B0000}"/>
    <cellStyle name="Fixed Inputs from Catawba Contracts 2 6 2" xfId="15852" xr:uid="{00000000-0005-0000-0000-0000971B0000}"/>
    <cellStyle name="Fixed Inputs from Catawba Contracts 2 6 3" xfId="16931" xr:uid="{00000000-0005-0000-0000-0000981B0000}"/>
    <cellStyle name="Fixed Inputs from Catawba Contracts 2 6 4" xfId="17956" xr:uid="{00000000-0005-0000-0000-0000991B0000}"/>
    <cellStyle name="Fixed Inputs from Catawba Contracts 2 6 5" xfId="18926" xr:uid="{00000000-0005-0000-0000-00009A1B0000}"/>
    <cellStyle name="Fixed Inputs from Catawba Contracts 2 6 6" xfId="19832" xr:uid="{00000000-0005-0000-0000-00009B1B0000}"/>
    <cellStyle name="Fixed Inputs from Catawba Contracts 2 7" xfId="12581" xr:uid="{00000000-0005-0000-0000-00009C1B0000}"/>
    <cellStyle name="Fixed Inputs from Catawba Contracts 2 8" xfId="12102" xr:uid="{00000000-0005-0000-0000-00009D1B0000}"/>
    <cellStyle name="Fixed Inputs from Catawba Contracts 2 9" xfId="14678" xr:uid="{00000000-0005-0000-0000-00009E1B0000}"/>
    <cellStyle name="Fixed Inputs from Catawba Contracts 3" xfId="2334" xr:uid="{00000000-0005-0000-0000-00009F1B0000}"/>
    <cellStyle name="Fixed Inputs from Catawba Contracts 3 10" xfId="1144" xr:uid="{00000000-0005-0000-0000-0000A01B0000}"/>
    <cellStyle name="Fixed Inputs from Catawba Contracts 3 2" xfId="6043" xr:uid="{00000000-0005-0000-0000-0000A11B0000}"/>
    <cellStyle name="Fixed Inputs from Catawba Contracts 3 2 2" xfId="11139" xr:uid="{00000000-0005-0000-0000-0000A21B0000}"/>
    <cellStyle name="Fixed Inputs from Catawba Contracts 3 2 2 2" xfId="15445" xr:uid="{00000000-0005-0000-0000-0000A31B0000}"/>
    <cellStyle name="Fixed Inputs from Catawba Contracts 3 2 2 3" xfId="16524" xr:uid="{00000000-0005-0000-0000-0000A41B0000}"/>
    <cellStyle name="Fixed Inputs from Catawba Contracts 3 2 2 4" xfId="17558" xr:uid="{00000000-0005-0000-0000-0000A51B0000}"/>
    <cellStyle name="Fixed Inputs from Catawba Contracts 3 2 2 5" xfId="18528" xr:uid="{00000000-0005-0000-0000-0000A61B0000}"/>
    <cellStyle name="Fixed Inputs from Catawba Contracts 3 2 2 6" xfId="19434" xr:uid="{00000000-0005-0000-0000-0000A71B0000}"/>
    <cellStyle name="Fixed Inputs from Catawba Contracts 3 2 3" xfId="11721" xr:uid="{00000000-0005-0000-0000-0000A81B0000}"/>
    <cellStyle name="Fixed Inputs from Catawba Contracts 3 2 3 2" xfId="16027" xr:uid="{00000000-0005-0000-0000-0000A91B0000}"/>
    <cellStyle name="Fixed Inputs from Catawba Contracts 3 2 3 3" xfId="17106" xr:uid="{00000000-0005-0000-0000-0000AA1B0000}"/>
    <cellStyle name="Fixed Inputs from Catawba Contracts 3 2 3 4" xfId="18128" xr:uid="{00000000-0005-0000-0000-0000AB1B0000}"/>
    <cellStyle name="Fixed Inputs from Catawba Contracts 3 2 3 5" xfId="19098" xr:uid="{00000000-0005-0000-0000-0000AC1B0000}"/>
    <cellStyle name="Fixed Inputs from Catawba Contracts 3 2 3 6" xfId="20004" xr:uid="{00000000-0005-0000-0000-0000AD1B0000}"/>
    <cellStyle name="Fixed Inputs from Catawba Contracts 3 2 4" xfId="11893" xr:uid="{00000000-0005-0000-0000-0000AE1B0000}"/>
    <cellStyle name="Fixed Inputs from Catawba Contracts 3 2 4 2" xfId="16199" xr:uid="{00000000-0005-0000-0000-0000AF1B0000}"/>
    <cellStyle name="Fixed Inputs from Catawba Contracts 3 2 4 3" xfId="17278" xr:uid="{00000000-0005-0000-0000-0000B01B0000}"/>
    <cellStyle name="Fixed Inputs from Catawba Contracts 3 2 4 4" xfId="18296" xr:uid="{00000000-0005-0000-0000-0000B11B0000}"/>
    <cellStyle name="Fixed Inputs from Catawba Contracts 3 2 4 5" xfId="19266" xr:uid="{00000000-0005-0000-0000-0000B21B0000}"/>
    <cellStyle name="Fixed Inputs from Catawba Contracts 3 2 4 6" xfId="20172" xr:uid="{00000000-0005-0000-0000-0000B31B0000}"/>
    <cellStyle name="Fixed Inputs from Catawba Contracts 3 2 5" xfId="13776" xr:uid="{00000000-0005-0000-0000-0000B41B0000}"/>
    <cellStyle name="Fixed Inputs from Catawba Contracts 3 2 6" xfId="14674" xr:uid="{00000000-0005-0000-0000-0000B51B0000}"/>
    <cellStyle name="Fixed Inputs from Catawba Contracts 3 2 7" xfId="14845" xr:uid="{00000000-0005-0000-0000-0000B61B0000}"/>
    <cellStyle name="Fixed Inputs from Catawba Contracts 3 2 8" xfId="14362" xr:uid="{00000000-0005-0000-0000-0000B71B0000}"/>
    <cellStyle name="Fixed Inputs from Catawba Contracts 3 2 9" xfId="17421" xr:uid="{00000000-0005-0000-0000-0000B81B0000}"/>
    <cellStyle name="Fixed Inputs from Catawba Contracts 3 3" xfId="7443" xr:uid="{00000000-0005-0000-0000-0000B91B0000}"/>
    <cellStyle name="Fixed Inputs from Catawba Contracts 3 3 2" xfId="14318" xr:uid="{00000000-0005-0000-0000-0000BA1B0000}"/>
    <cellStyle name="Fixed Inputs from Catawba Contracts 3 3 3" xfId="12819" xr:uid="{00000000-0005-0000-0000-0000BB1B0000}"/>
    <cellStyle name="Fixed Inputs from Catawba Contracts 3 3 4" xfId="12056" xr:uid="{00000000-0005-0000-0000-0000BC1B0000}"/>
    <cellStyle name="Fixed Inputs from Catawba Contracts 3 3 5" xfId="14514" xr:uid="{00000000-0005-0000-0000-0000BD1B0000}"/>
    <cellStyle name="Fixed Inputs from Catawba Contracts 3 3 6" xfId="17460" xr:uid="{00000000-0005-0000-0000-0000BE1B0000}"/>
    <cellStyle name="Fixed Inputs from Catawba Contracts 3 4" xfId="11324" xr:uid="{00000000-0005-0000-0000-0000BF1B0000}"/>
    <cellStyle name="Fixed Inputs from Catawba Contracts 3 4 2" xfId="15630" xr:uid="{00000000-0005-0000-0000-0000C01B0000}"/>
    <cellStyle name="Fixed Inputs from Catawba Contracts 3 4 3" xfId="16709" xr:uid="{00000000-0005-0000-0000-0000C11B0000}"/>
    <cellStyle name="Fixed Inputs from Catawba Contracts 3 4 4" xfId="17738" xr:uid="{00000000-0005-0000-0000-0000C21B0000}"/>
    <cellStyle name="Fixed Inputs from Catawba Contracts 3 4 5" xfId="18708" xr:uid="{00000000-0005-0000-0000-0000C31B0000}"/>
    <cellStyle name="Fixed Inputs from Catawba Contracts 3 4 6" xfId="19614" xr:uid="{00000000-0005-0000-0000-0000C41B0000}"/>
    <cellStyle name="Fixed Inputs from Catawba Contracts 3 5" xfId="11544" xr:uid="{00000000-0005-0000-0000-0000C51B0000}"/>
    <cellStyle name="Fixed Inputs from Catawba Contracts 3 5 2" xfId="15850" xr:uid="{00000000-0005-0000-0000-0000C61B0000}"/>
    <cellStyle name="Fixed Inputs from Catawba Contracts 3 5 3" xfId="16929" xr:uid="{00000000-0005-0000-0000-0000C71B0000}"/>
    <cellStyle name="Fixed Inputs from Catawba Contracts 3 5 4" xfId="17954" xr:uid="{00000000-0005-0000-0000-0000C81B0000}"/>
    <cellStyle name="Fixed Inputs from Catawba Contracts 3 5 5" xfId="18924" xr:uid="{00000000-0005-0000-0000-0000C91B0000}"/>
    <cellStyle name="Fixed Inputs from Catawba Contracts 3 5 6" xfId="19830" xr:uid="{00000000-0005-0000-0000-0000CA1B0000}"/>
    <cellStyle name="Fixed Inputs from Catawba Contracts 3 6" xfId="12615" xr:uid="{00000000-0005-0000-0000-0000CB1B0000}"/>
    <cellStyle name="Fixed Inputs from Catawba Contracts 3 7" xfId="14978" xr:uid="{00000000-0005-0000-0000-0000CC1B0000}"/>
    <cellStyle name="Fixed Inputs from Catawba Contracts 3 8" xfId="13493" xr:uid="{00000000-0005-0000-0000-0000CD1B0000}"/>
    <cellStyle name="Fixed Inputs from Catawba Contracts 3 9" xfId="17453" xr:uid="{00000000-0005-0000-0000-0000CE1B0000}"/>
    <cellStyle name="Fixed Inputs from Catawba Contracts 4" xfId="6020" xr:uid="{00000000-0005-0000-0000-0000CF1B0000}"/>
    <cellStyle name="Fixed Inputs from Catawba Contracts 4 2" xfId="11116" xr:uid="{00000000-0005-0000-0000-0000D01B0000}"/>
    <cellStyle name="Fixed Inputs from Catawba Contracts 4 2 2" xfId="15422" xr:uid="{00000000-0005-0000-0000-0000D11B0000}"/>
    <cellStyle name="Fixed Inputs from Catawba Contracts 4 2 3" xfId="16501" xr:uid="{00000000-0005-0000-0000-0000D21B0000}"/>
    <cellStyle name="Fixed Inputs from Catawba Contracts 4 2 4" xfId="17536" xr:uid="{00000000-0005-0000-0000-0000D31B0000}"/>
    <cellStyle name="Fixed Inputs from Catawba Contracts 4 2 5" xfId="18506" xr:uid="{00000000-0005-0000-0000-0000D41B0000}"/>
    <cellStyle name="Fixed Inputs from Catawba Contracts 4 2 6" xfId="19412" xr:uid="{00000000-0005-0000-0000-0000D51B0000}"/>
    <cellStyle name="Fixed Inputs from Catawba Contracts 4 3" xfId="11698" xr:uid="{00000000-0005-0000-0000-0000D61B0000}"/>
    <cellStyle name="Fixed Inputs from Catawba Contracts 4 3 2" xfId="16004" xr:uid="{00000000-0005-0000-0000-0000D71B0000}"/>
    <cellStyle name="Fixed Inputs from Catawba Contracts 4 3 3" xfId="17083" xr:uid="{00000000-0005-0000-0000-0000D81B0000}"/>
    <cellStyle name="Fixed Inputs from Catawba Contracts 4 3 4" xfId="18106" xr:uid="{00000000-0005-0000-0000-0000D91B0000}"/>
    <cellStyle name="Fixed Inputs from Catawba Contracts 4 3 5" xfId="19076" xr:uid="{00000000-0005-0000-0000-0000DA1B0000}"/>
    <cellStyle name="Fixed Inputs from Catawba Contracts 4 3 6" xfId="19982" xr:uid="{00000000-0005-0000-0000-0000DB1B0000}"/>
    <cellStyle name="Fixed Inputs from Catawba Contracts 4 4" xfId="11870" xr:uid="{00000000-0005-0000-0000-0000DC1B0000}"/>
    <cellStyle name="Fixed Inputs from Catawba Contracts 4 4 2" xfId="16176" xr:uid="{00000000-0005-0000-0000-0000DD1B0000}"/>
    <cellStyle name="Fixed Inputs from Catawba Contracts 4 4 3" xfId="17255" xr:uid="{00000000-0005-0000-0000-0000DE1B0000}"/>
    <cellStyle name="Fixed Inputs from Catawba Contracts 4 4 4" xfId="18274" xr:uid="{00000000-0005-0000-0000-0000DF1B0000}"/>
    <cellStyle name="Fixed Inputs from Catawba Contracts 4 4 5" xfId="19244" xr:uid="{00000000-0005-0000-0000-0000E01B0000}"/>
    <cellStyle name="Fixed Inputs from Catawba Contracts 4 4 6" xfId="20150" xr:uid="{00000000-0005-0000-0000-0000E11B0000}"/>
    <cellStyle name="Fixed Inputs from Catawba Contracts 4 5" xfId="13753" xr:uid="{00000000-0005-0000-0000-0000E21B0000}"/>
    <cellStyle name="Fixed Inputs from Catawba Contracts 4 6" xfId="15368" xr:uid="{00000000-0005-0000-0000-0000E31B0000}"/>
    <cellStyle name="Fixed Inputs from Catawba Contracts 4 7" xfId="16447" xr:uid="{00000000-0005-0000-0000-0000E41B0000}"/>
    <cellStyle name="Fixed Inputs from Catawba Contracts 4 8" xfId="12996" xr:uid="{00000000-0005-0000-0000-0000E51B0000}"/>
    <cellStyle name="Fixed Inputs from Catawba Contracts 4 9" xfId="12699" xr:uid="{00000000-0005-0000-0000-0000E61B0000}"/>
    <cellStyle name="Fixed Inputs from Catawba Contracts 5" xfId="6843" xr:uid="{00000000-0005-0000-0000-0000E71B0000}"/>
    <cellStyle name="Fixed Inputs from Catawba Contracts 5 2" xfId="14157" xr:uid="{00000000-0005-0000-0000-0000E81B0000}"/>
    <cellStyle name="Fixed Inputs from Catawba Contracts 5 3" xfId="12824" xr:uid="{00000000-0005-0000-0000-0000E91B0000}"/>
    <cellStyle name="Fixed Inputs from Catawba Contracts 5 4" xfId="12037" xr:uid="{00000000-0005-0000-0000-0000EA1B0000}"/>
    <cellStyle name="Fixed Inputs from Catawba Contracts 5 5" xfId="17391" xr:uid="{00000000-0005-0000-0000-0000EB1B0000}"/>
    <cellStyle name="Fixed Inputs from Catawba Contracts 5 6" xfId="12018" xr:uid="{00000000-0005-0000-0000-0000EC1B0000}"/>
    <cellStyle name="Fixed Inputs from Catawba Contracts 6" xfId="11256" xr:uid="{00000000-0005-0000-0000-0000ED1B0000}"/>
    <cellStyle name="Fixed Inputs from Catawba Contracts 6 2" xfId="15562" xr:uid="{00000000-0005-0000-0000-0000EE1B0000}"/>
    <cellStyle name="Fixed Inputs from Catawba Contracts 6 3" xfId="16641" xr:uid="{00000000-0005-0000-0000-0000EF1B0000}"/>
    <cellStyle name="Fixed Inputs from Catawba Contracts 6 4" xfId="17673" xr:uid="{00000000-0005-0000-0000-0000F01B0000}"/>
    <cellStyle name="Fixed Inputs from Catawba Contracts 6 5" xfId="18643" xr:uid="{00000000-0005-0000-0000-0000F11B0000}"/>
    <cellStyle name="Fixed Inputs from Catawba Contracts 6 6" xfId="19549" xr:uid="{00000000-0005-0000-0000-0000F21B0000}"/>
    <cellStyle name="Fixed Inputs from Catawba Contracts 7" xfId="11329" xr:uid="{00000000-0005-0000-0000-0000F31B0000}"/>
    <cellStyle name="Fixed Inputs from Catawba Contracts 7 2" xfId="15635" xr:uid="{00000000-0005-0000-0000-0000F41B0000}"/>
    <cellStyle name="Fixed Inputs from Catawba Contracts 7 3" xfId="16714" xr:uid="{00000000-0005-0000-0000-0000F51B0000}"/>
    <cellStyle name="Fixed Inputs from Catawba Contracts 7 4" xfId="17743" xr:uid="{00000000-0005-0000-0000-0000F61B0000}"/>
    <cellStyle name="Fixed Inputs from Catawba Contracts 7 5" xfId="18713" xr:uid="{00000000-0005-0000-0000-0000F71B0000}"/>
    <cellStyle name="Fixed Inputs from Catawba Contracts 7 6" xfId="19619" xr:uid="{00000000-0005-0000-0000-0000F81B0000}"/>
    <cellStyle name="Fixed Inputs from Catawba Contracts 8" xfId="12398" xr:uid="{00000000-0005-0000-0000-0000F91B0000}"/>
    <cellStyle name="Fixed Inputs from Catawba Contracts 9" xfId="14642" xr:uid="{00000000-0005-0000-0000-0000FA1B0000}"/>
    <cellStyle name="Good" xfId="113" builtinId="26" customBuiltin="1"/>
    <cellStyle name="Good 2" xfId="46" xr:uid="{00000000-0005-0000-0000-0000FC1B0000}"/>
    <cellStyle name="Good 2 2" xfId="844" xr:uid="{00000000-0005-0000-0000-0000FD1B0000}"/>
    <cellStyle name="Good 2 3" xfId="1565" xr:uid="{00000000-0005-0000-0000-0000FE1B0000}"/>
    <cellStyle name="Good 3" xfId="351" xr:uid="{00000000-0005-0000-0000-0000FF1B0000}"/>
    <cellStyle name="Good 3 2" xfId="845" xr:uid="{00000000-0005-0000-0000-0000001C0000}"/>
    <cellStyle name="Good 4" xfId="352" xr:uid="{00000000-0005-0000-0000-0000011C0000}"/>
    <cellStyle name="Good 5" xfId="353" xr:uid="{00000000-0005-0000-0000-0000021C0000}"/>
    <cellStyle name="Good 6" xfId="354" xr:uid="{00000000-0005-0000-0000-0000031C0000}"/>
    <cellStyle name="Good 7" xfId="355" xr:uid="{00000000-0005-0000-0000-0000041C0000}"/>
    <cellStyle name="Good 8" xfId="356" xr:uid="{00000000-0005-0000-0000-0000051C0000}"/>
    <cellStyle name="Good 9" xfId="753" xr:uid="{00000000-0005-0000-0000-0000061C0000}"/>
    <cellStyle name="Grey" xfId="1566" xr:uid="{00000000-0005-0000-0000-0000071C0000}"/>
    <cellStyle name="HEADER" xfId="1567" xr:uid="{00000000-0005-0000-0000-0000081C0000}"/>
    <cellStyle name="Header1" xfId="1568" xr:uid="{00000000-0005-0000-0000-0000091C0000}"/>
    <cellStyle name="Header2" xfId="1569" xr:uid="{00000000-0005-0000-0000-00000A1C0000}"/>
    <cellStyle name="Header2 10" xfId="14779" xr:uid="{00000000-0005-0000-0000-00000B1C0000}"/>
    <cellStyle name="Header2 11" xfId="12548" xr:uid="{00000000-0005-0000-0000-00000C1C0000}"/>
    <cellStyle name="Header2 12" xfId="14385" xr:uid="{00000000-0005-0000-0000-00000D1C0000}"/>
    <cellStyle name="Header2 2" xfId="2227" xr:uid="{00000000-0005-0000-0000-00000E1C0000}"/>
    <cellStyle name="Header2 2 2" xfId="3487" xr:uid="{00000000-0005-0000-0000-00000F1C0000}"/>
    <cellStyle name="Header2 2 2 10" xfId="12604" xr:uid="{00000000-0005-0000-0000-0000101C0000}"/>
    <cellStyle name="Header2 2 2 11" xfId="18433" xr:uid="{00000000-0005-0000-0000-0000111C0000}"/>
    <cellStyle name="Header2 2 2 2" xfId="6135" xr:uid="{00000000-0005-0000-0000-0000121C0000}"/>
    <cellStyle name="Header2 2 2 2 2" xfId="11231" xr:uid="{00000000-0005-0000-0000-0000131C0000}"/>
    <cellStyle name="Header2 2 2 2 2 2" xfId="15537" xr:uid="{00000000-0005-0000-0000-0000141C0000}"/>
    <cellStyle name="Header2 2 2 2 2 3" xfId="16616" xr:uid="{00000000-0005-0000-0000-0000151C0000}"/>
    <cellStyle name="Header2 2 2 2 2 4" xfId="17649" xr:uid="{00000000-0005-0000-0000-0000161C0000}"/>
    <cellStyle name="Header2 2 2 2 2 5" xfId="18619" xr:uid="{00000000-0005-0000-0000-0000171C0000}"/>
    <cellStyle name="Header2 2 2 2 2 6" xfId="19525" xr:uid="{00000000-0005-0000-0000-0000181C0000}"/>
    <cellStyle name="Header2 2 2 2 3" xfId="11813" xr:uid="{00000000-0005-0000-0000-0000191C0000}"/>
    <cellStyle name="Header2 2 2 2 3 2" xfId="16119" xr:uid="{00000000-0005-0000-0000-00001A1C0000}"/>
    <cellStyle name="Header2 2 2 2 3 3" xfId="17198" xr:uid="{00000000-0005-0000-0000-00001B1C0000}"/>
    <cellStyle name="Header2 2 2 2 3 4" xfId="18219" xr:uid="{00000000-0005-0000-0000-00001C1C0000}"/>
    <cellStyle name="Header2 2 2 2 3 5" xfId="19189" xr:uid="{00000000-0005-0000-0000-00001D1C0000}"/>
    <cellStyle name="Header2 2 2 2 3 6" xfId="20095" xr:uid="{00000000-0005-0000-0000-00001E1C0000}"/>
    <cellStyle name="Header2 2 2 2 4" xfId="11985" xr:uid="{00000000-0005-0000-0000-00001F1C0000}"/>
    <cellStyle name="Header2 2 2 2 4 2" xfId="16291" xr:uid="{00000000-0005-0000-0000-0000201C0000}"/>
    <cellStyle name="Header2 2 2 2 4 3" xfId="17370" xr:uid="{00000000-0005-0000-0000-0000211C0000}"/>
    <cellStyle name="Header2 2 2 2 4 4" xfId="18387" xr:uid="{00000000-0005-0000-0000-0000221C0000}"/>
    <cellStyle name="Header2 2 2 2 4 5" xfId="19357" xr:uid="{00000000-0005-0000-0000-0000231C0000}"/>
    <cellStyle name="Header2 2 2 2 4 6" xfId="20263" xr:uid="{00000000-0005-0000-0000-0000241C0000}"/>
    <cellStyle name="Header2 2 2 2 5" xfId="13868" xr:uid="{00000000-0005-0000-0000-0000251C0000}"/>
    <cellStyle name="Header2 2 2 2 6" xfId="14895" xr:uid="{00000000-0005-0000-0000-0000261C0000}"/>
    <cellStyle name="Header2 2 2 2 7" xfId="14714" xr:uid="{00000000-0005-0000-0000-0000271C0000}"/>
    <cellStyle name="Header2 2 2 2 8" xfId="17408" xr:uid="{00000000-0005-0000-0000-0000281C0000}"/>
    <cellStyle name="Header2 2 2 2 9" xfId="12917" xr:uid="{00000000-0005-0000-0000-0000291C0000}"/>
    <cellStyle name="Header2 2 2 3" xfId="5882" xr:uid="{00000000-0005-0000-0000-00002A1C0000}"/>
    <cellStyle name="Header2 2 2 3 2" xfId="10978" xr:uid="{00000000-0005-0000-0000-00002B1C0000}"/>
    <cellStyle name="Header2 2 2 3 2 2" xfId="15347" xr:uid="{00000000-0005-0000-0000-00002C1C0000}"/>
    <cellStyle name="Header2 2 2 3 2 3" xfId="16431" xr:uid="{00000000-0005-0000-0000-00002D1C0000}"/>
    <cellStyle name="Header2 2 2 3 2 4" xfId="17468" xr:uid="{00000000-0005-0000-0000-00002E1C0000}"/>
    <cellStyle name="Header2 2 2 3 2 5" xfId="18445" xr:uid="{00000000-0005-0000-0000-00002F1C0000}"/>
    <cellStyle name="Header2 2 2 3 2 6" xfId="19365" xr:uid="{00000000-0005-0000-0000-0000301C0000}"/>
    <cellStyle name="Header2 2 2 3 3" xfId="11650" xr:uid="{00000000-0005-0000-0000-0000311C0000}"/>
    <cellStyle name="Header2 2 2 3 3 2" xfId="15956" xr:uid="{00000000-0005-0000-0000-0000321C0000}"/>
    <cellStyle name="Header2 2 2 3 3 3" xfId="17035" xr:uid="{00000000-0005-0000-0000-0000331C0000}"/>
    <cellStyle name="Header2 2 2 3 3 4" xfId="18059" xr:uid="{00000000-0005-0000-0000-0000341C0000}"/>
    <cellStyle name="Header2 2 2 3 3 5" xfId="19029" xr:uid="{00000000-0005-0000-0000-0000351C0000}"/>
    <cellStyle name="Header2 2 2 3 3 6" xfId="19935" xr:uid="{00000000-0005-0000-0000-0000361C0000}"/>
    <cellStyle name="Header2 2 2 3 4" xfId="11822" xr:uid="{00000000-0005-0000-0000-0000371C0000}"/>
    <cellStyle name="Header2 2 2 3 4 2" xfId="16128" xr:uid="{00000000-0005-0000-0000-0000381C0000}"/>
    <cellStyle name="Header2 2 2 3 4 3" xfId="17207" xr:uid="{00000000-0005-0000-0000-0000391C0000}"/>
    <cellStyle name="Header2 2 2 3 4 4" xfId="18227" xr:uid="{00000000-0005-0000-0000-00003A1C0000}"/>
    <cellStyle name="Header2 2 2 3 4 5" xfId="19197" xr:uid="{00000000-0005-0000-0000-00003B1C0000}"/>
    <cellStyle name="Header2 2 2 3 4 6" xfId="20103" xr:uid="{00000000-0005-0000-0000-00003C1C0000}"/>
    <cellStyle name="Header2 2 2 3 5" xfId="13679" xr:uid="{00000000-0005-0000-0000-00003D1C0000}"/>
    <cellStyle name="Header2 2 2 3 6" xfId="15240" xr:uid="{00000000-0005-0000-0000-00003E1C0000}"/>
    <cellStyle name="Header2 2 2 3 7" xfId="16349" xr:uid="{00000000-0005-0000-0000-00003F1C0000}"/>
    <cellStyle name="Header2 2 2 3 8" xfId="13589" xr:uid="{00000000-0005-0000-0000-0000401C0000}"/>
    <cellStyle name="Header2 2 2 3 9" xfId="14387" xr:uid="{00000000-0005-0000-0000-0000411C0000}"/>
    <cellStyle name="Header2 2 2 4" xfId="8590" xr:uid="{00000000-0005-0000-0000-0000421C0000}"/>
    <cellStyle name="Header2 2 2 4 2" xfId="14664" xr:uid="{00000000-0005-0000-0000-0000431C0000}"/>
    <cellStyle name="Header2 2 2 4 3" xfId="12803" xr:uid="{00000000-0005-0000-0000-0000441C0000}"/>
    <cellStyle name="Header2 2 2 4 4" xfId="14723" xr:uid="{00000000-0005-0000-0000-0000451C0000}"/>
    <cellStyle name="Header2 2 2 4 5" xfId="17378" xr:uid="{00000000-0005-0000-0000-0000461C0000}"/>
    <cellStyle name="Header2 2 2 4 6" xfId="15307" xr:uid="{00000000-0005-0000-0000-0000471C0000}"/>
    <cellStyle name="Header2 2 2 5" xfId="11461" xr:uid="{00000000-0005-0000-0000-0000481C0000}"/>
    <cellStyle name="Header2 2 2 5 2" xfId="15767" xr:uid="{00000000-0005-0000-0000-0000491C0000}"/>
    <cellStyle name="Header2 2 2 5 3" xfId="16846" xr:uid="{00000000-0005-0000-0000-00004A1C0000}"/>
    <cellStyle name="Header2 2 2 5 4" xfId="17874" xr:uid="{00000000-0005-0000-0000-00004B1C0000}"/>
    <cellStyle name="Header2 2 2 5 5" xfId="18844" xr:uid="{00000000-0005-0000-0000-00004C1C0000}"/>
    <cellStyle name="Header2 2 2 5 6" xfId="19750" xr:uid="{00000000-0005-0000-0000-00004D1C0000}"/>
    <cellStyle name="Header2 2 2 6" xfId="11423" xr:uid="{00000000-0005-0000-0000-00004E1C0000}"/>
    <cellStyle name="Header2 2 2 6 2" xfId="15729" xr:uid="{00000000-0005-0000-0000-00004F1C0000}"/>
    <cellStyle name="Header2 2 2 6 3" xfId="16808" xr:uid="{00000000-0005-0000-0000-0000501C0000}"/>
    <cellStyle name="Header2 2 2 6 4" xfId="17837" xr:uid="{00000000-0005-0000-0000-0000511C0000}"/>
    <cellStyle name="Header2 2 2 6 5" xfId="18807" xr:uid="{00000000-0005-0000-0000-0000521C0000}"/>
    <cellStyle name="Header2 2 2 6 6" xfId="19713" xr:uid="{00000000-0005-0000-0000-0000531C0000}"/>
    <cellStyle name="Header2 2 2 7" xfId="12981" xr:uid="{00000000-0005-0000-0000-0000541C0000}"/>
    <cellStyle name="Header2 2 2 8" xfId="15293" xr:uid="{00000000-0005-0000-0000-0000551C0000}"/>
    <cellStyle name="Header2 2 2 9" xfId="16393" xr:uid="{00000000-0005-0000-0000-0000561C0000}"/>
    <cellStyle name="Header2 2 3" xfId="4693" xr:uid="{00000000-0005-0000-0000-0000571C0000}"/>
    <cellStyle name="Header2 2 3 2" xfId="9789" xr:uid="{00000000-0005-0000-0000-0000581C0000}"/>
    <cellStyle name="Header2 2 3 2 2" xfId="15012" xr:uid="{00000000-0005-0000-0000-0000591C0000}"/>
    <cellStyle name="Header2 2 3 2 3" xfId="13923" xr:uid="{00000000-0005-0000-0000-00005A1C0000}"/>
    <cellStyle name="Header2 2 3 2 4" xfId="14134" xr:uid="{00000000-0005-0000-0000-00005B1C0000}"/>
    <cellStyle name="Header2 2 3 2 5" xfId="14971" xr:uid="{00000000-0005-0000-0000-00005C1C0000}"/>
    <cellStyle name="Header2 2 3 2 6" xfId="17448" xr:uid="{00000000-0005-0000-0000-00005D1C0000}"/>
    <cellStyle name="Header2 2 3 3" xfId="11561" xr:uid="{00000000-0005-0000-0000-00005E1C0000}"/>
    <cellStyle name="Header2 2 3 3 2" xfId="15867" xr:uid="{00000000-0005-0000-0000-00005F1C0000}"/>
    <cellStyle name="Header2 2 3 3 3" xfId="16946" xr:uid="{00000000-0005-0000-0000-0000601C0000}"/>
    <cellStyle name="Header2 2 3 3 4" xfId="17971" xr:uid="{00000000-0005-0000-0000-0000611C0000}"/>
    <cellStyle name="Header2 2 3 3 5" xfId="18941" xr:uid="{00000000-0005-0000-0000-0000621C0000}"/>
    <cellStyle name="Header2 2 3 3 6" xfId="19847" xr:uid="{00000000-0005-0000-0000-0000631C0000}"/>
    <cellStyle name="Header2 2 3 4" xfId="6417" xr:uid="{00000000-0005-0000-0000-0000641C0000}"/>
    <cellStyle name="Header2 2 3 4 2" xfId="13978" xr:uid="{00000000-0005-0000-0000-0000651C0000}"/>
    <cellStyle name="Header2 2 3 4 3" xfId="14883" xr:uid="{00000000-0005-0000-0000-0000661C0000}"/>
    <cellStyle name="Header2 2 3 4 4" xfId="15124" xr:uid="{00000000-0005-0000-0000-0000671C0000}"/>
    <cellStyle name="Header2 2 3 4 5" xfId="12392" xr:uid="{00000000-0005-0000-0000-0000681C0000}"/>
    <cellStyle name="Header2 2 3 4 6" xfId="16362" xr:uid="{00000000-0005-0000-0000-0000691C0000}"/>
    <cellStyle name="Header2 2 3 5" xfId="13338" xr:uid="{00000000-0005-0000-0000-00006A1C0000}"/>
    <cellStyle name="Header2 2 3 6" xfId="14178" xr:uid="{00000000-0005-0000-0000-00006B1C0000}"/>
    <cellStyle name="Header2 2 3 7" xfId="12017" xr:uid="{00000000-0005-0000-0000-00006C1C0000}"/>
    <cellStyle name="Header2 2 3 8" xfId="14196" xr:uid="{00000000-0005-0000-0000-00006D1C0000}"/>
    <cellStyle name="Header2 2 3 9" xfId="13331" xr:uid="{00000000-0005-0000-0000-00006E1C0000}"/>
    <cellStyle name="Header2 3" xfId="3009" xr:uid="{00000000-0005-0000-0000-00006F1C0000}"/>
    <cellStyle name="Header2 3 10" xfId="13238" xr:uid="{00000000-0005-0000-0000-0000701C0000}"/>
    <cellStyle name="Header2 3 2" xfId="6130" xr:uid="{00000000-0005-0000-0000-0000711C0000}"/>
    <cellStyle name="Header2 3 2 2" xfId="11226" xr:uid="{00000000-0005-0000-0000-0000721C0000}"/>
    <cellStyle name="Header2 3 2 2 2" xfId="15532" xr:uid="{00000000-0005-0000-0000-0000731C0000}"/>
    <cellStyle name="Header2 3 2 2 3" xfId="16611" xr:uid="{00000000-0005-0000-0000-0000741C0000}"/>
    <cellStyle name="Header2 3 2 2 4" xfId="17645" xr:uid="{00000000-0005-0000-0000-0000751C0000}"/>
    <cellStyle name="Header2 3 2 2 5" xfId="18615" xr:uid="{00000000-0005-0000-0000-0000761C0000}"/>
    <cellStyle name="Header2 3 2 2 6" xfId="19521" xr:uid="{00000000-0005-0000-0000-0000771C0000}"/>
    <cellStyle name="Header2 3 2 3" xfId="11808" xr:uid="{00000000-0005-0000-0000-0000781C0000}"/>
    <cellStyle name="Header2 3 2 3 2" xfId="16114" xr:uid="{00000000-0005-0000-0000-0000791C0000}"/>
    <cellStyle name="Header2 3 2 3 3" xfId="17193" xr:uid="{00000000-0005-0000-0000-00007A1C0000}"/>
    <cellStyle name="Header2 3 2 3 4" xfId="18215" xr:uid="{00000000-0005-0000-0000-00007B1C0000}"/>
    <cellStyle name="Header2 3 2 3 5" xfId="19185" xr:uid="{00000000-0005-0000-0000-00007C1C0000}"/>
    <cellStyle name="Header2 3 2 3 6" xfId="20091" xr:uid="{00000000-0005-0000-0000-00007D1C0000}"/>
    <cellStyle name="Header2 3 2 4" xfId="11980" xr:uid="{00000000-0005-0000-0000-00007E1C0000}"/>
    <cellStyle name="Header2 3 2 4 2" xfId="16286" xr:uid="{00000000-0005-0000-0000-00007F1C0000}"/>
    <cellStyle name="Header2 3 2 4 3" xfId="17365" xr:uid="{00000000-0005-0000-0000-0000801C0000}"/>
    <cellStyle name="Header2 3 2 4 4" xfId="18383" xr:uid="{00000000-0005-0000-0000-0000811C0000}"/>
    <cellStyle name="Header2 3 2 4 5" xfId="19353" xr:uid="{00000000-0005-0000-0000-0000821C0000}"/>
    <cellStyle name="Header2 3 2 4 6" xfId="20259" xr:uid="{00000000-0005-0000-0000-0000831C0000}"/>
    <cellStyle name="Header2 3 2 5" xfId="13863" xr:uid="{00000000-0005-0000-0000-0000841C0000}"/>
    <cellStyle name="Header2 3 2 6" xfId="14549" xr:uid="{00000000-0005-0000-0000-0000851C0000}"/>
    <cellStyle name="Header2 3 2 7" xfId="14076" xr:uid="{00000000-0005-0000-0000-0000861C0000}"/>
    <cellStyle name="Header2 3 2 8" xfId="14861" xr:uid="{00000000-0005-0000-0000-0000871C0000}"/>
    <cellStyle name="Header2 3 2 9" xfId="12862" xr:uid="{00000000-0005-0000-0000-0000881C0000}"/>
    <cellStyle name="Header2 3 3" xfId="8112" xr:uid="{00000000-0005-0000-0000-0000891C0000}"/>
    <cellStyle name="Header2 3 3 2" xfId="14566" xr:uid="{00000000-0005-0000-0000-00008A1C0000}"/>
    <cellStyle name="Header2 3 3 3" xfId="14504" xr:uid="{00000000-0005-0000-0000-00008B1C0000}"/>
    <cellStyle name="Header2 3 3 4" xfId="13164" xr:uid="{00000000-0005-0000-0000-00008C1C0000}"/>
    <cellStyle name="Header2 3 3 5" xfId="14584" xr:uid="{00000000-0005-0000-0000-00008D1C0000}"/>
    <cellStyle name="Header2 3 3 6" xfId="14521" xr:uid="{00000000-0005-0000-0000-00008E1C0000}"/>
    <cellStyle name="Header2 3 4" xfId="11424" xr:uid="{00000000-0005-0000-0000-00008F1C0000}"/>
    <cellStyle name="Header2 3 4 2" xfId="15730" xr:uid="{00000000-0005-0000-0000-0000901C0000}"/>
    <cellStyle name="Header2 3 4 3" xfId="16809" xr:uid="{00000000-0005-0000-0000-0000911C0000}"/>
    <cellStyle name="Header2 3 4 4" xfId="17838" xr:uid="{00000000-0005-0000-0000-0000921C0000}"/>
    <cellStyle name="Header2 3 4 5" xfId="18808" xr:uid="{00000000-0005-0000-0000-0000931C0000}"/>
    <cellStyle name="Header2 3 4 6" xfId="19714" xr:uid="{00000000-0005-0000-0000-0000941C0000}"/>
    <cellStyle name="Header2 3 5" xfId="6171" xr:uid="{00000000-0005-0000-0000-0000951C0000}"/>
    <cellStyle name="Header2 3 5 2" xfId="13903" xr:uid="{00000000-0005-0000-0000-0000961C0000}"/>
    <cellStyle name="Header2 3 5 3" xfId="15221" xr:uid="{00000000-0005-0000-0000-0000971C0000}"/>
    <cellStyle name="Header2 3 5 4" xfId="16334" xr:uid="{00000000-0005-0000-0000-0000981C0000}"/>
    <cellStyle name="Header2 3 5 5" xfId="15173" xr:uid="{00000000-0005-0000-0000-0000991C0000}"/>
    <cellStyle name="Header2 3 5 6" xfId="14838" xr:uid="{00000000-0005-0000-0000-00009A1C0000}"/>
    <cellStyle name="Header2 3 6" xfId="12865" xr:uid="{00000000-0005-0000-0000-00009B1C0000}"/>
    <cellStyle name="Header2 3 7" xfId="12190" xr:uid="{00000000-0005-0000-0000-00009C1C0000}"/>
    <cellStyle name="Header2 3 8" xfId="14381" xr:uid="{00000000-0005-0000-0000-00009D1C0000}"/>
    <cellStyle name="Header2 3 9" xfId="13649" xr:uid="{00000000-0005-0000-0000-00009E1C0000}"/>
    <cellStyle name="Header2 4" xfId="6021" xr:uid="{00000000-0005-0000-0000-00009F1C0000}"/>
    <cellStyle name="Header2 4 2" xfId="11117" xr:uid="{00000000-0005-0000-0000-0000A01C0000}"/>
    <cellStyle name="Header2 4 2 2" xfId="15423" xr:uid="{00000000-0005-0000-0000-0000A11C0000}"/>
    <cellStyle name="Header2 4 2 3" xfId="16502" xr:uid="{00000000-0005-0000-0000-0000A21C0000}"/>
    <cellStyle name="Header2 4 2 4" xfId="17537" xr:uid="{00000000-0005-0000-0000-0000A31C0000}"/>
    <cellStyle name="Header2 4 2 5" xfId="18507" xr:uid="{00000000-0005-0000-0000-0000A41C0000}"/>
    <cellStyle name="Header2 4 2 6" xfId="19413" xr:uid="{00000000-0005-0000-0000-0000A51C0000}"/>
    <cellStyle name="Header2 4 3" xfId="11699" xr:uid="{00000000-0005-0000-0000-0000A61C0000}"/>
    <cellStyle name="Header2 4 3 2" xfId="16005" xr:uid="{00000000-0005-0000-0000-0000A71C0000}"/>
    <cellStyle name="Header2 4 3 3" xfId="17084" xr:uid="{00000000-0005-0000-0000-0000A81C0000}"/>
    <cellStyle name="Header2 4 3 4" xfId="18107" xr:uid="{00000000-0005-0000-0000-0000A91C0000}"/>
    <cellStyle name="Header2 4 3 5" xfId="19077" xr:uid="{00000000-0005-0000-0000-0000AA1C0000}"/>
    <cellStyle name="Header2 4 3 6" xfId="19983" xr:uid="{00000000-0005-0000-0000-0000AB1C0000}"/>
    <cellStyle name="Header2 4 4" xfId="11871" xr:uid="{00000000-0005-0000-0000-0000AC1C0000}"/>
    <cellStyle name="Header2 4 4 2" xfId="16177" xr:uid="{00000000-0005-0000-0000-0000AD1C0000}"/>
    <cellStyle name="Header2 4 4 3" xfId="17256" xr:uid="{00000000-0005-0000-0000-0000AE1C0000}"/>
    <cellStyle name="Header2 4 4 4" xfId="18275" xr:uid="{00000000-0005-0000-0000-0000AF1C0000}"/>
    <cellStyle name="Header2 4 4 5" xfId="19245" xr:uid="{00000000-0005-0000-0000-0000B01C0000}"/>
    <cellStyle name="Header2 4 4 6" xfId="20151" xr:uid="{00000000-0005-0000-0000-0000B11C0000}"/>
    <cellStyle name="Header2 4 5" xfId="13754" xr:uid="{00000000-0005-0000-0000-0000B21C0000}"/>
    <cellStyle name="Header2 4 6" xfId="13699" xr:uid="{00000000-0005-0000-0000-0000B31C0000}"/>
    <cellStyle name="Header2 4 7" xfId="12860" xr:uid="{00000000-0005-0000-0000-0000B41C0000}"/>
    <cellStyle name="Header2 4 8" xfId="14208" xr:uid="{00000000-0005-0000-0000-0000B51C0000}"/>
    <cellStyle name="Header2 4 9" xfId="14965" xr:uid="{00000000-0005-0000-0000-0000B61C0000}"/>
    <cellStyle name="Header2 5" xfId="6844" xr:uid="{00000000-0005-0000-0000-0000B71C0000}"/>
    <cellStyle name="Header2 5 2" xfId="14158" xr:uid="{00000000-0005-0000-0000-0000B81C0000}"/>
    <cellStyle name="Header2 5 3" xfId="12337" xr:uid="{00000000-0005-0000-0000-0000B91C0000}"/>
    <cellStyle name="Header2 5 4" xfId="14745" xr:uid="{00000000-0005-0000-0000-0000BA1C0000}"/>
    <cellStyle name="Header2 5 5" xfId="12139" xr:uid="{00000000-0005-0000-0000-0000BB1C0000}"/>
    <cellStyle name="Header2 5 6" xfId="14029" xr:uid="{00000000-0005-0000-0000-0000BC1C0000}"/>
    <cellStyle name="Header2 6" xfId="11257" xr:uid="{00000000-0005-0000-0000-0000BD1C0000}"/>
    <cellStyle name="Header2 6 2" xfId="15563" xr:uid="{00000000-0005-0000-0000-0000BE1C0000}"/>
    <cellStyle name="Header2 6 3" xfId="16642" xr:uid="{00000000-0005-0000-0000-0000BF1C0000}"/>
    <cellStyle name="Header2 6 4" xfId="17674" xr:uid="{00000000-0005-0000-0000-0000C01C0000}"/>
    <cellStyle name="Header2 6 5" xfId="18644" xr:uid="{00000000-0005-0000-0000-0000C11C0000}"/>
    <cellStyle name="Header2 6 6" xfId="19550" xr:uid="{00000000-0005-0000-0000-0000C21C0000}"/>
    <cellStyle name="Header2 7" xfId="11294" xr:uid="{00000000-0005-0000-0000-0000C31C0000}"/>
    <cellStyle name="Header2 7 2" xfId="15600" xr:uid="{00000000-0005-0000-0000-0000C41C0000}"/>
    <cellStyle name="Header2 7 3" xfId="16679" xr:uid="{00000000-0005-0000-0000-0000C51C0000}"/>
    <cellStyle name="Header2 7 4" xfId="17708" xr:uid="{00000000-0005-0000-0000-0000C61C0000}"/>
    <cellStyle name="Header2 7 5" xfId="18678" xr:uid="{00000000-0005-0000-0000-0000C71C0000}"/>
    <cellStyle name="Header2 7 6" xfId="19584" xr:uid="{00000000-0005-0000-0000-0000C81C0000}"/>
    <cellStyle name="Header2 8" xfId="12399" xr:uid="{00000000-0005-0000-0000-0000C91C0000}"/>
    <cellStyle name="Header2 9" xfId="14251" xr:uid="{00000000-0005-0000-0000-0000CA1C0000}"/>
    <cellStyle name="Heading 1" xfId="109" builtinId="16" customBuiltin="1"/>
    <cellStyle name="Heading 1 10" xfId="997" xr:uid="{00000000-0005-0000-0000-0000CC1C0000}"/>
    <cellStyle name="Heading 1 2" xfId="47" xr:uid="{00000000-0005-0000-0000-0000CD1C0000}"/>
    <cellStyle name="Heading 1 2 2" xfId="846" xr:uid="{00000000-0005-0000-0000-0000CE1C0000}"/>
    <cellStyle name="Heading 1 2 3" xfId="1570" xr:uid="{00000000-0005-0000-0000-0000CF1C0000}"/>
    <cellStyle name="Heading 1 3" xfId="357" xr:uid="{00000000-0005-0000-0000-0000D01C0000}"/>
    <cellStyle name="Heading 1 3 2" xfId="847" xr:uid="{00000000-0005-0000-0000-0000D11C0000}"/>
    <cellStyle name="Heading 1 4" xfId="358" xr:uid="{00000000-0005-0000-0000-0000D21C0000}"/>
    <cellStyle name="Heading 1 5" xfId="359" xr:uid="{00000000-0005-0000-0000-0000D31C0000}"/>
    <cellStyle name="Heading 1 6" xfId="360" xr:uid="{00000000-0005-0000-0000-0000D41C0000}"/>
    <cellStyle name="Heading 1 7" xfId="361" xr:uid="{00000000-0005-0000-0000-0000D51C0000}"/>
    <cellStyle name="Heading 1 8" xfId="362" xr:uid="{00000000-0005-0000-0000-0000D61C0000}"/>
    <cellStyle name="Heading 1 9" xfId="902" xr:uid="{00000000-0005-0000-0000-0000D71C0000}"/>
    <cellStyle name="Heading 1 9 2" xfId="960" xr:uid="{00000000-0005-0000-0000-0000D81C0000}"/>
    <cellStyle name="Heading 2" xfId="110" builtinId="17" customBuiltin="1"/>
    <cellStyle name="Heading 2 10" xfId="998" xr:uid="{00000000-0005-0000-0000-0000DA1C0000}"/>
    <cellStyle name="Heading 2 2" xfId="48" xr:uid="{00000000-0005-0000-0000-0000DB1C0000}"/>
    <cellStyle name="Heading 2 2 2" xfId="848" xr:uid="{00000000-0005-0000-0000-0000DC1C0000}"/>
    <cellStyle name="Heading 2 2 3" xfId="1571" xr:uid="{00000000-0005-0000-0000-0000DD1C0000}"/>
    <cellStyle name="Heading 2 3" xfId="363" xr:uid="{00000000-0005-0000-0000-0000DE1C0000}"/>
    <cellStyle name="Heading 2 3 2" xfId="849" xr:uid="{00000000-0005-0000-0000-0000DF1C0000}"/>
    <cellStyle name="Heading 2 4" xfId="364" xr:uid="{00000000-0005-0000-0000-0000E01C0000}"/>
    <cellStyle name="Heading 2 5" xfId="365" xr:uid="{00000000-0005-0000-0000-0000E11C0000}"/>
    <cellStyle name="Heading 2 6" xfId="366" xr:uid="{00000000-0005-0000-0000-0000E21C0000}"/>
    <cellStyle name="Heading 2 7" xfId="367" xr:uid="{00000000-0005-0000-0000-0000E31C0000}"/>
    <cellStyle name="Heading 2 8" xfId="368" xr:uid="{00000000-0005-0000-0000-0000E41C0000}"/>
    <cellStyle name="Heading 2 9" xfId="728" xr:uid="{00000000-0005-0000-0000-0000E51C0000}"/>
    <cellStyle name="Heading 2 9 2" xfId="961" xr:uid="{00000000-0005-0000-0000-0000E61C0000}"/>
    <cellStyle name="Heading 3" xfId="111" builtinId="18" customBuiltin="1"/>
    <cellStyle name="Heading 3 2" xfId="49" xr:uid="{00000000-0005-0000-0000-0000E81C0000}"/>
    <cellStyle name="Heading 3 2 2" xfId="850" xr:uid="{00000000-0005-0000-0000-0000E91C0000}"/>
    <cellStyle name="Heading 3 2 3" xfId="1572" xr:uid="{00000000-0005-0000-0000-0000EA1C0000}"/>
    <cellStyle name="Heading 3 3" xfId="369" xr:uid="{00000000-0005-0000-0000-0000EB1C0000}"/>
    <cellStyle name="Heading 3 3 2" xfId="851" xr:uid="{00000000-0005-0000-0000-0000EC1C0000}"/>
    <cellStyle name="Heading 3 4" xfId="370" xr:uid="{00000000-0005-0000-0000-0000ED1C0000}"/>
    <cellStyle name="Heading 3 5" xfId="371" xr:uid="{00000000-0005-0000-0000-0000EE1C0000}"/>
    <cellStyle name="Heading 3 6" xfId="372" xr:uid="{00000000-0005-0000-0000-0000EF1C0000}"/>
    <cellStyle name="Heading 3 7" xfId="373" xr:uid="{00000000-0005-0000-0000-0000F01C0000}"/>
    <cellStyle name="Heading 3 8" xfId="374" xr:uid="{00000000-0005-0000-0000-0000F11C0000}"/>
    <cellStyle name="Heading 3 9" xfId="727" xr:uid="{00000000-0005-0000-0000-0000F21C0000}"/>
    <cellStyle name="Heading 4" xfId="112" builtinId="19" customBuiltin="1"/>
    <cellStyle name="Heading 4 2" xfId="50" xr:uid="{00000000-0005-0000-0000-0000F41C0000}"/>
    <cellStyle name="Heading 4 2 2" xfId="852" xr:uid="{00000000-0005-0000-0000-0000F51C0000}"/>
    <cellStyle name="Heading 4 2 3" xfId="1573" xr:uid="{00000000-0005-0000-0000-0000F61C0000}"/>
    <cellStyle name="Heading 4 3" xfId="375" xr:uid="{00000000-0005-0000-0000-0000F71C0000}"/>
    <cellStyle name="Heading 4 3 2" xfId="853" xr:uid="{00000000-0005-0000-0000-0000F81C0000}"/>
    <cellStyle name="Heading 4 4" xfId="376" xr:uid="{00000000-0005-0000-0000-0000F91C0000}"/>
    <cellStyle name="Heading 4 5" xfId="377" xr:uid="{00000000-0005-0000-0000-0000FA1C0000}"/>
    <cellStyle name="Heading 4 6" xfId="378" xr:uid="{00000000-0005-0000-0000-0000FB1C0000}"/>
    <cellStyle name="Heading 4 7" xfId="379" xr:uid="{00000000-0005-0000-0000-0000FC1C0000}"/>
    <cellStyle name="Heading 4 8" xfId="380" xr:uid="{00000000-0005-0000-0000-0000FD1C0000}"/>
    <cellStyle name="Heading 4 9" xfId="726" xr:uid="{00000000-0005-0000-0000-0000FE1C0000}"/>
    <cellStyle name="Heading1" xfId="1574" xr:uid="{00000000-0005-0000-0000-0000FF1C0000}"/>
    <cellStyle name="Heading2" xfId="1575" xr:uid="{00000000-0005-0000-0000-0000001D0000}"/>
    <cellStyle name="HIGHLIGHT" xfId="1576" xr:uid="{00000000-0005-0000-0000-0000011D0000}"/>
    <cellStyle name="Historical Inputs" xfId="1577" xr:uid="{00000000-0005-0000-0000-0000021D0000}"/>
    <cellStyle name="Hot Inputs" xfId="1578" xr:uid="{00000000-0005-0000-0000-0000031D0000}"/>
    <cellStyle name="Hot Inputs 10" xfId="12133" xr:uid="{00000000-0005-0000-0000-0000041D0000}"/>
    <cellStyle name="Hot Inputs 11" xfId="17456" xr:uid="{00000000-0005-0000-0000-0000051D0000}"/>
    <cellStyle name="Hot Inputs 12" xfId="12522" xr:uid="{00000000-0005-0000-0000-0000061D0000}"/>
    <cellStyle name="Hot Inputs 2" xfId="2240" xr:uid="{00000000-0005-0000-0000-0000071D0000}"/>
    <cellStyle name="Hot Inputs 2 10" xfId="12463" xr:uid="{00000000-0005-0000-0000-0000081D0000}"/>
    <cellStyle name="Hot Inputs 2 11" xfId="16367" xr:uid="{00000000-0005-0000-0000-0000091D0000}"/>
    <cellStyle name="Hot Inputs 2 2" xfId="3580" xr:uid="{00000000-0005-0000-0000-00000A1D0000}"/>
    <cellStyle name="Hot Inputs 2 2 10" xfId="13655" xr:uid="{00000000-0005-0000-0000-00000B1D0000}"/>
    <cellStyle name="Hot Inputs 2 2 2" xfId="6138" xr:uid="{00000000-0005-0000-0000-00000C1D0000}"/>
    <cellStyle name="Hot Inputs 2 2 2 2" xfId="11234" xr:uid="{00000000-0005-0000-0000-00000D1D0000}"/>
    <cellStyle name="Hot Inputs 2 2 2 2 2" xfId="15540" xr:uid="{00000000-0005-0000-0000-00000E1D0000}"/>
    <cellStyle name="Hot Inputs 2 2 2 2 3" xfId="16619" xr:uid="{00000000-0005-0000-0000-00000F1D0000}"/>
    <cellStyle name="Hot Inputs 2 2 2 2 4" xfId="17651" xr:uid="{00000000-0005-0000-0000-0000101D0000}"/>
    <cellStyle name="Hot Inputs 2 2 2 2 5" xfId="18621" xr:uid="{00000000-0005-0000-0000-0000111D0000}"/>
    <cellStyle name="Hot Inputs 2 2 2 2 6" xfId="19527" xr:uid="{00000000-0005-0000-0000-0000121D0000}"/>
    <cellStyle name="Hot Inputs 2 2 2 3" xfId="11816" xr:uid="{00000000-0005-0000-0000-0000131D0000}"/>
    <cellStyle name="Hot Inputs 2 2 2 3 2" xfId="16122" xr:uid="{00000000-0005-0000-0000-0000141D0000}"/>
    <cellStyle name="Hot Inputs 2 2 2 3 3" xfId="17201" xr:uid="{00000000-0005-0000-0000-0000151D0000}"/>
    <cellStyle name="Hot Inputs 2 2 2 3 4" xfId="18221" xr:uid="{00000000-0005-0000-0000-0000161D0000}"/>
    <cellStyle name="Hot Inputs 2 2 2 3 5" xfId="19191" xr:uid="{00000000-0005-0000-0000-0000171D0000}"/>
    <cellStyle name="Hot Inputs 2 2 2 3 6" xfId="20097" xr:uid="{00000000-0005-0000-0000-0000181D0000}"/>
    <cellStyle name="Hot Inputs 2 2 2 4" xfId="11988" xr:uid="{00000000-0005-0000-0000-0000191D0000}"/>
    <cellStyle name="Hot Inputs 2 2 2 4 2" xfId="16294" xr:uid="{00000000-0005-0000-0000-00001A1D0000}"/>
    <cellStyle name="Hot Inputs 2 2 2 4 3" xfId="17373" xr:uid="{00000000-0005-0000-0000-00001B1D0000}"/>
    <cellStyle name="Hot Inputs 2 2 2 4 4" xfId="18389" xr:uid="{00000000-0005-0000-0000-00001C1D0000}"/>
    <cellStyle name="Hot Inputs 2 2 2 4 5" xfId="19359" xr:uid="{00000000-0005-0000-0000-00001D1D0000}"/>
    <cellStyle name="Hot Inputs 2 2 2 4 6" xfId="20265" xr:uid="{00000000-0005-0000-0000-00001E1D0000}"/>
    <cellStyle name="Hot Inputs 2 2 2 5" xfId="13871" xr:uid="{00000000-0005-0000-0000-00001F1D0000}"/>
    <cellStyle name="Hot Inputs 2 2 2 6" xfId="15227" xr:uid="{00000000-0005-0000-0000-0000201D0000}"/>
    <cellStyle name="Hot Inputs 2 2 2 7" xfId="16339" xr:uid="{00000000-0005-0000-0000-0000211D0000}"/>
    <cellStyle name="Hot Inputs 2 2 2 8" xfId="15343" xr:uid="{00000000-0005-0000-0000-0000221D0000}"/>
    <cellStyle name="Hot Inputs 2 2 2 9" xfId="18413" xr:uid="{00000000-0005-0000-0000-0000231D0000}"/>
    <cellStyle name="Hot Inputs 2 2 3" xfId="8683" xr:uid="{00000000-0005-0000-0000-0000241D0000}"/>
    <cellStyle name="Hot Inputs 2 2 3 2" xfId="14694" xr:uid="{00000000-0005-0000-0000-0000251D0000}"/>
    <cellStyle name="Hot Inputs 2 2 3 3" xfId="164" xr:uid="{00000000-0005-0000-0000-0000261D0000}"/>
    <cellStyle name="Hot Inputs 2 2 3 4" xfId="167" xr:uid="{00000000-0005-0000-0000-0000271D0000}"/>
    <cellStyle name="Hot Inputs 2 2 3 5" xfId="12103" xr:uid="{00000000-0005-0000-0000-0000281D0000}"/>
    <cellStyle name="Hot Inputs 2 2 3 6" xfId="15100" xr:uid="{00000000-0005-0000-0000-0000291D0000}"/>
    <cellStyle name="Hot Inputs 2 2 4" xfId="11465" xr:uid="{00000000-0005-0000-0000-00002A1D0000}"/>
    <cellStyle name="Hot Inputs 2 2 4 2" xfId="15771" xr:uid="{00000000-0005-0000-0000-00002B1D0000}"/>
    <cellStyle name="Hot Inputs 2 2 4 3" xfId="16850" xr:uid="{00000000-0005-0000-0000-00002C1D0000}"/>
    <cellStyle name="Hot Inputs 2 2 4 4" xfId="17877" xr:uid="{00000000-0005-0000-0000-00002D1D0000}"/>
    <cellStyle name="Hot Inputs 2 2 4 5" xfId="18847" xr:uid="{00000000-0005-0000-0000-00002E1D0000}"/>
    <cellStyle name="Hot Inputs 2 2 4 6" xfId="19753" xr:uid="{00000000-0005-0000-0000-00002F1D0000}"/>
    <cellStyle name="Hot Inputs 2 2 5" xfId="11253" xr:uid="{00000000-0005-0000-0000-0000301D0000}"/>
    <cellStyle name="Hot Inputs 2 2 5 2" xfId="15559" xr:uid="{00000000-0005-0000-0000-0000311D0000}"/>
    <cellStyle name="Hot Inputs 2 2 5 3" xfId="16638" xr:uid="{00000000-0005-0000-0000-0000321D0000}"/>
    <cellStyle name="Hot Inputs 2 2 5 4" xfId="17670" xr:uid="{00000000-0005-0000-0000-0000331D0000}"/>
    <cellStyle name="Hot Inputs 2 2 5 5" xfId="18640" xr:uid="{00000000-0005-0000-0000-0000341D0000}"/>
    <cellStyle name="Hot Inputs 2 2 5 6" xfId="19546" xr:uid="{00000000-0005-0000-0000-0000351D0000}"/>
    <cellStyle name="Hot Inputs 2 2 6" xfId="13010" xr:uid="{00000000-0005-0000-0000-0000361D0000}"/>
    <cellStyle name="Hot Inputs 2 2 7" xfId="12188" xr:uid="{00000000-0005-0000-0000-0000371D0000}"/>
    <cellStyle name="Hot Inputs 2 2 8" xfId="12166" xr:uid="{00000000-0005-0000-0000-0000381D0000}"/>
    <cellStyle name="Hot Inputs 2 2 9" xfId="14538" xr:uid="{00000000-0005-0000-0000-0000391D0000}"/>
    <cellStyle name="Hot Inputs 2 3" xfId="6034" xr:uid="{00000000-0005-0000-0000-00003A1D0000}"/>
    <cellStyle name="Hot Inputs 2 3 2" xfId="11130" xr:uid="{00000000-0005-0000-0000-00003B1D0000}"/>
    <cellStyle name="Hot Inputs 2 3 2 2" xfId="15436" xr:uid="{00000000-0005-0000-0000-00003C1D0000}"/>
    <cellStyle name="Hot Inputs 2 3 2 3" xfId="16515" xr:uid="{00000000-0005-0000-0000-00003D1D0000}"/>
    <cellStyle name="Hot Inputs 2 3 2 4" xfId="17549" xr:uid="{00000000-0005-0000-0000-00003E1D0000}"/>
    <cellStyle name="Hot Inputs 2 3 2 5" xfId="18519" xr:uid="{00000000-0005-0000-0000-00003F1D0000}"/>
    <cellStyle name="Hot Inputs 2 3 2 6" xfId="19425" xr:uid="{00000000-0005-0000-0000-0000401D0000}"/>
    <cellStyle name="Hot Inputs 2 3 3" xfId="11712" xr:uid="{00000000-0005-0000-0000-0000411D0000}"/>
    <cellStyle name="Hot Inputs 2 3 3 2" xfId="16018" xr:uid="{00000000-0005-0000-0000-0000421D0000}"/>
    <cellStyle name="Hot Inputs 2 3 3 3" xfId="17097" xr:uid="{00000000-0005-0000-0000-0000431D0000}"/>
    <cellStyle name="Hot Inputs 2 3 3 4" xfId="18119" xr:uid="{00000000-0005-0000-0000-0000441D0000}"/>
    <cellStyle name="Hot Inputs 2 3 3 5" xfId="19089" xr:uid="{00000000-0005-0000-0000-0000451D0000}"/>
    <cellStyle name="Hot Inputs 2 3 3 6" xfId="19995" xr:uid="{00000000-0005-0000-0000-0000461D0000}"/>
    <cellStyle name="Hot Inputs 2 3 4" xfId="11884" xr:uid="{00000000-0005-0000-0000-0000471D0000}"/>
    <cellStyle name="Hot Inputs 2 3 4 2" xfId="16190" xr:uid="{00000000-0005-0000-0000-0000481D0000}"/>
    <cellStyle name="Hot Inputs 2 3 4 3" xfId="17269" xr:uid="{00000000-0005-0000-0000-0000491D0000}"/>
    <cellStyle name="Hot Inputs 2 3 4 4" xfId="18287" xr:uid="{00000000-0005-0000-0000-00004A1D0000}"/>
    <cellStyle name="Hot Inputs 2 3 4 5" xfId="19257" xr:uid="{00000000-0005-0000-0000-00004B1D0000}"/>
    <cellStyle name="Hot Inputs 2 3 4 6" xfId="20163" xr:uid="{00000000-0005-0000-0000-00004C1D0000}"/>
    <cellStyle name="Hot Inputs 2 3 5" xfId="13767" xr:uid="{00000000-0005-0000-0000-00004D1D0000}"/>
    <cellStyle name="Hot Inputs 2 3 6" xfId="13343" xr:uid="{00000000-0005-0000-0000-00004E1D0000}"/>
    <cellStyle name="Hot Inputs 2 3 7" xfId="12426" xr:uid="{00000000-0005-0000-0000-00004F1D0000}"/>
    <cellStyle name="Hot Inputs 2 3 8" xfId="13584" xr:uid="{00000000-0005-0000-0000-0000501D0000}"/>
    <cellStyle name="Hot Inputs 2 3 9" xfId="18458" xr:uid="{00000000-0005-0000-0000-0000511D0000}"/>
    <cellStyle name="Hot Inputs 2 4" xfId="7350" xr:uid="{00000000-0005-0000-0000-0000521D0000}"/>
    <cellStyle name="Hot Inputs 2 4 2" xfId="14282" xr:uid="{00000000-0005-0000-0000-0000531D0000}"/>
    <cellStyle name="Hot Inputs 2 4 3" xfId="14787" xr:uid="{00000000-0005-0000-0000-0000541D0000}"/>
    <cellStyle name="Hot Inputs 2 4 4" xfId="1145" xr:uid="{00000000-0005-0000-0000-0000551D0000}"/>
    <cellStyle name="Hot Inputs 2 4 5" xfId="13565" xr:uid="{00000000-0005-0000-0000-0000561D0000}"/>
    <cellStyle name="Hot Inputs 2 4 6" xfId="15163" xr:uid="{00000000-0005-0000-0000-0000571D0000}"/>
    <cellStyle name="Hot Inputs 2 5" xfId="11315" xr:uid="{00000000-0005-0000-0000-0000581D0000}"/>
    <cellStyle name="Hot Inputs 2 5 2" xfId="15621" xr:uid="{00000000-0005-0000-0000-0000591D0000}"/>
    <cellStyle name="Hot Inputs 2 5 3" xfId="16700" xr:uid="{00000000-0005-0000-0000-00005A1D0000}"/>
    <cellStyle name="Hot Inputs 2 5 4" xfId="17729" xr:uid="{00000000-0005-0000-0000-00005B1D0000}"/>
    <cellStyle name="Hot Inputs 2 5 5" xfId="18699" xr:uid="{00000000-0005-0000-0000-00005C1D0000}"/>
    <cellStyle name="Hot Inputs 2 5 6" xfId="19605" xr:uid="{00000000-0005-0000-0000-00005D1D0000}"/>
    <cellStyle name="Hot Inputs 2 6" xfId="11449" xr:uid="{00000000-0005-0000-0000-00005E1D0000}"/>
    <cellStyle name="Hot Inputs 2 6 2" xfId="15755" xr:uid="{00000000-0005-0000-0000-00005F1D0000}"/>
    <cellStyle name="Hot Inputs 2 6 3" xfId="16834" xr:uid="{00000000-0005-0000-0000-0000601D0000}"/>
    <cellStyle name="Hot Inputs 2 6 4" xfId="17862" xr:uid="{00000000-0005-0000-0000-0000611D0000}"/>
    <cellStyle name="Hot Inputs 2 6 5" xfId="18832" xr:uid="{00000000-0005-0000-0000-0000621D0000}"/>
    <cellStyle name="Hot Inputs 2 6 6" xfId="19738" xr:uid="{00000000-0005-0000-0000-0000631D0000}"/>
    <cellStyle name="Hot Inputs 2 7" xfId="12580" xr:uid="{00000000-0005-0000-0000-0000641D0000}"/>
    <cellStyle name="Hot Inputs 2 8" xfId="12193" xr:uid="{00000000-0005-0000-0000-0000651D0000}"/>
    <cellStyle name="Hot Inputs 2 9" xfId="12098" xr:uid="{00000000-0005-0000-0000-0000661D0000}"/>
    <cellStyle name="Hot Inputs 3" xfId="2841" xr:uid="{00000000-0005-0000-0000-0000671D0000}"/>
    <cellStyle name="Hot Inputs 3 10" xfId="18434" xr:uid="{00000000-0005-0000-0000-0000681D0000}"/>
    <cellStyle name="Hot Inputs 3 2" xfId="6126" xr:uid="{00000000-0005-0000-0000-0000691D0000}"/>
    <cellStyle name="Hot Inputs 3 2 2" xfId="11222" xr:uid="{00000000-0005-0000-0000-00006A1D0000}"/>
    <cellStyle name="Hot Inputs 3 2 2 2" xfId="15528" xr:uid="{00000000-0005-0000-0000-00006B1D0000}"/>
    <cellStyle name="Hot Inputs 3 2 2 3" xfId="16607" xr:uid="{00000000-0005-0000-0000-00006C1D0000}"/>
    <cellStyle name="Hot Inputs 3 2 2 4" xfId="17641" xr:uid="{00000000-0005-0000-0000-00006D1D0000}"/>
    <cellStyle name="Hot Inputs 3 2 2 5" xfId="18611" xr:uid="{00000000-0005-0000-0000-00006E1D0000}"/>
    <cellStyle name="Hot Inputs 3 2 2 6" xfId="19517" xr:uid="{00000000-0005-0000-0000-00006F1D0000}"/>
    <cellStyle name="Hot Inputs 3 2 3" xfId="11804" xr:uid="{00000000-0005-0000-0000-0000701D0000}"/>
    <cellStyle name="Hot Inputs 3 2 3 2" xfId="16110" xr:uid="{00000000-0005-0000-0000-0000711D0000}"/>
    <cellStyle name="Hot Inputs 3 2 3 3" xfId="17189" xr:uid="{00000000-0005-0000-0000-0000721D0000}"/>
    <cellStyle name="Hot Inputs 3 2 3 4" xfId="18211" xr:uid="{00000000-0005-0000-0000-0000731D0000}"/>
    <cellStyle name="Hot Inputs 3 2 3 5" xfId="19181" xr:uid="{00000000-0005-0000-0000-0000741D0000}"/>
    <cellStyle name="Hot Inputs 3 2 3 6" xfId="20087" xr:uid="{00000000-0005-0000-0000-0000751D0000}"/>
    <cellStyle name="Hot Inputs 3 2 4" xfId="11976" xr:uid="{00000000-0005-0000-0000-0000761D0000}"/>
    <cellStyle name="Hot Inputs 3 2 4 2" xfId="16282" xr:uid="{00000000-0005-0000-0000-0000771D0000}"/>
    <cellStyle name="Hot Inputs 3 2 4 3" xfId="17361" xr:uid="{00000000-0005-0000-0000-0000781D0000}"/>
    <cellStyle name="Hot Inputs 3 2 4 4" xfId="18379" xr:uid="{00000000-0005-0000-0000-0000791D0000}"/>
    <cellStyle name="Hot Inputs 3 2 4 5" xfId="19349" xr:uid="{00000000-0005-0000-0000-00007A1D0000}"/>
    <cellStyle name="Hot Inputs 3 2 4 6" xfId="20255" xr:uid="{00000000-0005-0000-0000-00007B1D0000}"/>
    <cellStyle name="Hot Inputs 3 2 5" xfId="13859" xr:uid="{00000000-0005-0000-0000-00007C1D0000}"/>
    <cellStyle name="Hot Inputs 3 2 6" xfId="12376" xr:uid="{00000000-0005-0000-0000-00007D1D0000}"/>
    <cellStyle name="Hot Inputs 3 2 7" xfId="12530" xr:uid="{00000000-0005-0000-0000-00007E1D0000}"/>
    <cellStyle name="Hot Inputs 3 2 8" xfId="17414" xr:uid="{00000000-0005-0000-0000-00007F1D0000}"/>
    <cellStyle name="Hot Inputs 3 2 9" xfId="12481" xr:uid="{00000000-0005-0000-0000-0000801D0000}"/>
    <cellStyle name="Hot Inputs 3 3" xfId="7944" xr:uid="{00000000-0005-0000-0000-0000811D0000}"/>
    <cellStyle name="Hot Inputs 3 3 2" xfId="14502" xr:uid="{00000000-0005-0000-0000-0000821D0000}"/>
    <cellStyle name="Hot Inputs 3 3 3" xfId="12116" xr:uid="{00000000-0005-0000-0000-0000831D0000}"/>
    <cellStyle name="Hot Inputs 3 3 4" xfId="14402" xr:uid="{00000000-0005-0000-0000-0000841D0000}"/>
    <cellStyle name="Hot Inputs 3 3 5" xfId="12912" xr:uid="{00000000-0005-0000-0000-0000851D0000}"/>
    <cellStyle name="Hot Inputs 3 3 6" xfId="14713" xr:uid="{00000000-0005-0000-0000-0000861D0000}"/>
    <cellStyle name="Hot Inputs 3 4" xfId="11417" xr:uid="{00000000-0005-0000-0000-0000871D0000}"/>
    <cellStyle name="Hot Inputs 3 4 2" xfId="15723" xr:uid="{00000000-0005-0000-0000-0000881D0000}"/>
    <cellStyle name="Hot Inputs 3 4 3" xfId="16802" xr:uid="{00000000-0005-0000-0000-0000891D0000}"/>
    <cellStyle name="Hot Inputs 3 4 4" xfId="17831" xr:uid="{00000000-0005-0000-0000-00008A1D0000}"/>
    <cellStyle name="Hot Inputs 3 4 5" xfId="18801" xr:uid="{00000000-0005-0000-0000-00008B1D0000}"/>
    <cellStyle name="Hot Inputs 3 4 6" xfId="19707" xr:uid="{00000000-0005-0000-0000-00008C1D0000}"/>
    <cellStyle name="Hot Inputs 3 5" xfId="11464" xr:uid="{00000000-0005-0000-0000-00008D1D0000}"/>
    <cellStyle name="Hot Inputs 3 5 2" xfId="15770" xr:uid="{00000000-0005-0000-0000-00008E1D0000}"/>
    <cellStyle name="Hot Inputs 3 5 3" xfId="16849" xr:uid="{00000000-0005-0000-0000-00008F1D0000}"/>
    <cellStyle name="Hot Inputs 3 5 4" xfId="17876" xr:uid="{00000000-0005-0000-0000-0000901D0000}"/>
    <cellStyle name="Hot Inputs 3 5 5" xfId="18846" xr:uid="{00000000-0005-0000-0000-0000911D0000}"/>
    <cellStyle name="Hot Inputs 3 5 6" xfId="19752" xr:uid="{00000000-0005-0000-0000-0000921D0000}"/>
    <cellStyle name="Hot Inputs 3 6" xfId="12806" xr:uid="{00000000-0005-0000-0000-0000931D0000}"/>
    <cellStyle name="Hot Inputs 3 7" xfId="15299" xr:uid="{00000000-0005-0000-0000-0000941D0000}"/>
    <cellStyle name="Hot Inputs 3 8" xfId="16395" xr:uid="{00000000-0005-0000-0000-0000951D0000}"/>
    <cellStyle name="Hot Inputs 3 9" xfId="16413" xr:uid="{00000000-0005-0000-0000-0000961D0000}"/>
    <cellStyle name="Hot Inputs 4" xfId="6022" xr:uid="{00000000-0005-0000-0000-0000971D0000}"/>
    <cellStyle name="Hot Inputs 4 2" xfId="11118" xr:uid="{00000000-0005-0000-0000-0000981D0000}"/>
    <cellStyle name="Hot Inputs 4 2 2" xfId="15424" xr:uid="{00000000-0005-0000-0000-0000991D0000}"/>
    <cellStyle name="Hot Inputs 4 2 3" xfId="16503" xr:uid="{00000000-0005-0000-0000-00009A1D0000}"/>
    <cellStyle name="Hot Inputs 4 2 4" xfId="17538" xr:uid="{00000000-0005-0000-0000-00009B1D0000}"/>
    <cellStyle name="Hot Inputs 4 2 5" xfId="18508" xr:uid="{00000000-0005-0000-0000-00009C1D0000}"/>
    <cellStyle name="Hot Inputs 4 2 6" xfId="19414" xr:uid="{00000000-0005-0000-0000-00009D1D0000}"/>
    <cellStyle name="Hot Inputs 4 3" xfId="11700" xr:uid="{00000000-0005-0000-0000-00009E1D0000}"/>
    <cellStyle name="Hot Inputs 4 3 2" xfId="16006" xr:uid="{00000000-0005-0000-0000-00009F1D0000}"/>
    <cellStyle name="Hot Inputs 4 3 3" xfId="17085" xr:uid="{00000000-0005-0000-0000-0000A01D0000}"/>
    <cellStyle name="Hot Inputs 4 3 4" xfId="18108" xr:uid="{00000000-0005-0000-0000-0000A11D0000}"/>
    <cellStyle name="Hot Inputs 4 3 5" xfId="19078" xr:uid="{00000000-0005-0000-0000-0000A21D0000}"/>
    <cellStyle name="Hot Inputs 4 3 6" xfId="19984" xr:uid="{00000000-0005-0000-0000-0000A31D0000}"/>
    <cellStyle name="Hot Inputs 4 4" xfId="11872" xr:uid="{00000000-0005-0000-0000-0000A41D0000}"/>
    <cellStyle name="Hot Inputs 4 4 2" xfId="16178" xr:uid="{00000000-0005-0000-0000-0000A51D0000}"/>
    <cellStyle name="Hot Inputs 4 4 3" xfId="17257" xr:uid="{00000000-0005-0000-0000-0000A61D0000}"/>
    <cellStyle name="Hot Inputs 4 4 4" xfId="18276" xr:uid="{00000000-0005-0000-0000-0000A71D0000}"/>
    <cellStyle name="Hot Inputs 4 4 5" xfId="19246" xr:uid="{00000000-0005-0000-0000-0000A81D0000}"/>
    <cellStyle name="Hot Inputs 4 4 6" xfId="20152" xr:uid="{00000000-0005-0000-0000-0000A91D0000}"/>
    <cellStyle name="Hot Inputs 4 5" xfId="13755" xr:uid="{00000000-0005-0000-0000-0000AA1D0000}"/>
    <cellStyle name="Hot Inputs 4 6" xfId="13000" xr:uid="{00000000-0005-0000-0000-0000AB1D0000}"/>
    <cellStyle name="Hot Inputs 4 7" xfId="15291" xr:uid="{00000000-0005-0000-0000-0000AC1D0000}"/>
    <cellStyle name="Hot Inputs 4 8" xfId="16298" xr:uid="{00000000-0005-0000-0000-0000AD1D0000}"/>
    <cellStyle name="Hot Inputs 4 9" xfId="12176" xr:uid="{00000000-0005-0000-0000-0000AE1D0000}"/>
    <cellStyle name="Hot Inputs 5" xfId="6845" xr:uid="{00000000-0005-0000-0000-0000AF1D0000}"/>
    <cellStyle name="Hot Inputs 5 2" xfId="14159" xr:uid="{00000000-0005-0000-0000-0000B01D0000}"/>
    <cellStyle name="Hot Inputs 5 3" xfId="12336" xr:uid="{00000000-0005-0000-0000-0000B11D0000}"/>
    <cellStyle name="Hot Inputs 5 4" xfId="13941" xr:uid="{00000000-0005-0000-0000-0000B21D0000}"/>
    <cellStyle name="Hot Inputs 5 5" xfId="13333" xr:uid="{00000000-0005-0000-0000-0000B31D0000}"/>
    <cellStyle name="Hot Inputs 5 6" xfId="14606" xr:uid="{00000000-0005-0000-0000-0000B41D0000}"/>
    <cellStyle name="Hot Inputs 6" xfId="11258" xr:uid="{00000000-0005-0000-0000-0000B51D0000}"/>
    <cellStyle name="Hot Inputs 6 2" xfId="15564" xr:uid="{00000000-0005-0000-0000-0000B61D0000}"/>
    <cellStyle name="Hot Inputs 6 3" xfId="16643" xr:uid="{00000000-0005-0000-0000-0000B71D0000}"/>
    <cellStyle name="Hot Inputs 6 4" xfId="17675" xr:uid="{00000000-0005-0000-0000-0000B81D0000}"/>
    <cellStyle name="Hot Inputs 6 5" xfId="18645" xr:uid="{00000000-0005-0000-0000-0000B91D0000}"/>
    <cellStyle name="Hot Inputs 6 6" xfId="19551" xr:uid="{00000000-0005-0000-0000-0000BA1D0000}"/>
    <cellStyle name="Hot Inputs 7" xfId="11292" xr:uid="{00000000-0005-0000-0000-0000BB1D0000}"/>
    <cellStyle name="Hot Inputs 7 2" xfId="15598" xr:uid="{00000000-0005-0000-0000-0000BC1D0000}"/>
    <cellStyle name="Hot Inputs 7 3" xfId="16677" xr:uid="{00000000-0005-0000-0000-0000BD1D0000}"/>
    <cellStyle name="Hot Inputs 7 4" xfId="17707" xr:uid="{00000000-0005-0000-0000-0000BE1D0000}"/>
    <cellStyle name="Hot Inputs 7 5" xfId="18677" xr:uid="{00000000-0005-0000-0000-0000BF1D0000}"/>
    <cellStyle name="Hot Inputs 7 6" xfId="19583" xr:uid="{00000000-0005-0000-0000-0000C01D0000}"/>
    <cellStyle name="Hot Inputs 8" xfId="12400" xr:uid="{00000000-0005-0000-0000-0000C11D0000}"/>
    <cellStyle name="Hot Inputs 9" xfId="14992" xr:uid="{00000000-0005-0000-0000-0000C21D0000}"/>
    <cellStyle name="Hyperlink 2" xfId="178" xr:uid="{00000000-0005-0000-0000-0000C31D0000}"/>
    <cellStyle name="Hyperlink 3" xfId="381" xr:uid="{00000000-0005-0000-0000-0000C41D0000}"/>
    <cellStyle name="Imported data from another worksheet" xfId="1579" xr:uid="{00000000-0005-0000-0000-0000C51D0000}"/>
    <cellStyle name="Imported data from another worksheet 10" xfId="13356" xr:uid="{00000000-0005-0000-0000-0000C61D0000}"/>
    <cellStyle name="Imported data from another worksheet 11" xfId="13149" xr:uid="{00000000-0005-0000-0000-0000C71D0000}"/>
    <cellStyle name="Imported data from another worksheet 12" xfId="12338" xr:uid="{00000000-0005-0000-0000-0000C81D0000}"/>
    <cellStyle name="Imported data from another worksheet 2" xfId="2239" xr:uid="{00000000-0005-0000-0000-0000C91D0000}"/>
    <cellStyle name="Imported data from another worksheet 2 10" xfId="13229" xr:uid="{00000000-0005-0000-0000-0000CA1D0000}"/>
    <cellStyle name="Imported data from another worksheet 2 11" xfId="14310" xr:uid="{00000000-0005-0000-0000-0000CB1D0000}"/>
    <cellStyle name="Imported data from another worksheet 2 2" xfId="2331" xr:uid="{00000000-0005-0000-0000-0000CC1D0000}"/>
    <cellStyle name="Imported data from another worksheet 2 2 10" xfId="12938" xr:uid="{00000000-0005-0000-0000-0000CD1D0000}"/>
    <cellStyle name="Imported data from another worksheet 2 2 2" xfId="6040" xr:uid="{00000000-0005-0000-0000-0000CE1D0000}"/>
    <cellStyle name="Imported data from another worksheet 2 2 2 2" xfId="11136" xr:uid="{00000000-0005-0000-0000-0000CF1D0000}"/>
    <cellStyle name="Imported data from another worksheet 2 2 2 2 2" xfId="15442" xr:uid="{00000000-0005-0000-0000-0000D01D0000}"/>
    <cellStyle name="Imported data from another worksheet 2 2 2 2 3" xfId="16521" xr:uid="{00000000-0005-0000-0000-0000D11D0000}"/>
    <cellStyle name="Imported data from another worksheet 2 2 2 2 4" xfId="17555" xr:uid="{00000000-0005-0000-0000-0000D21D0000}"/>
    <cellStyle name="Imported data from another worksheet 2 2 2 2 5" xfId="18525" xr:uid="{00000000-0005-0000-0000-0000D31D0000}"/>
    <cellStyle name="Imported data from another worksheet 2 2 2 2 6" xfId="19431" xr:uid="{00000000-0005-0000-0000-0000D41D0000}"/>
    <cellStyle name="Imported data from another worksheet 2 2 2 3" xfId="11718" xr:uid="{00000000-0005-0000-0000-0000D51D0000}"/>
    <cellStyle name="Imported data from another worksheet 2 2 2 3 2" xfId="16024" xr:uid="{00000000-0005-0000-0000-0000D61D0000}"/>
    <cellStyle name="Imported data from another worksheet 2 2 2 3 3" xfId="17103" xr:uid="{00000000-0005-0000-0000-0000D71D0000}"/>
    <cellStyle name="Imported data from another worksheet 2 2 2 3 4" xfId="18125" xr:uid="{00000000-0005-0000-0000-0000D81D0000}"/>
    <cellStyle name="Imported data from another worksheet 2 2 2 3 5" xfId="19095" xr:uid="{00000000-0005-0000-0000-0000D91D0000}"/>
    <cellStyle name="Imported data from another worksheet 2 2 2 3 6" xfId="20001" xr:uid="{00000000-0005-0000-0000-0000DA1D0000}"/>
    <cellStyle name="Imported data from another worksheet 2 2 2 4" xfId="11890" xr:uid="{00000000-0005-0000-0000-0000DB1D0000}"/>
    <cellStyle name="Imported data from another worksheet 2 2 2 4 2" xfId="16196" xr:uid="{00000000-0005-0000-0000-0000DC1D0000}"/>
    <cellStyle name="Imported data from another worksheet 2 2 2 4 3" xfId="17275" xr:uid="{00000000-0005-0000-0000-0000DD1D0000}"/>
    <cellStyle name="Imported data from another worksheet 2 2 2 4 4" xfId="18293" xr:uid="{00000000-0005-0000-0000-0000DE1D0000}"/>
    <cellStyle name="Imported data from another worksheet 2 2 2 4 5" xfId="19263" xr:uid="{00000000-0005-0000-0000-0000DF1D0000}"/>
    <cellStyle name="Imported data from another worksheet 2 2 2 4 6" xfId="20169" xr:uid="{00000000-0005-0000-0000-0000E01D0000}"/>
    <cellStyle name="Imported data from another worksheet 2 2 2 5" xfId="13773" xr:uid="{00000000-0005-0000-0000-0000E11D0000}"/>
    <cellStyle name="Imported data from another worksheet 2 2 2 6" xfId="14290" xr:uid="{00000000-0005-0000-0000-0000E21D0000}"/>
    <cellStyle name="Imported data from another worksheet 2 2 2 7" xfId="13376" xr:uid="{00000000-0005-0000-0000-0000E31D0000}"/>
    <cellStyle name="Imported data from another worksheet 2 2 2 8" xfId="14644" xr:uid="{00000000-0005-0000-0000-0000E41D0000}"/>
    <cellStyle name="Imported data from another worksheet 2 2 2 9" xfId="13027" xr:uid="{00000000-0005-0000-0000-0000E51D0000}"/>
    <cellStyle name="Imported data from another worksheet 2 2 3" xfId="7440" xr:uid="{00000000-0005-0000-0000-0000E61D0000}"/>
    <cellStyle name="Imported data from another worksheet 2 2 3 2" xfId="14315" xr:uid="{00000000-0005-0000-0000-0000E71D0000}"/>
    <cellStyle name="Imported data from another worksheet 2 2 3 3" xfId="14515" xr:uid="{00000000-0005-0000-0000-0000E81D0000}"/>
    <cellStyle name="Imported data from another worksheet 2 2 3 4" xfId="14507" xr:uid="{00000000-0005-0000-0000-0000E91D0000}"/>
    <cellStyle name="Imported data from another worksheet 2 2 3 5" xfId="13424" xr:uid="{00000000-0005-0000-0000-0000EA1D0000}"/>
    <cellStyle name="Imported data from another worksheet 2 2 3 6" xfId="18398" xr:uid="{00000000-0005-0000-0000-0000EB1D0000}"/>
    <cellStyle name="Imported data from another worksheet 2 2 4" xfId="11321" xr:uid="{00000000-0005-0000-0000-0000EC1D0000}"/>
    <cellStyle name="Imported data from another worksheet 2 2 4 2" xfId="15627" xr:uid="{00000000-0005-0000-0000-0000ED1D0000}"/>
    <cellStyle name="Imported data from another worksheet 2 2 4 3" xfId="16706" xr:uid="{00000000-0005-0000-0000-0000EE1D0000}"/>
    <cellStyle name="Imported data from another worksheet 2 2 4 4" xfId="17735" xr:uid="{00000000-0005-0000-0000-0000EF1D0000}"/>
    <cellStyle name="Imported data from another worksheet 2 2 4 5" xfId="18705" xr:uid="{00000000-0005-0000-0000-0000F01D0000}"/>
    <cellStyle name="Imported data from another worksheet 2 2 4 6" xfId="19611" xr:uid="{00000000-0005-0000-0000-0000F11D0000}"/>
    <cellStyle name="Imported data from another worksheet 2 2 5" xfId="11636" xr:uid="{00000000-0005-0000-0000-0000F21D0000}"/>
    <cellStyle name="Imported data from another worksheet 2 2 5 2" xfId="15942" xr:uid="{00000000-0005-0000-0000-0000F31D0000}"/>
    <cellStyle name="Imported data from another worksheet 2 2 5 3" xfId="17021" xr:uid="{00000000-0005-0000-0000-0000F41D0000}"/>
    <cellStyle name="Imported data from another worksheet 2 2 5 4" xfId="18045" xr:uid="{00000000-0005-0000-0000-0000F51D0000}"/>
    <cellStyle name="Imported data from another worksheet 2 2 5 5" xfId="19015" xr:uid="{00000000-0005-0000-0000-0000F61D0000}"/>
    <cellStyle name="Imported data from another worksheet 2 2 5 6" xfId="19921" xr:uid="{00000000-0005-0000-0000-0000F71D0000}"/>
    <cellStyle name="Imported data from another worksheet 2 2 6" xfId="12612" xr:uid="{00000000-0005-0000-0000-0000F81D0000}"/>
    <cellStyle name="Imported data from another worksheet 2 2 7" xfId="12935" xr:uid="{00000000-0005-0000-0000-0000F91D0000}"/>
    <cellStyle name="Imported data from another worksheet 2 2 8" xfId="13390" xr:uid="{00000000-0005-0000-0000-0000FA1D0000}"/>
    <cellStyle name="Imported data from another worksheet 2 2 9" xfId="12415" xr:uid="{00000000-0005-0000-0000-0000FB1D0000}"/>
    <cellStyle name="Imported data from another worksheet 2 3" xfId="6033" xr:uid="{00000000-0005-0000-0000-0000FC1D0000}"/>
    <cellStyle name="Imported data from another worksheet 2 3 2" xfId="11129" xr:uid="{00000000-0005-0000-0000-0000FD1D0000}"/>
    <cellStyle name="Imported data from another worksheet 2 3 2 2" xfId="15435" xr:uid="{00000000-0005-0000-0000-0000FE1D0000}"/>
    <cellStyle name="Imported data from another worksheet 2 3 2 3" xfId="16514" xr:uid="{00000000-0005-0000-0000-0000FF1D0000}"/>
    <cellStyle name="Imported data from another worksheet 2 3 2 4" xfId="17548" xr:uid="{00000000-0005-0000-0000-0000001E0000}"/>
    <cellStyle name="Imported data from another worksheet 2 3 2 5" xfId="18518" xr:uid="{00000000-0005-0000-0000-0000011E0000}"/>
    <cellStyle name="Imported data from another worksheet 2 3 2 6" xfId="19424" xr:uid="{00000000-0005-0000-0000-0000021E0000}"/>
    <cellStyle name="Imported data from another worksheet 2 3 3" xfId="11711" xr:uid="{00000000-0005-0000-0000-0000031E0000}"/>
    <cellStyle name="Imported data from another worksheet 2 3 3 2" xfId="16017" xr:uid="{00000000-0005-0000-0000-0000041E0000}"/>
    <cellStyle name="Imported data from another worksheet 2 3 3 3" xfId="17096" xr:uid="{00000000-0005-0000-0000-0000051E0000}"/>
    <cellStyle name="Imported data from another worksheet 2 3 3 4" xfId="18118" xr:uid="{00000000-0005-0000-0000-0000061E0000}"/>
    <cellStyle name="Imported data from another worksheet 2 3 3 5" xfId="19088" xr:uid="{00000000-0005-0000-0000-0000071E0000}"/>
    <cellStyle name="Imported data from another worksheet 2 3 3 6" xfId="19994" xr:uid="{00000000-0005-0000-0000-0000081E0000}"/>
    <cellStyle name="Imported data from another worksheet 2 3 4" xfId="11883" xr:uid="{00000000-0005-0000-0000-0000091E0000}"/>
    <cellStyle name="Imported data from another worksheet 2 3 4 2" xfId="16189" xr:uid="{00000000-0005-0000-0000-00000A1E0000}"/>
    <cellStyle name="Imported data from another worksheet 2 3 4 3" xfId="17268" xr:uid="{00000000-0005-0000-0000-00000B1E0000}"/>
    <cellStyle name="Imported data from another worksheet 2 3 4 4" xfId="18286" xr:uid="{00000000-0005-0000-0000-00000C1E0000}"/>
    <cellStyle name="Imported data from another worksheet 2 3 4 5" xfId="19256" xr:uid="{00000000-0005-0000-0000-00000D1E0000}"/>
    <cellStyle name="Imported data from another worksheet 2 3 4 6" xfId="20162" xr:uid="{00000000-0005-0000-0000-00000E1E0000}"/>
    <cellStyle name="Imported data from another worksheet 2 3 5" xfId="13766" xr:uid="{00000000-0005-0000-0000-00000F1E0000}"/>
    <cellStyle name="Imported data from another worksheet 2 3 6" xfId="15019" xr:uid="{00000000-0005-0000-0000-0000101E0000}"/>
    <cellStyle name="Imported data from another worksheet 2 3 7" xfId="13379" xr:uid="{00000000-0005-0000-0000-0000111E0000}"/>
    <cellStyle name="Imported data from another worksheet 2 3 8" xfId="12169" xr:uid="{00000000-0005-0000-0000-0000121E0000}"/>
    <cellStyle name="Imported data from another worksheet 2 3 9" xfId="13055" xr:uid="{00000000-0005-0000-0000-0000131E0000}"/>
    <cellStyle name="Imported data from another worksheet 2 4" xfId="7349" xr:uid="{00000000-0005-0000-0000-0000141E0000}"/>
    <cellStyle name="Imported data from another worksheet 2 4 2" xfId="14281" xr:uid="{00000000-0005-0000-0000-0000151E0000}"/>
    <cellStyle name="Imported data from another worksheet 2 4 3" xfId="14034" xr:uid="{00000000-0005-0000-0000-0000161E0000}"/>
    <cellStyle name="Imported data from another worksheet 2 4 4" xfId="13188" xr:uid="{00000000-0005-0000-0000-0000171E0000}"/>
    <cellStyle name="Imported data from another worksheet 2 4 5" xfId="14588" xr:uid="{00000000-0005-0000-0000-0000181E0000}"/>
    <cellStyle name="Imported data from another worksheet 2 4 6" xfId="12564" xr:uid="{00000000-0005-0000-0000-0000191E0000}"/>
    <cellStyle name="Imported data from another worksheet 2 5" xfId="11314" xr:uid="{00000000-0005-0000-0000-00001A1E0000}"/>
    <cellStyle name="Imported data from another worksheet 2 5 2" xfId="15620" xr:uid="{00000000-0005-0000-0000-00001B1E0000}"/>
    <cellStyle name="Imported data from another worksheet 2 5 3" xfId="16699" xr:uid="{00000000-0005-0000-0000-00001C1E0000}"/>
    <cellStyle name="Imported data from another worksheet 2 5 4" xfId="17728" xr:uid="{00000000-0005-0000-0000-00001D1E0000}"/>
    <cellStyle name="Imported data from another worksheet 2 5 5" xfId="18698" xr:uid="{00000000-0005-0000-0000-00001E1E0000}"/>
    <cellStyle name="Imported data from another worksheet 2 5 6" xfId="19604" xr:uid="{00000000-0005-0000-0000-00001F1E0000}"/>
    <cellStyle name="Imported data from another worksheet 2 6" xfId="11638" xr:uid="{00000000-0005-0000-0000-0000201E0000}"/>
    <cellStyle name="Imported data from another worksheet 2 6 2" xfId="15944" xr:uid="{00000000-0005-0000-0000-0000211E0000}"/>
    <cellStyle name="Imported data from another worksheet 2 6 3" xfId="17023" xr:uid="{00000000-0005-0000-0000-0000221E0000}"/>
    <cellStyle name="Imported data from another worksheet 2 6 4" xfId="18047" xr:uid="{00000000-0005-0000-0000-0000231E0000}"/>
    <cellStyle name="Imported data from another worksheet 2 6 5" xfId="19017" xr:uid="{00000000-0005-0000-0000-0000241E0000}"/>
    <cellStyle name="Imported data from another worksheet 2 6 6" xfId="19923" xr:uid="{00000000-0005-0000-0000-0000251E0000}"/>
    <cellStyle name="Imported data from another worksheet 2 7" xfId="12579" xr:uid="{00000000-0005-0000-0000-0000261E0000}"/>
    <cellStyle name="Imported data from another worksheet 2 8" xfId="12664" xr:uid="{00000000-0005-0000-0000-0000271E0000}"/>
    <cellStyle name="Imported data from another worksheet 2 9" xfId="14349" xr:uid="{00000000-0005-0000-0000-0000281E0000}"/>
    <cellStyle name="Imported data from another worksheet 3" xfId="2685" xr:uid="{00000000-0005-0000-0000-0000291E0000}"/>
    <cellStyle name="Imported data from another worksheet 3 10" xfId="16424" xr:uid="{00000000-0005-0000-0000-00002A1E0000}"/>
    <cellStyle name="Imported data from another worksheet 3 2" xfId="6085" xr:uid="{00000000-0005-0000-0000-00002B1E0000}"/>
    <cellStyle name="Imported data from another worksheet 3 2 2" xfId="11181" xr:uid="{00000000-0005-0000-0000-00002C1E0000}"/>
    <cellStyle name="Imported data from another worksheet 3 2 2 2" xfId="15487" xr:uid="{00000000-0005-0000-0000-00002D1E0000}"/>
    <cellStyle name="Imported data from another worksheet 3 2 2 3" xfId="16566" xr:uid="{00000000-0005-0000-0000-00002E1E0000}"/>
    <cellStyle name="Imported data from another worksheet 3 2 2 4" xfId="17600" xr:uid="{00000000-0005-0000-0000-00002F1E0000}"/>
    <cellStyle name="Imported data from another worksheet 3 2 2 5" xfId="18570" xr:uid="{00000000-0005-0000-0000-0000301E0000}"/>
    <cellStyle name="Imported data from another worksheet 3 2 2 6" xfId="19476" xr:uid="{00000000-0005-0000-0000-0000311E0000}"/>
    <cellStyle name="Imported data from another worksheet 3 2 3" xfId="11763" xr:uid="{00000000-0005-0000-0000-0000321E0000}"/>
    <cellStyle name="Imported data from another worksheet 3 2 3 2" xfId="16069" xr:uid="{00000000-0005-0000-0000-0000331E0000}"/>
    <cellStyle name="Imported data from another worksheet 3 2 3 3" xfId="17148" xr:uid="{00000000-0005-0000-0000-0000341E0000}"/>
    <cellStyle name="Imported data from another worksheet 3 2 3 4" xfId="18170" xr:uid="{00000000-0005-0000-0000-0000351E0000}"/>
    <cellStyle name="Imported data from another worksheet 3 2 3 5" xfId="19140" xr:uid="{00000000-0005-0000-0000-0000361E0000}"/>
    <cellStyle name="Imported data from another worksheet 3 2 3 6" xfId="20046" xr:uid="{00000000-0005-0000-0000-0000371E0000}"/>
    <cellStyle name="Imported data from another worksheet 3 2 4" xfId="11935" xr:uid="{00000000-0005-0000-0000-0000381E0000}"/>
    <cellStyle name="Imported data from another worksheet 3 2 4 2" xfId="16241" xr:uid="{00000000-0005-0000-0000-0000391E0000}"/>
    <cellStyle name="Imported data from another worksheet 3 2 4 3" xfId="17320" xr:uid="{00000000-0005-0000-0000-00003A1E0000}"/>
    <cellStyle name="Imported data from another worksheet 3 2 4 4" xfId="18338" xr:uid="{00000000-0005-0000-0000-00003B1E0000}"/>
    <cellStyle name="Imported data from another worksheet 3 2 4 5" xfId="19308" xr:uid="{00000000-0005-0000-0000-00003C1E0000}"/>
    <cellStyle name="Imported data from another worksheet 3 2 4 6" xfId="20214" xr:uid="{00000000-0005-0000-0000-00003D1E0000}"/>
    <cellStyle name="Imported data from another worksheet 3 2 5" xfId="13818" xr:uid="{00000000-0005-0000-0000-00003E1E0000}"/>
    <cellStyle name="Imported data from another worksheet 3 2 6" xfId="13549" xr:uid="{00000000-0005-0000-0000-00003F1E0000}"/>
    <cellStyle name="Imported data from another worksheet 3 2 7" xfId="12869" xr:uid="{00000000-0005-0000-0000-0000401E0000}"/>
    <cellStyle name="Imported data from another worksheet 3 2 8" xfId="14936" xr:uid="{00000000-0005-0000-0000-0000411E0000}"/>
    <cellStyle name="Imported data from another worksheet 3 2 9" xfId="14104" xr:uid="{00000000-0005-0000-0000-0000421E0000}"/>
    <cellStyle name="Imported data from another worksheet 3 3" xfId="7788" xr:uid="{00000000-0005-0000-0000-0000431E0000}"/>
    <cellStyle name="Imported data from another worksheet 3 3 2" xfId="14439" xr:uid="{00000000-0005-0000-0000-0000441E0000}"/>
    <cellStyle name="Imported data from another worksheet 3 3 3" xfId="12644" xr:uid="{00000000-0005-0000-0000-0000451E0000}"/>
    <cellStyle name="Imported data from another worksheet 3 3 4" xfId="15309" xr:uid="{00000000-0005-0000-0000-0000461E0000}"/>
    <cellStyle name="Imported data from another worksheet 3 3 5" xfId="13566" xr:uid="{00000000-0005-0000-0000-0000471E0000}"/>
    <cellStyle name="Imported data from another worksheet 3 3 6" xfId="14684" xr:uid="{00000000-0005-0000-0000-0000481E0000}"/>
    <cellStyle name="Imported data from another worksheet 3 4" xfId="11371" xr:uid="{00000000-0005-0000-0000-0000491E0000}"/>
    <cellStyle name="Imported data from another worksheet 3 4 2" xfId="15677" xr:uid="{00000000-0005-0000-0000-00004A1E0000}"/>
    <cellStyle name="Imported data from another worksheet 3 4 3" xfId="16756" xr:uid="{00000000-0005-0000-0000-00004B1E0000}"/>
    <cellStyle name="Imported data from another worksheet 3 4 4" xfId="17785" xr:uid="{00000000-0005-0000-0000-00004C1E0000}"/>
    <cellStyle name="Imported data from another worksheet 3 4 5" xfId="18755" xr:uid="{00000000-0005-0000-0000-00004D1E0000}"/>
    <cellStyle name="Imported data from another worksheet 3 4 6" xfId="19661" xr:uid="{00000000-0005-0000-0000-00004E1E0000}"/>
    <cellStyle name="Imported data from another worksheet 3 5" xfId="11274" xr:uid="{00000000-0005-0000-0000-00004F1E0000}"/>
    <cellStyle name="Imported data from another worksheet 3 5 2" xfId="15580" xr:uid="{00000000-0005-0000-0000-0000501E0000}"/>
    <cellStyle name="Imported data from another worksheet 3 5 3" xfId="16659" xr:uid="{00000000-0005-0000-0000-0000511E0000}"/>
    <cellStyle name="Imported data from another worksheet 3 5 4" xfId="17689" xr:uid="{00000000-0005-0000-0000-0000521E0000}"/>
    <cellStyle name="Imported data from another worksheet 3 5 5" xfId="18659" xr:uid="{00000000-0005-0000-0000-0000531E0000}"/>
    <cellStyle name="Imported data from another worksheet 3 5 6" xfId="19565" xr:uid="{00000000-0005-0000-0000-0000541E0000}"/>
    <cellStyle name="Imported data from another worksheet 3 6" xfId="12742" xr:uid="{00000000-0005-0000-0000-0000551E0000}"/>
    <cellStyle name="Imported data from another worksheet 3 7" xfId="14391" xr:uid="{00000000-0005-0000-0000-0000561E0000}"/>
    <cellStyle name="Imported data from another worksheet 3 8" xfId="12003" xr:uid="{00000000-0005-0000-0000-0000571E0000}"/>
    <cellStyle name="Imported data from another worksheet 3 9" xfId="14778" xr:uid="{00000000-0005-0000-0000-0000581E0000}"/>
    <cellStyle name="Imported data from another worksheet 4" xfId="6023" xr:uid="{00000000-0005-0000-0000-0000591E0000}"/>
    <cellStyle name="Imported data from another worksheet 4 2" xfId="11119" xr:uid="{00000000-0005-0000-0000-00005A1E0000}"/>
    <cellStyle name="Imported data from another worksheet 4 2 2" xfId="15425" xr:uid="{00000000-0005-0000-0000-00005B1E0000}"/>
    <cellStyle name="Imported data from another worksheet 4 2 3" xfId="16504" xr:uid="{00000000-0005-0000-0000-00005C1E0000}"/>
    <cellStyle name="Imported data from another worksheet 4 2 4" xfId="17539" xr:uid="{00000000-0005-0000-0000-00005D1E0000}"/>
    <cellStyle name="Imported data from another worksheet 4 2 5" xfId="18509" xr:uid="{00000000-0005-0000-0000-00005E1E0000}"/>
    <cellStyle name="Imported data from another worksheet 4 2 6" xfId="19415" xr:uid="{00000000-0005-0000-0000-00005F1E0000}"/>
    <cellStyle name="Imported data from another worksheet 4 3" xfId="11701" xr:uid="{00000000-0005-0000-0000-0000601E0000}"/>
    <cellStyle name="Imported data from another worksheet 4 3 2" xfId="16007" xr:uid="{00000000-0005-0000-0000-0000611E0000}"/>
    <cellStyle name="Imported data from another worksheet 4 3 3" xfId="17086" xr:uid="{00000000-0005-0000-0000-0000621E0000}"/>
    <cellStyle name="Imported data from another worksheet 4 3 4" xfId="18109" xr:uid="{00000000-0005-0000-0000-0000631E0000}"/>
    <cellStyle name="Imported data from another worksheet 4 3 5" xfId="19079" xr:uid="{00000000-0005-0000-0000-0000641E0000}"/>
    <cellStyle name="Imported data from another worksheet 4 3 6" xfId="19985" xr:uid="{00000000-0005-0000-0000-0000651E0000}"/>
    <cellStyle name="Imported data from another worksheet 4 4" xfId="11873" xr:uid="{00000000-0005-0000-0000-0000661E0000}"/>
    <cellStyle name="Imported data from another worksheet 4 4 2" xfId="16179" xr:uid="{00000000-0005-0000-0000-0000671E0000}"/>
    <cellStyle name="Imported data from another worksheet 4 4 3" xfId="17258" xr:uid="{00000000-0005-0000-0000-0000681E0000}"/>
    <cellStyle name="Imported data from another worksheet 4 4 4" xfId="18277" xr:uid="{00000000-0005-0000-0000-0000691E0000}"/>
    <cellStyle name="Imported data from another worksheet 4 4 5" xfId="19247" xr:uid="{00000000-0005-0000-0000-00006A1E0000}"/>
    <cellStyle name="Imported data from another worksheet 4 4 6" xfId="20153" xr:uid="{00000000-0005-0000-0000-00006B1E0000}"/>
    <cellStyle name="Imported data from another worksheet 4 5" xfId="13756" xr:uid="{00000000-0005-0000-0000-00006C1E0000}"/>
    <cellStyle name="Imported data from another worksheet 4 6" xfId="12598" xr:uid="{00000000-0005-0000-0000-00006D1E0000}"/>
    <cellStyle name="Imported data from another worksheet 4 7" xfId="12937" xr:uid="{00000000-0005-0000-0000-00006E1E0000}"/>
    <cellStyle name="Imported data from another worksheet 4 8" xfId="17488" xr:uid="{00000000-0005-0000-0000-00006F1E0000}"/>
    <cellStyle name="Imported data from another worksheet 4 9" xfId="14180" xr:uid="{00000000-0005-0000-0000-0000701E0000}"/>
    <cellStyle name="Imported data from another worksheet 5" xfId="6846" xr:uid="{00000000-0005-0000-0000-0000711E0000}"/>
    <cellStyle name="Imported data from another worksheet 5 2" xfId="14160" xr:uid="{00000000-0005-0000-0000-0000721E0000}"/>
    <cellStyle name="Imported data from another worksheet 5 3" xfId="12335" xr:uid="{00000000-0005-0000-0000-0000731E0000}"/>
    <cellStyle name="Imported data from another worksheet 5 4" xfId="12244" xr:uid="{00000000-0005-0000-0000-0000741E0000}"/>
    <cellStyle name="Imported data from another worksheet 5 5" xfId="14919" xr:uid="{00000000-0005-0000-0000-0000751E0000}"/>
    <cellStyle name="Imported data from another worksheet 5 6" xfId="18400" xr:uid="{00000000-0005-0000-0000-0000761E0000}"/>
    <cellStyle name="Imported data from another worksheet 6" xfId="11259" xr:uid="{00000000-0005-0000-0000-0000771E0000}"/>
    <cellStyle name="Imported data from another worksheet 6 2" xfId="15565" xr:uid="{00000000-0005-0000-0000-0000781E0000}"/>
    <cellStyle name="Imported data from another worksheet 6 3" xfId="16644" xr:uid="{00000000-0005-0000-0000-0000791E0000}"/>
    <cellStyle name="Imported data from another worksheet 6 4" xfId="17676" xr:uid="{00000000-0005-0000-0000-00007A1E0000}"/>
    <cellStyle name="Imported data from another worksheet 6 5" xfId="18646" xr:uid="{00000000-0005-0000-0000-00007B1E0000}"/>
    <cellStyle name="Imported data from another worksheet 6 6" xfId="19552" xr:uid="{00000000-0005-0000-0000-00007C1E0000}"/>
    <cellStyle name="Imported data from another worksheet 7" xfId="11548" xr:uid="{00000000-0005-0000-0000-00007D1E0000}"/>
    <cellStyle name="Imported data from another worksheet 7 2" xfId="15854" xr:uid="{00000000-0005-0000-0000-00007E1E0000}"/>
    <cellStyle name="Imported data from another worksheet 7 3" xfId="16933" xr:uid="{00000000-0005-0000-0000-00007F1E0000}"/>
    <cellStyle name="Imported data from another worksheet 7 4" xfId="17958" xr:uid="{00000000-0005-0000-0000-0000801E0000}"/>
    <cellStyle name="Imported data from another worksheet 7 5" xfId="18928" xr:uid="{00000000-0005-0000-0000-0000811E0000}"/>
    <cellStyle name="Imported data from another worksheet 7 6" xfId="19834" xr:uid="{00000000-0005-0000-0000-0000821E0000}"/>
    <cellStyle name="Imported data from another worksheet 8" xfId="12401" xr:uid="{00000000-0005-0000-0000-0000831E0000}"/>
    <cellStyle name="Imported data from another worksheet 9" xfId="13318" xr:uid="{00000000-0005-0000-0000-0000841E0000}"/>
    <cellStyle name="inc/dec" xfId="1580" xr:uid="{00000000-0005-0000-0000-0000851E0000}"/>
    <cellStyle name="IndirectReference" xfId="1581" xr:uid="{00000000-0005-0000-0000-0000861E0000}"/>
    <cellStyle name="Input" xfId="116" builtinId="20" customBuiltin="1"/>
    <cellStyle name="Input [yellow]" xfId="1582" xr:uid="{00000000-0005-0000-0000-0000881E0000}"/>
    <cellStyle name="Input [yellow] 10" xfId="14904" xr:uid="{00000000-0005-0000-0000-0000891E0000}"/>
    <cellStyle name="Input [yellow] 11" xfId="12983" xr:uid="{00000000-0005-0000-0000-00008A1E0000}"/>
    <cellStyle name="Input [yellow] 12" xfId="14956" xr:uid="{00000000-0005-0000-0000-00008B1E0000}"/>
    <cellStyle name="Input [yellow] 2" xfId="2228" xr:uid="{00000000-0005-0000-0000-00008C1E0000}"/>
    <cellStyle name="Input [yellow] 2 2" xfId="3488" xr:uid="{00000000-0005-0000-0000-00008D1E0000}"/>
    <cellStyle name="Input [yellow] 2 2 10" xfId="14916" xr:uid="{00000000-0005-0000-0000-00008E1E0000}"/>
    <cellStyle name="Input [yellow] 2 2 11" xfId="12465" xr:uid="{00000000-0005-0000-0000-00008F1E0000}"/>
    <cellStyle name="Input [yellow] 2 2 2" xfId="6136" xr:uid="{00000000-0005-0000-0000-0000901E0000}"/>
    <cellStyle name="Input [yellow] 2 2 2 2" xfId="11232" xr:uid="{00000000-0005-0000-0000-0000911E0000}"/>
    <cellStyle name="Input [yellow] 2 2 2 2 2" xfId="15538" xr:uid="{00000000-0005-0000-0000-0000921E0000}"/>
    <cellStyle name="Input [yellow] 2 2 2 2 3" xfId="16617" xr:uid="{00000000-0005-0000-0000-0000931E0000}"/>
    <cellStyle name="Input [yellow] 2 2 2 3" xfId="11814" xr:uid="{00000000-0005-0000-0000-0000941E0000}"/>
    <cellStyle name="Input [yellow] 2 2 2 3 2" xfId="16120" xr:uid="{00000000-0005-0000-0000-0000951E0000}"/>
    <cellStyle name="Input [yellow] 2 2 2 3 3" xfId="17199" xr:uid="{00000000-0005-0000-0000-0000961E0000}"/>
    <cellStyle name="Input [yellow] 2 2 2 4" xfId="11986" xr:uid="{00000000-0005-0000-0000-0000971E0000}"/>
    <cellStyle name="Input [yellow] 2 2 2 4 2" xfId="16292" xr:uid="{00000000-0005-0000-0000-0000981E0000}"/>
    <cellStyle name="Input [yellow] 2 2 2 4 3" xfId="17371" xr:uid="{00000000-0005-0000-0000-0000991E0000}"/>
    <cellStyle name="Input [yellow] 2 2 2 5" xfId="13869" xr:uid="{00000000-0005-0000-0000-00009A1E0000}"/>
    <cellStyle name="Input [yellow] 2 2 2 6" xfId="13207" xr:uid="{00000000-0005-0000-0000-00009B1E0000}"/>
    <cellStyle name="Input [yellow] 2 2 3" xfId="5883" xr:uid="{00000000-0005-0000-0000-00009C1E0000}"/>
    <cellStyle name="Input [yellow] 2 2 3 2" xfId="10979" xr:uid="{00000000-0005-0000-0000-00009D1E0000}"/>
    <cellStyle name="Input [yellow] 2 2 3 2 2" xfId="15348" xr:uid="{00000000-0005-0000-0000-00009E1E0000}"/>
    <cellStyle name="Input [yellow] 2 2 3 2 3" xfId="16432" xr:uid="{00000000-0005-0000-0000-00009F1E0000}"/>
    <cellStyle name="Input [yellow] 2 2 3 3" xfId="11651" xr:uid="{00000000-0005-0000-0000-0000A01E0000}"/>
    <cellStyle name="Input [yellow] 2 2 3 3 2" xfId="15957" xr:uid="{00000000-0005-0000-0000-0000A11E0000}"/>
    <cellStyle name="Input [yellow] 2 2 3 3 3" xfId="17036" xr:uid="{00000000-0005-0000-0000-0000A21E0000}"/>
    <cellStyle name="Input [yellow] 2 2 3 4" xfId="11823" xr:uid="{00000000-0005-0000-0000-0000A31E0000}"/>
    <cellStyle name="Input [yellow] 2 2 3 4 2" xfId="16129" xr:uid="{00000000-0005-0000-0000-0000A41E0000}"/>
    <cellStyle name="Input [yellow] 2 2 3 4 3" xfId="17208" xr:uid="{00000000-0005-0000-0000-0000A51E0000}"/>
    <cellStyle name="Input [yellow] 2 2 3 5" xfId="13680" xr:uid="{00000000-0005-0000-0000-0000A61E0000}"/>
    <cellStyle name="Input [yellow] 2 2 3 6" xfId="13556" xr:uid="{00000000-0005-0000-0000-0000A71E0000}"/>
    <cellStyle name="Input [yellow] 2 2 4" xfId="8591" xr:uid="{00000000-0005-0000-0000-0000A81E0000}"/>
    <cellStyle name="Input [yellow] 2 2 4 2" xfId="14665" xr:uid="{00000000-0005-0000-0000-0000A91E0000}"/>
    <cellStyle name="Input [yellow] 2 2 4 3" xfId="12299" xr:uid="{00000000-0005-0000-0000-0000AA1E0000}"/>
    <cellStyle name="Input [yellow] 2 2 5" xfId="11462" xr:uid="{00000000-0005-0000-0000-0000AB1E0000}"/>
    <cellStyle name="Input [yellow] 2 2 5 2" xfId="15768" xr:uid="{00000000-0005-0000-0000-0000AC1E0000}"/>
    <cellStyle name="Input [yellow] 2 2 5 3" xfId="16847" xr:uid="{00000000-0005-0000-0000-0000AD1E0000}"/>
    <cellStyle name="Input [yellow] 2 2 6" xfId="11521" xr:uid="{00000000-0005-0000-0000-0000AE1E0000}"/>
    <cellStyle name="Input [yellow] 2 2 6 2" xfId="15827" xr:uid="{00000000-0005-0000-0000-0000AF1E0000}"/>
    <cellStyle name="Input [yellow] 2 2 6 3" xfId="16906" xr:uid="{00000000-0005-0000-0000-0000B01E0000}"/>
    <cellStyle name="Input [yellow] 2 2 7" xfId="12982" xr:uid="{00000000-0005-0000-0000-0000B11E0000}"/>
    <cellStyle name="Input [yellow] 2 2 8" xfId="13614" xr:uid="{00000000-0005-0000-0000-0000B21E0000}"/>
    <cellStyle name="Input [yellow] 2 2 9" xfId="12391" xr:uid="{00000000-0005-0000-0000-0000B31E0000}"/>
    <cellStyle name="Input [yellow] 2 3" xfId="4694" xr:uid="{00000000-0005-0000-0000-0000B41E0000}"/>
    <cellStyle name="Input [yellow] 2 3 2" xfId="9790" xr:uid="{00000000-0005-0000-0000-0000B51E0000}"/>
    <cellStyle name="Input [yellow] 2 3 2 2" xfId="15013" xr:uid="{00000000-0005-0000-0000-0000B61E0000}"/>
    <cellStyle name="Input [yellow] 2 3 2 3" xfId="14717" xr:uid="{00000000-0005-0000-0000-0000B71E0000}"/>
    <cellStyle name="Input [yellow] 2 3 3" xfId="11562" xr:uid="{00000000-0005-0000-0000-0000B81E0000}"/>
    <cellStyle name="Input [yellow] 2 3 3 2" xfId="15868" xr:uid="{00000000-0005-0000-0000-0000B91E0000}"/>
    <cellStyle name="Input [yellow] 2 3 3 3" xfId="16947" xr:uid="{00000000-0005-0000-0000-0000BA1E0000}"/>
    <cellStyle name="Input [yellow] 2 3 4" xfId="11477" xr:uid="{00000000-0005-0000-0000-0000BB1E0000}"/>
    <cellStyle name="Input [yellow] 2 3 4 2" xfId="15783" xr:uid="{00000000-0005-0000-0000-0000BC1E0000}"/>
    <cellStyle name="Input [yellow] 2 3 4 3" xfId="16862" xr:uid="{00000000-0005-0000-0000-0000BD1E0000}"/>
    <cellStyle name="Input [yellow] 2 3 5" xfId="13339" xr:uid="{00000000-0005-0000-0000-0000BE1E0000}"/>
    <cellStyle name="Input [yellow] 2 3 6" xfId="14924" xr:uid="{00000000-0005-0000-0000-0000BF1E0000}"/>
    <cellStyle name="Input [yellow] 3" xfId="3010" xr:uid="{00000000-0005-0000-0000-0000C01E0000}"/>
    <cellStyle name="Input [yellow] 3 2" xfId="6131" xr:uid="{00000000-0005-0000-0000-0000C11E0000}"/>
    <cellStyle name="Input [yellow] 3 2 2" xfId="11227" xr:uid="{00000000-0005-0000-0000-0000C21E0000}"/>
    <cellStyle name="Input [yellow] 3 2 2 2" xfId="15533" xr:uid="{00000000-0005-0000-0000-0000C31E0000}"/>
    <cellStyle name="Input [yellow] 3 2 2 3" xfId="16612" xr:uid="{00000000-0005-0000-0000-0000C41E0000}"/>
    <cellStyle name="Input [yellow] 3 2 3" xfId="11809" xr:uid="{00000000-0005-0000-0000-0000C51E0000}"/>
    <cellStyle name="Input [yellow] 3 2 3 2" xfId="16115" xr:uid="{00000000-0005-0000-0000-0000C61E0000}"/>
    <cellStyle name="Input [yellow] 3 2 3 3" xfId="17194" xr:uid="{00000000-0005-0000-0000-0000C71E0000}"/>
    <cellStyle name="Input [yellow] 3 2 4" xfId="11981" xr:uid="{00000000-0005-0000-0000-0000C81E0000}"/>
    <cellStyle name="Input [yellow] 3 2 4 2" xfId="16287" xr:uid="{00000000-0005-0000-0000-0000C91E0000}"/>
    <cellStyle name="Input [yellow] 3 2 4 3" xfId="17366" xr:uid="{00000000-0005-0000-0000-0000CA1E0000}"/>
    <cellStyle name="Input [yellow] 3 2 5" xfId="13864" xr:uid="{00000000-0005-0000-0000-0000CB1E0000}"/>
    <cellStyle name="Input [yellow] 3 2 6" xfId="15226" xr:uid="{00000000-0005-0000-0000-0000CC1E0000}"/>
    <cellStyle name="Input [yellow] 3 3" xfId="8113" xr:uid="{00000000-0005-0000-0000-0000CD1E0000}"/>
    <cellStyle name="Input [yellow] 3 3 2" xfId="14567" xr:uid="{00000000-0005-0000-0000-0000CE1E0000}"/>
    <cellStyle name="Input [yellow] 3 3 3" xfId="15185" xr:uid="{00000000-0005-0000-0000-0000CF1E0000}"/>
    <cellStyle name="Input [yellow] 3 4" xfId="11425" xr:uid="{00000000-0005-0000-0000-0000D01E0000}"/>
    <cellStyle name="Input [yellow] 3 4 2" xfId="15731" xr:uid="{00000000-0005-0000-0000-0000D11E0000}"/>
    <cellStyle name="Input [yellow] 3 4 3" xfId="16810" xr:uid="{00000000-0005-0000-0000-0000D21E0000}"/>
    <cellStyle name="Input [yellow] 3 5" xfId="11261" xr:uid="{00000000-0005-0000-0000-0000D31E0000}"/>
    <cellStyle name="Input [yellow] 3 5 2" xfId="15567" xr:uid="{00000000-0005-0000-0000-0000D41E0000}"/>
    <cellStyle name="Input [yellow] 3 5 3" xfId="16646" xr:uid="{00000000-0005-0000-0000-0000D51E0000}"/>
    <cellStyle name="Input [yellow] 3 6" xfId="12866" xr:uid="{00000000-0005-0000-0000-0000D61E0000}"/>
    <cellStyle name="Input [yellow] 3 7" xfId="12083" xr:uid="{00000000-0005-0000-0000-0000D71E0000}"/>
    <cellStyle name="Input [yellow] 4" xfId="6024" xr:uid="{00000000-0005-0000-0000-0000D81E0000}"/>
    <cellStyle name="Input [yellow] 4 2" xfId="11120" xr:uid="{00000000-0005-0000-0000-0000D91E0000}"/>
    <cellStyle name="Input [yellow] 4 2 2" xfId="15426" xr:uid="{00000000-0005-0000-0000-0000DA1E0000}"/>
    <cellStyle name="Input [yellow] 4 2 3" xfId="16505" xr:uid="{00000000-0005-0000-0000-0000DB1E0000}"/>
    <cellStyle name="Input [yellow] 4 3" xfId="11702" xr:uid="{00000000-0005-0000-0000-0000DC1E0000}"/>
    <cellStyle name="Input [yellow] 4 3 2" xfId="16008" xr:uid="{00000000-0005-0000-0000-0000DD1E0000}"/>
    <cellStyle name="Input [yellow] 4 3 3" xfId="17087" xr:uid="{00000000-0005-0000-0000-0000DE1E0000}"/>
    <cellStyle name="Input [yellow] 4 4" xfId="11874" xr:uid="{00000000-0005-0000-0000-0000DF1E0000}"/>
    <cellStyle name="Input [yellow] 4 4 2" xfId="16180" xr:uid="{00000000-0005-0000-0000-0000E01E0000}"/>
    <cellStyle name="Input [yellow] 4 4 3" xfId="17259" xr:uid="{00000000-0005-0000-0000-0000E11E0000}"/>
    <cellStyle name="Input [yellow] 4 5" xfId="13757" xr:uid="{00000000-0005-0000-0000-0000E21E0000}"/>
    <cellStyle name="Input [yellow] 4 6" xfId="14291" xr:uid="{00000000-0005-0000-0000-0000E31E0000}"/>
    <cellStyle name="Input [yellow] 5" xfId="6847" xr:uid="{00000000-0005-0000-0000-0000E41E0000}"/>
    <cellStyle name="Input [yellow] 5 2" xfId="14161" xr:uid="{00000000-0005-0000-0000-0000E51E0000}"/>
    <cellStyle name="Input [yellow] 5 3" xfId="12334" xr:uid="{00000000-0005-0000-0000-0000E61E0000}"/>
    <cellStyle name="Input [yellow] 6" xfId="11260" xr:uid="{00000000-0005-0000-0000-0000E71E0000}"/>
    <cellStyle name="Input [yellow] 6 2" xfId="15566" xr:uid="{00000000-0005-0000-0000-0000E81E0000}"/>
    <cellStyle name="Input [yellow] 6 3" xfId="16645" xr:uid="{00000000-0005-0000-0000-0000E91E0000}"/>
    <cellStyle name="Input [yellow] 7" xfId="11293" xr:uid="{00000000-0005-0000-0000-0000EA1E0000}"/>
    <cellStyle name="Input [yellow] 7 2" xfId="15599" xr:uid="{00000000-0005-0000-0000-0000EB1E0000}"/>
    <cellStyle name="Input [yellow] 7 3" xfId="16678" xr:uid="{00000000-0005-0000-0000-0000EC1E0000}"/>
    <cellStyle name="Input [yellow] 8" xfId="12402" xr:uid="{00000000-0005-0000-0000-0000ED1E0000}"/>
    <cellStyle name="Input [yellow] 9" xfId="13657" xr:uid="{00000000-0005-0000-0000-0000EE1E0000}"/>
    <cellStyle name="Input 2" xfId="51" xr:uid="{00000000-0005-0000-0000-0000EF1E0000}"/>
    <cellStyle name="Input 2 2" xfId="521" xr:uid="{00000000-0005-0000-0000-0000F01E0000}"/>
    <cellStyle name="Input 2 2 2" xfId="854" xr:uid="{00000000-0005-0000-0000-0000F11E0000}"/>
    <cellStyle name="Input 2 2 3" xfId="2336" xr:uid="{00000000-0005-0000-0000-0000F21E0000}"/>
    <cellStyle name="Input 2 2 3 10" xfId="15095" xr:uid="{00000000-0005-0000-0000-0000F31E0000}"/>
    <cellStyle name="Input 2 2 3 11" xfId="15319" xr:uid="{00000000-0005-0000-0000-0000F41E0000}"/>
    <cellStyle name="Input 2 2 3 2" xfId="6045" xr:uid="{00000000-0005-0000-0000-0000F51E0000}"/>
    <cellStyle name="Input 2 2 3 2 2" xfId="11141" xr:uid="{00000000-0005-0000-0000-0000F61E0000}"/>
    <cellStyle name="Input 2 2 3 2 2 2" xfId="15447" xr:uid="{00000000-0005-0000-0000-0000F71E0000}"/>
    <cellStyle name="Input 2 2 3 2 2 3" xfId="16526" xr:uid="{00000000-0005-0000-0000-0000F81E0000}"/>
    <cellStyle name="Input 2 2 3 2 2 4" xfId="17560" xr:uid="{00000000-0005-0000-0000-0000F91E0000}"/>
    <cellStyle name="Input 2 2 3 2 2 5" xfId="18530" xr:uid="{00000000-0005-0000-0000-0000FA1E0000}"/>
    <cellStyle name="Input 2 2 3 2 2 6" xfId="19436" xr:uid="{00000000-0005-0000-0000-0000FB1E0000}"/>
    <cellStyle name="Input 2 2 3 2 3" xfId="11723" xr:uid="{00000000-0005-0000-0000-0000FC1E0000}"/>
    <cellStyle name="Input 2 2 3 2 3 2" xfId="16029" xr:uid="{00000000-0005-0000-0000-0000FD1E0000}"/>
    <cellStyle name="Input 2 2 3 2 3 3" xfId="17108" xr:uid="{00000000-0005-0000-0000-0000FE1E0000}"/>
    <cellStyle name="Input 2 2 3 2 3 4" xfId="18130" xr:uid="{00000000-0005-0000-0000-0000FF1E0000}"/>
    <cellStyle name="Input 2 2 3 2 3 5" xfId="19100" xr:uid="{00000000-0005-0000-0000-0000001F0000}"/>
    <cellStyle name="Input 2 2 3 2 3 6" xfId="20006" xr:uid="{00000000-0005-0000-0000-0000011F0000}"/>
    <cellStyle name="Input 2 2 3 2 4" xfId="11895" xr:uid="{00000000-0005-0000-0000-0000021F0000}"/>
    <cellStyle name="Input 2 2 3 2 4 2" xfId="16201" xr:uid="{00000000-0005-0000-0000-0000031F0000}"/>
    <cellStyle name="Input 2 2 3 2 4 3" xfId="17280" xr:uid="{00000000-0005-0000-0000-0000041F0000}"/>
    <cellStyle name="Input 2 2 3 2 4 4" xfId="18298" xr:uid="{00000000-0005-0000-0000-0000051F0000}"/>
    <cellStyle name="Input 2 2 3 2 4 5" xfId="19268" xr:uid="{00000000-0005-0000-0000-0000061F0000}"/>
    <cellStyle name="Input 2 2 3 2 4 6" xfId="20174" xr:uid="{00000000-0005-0000-0000-0000071F0000}"/>
    <cellStyle name="Input 2 2 3 2 5" xfId="13778" xr:uid="{00000000-0005-0000-0000-0000081F0000}"/>
    <cellStyle name="Input 2 2 3 2 6" xfId="13689" xr:uid="{00000000-0005-0000-0000-0000091F0000}"/>
    <cellStyle name="Input 2 2 3 2 7" xfId="14149" xr:uid="{00000000-0005-0000-0000-00000A1F0000}"/>
    <cellStyle name="Input 2 2 3 2 8" xfId="12049" xr:uid="{00000000-0005-0000-0000-00000B1F0000}"/>
    <cellStyle name="Input 2 2 3 2 9" xfId="12546" xr:uid="{00000000-0005-0000-0000-00000C1F0000}"/>
    <cellStyle name="Input 2 2 3 3" xfId="4788" xr:uid="{00000000-0005-0000-0000-00000D1F0000}"/>
    <cellStyle name="Input 2 2 3 3 2" xfId="9884" xr:uid="{00000000-0005-0000-0000-00000E1F0000}"/>
    <cellStyle name="Input 2 2 3 3 2 2" xfId="15039" xr:uid="{00000000-0005-0000-0000-00000F1F0000}"/>
    <cellStyle name="Input 2 2 3 3 2 3" xfId="12078" xr:uid="{00000000-0005-0000-0000-0000101F0000}"/>
    <cellStyle name="Input 2 2 3 3 2 4" xfId="12597" xr:uid="{00000000-0005-0000-0000-0000111F0000}"/>
    <cellStyle name="Input 2 2 3 3 2 5" xfId="16359" xr:uid="{00000000-0005-0000-0000-0000121F0000}"/>
    <cellStyle name="Input 2 2 3 3 2 6" xfId="12498" xr:uid="{00000000-0005-0000-0000-0000131F0000}"/>
    <cellStyle name="Input 2 2 3 3 3" xfId="11565" xr:uid="{00000000-0005-0000-0000-0000141F0000}"/>
    <cellStyle name="Input 2 2 3 3 3 2" xfId="15871" xr:uid="{00000000-0005-0000-0000-0000151F0000}"/>
    <cellStyle name="Input 2 2 3 3 3 3" xfId="16950" xr:uid="{00000000-0005-0000-0000-0000161F0000}"/>
    <cellStyle name="Input 2 2 3 3 3 4" xfId="17974" xr:uid="{00000000-0005-0000-0000-0000171F0000}"/>
    <cellStyle name="Input 2 2 3 3 3 5" xfId="18944" xr:uid="{00000000-0005-0000-0000-0000181F0000}"/>
    <cellStyle name="Input 2 2 3 3 3 6" xfId="19850" xr:uid="{00000000-0005-0000-0000-0000191F0000}"/>
    <cellStyle name="Input 2 2 3 3 4" xfId="6145" xr:uid="{00000000-0005-0000-0000-00001A1F0000}"/>
    <cellStyle name="Input 2 2 3 3 4 2" xfId="13878" xr:uid="{00000000-0005-0000-0000-00001B1F0000}"/>
    <cellStyle name="Input 2 2 3 3 4 3" xfId="14888" xr:uid="{00000000-0005-0000-0000-00001C1F0000}"/>
    <cellStyle name="Input 2 2 3 3 4 4" xfId="15099" xr:uid="{00000000-0005-0000-0000-00001D1F0000}"/>
    <cellStyle name="Input 2 2 3 3 4 5" xfId="15317" xr:uid="{00000000-0005-0000-0000-00001E1F0000}"/>
    <cellStyle name="Input 2 2 3 3 4 6" xfId="18417" xr:uid="{00000000-0005-0000-0000-00001F1F0000}"/>
    <cellStyle name="Input 2 2 3 3 5" xfId="13368" xr:uid="{00000000-0005-0000-0000-0000201F0000}"/>
    <cellStyle name="Input 2 2 3 3 6" xfId="12422" xr:uid="{00000000-0005-0000-0000-0000211F0000}"/>
    <cellStyle name="Input 2 2 3 3 7" xfId="12532" xr:uid="{00000000-0005-0000-0000-0000221F0000}"/>
    <cellStyle name="Input 2 2 3 3 8" xfId="12016" xr:uid="{00000000-0005-0000-0000-0000231F0000}"/>
    <cellStyle name="Input 2 2 3 3 9" xfId="14607" xr:uid="{00000000-0005-0000-0000-0000241F0000}"/>
    <cellStyle name="Input 2 2 3 4" xfId="7445" xr:uid="{00000000-0005-0000-0000-0000251F0000}"/>
    <cellStyle name="Input 2 2 3 4 2" xfId="14320" xr:uid="{00000000-0005-0000-0000-0000261F0000}"/>
    <cellStyle name="Input 2 2 3 4 3" xfId="12154" xr:uid="{00000000-0005-0000-0000-0000271F0000}"/>
    <cellStyle name="Input 2 2 3 4 4" xfId="12072" xr:uid="{00000000-0005-0000-0000-0000281F0000}"/>
    <cellStyle name="Input 2 2 3 4 5" xfId="14210" xr:uid="{00000000-0005-0000-0000-0000291F0000}"/>
    <cellStyle name="Input 2 2 3 4 6" xfId="13352" xr:uid="{00000000-0005-0000-0000-00002A1F0000}"/>
    <cellStyle name="Input 2 2 3 5" xfId="11326" xr:uid="{00000000-0005-0000-0000-00002B1F0000}"/>
    <cellStyle name="Input 2 2 3 5 2" xfId="15632" xr:uid="{00000000-0005-0000-0000-00002C1F0000}"/>
    <cellStyle name="Input 2 2 3 5 3" xfId="16711" xr:uid="{00000000-0005-0000-0000-00002D1F0000}"/>
    <cellStyle name="Input 2 2 3 5 4" xfId="17740" xr:uid="{00000000-0005-0000-0000-00002E1F0000}"/>
    <cellStyle name="Input 2 2 3 5 5" xfId="18710" xr:uid="{00000000-0005-0000-0000-00002F1F0000}"/>
    <cellStyle name="Input 2 2 3 5 6" xfId="19616" xr:uid="{00000000-0005-0000-0000-0000301F0000}"/>
    <cellStyle name="Input 2 2 3 6" xfId="11446" xr:uid="{00000000-0005-0000-0000-0000311F0000}"/>
    <cellStyle name="Input 2 2 3 6 2" xfId="15752" xr:uid="{00000000-0005-0000-0000-0000321F0000}"/>
    <cellStyle name="Input 2 2 3 6 3" xfId="16831" xr:uid="{00000000-0005-0000-0000-0000331F0000}"/>
    <cellStyle name="Input 2 2 3 6 4" xfId="17859" xr:uid="{00000000-0005-0000-0000-0000341F0000}"/>
    <cellStyle name="Input 2 2 3 6 5" xfId="18829" xr:uid="{00000000-0005-0000-0000-0000351F0000}"/>
    <cellStyle name="Input 2 2 3 6 6" xfId="19735" xr:uid="{00000000-0005-0000-0000-0000361F0000}"/>
    <cellStyle name="Input 2 2 3 7" xfId="12617" xr:uid="{00000000-0005-0000-0000-0000371F0000}"/>
    <cellStyle name="Input 2 2 3 8" xfId="14625" xr:uid="{00000000-0005-0000-0000-0000381F0000}"/>
    <cellStyle name="Input 2 2 3 9" xfId="13158" xr:uid="{00000000-0005-0000-0000-0000391F0000}"/>
    <cellStyle name="Input 2 2 4" xfId="3605" xr:uid="{00000000-0005-0000-0000-00003A1F0000}"/>
    <cellStyle name="Input 2 2 4 2" xfId="8704" xr:uid="{00000000-0005-0000-0000-00003B1F0000}"/>
    <cellStyle name="Input 2 2 4 2 2" xfId="14705" xr:uid="{00000000-0005-0000-0000-00003C1F0000}"/>
    <cellStyle name="Input 2 2 4 2 3" xfId="13446" xr:uid="{00000000-0005-0000-0000-00003D1F0000}"/>
    <cellStyle name="Input 2 2 4 2 4" xfId="13700" xr:uid="{00000000-0005-0000-0000-00003E1F0000}"/>
    <cellStyle name="Input 2 2 4 2 5" xfId="17377" xr:uid="{00000000-0005-0000-0000-00003F1F0000}"/>
    <cellStyle name="Input 2 2 4 2 6" xfId="16402" xr:uid="{00000000-0005-0000-0000-0000401F0000}"/>
    <cellStyle name="Input 2 2 4 3" xfId="11470" xr:uid="{00000000-0005-0000-0000-0000411F0000}"/>
    <cellStyle name="Input 2 2 4 3 2" xfId="15776" xr:uid="{00000000-0005-0000-0000-0000421F0000}"/>
    <cellStyle name="Input 2 2 4 3 3" xfId="16855" xr:uid="{00000000-0005-0000-0000-0000431F0000}"/>
    <cellStyle name="Input 2 2 4 3 4" xfId="17882" xr:uid="{00000000-0005-0000-0000-0000441F0000}"/>
    <cellStyle name="Input 2 2 4 3 5" xfId="18852" xr:uid="{00000000-0005-0000-0000-0000451F0000}"/>
    <cellStyle name="Input 2 2 4 3 6" xfId="19758" xr:uid="{00000000-0005-0000-0000-0000461F0000}"/>
    <cellStyle name="Input 2 2 4 4" xfId="11517" xr:uid="{00000000-0005-0000-0000-0000471F0000}"/>
    <cellStyle name="Input 2 2 4 4 2" xfId="15823" xr:uid="{00000000-0005-0000-0000-0000481F0000}"/>
    <cellStyle name="Input 2 2 4 4 3" xfId="16902" xr:uid="{00000000-0005-0000-0000-0000491F0000}"/>
    <cellStyle name="Input 2 2 4 4 4" xfId="17928" xr:uid="{00000000-0005-0000-0000-00004A1F0000}"/>
    <cellStyle name="Input 2 2 4 4 5" xfId="18898" xr:uid="{00000000-0005-0000-0000-00004B1F0000}"/>
    <cellStyle name="Input 2 2 4 4 6" xfId="19804" xr:uid="{00000000-0005-0000-0000-00004C1F0000}"/>
    <cellStyle name="Input 2 2 4 5" xfId="13020" xr:uid="{00000000-0005-0000-0000-00004D1F0000}"/>
    <cellStyle name="Input 2 2 4 6" xfId="13393" xr:uid="{00000000-0005-0000-0000-00004E1F0000}"/>
    <cellStyle name="Input 2 2 4 7" xfId="14175" xr:uid="{00000000-0005-0000-0000-00004F1F0000}"/>
    <cellStyle name="Input 2 2 4 8" xfId="15212" xr:uid="{00000000-0005-0000-0000-0000501F0000}"/>
    <cellStyle name="Input 2 2 4 9" xfId="14652" xr:uid="{00000000-0005-0000-0000-0000511F0000}"/>
    <cellStyle name="Input 2 3" xfId="1011" xr:uid="{00000000-0005-0000-0000-0000521F0000}"/>
    <cellStyle name="Input 2 3 10" xfId="12575" xr:uid="{00000000-0005-0000-0000-0000531F0000}"/>
    <cellStyle name="Input 2 3 11" xfId="14725" xr:uid="{00000000-0005-0000-0000-0000541F0000}"/>
    <cellStyle name="Input 2 3 12" xfId="14639" xr:uid="{00000000-0005-0000-0000-0000551F0000}"/>
    <cellStyle name="Input 2 3 2" xfId="1103" xr:uid="{00000000-0005-0000-0000-0000561F0000}"/>
    <cellStyle name="Input 2 3 2 2" xfId="2693" xr:uid="{00000000-0005-0000-0000-0000571F0000}"/>
    <cellStyle name="Input 2 3 2 2 10" xfId="13581" xr:uid="{00000000-0005-0000-0000-0000581F0000}"/>
    <cellStyle name="Input 2 3 2 2 11" xfId="13644" xr:uid="{00000000-0005-0000-0000-0000591F0000}"/>
    <cellStyle name="Input 2 3 2 2 2" xfId="6093" xr:uid="{00000000-0005-0000-0000-00005A1F0000}"/>
    <cellStyle name="Input 2 3 2 2 2 2" xfId="11189" xr:uid="{00000000-0005-0000-0000-00005B1F0000}"/>
    <cellStyle name="Input 2 3 2 2 2 2 2" xfId="15495" xr:uid="{00000000-0005-0000-0000-00005C1F0000}"/>
    <cellStyle name="Input 2 3 2 2 2 2 3" xfId="16574" xr:uid="{00000000-0005-0000-0000-00005D1F0000}"/>
    <cellStyle name="Input 2 3 2 2 2 2 4" xfId="17608" xr:uid="{00000000-0005-0000-0000-00005E1F0000}"/>
    <cellStyle name="Input 2 3 2 2 2 2 5" xfId="18578" xr:uid="{00000000-0005-0000-0000-00005F1F0000}"/>
    <cellStyle name="Input 2 3 2 2 2 2 6" xfId="19484" xr:uid="{00000000-0005-0000-0000-0000601F0000}"/>
    <cellStyle name="Input 2 3 2 2 2 3" xfId="11771" xr:uid="{00000000-0005-0000-0000-0000611F0000}"/>
    <cellStyle name="Input 2 3 2 2 2 3 2" xfId="16077" xr:uid="{00000000-0005-0000-0000-0000621F0000}"/>
    <cellStyle name="Input 2 3 2 2 2 3 3" xfId="17156" xr:uid="{00000000-0005-0000-0000-0000631F0000}"/>
    <cellStyle name="Input 2 3 2 2 2 3 4" xfId="18178" xr:uid="{00000000-0005-0000-0000-0000641F0000}"/>
    <cellStyle name="Input 2 3 2 2 2 3 5" xfId="19148" xr:uid="{00000000-0005-0000-0000-0000651F0000}"/>
    <cellStyle name="Input 2 3 2 2 2 3 6" xfId="20054" xr:uid="{00000000-0005-0000-0000-0000661F0000}"/>
    <cellStyle name="Input 2 3 2 2 2 4" xfId="11943" xr:uid="{00000000-0005-0000-0000-0000671F0000}"/>
    <cellStyle name="Input 2 3 2 2 2 4 2" xfId="16249" xr:uid="{00000000-0005-0000-0000-0000681F0000}"/>
    <cellStyle name="Input 2 3 2 2 2 4 3" xfId="17328" xr:uid="{00000000-0005-0000-0000-0000691F0000}"/>
    <cellStyle name="Input 2 3 2 2 2 4 4" xfId="18346" xr:uid="{00000000-0005-0000-0000-00006A1F0000}"/>
    <cellStyle name="Input 2 3 2 2 2 4 5" xfId="19316" xr:uid="{00000000-0005-0000-0000-00006B1F0000}"/>
    <cellStyle name="Input 2 3 2 2 2 4 6" xfId="20222" xr:uid="{00000000-0005-0000-0000-00006C1F0000}"/>
    <cellStyle name="Input 2 3 2 2 2 5" xfId="13826" xr:uid="{00000000-0005-0000-0000-00006D1F0000}"/>
    <cellStyle name="Input 2 3 2 2 2 6" xfId="13547" xr:uid="{00000000-0005-0000-0000-00006E1F0000}"/>
    <cellStyle name="Input 2 3 2 2 2 7" xfId="15247" xr:uid="{00000000-0005-0000-0000-00006F1F0000}"/>
    <cellStyle name="Input 2 3 2 2 2 8" xfId="13084" xr:uid="{00000000-0005-0000-0000-0000701F0000}"/>
    <cellStyle name="Input 2 3 2 2 2 9" xfId="17454" xr:uid="{00000000-0005-0000-0000-0000711F0000}"/>
    <cellStyle name="Input 2 3 2 2 3" xfId="5101" xr:uid="{00000000-0005-0000-0000-0000721F0000}"/>
    <cellStyle name="Input 2 3 2 2 3 2" xfId="10197" xr:uid="{00000000-0005-0000-0000-0000731F0000}"/>
    <cellStyle name="Input 2 3 2 2 3 2 2" xfId="15135" xr:uid="{00000000-0005-0000-0000-0000741F0000}"/>
    <cellStyle name="Input 2 3 2 2 3 2 3" xfId="13141" xr:uid="{00000000-0005-0000-0000-0000751F0000}"/>
    <cellStyle name="Input 2 3 2 2 3 2 4" xfId="12446" xr:uid="{00000000-0005-0000-0000-0000761F0000}"/>
    <cellStyle name="Input 2 3 2 2 3 2 5" xfId="13088" xr:uid="{00000000-0005-0000-0000-0000771F0000}"/>
    <cellStyle name="Input 2 3 2 2 3 2 6" xfId="12703" xr:uid="{00000000-0005-0000-0000-0000781F0000}"/>
    <cellStyle name="Input 2 3 2 2 3 3" xfId="11579" xr:uid="{00000000-0005-0000-0000-0000791F0000}"/>
    <cellStyle name="Input 2 3 2 2 3 3 2" xfId="15885" xr:uid="{00000000-0005-0000-0000-00007A1F0000}"/>
    <cellStyle name="Input 2 3 2 2 3 3 3" xfId="16964" xr:uid="{00000000-0005-0000-0000-00007B1F0000}"/>
    <cellStyle name="Input 2 3 2 2 3 3 4" xfId="17988" xr:uid="{00000000-0005-0000-0000-00007C1F0000}"/>
    <cellStyle name="Input 2 3 2 2 3 3 5" xfId="18958" xr:uid="{00000000-0005-0000-0000-00007D1F0000}"/>
    <cellStyle name="Input 2 3 2 2 3 3 6" xfId="19864" xr:uid="{00000000-0005-0000-0000-00007E1F0000}"/>
    <cellStyle name="Input 2 3 2 2 3 4" xfId="11242" xr:uid="{00000000-0005-0000-0000-00007F1F0000}"/>
    <cellStyle name="Input 2 3 2 2 3 4 2" xfId="15548" xr:uid="{00000000-0005-0000-0000-0000801F0000}"/>
    <cellStyle name="Input 2 3 2 2 3 4 3" xfId="16627" xr:uid="{00000000-0005-0000-0000-0000811F0000}"/>
    <cellStyle name="Input 2 3 2 2 3 4 4" xfId="17659" xr:uid="{00000000-0005-0000-0000-0000821F0000}"/>
    <cellStyle name="Input 2 3 2 2 3 4 5" xfId="18629" xr:uid="{00000000-0005-0000-0000-0000831F0000}"/>
    <cellStyle name="Input 2 3 2 2 3 4 6" xfId="19535" xr:uid="{00000000-0005-0000-0000-0000841F0000}"/>
    <cellStyle name="Input 2 3 2 2 3 5" xfId="13455" xr:uid="{00000000-0005-0000-0000-0000851F0000}"/>
    <cellStyle name="Input 2 3 2 2 3 6" xfId="12985" xr:uid="{00000000-0005-0000-0000-0000861F0000}"/>
    <cellStyle name="Input 2 3 2 2 3 7" xfId="12671" xr:uid="{00000000-0005-0000-0000-0000871F0000}"/>
    <cellStyle name="Input 2 3 2 2 3 8" xfId="14344" xr:uid="{00000000-0005-0000-0000-0000881F0000}"/>
    <cellStyle name="Input 2 3 2 2 3 9" xfId="12289" xr:uid="{00000000-0005-0000-0000-0000891F0000}"/>
    <cellStyle name="Input 2 3 2 2 4" xfId="7796" xr:uid="{00000000-0005-0000-0000-00008A1F0000}"/>
    <cellStyle name="Input 2 3 2 2 4 2" xfId="14447" xr:uid="{00000000-0005-0000-0000-00008B1F0000}"/>
    <cellStyle name="Input 2 3 2 2 4 3" xfId="12313" xr:uid="{00000000-0005-0000-0000-00008C1F0000}"/>
    <cellStyle name="Input 2 3 2 2 4 4" xfId="12544" xr:uid="{00000000-0005-0000-0000-00008D1F0000}"/>
    <cellStyle name="Input 2 3 2 2 4 5" xfId="17384" xr:uid="{00000000-0005-0000-0000-00008E1F0000}"/>
    <cellStyle name="Input 2 3 2 2 4 6" xfId="14373" xr:uid="{00000000-0005-0000-0000-00008F1F0000}"/>
    <cellStyle name="Input 2 3 2 2 5" xfId="11379" xr:uid="{00000000-0005-0000-0000-0000901F0000}"/>
    <cellStyle name="Input 2 3 2 2 5 2" xfId="15685" xr:uid="{00000000-0005-0000-0000-0000911F0000}"/>
    <cellStyle name="Input 2 3 2 2 5 3" xfId="16764" xr:uid="{00000000-0005-0000-0000-0000921F0000}"/>
    <cellStyle name="Input 2 3 2 2 5 4" xfId="17793" xr:uid="{00000000-0005-0000-0000-0000931F0000}"/>
    <cellStyle name="Input 2 3 2 2 5 5" xfId="18763" xr:uid="{00000000-0005-0000-0000-0000941F0000}"/>
    <cellStyle name="Input 2 3 2 2 5 6" xfId="19669" xr:uid="{00000000-0005-0000-0000-0000951F0000}"/>
    <cellStyle name="Input 2 3 2 2 6" xfId="11532" xr:uid="{00000000-0005-0000-0000-0000961F0000}"/>
    <cellStyle name="Input 2 3 2 2 6 2" xfId="15838" xr:uid="{00000000-0005-0000-0000-0000971F0000}"/>
    <cellStyle name="Input 2 3 2 2 6 3" xfId="16917" xr:uid="{00000000-0005-0000-0000-0000981F0000}"/>
    <cellStyle name="Input 2 3 2 2 6 4" xfId="17942" xr:uid="{00000000-0005-0000-0000-0000991F0000}"/>
    <cellStyle name="Input 2 3 2 2 6 5" xfId="18912" xr:uid="{00000000-0005-0000-0000-00009A1F0000}"/>
    <cellStyle name="Input 2 3 2 2 6 6" xfId="19818" xr:uid="{00000000-0005-0000-0000-00009B1F0000}"/>
    <cellStyle name="Input 2 3 2 2 7" xfId="12750" xr:uid="{00000000-0005-0000-0000-00009C1F0000}"/>
    <cellStyle name="Input 2 3 2 2 8" xfId="12054" xr:uid="{00000000-0005-0000-0000-00009D1F0000}"/>
    <cellStyle name="Input 2 3 2 2 9" xfId="13682" xr:uid="{00000000-0005-0000-0000-00009E1F0000}"/>
    <cellStyle name="Input 2 3 2 3" xfId="3918" xr:uid="{00000000-0005-0000-0000-00009F1F0000}"/>
    <cellStyle name="Input 2 3 2 3 2" xfId="9017" xr:uid="{00000000-0005-0000-0000-0000A01F0000}"/>
    <cellStyle name="Input 2 3 2 3 2 2" xfId="14795" xr:uid="{00000000-0005-0000-0000-0000A11F0000}"/>
    <cellStyle name="Input 2 3 2 3 2 3" xfId="13990" xr:uid="{00000000-0005-0000-0000-0000A21F0000}"/>
    <cellStyle name="Input 2 3 2 3 2 4" xfId="13533" xr:uid="{00000000-0005-0000-0000-0000A31F0000}"/>
    <cellStyle name="Input 2 3 2 3 2 5" xfId="12628" xr:uid="{00000000-0005-0000-0000-0000A41F0000}"/>
    <cellStyle name="Input 2 3 2 3 2 6" xfId="14591" xr:uid="{00000000-0005-0000-0000-0000A51F0000}"/>
    <cellStyle name="Input 2 3 2 3 3" xfId="11485" xr:uid="{00000000-0005-0000-0000-0000A61F0000}"/>
    <cellStyle name="Input 2 3 2 3 3 2" xfId="15791" xr:uid="{00000000-0005-0000-0000-0000A71F0000}"/>
    <cellStyle name="Input 2 3 2 3 3 3" xfId="16870" xr:uid="{00000000-0005-0000-0000-0000A81F0000}"/>
    <cellStyle name="Input 2 3 2 3 3 4" xfId="17896" xr:uid="{00000000-0005-0000-0000-0000A91F0000}"/>
    <cellStyle name="Input 2 3 2 3 3 5" xfId="18866" xr:uid="{00000000-0005-0000-0000-0000AA1F0000}"/>
    <cellStyle name="Input 2 3 2 3 3 6" xfId="19772" xr:uid="{00000000-0005-0000-0000-0000AB1F0000}"/>
    <cellStyle name="Input 2 3 2 3 4" xfId="6181" xr:uid="{00000000-0005-0000-0000-0000AC1F0000}"/>
    <cellStyle name="Input 2 3 2 3 4 2" xfId="13913" xr:uid="{00000000-0005-0000-0000-0000AD1F0000}"/>
    <cellStyle name="Input 2 3 2 3 4 3" xfId="12370" xr:uid="{00000000-0005-0000-0000-0000AE1F0000}"/>
    <cellStyle name="Input 2 3 2 3 4 4" xfId="14989" xr:uid="{00000000-0005-0000-0000-0000AF1F0000}"/>
    <cellStyle name="Input 2 3 2 3 4 5" xfId="12555" xr:uid="{00000000-0005-0000-0000-0000B01F0000}"/>
    <cellStyle name="Input 2 3 2 3 4 6" xfId="12920" xr:uid="{00000000-0005-0000-0000-0000B11F0000}"/>
    <cellStyle name="Input 2 3 2 3 5" xfId="13107" xr:uid="{00000000-0005-0000-0000-0000B21F0000}"/>
    <cellStyle name="Input 2 3 2 3 6" xfId="15286" xr:uid="{00000000-0005-0000-0000-0000B31F0000}"/>
    <cellStyle name="Input 2 3 2 3 7" xfId="16382" xr:uid="{00000000-0005-0000-0000-0000B41F0000}"/>
    <cellStyle name="Input 2 3 2 3 8" xfId="13650" xr:uid="{00000000-0005-0000-0000-0000B51F0000}"/>
    <cellStyle name="Input 2 3 2 3 9" xfId="18432" xr:uid="{00000000-0005-0000-0000-0000B61F0000}"/>
    <cellStyle name="Input 2 3 3" xfId="2641" xr:uid="{00000000-0005-0000-0000-0000B71F0000}"/>
    <cellStyle name="Input 2 3 3 10" xfId="16422" xr:uid="{00000000-0005-0000-0000-0000B81F0000}"/>
    <cellStyle name="Input 2 3 3 2" xfId="6057" xr:uid="{00000000-0005-0000-0000-0000B91F0000}"/>
    <cellStyle name="Input 2 3 3 2 2" xfId="11153" xr:uid="{00000000-0005-0000-0000-0000BA1F0000}"/>
    <cellStyle name="Input 2 3 3 2 2 2" xfId="15459" xr:uid="{00000000-0005-0000-0000-0000BB1F0000}"/>
    <cellStyle name="Input 2 3 3 2 2 3" xfId="16538" xr:uid="{00000000-0005-0000-0000-0000BC1F0000}"/>
    <cellStyle name="Input 2 3 3 2 2 4" xfId="17572" xr:uid="{00000000-0005-0000-0000-0000BD1F0000}"/>
    <cellStyle name="Input 2 3 3 2 2 5" xfId="18542" xr:uid="{00000000-0005-0000-0000-0000BE1F0000}"/>
    <cellStyle name="Input 2 3 3 2 2 6" xfId="19448" xr:uid="{00000000-0005-0000-0000-0000BF1F0000}"/>
    <cellStyle name="Input 2 3 3 2 3" xfId="11735" xr:uid="{00000000-0005-0000-0000-0000C01F0000}"/>
    <cellStyle name="Input 2 3 3 2 3 2" xfId="16041" xr:uid="{00000000-0005-0000-0000-0000C11F0000}"/>
    <cellStyle name="Input 2 3 3 2 3 3" xfId="17120" xr:uid="{00000000-0005-0000-0000-0000C21F0000}"/>
    <cellStyle name="Input 2 3 3 2 3 4" xfId="18142" xr:uid="{00000000-0005-0000-0000-0000C31F0000}"/>
    <cellStyle name="Input 2 3 3 2 3 5" xfId="19112" xr:uid="{00000000-0005-0000-0000-0000C41F0000}"/>
    <cellStyle name="Input 2 3 3 2 3 6" xfId="20018" xr:uid="{00000000-0005-0000-0000-0000C51F0000}"/>
    <cellStyle name="Input 2 3 3 2 4" xfId="11907" xr:uid="{00000000-0005-0000-0000-0000C61F0000}"/>
    <cellStyle name="Input 2 3 3 2 4 2" xfId="16213" xr:uid="{00000000-0005-0000-0000-0000C71F0000}"/>
    <cellStyle name="Input 2 3 3 2 4 3" xfId="17292" xr:uid="{00000000-0005-0000-0000-0000C81F0000}"/>
    <cellStyle name="Input 2 3 3 2 4 4" xfId="18310" xr:uid="{00000000-0005-0000-0000-0000C91F0000}"/>
    <cellStyle name="Input 2 3 3 2 4 5" xfId="19280" xr:uid="{00000000-0005-0000-0000-0000CA1F0000}"/>
    <cellStyle name="Input 2 3 3 2 4 6" xfId="20186" xr:uid="{00000000-0005-0000-0000-0000CB1F0000}"/>
    <cellStyle name="Input 2 3 3 2 5" xfId="13790" xr:uid="{00000000-0005-0000-0000-0000CC1F0000}"/>
    <cellStyle name="Input 2 3 3 2 6" xfId="15020" xr:uid="{00000000-0005-0000-0000-0000CD1F0000}"/>
    <cellStyle name="Input 2 3 3 2 7" xfId="12282" xr:uid="{00000000-0005-0000-0000-0000CE1F0000}"/>
    <cellStyle name="Input 2 3 3 2 8" xfId="13240" xr:uid="{00000000-0005-0000-0000-0000CF1F0000}"/>
    <cellStyle name="Input 2 3 3 2 9" xfId="15296" xr:uid="{00000000-0005-0000-0000-0000D01F0000}"/>
    <cellStyle name="Input 2 3 3 3" xfId="7744" xr:uid="{00000000-0005-0000-0000-0000D11F0000}"/>
    <cellStyle name="Input 2 3 3 3 2" xfId="14410" xr:uid="{00000000-0005-0000-0000-0000D21F0000}"/>
    <cellStyle name="Input 2 3 3 3 3" xfId="13081" xr:uid="{00000000-0005-0000-0000-0000D31F0000}"/>
    <cellStyle name="Input 2 3 3 3 4" xfId="15288" xr:uid="{00000000-0005-0000-0000-0000D41F0000}"/>
    <cellStyle name="Input 2 3 3 3 5" xfId="14194" xr:uid="{00000000-0005-0000-0000-0000D51F0000}"/>
    <cellStyle name="Input 2 3 3 3 6" xfId="12304" xr:uid="{00000000-0005-0000-0000-0000D61F0000}"/>
    <cellStyle name="Input 2 3 3 4" xfId="11343" xr:uid="{00000000-0005-0000-0000-0000D71F0000}"/>
    <cellStyle name="Input 2 3 3 4 2" xfId="15649" xr:uid="{00000000-0005-0000-0000-0000D81F0000}"/>
    <cellStyle name="Input 2 3 3 4 3" xfId="16728" xr:uid="{00000000-0005-0000-0000-0000D91F0000}"/>
    <cellStyle name="Input 2 3 3 4 4" xfId="17757" xr:uid="{00000000-0005-0000-0000-0000DA1F0000}"/>
    <cellStyle name="Input 2 3 3 4 5" xfId="18727" xr:uid="{00000000-0005-0000-0000-0000DB1F0000}"/>
    <cellStyle name="Input 2 3 3 4 6" xfId="19633" xr:uid="{00000000-0005-0000-0000-0000DC1F0000}"/>
    <cellStyle name="Input 2 3 3 5" xfId="11542" xr:uid="{00000000-0005-0000-0000-0000DD1F0000}"/>
    <cellStyle name="Input 2 3 3 5 2" xfId="15848" xr:uid="{00000000-0005-0000-0000-0000DE1F0000}"/>
    <cellStyle name="Input 2 3 3 5 3" xfId="16927" xr:uid="{00000000-0005-0000-0000-0000DF1F0000}"/>
    <cellStyle name="Input 2 3 3 5 4" xfId="17952" xr:uid="{00000000-0005-0000-0000-0000E01F0000}"/>
    <cellStyle name="Input 2 3 3 5 5" xfId="18922" xr:uid="{00000000-0005-0000-0000-0000E11F0000}"/>
    <cellStyle name="Input 2 3 3 5 6" xfId="19828" xr:uid="{00000000-0005-0000-0000-0000E21F0000}"/>
    <cellStyle name="Input 2 3 3 6" xfId="12711" xr:uid="{00000000-0005-0000-0000-0000E31F0000}"/>
    <cellStyle name="Input 2 3 3 7" xfId="13948" xr:uid="{00000000-0005-0000-0000-0000E41F0000}"/>
    <cellStyle name="Input 2 3 3 8" xfId="12589" xr:uid="{00000000-0005-0000-0000-0000E51F0000}"/>
    <cellStyle name="Input 2 3 3 9" xfId="15278" xr:uid="{00000000-0005-0000-0000-0000E61F0000}"/>
    <cellStyle name="Input 2 3 4" xfId="5982" xr:uid="{00000000-0005-0000-0000-0000E71F0000}"/>
    <cellStyle name="Input 2 3 4 2" xfId="11078" xr:uid="{00000000-0005-0000-0000-0000E81F0000}"/>
    <cellStyle name="Input 2 3 4 2 2" xfId="15384" xr:uid="{00000000-0005-0000-0000-0000E91F0000}"/>
    <cellStyle name="Input 2 3 4 2 3" xfId="16463" xr:uid="{00000000-0005-0000-0000-0000EA1F0000}"/>
    <cellStyle name="Input 2 3 4 2 4" xfId="17498" xr:uid="{00000000-0005-0000-0000-0000EB1F0000}"/>
    <cellStyle name="Input 2 3 4 2 5" xfId="18468" xr:uid="{00000000-0005-0000-0000-0000EC1F0000}"/>
    <cellStyle name="Input 2 3 4 2 6" xfId="19374" xr:uid="{00000000-0005-0000-0000-0000ED1F0000}"/>
    <cellStyle name="Input 2 3 4 3" xfId="11660" xr:uid="{00000000-0005-0000-0000-0000EE1F0000}"/>
    <cellStyle name="Input 2 3 4 3 2" xfId="15966" xr:uid="{00000000-0005-0000-0000-0000EF1F0000}"/>
    <cellStyle name="Input 2 3 4 3 3" xfId="17045" xr:uid="{00000000-0005-0000-0000-0000F01F0000}"/>
    <cellStyle name="Input 2 3 4 3 4" xfId="18068" xr:uid="{00000000-0005-0000-0000-0000F11F0000}"/>
    <cellStyle name="Input 2 3 4 3 5" xfId="19038" xr:uid="{00000000-0005-0000-0000-0000F21F0000}"/>
    <cellStyle name="Input 2 3 4 3 6" xfId="19944" xr:uid="{00000000-0005-0000-0000-0000F31F0000}"/>
    <cellStyle name="Input 2 3 4 4" xfId="11832" xr:uid="{00000000-0005-0000-0000-0000F41F0000}"/>
    <cellStyle name="Input 2 3 4 4 2" xfId="16138" xr:uid="{00000000-0005-0000-0000-0000F51F0000}"/>
    <cellStyle name="Input 2 3 4 4 3" xfId="17217" xr:uid="{00000000-0005-0000-0000-0000F61F0000}"/>
    <cellStyle name="Input 2 3 4 4 4" xfId="18236" xr:uid="{00000000-0005-0000-0000-0000F71F0000}"/>
    <cellStyle name="Input 2 3 4 4 5" xfId="19206" xr:uid="{00000000-0005-0000-0000-0000F81F0000}"/>
    <cellStyle name="Input 2 3 4 4 6" xfId="20112" xr:uid="{00000000-0005-0000-0000-0000F91F0000}"/>
    <cellStyle name="Input 2 3 4 5" xfId="13715" xr:uid="{00000000-0005-0000-0000-0000FA1F0000}"/>
    <cellStyle name="Input 2 3 4 6" xfId="12382" xr:uid="{00000000-0005-0000-0000-0000FB1F0000}"/>
    <cellStyle name="Input 2 3 4 7" xfId="13660" xr:uid="{00000000-0005-0000-0000-0000FC1F0000}"/>
    <cellStyle name="Input 2 3 4 8" xfId="15287" xr:uid="{00000000-0005-0000-0000-0000FD1F0000}"/>
    <cellStyle name="Input 2 3 4 9" xfId="158" xr:uid="{00000000-0005-0000-0000-0000FE1F0000}"/>
    <cellStyle name="Input 2 3 5" xfId="6488" xr:uid="{00000000-0005-0000-0000-0000FF1F0000}"/>
    <cellStyle name="Input 2 3 5 2" xfId="14001" xr:uid="{00000000-0005-0000-0000-000000200000}"/>
    <cellStyle name="Input 2 3 5 3" xfId="14878" xr:uid="{00000000-0005-0000-0000-000001200000}"/>
    <cellStyle name="Input 2 3 5 4" xfId="15092" xr:uid="{00000000-0005-0000-0000-000002200000}"/>
    <cellStyle name="Input 2 3 5 5" xfId="14386" xr:uid="{00000000-0005-0000-0000-000003200000}"/>
    <cellStyle name="Input 2 3 5 6" xfId="13670" xr:uid="{00000000-0005-0000-0000-000004200000}"/>
    <cellStyle name="Input 2 3 6" xfId="6704" xr:uid="{00000000-0005-0000-0000-000005200000}"/>
    <cellStyle name="Input 2 3 6 2" xfId="14100" xr:uid="{00000000-0005-0000-0000-000006200000}"/>
    <cellStyle name="Input 2 3 6 3" xfId="12351" xr:uid="{00000000-0005-0000-0000-000007200000}"/>
    <cellStyle name="Input 2 3 6 4" xfId="15331" xr:uid="{00000000-0005-0000-0000-000008200000}"/>
    <cellStyle name="Input 2 3 6 5" xfId="17392" xr:uid="{00000000-0005-0000-0000-000009200000}"/>
    <cellStyle name="Input 2 3 6 6" xfId="15305" xr:uid="{00000000-0005-0000-0000-00000A200000}"/>
    <cellStyle name="Input 2 3 7" xfId="11558" xr:uid="{00000000-0005-0000-0000-00000B200000}"/>
    <cellStyle name="Input 2 3 7 2" xfId="15864" xr:uid="{00000000-0005-0000-0000-00000C200000}"/>
    <cellStyle name="Input 2 3 7 3" xfId="16943" xr:uid="{00000000-0005-0000-0000-00000D200000}"/>
    <cellStyle name="Input 2 3 7 4" xfId="17968" xr:uid="{00000000-0005-0000-0000-00000E200000}"/>
    <cellStyle name="Input 2 3 7 5" xfId="18938" xr:uid="{00000000-0005-0000-0000-00000F200000}"/>
    <cellStyle name="Input 2 3 7 6" xfId="19844" xr:uid="{00000000-0005-0000-0000-000010200000}"/>
    <cellStyle name="Input 2 3 8" xfId="12203" xr:uid="{00000000-0005-0000-0000-000011200000}"/>
    <cellStyle name="Input 2 3 9" xfId="12069" xr:uid="{00000000-0005-0000-0000-000012200000}"/>
    <cellStyle name="Input 2 4" xfId="1583" xr:uid="{00000000-0005-0000-0000-000013200000}"/>
    <cellStyle name="Input 2 5" xfId="161" xr:uid="{00000000-0005-0000-0000-000014200000}"/>
    <cellStyle name="Input 3" xfId="382" xr:uid="{00000000-0005-0000-0000-000015200000}"/>
    <cellStyle name="Input 3 2" xfId="855" xr:uid="{00000000-0005-0000-0000-000016200000}"/>
    <cellStyle name="Input 3 3" xfId="1012" xr:uid="{00000000-0005-0000-0000-000017200000}"/>
    <cellStyle name="Input 3 3 10" xfId="12595" xr:uid="{00000000-0005-0000-0000-000018200000}"/>
    <cellStyle name="Input 3 3 11" xfId="13292" xr:uid="{00000000-0005-0000-0000-000019200000}"/>
    <cellStyle name="Input 3 3 12" xfId="17484" xr:uid="{00000000-0005-0000-0000-00001A200000}"/>
    <cellStyle name="Input 3 3 2" xfId="1104" xr:uid="{00000000-0005-0000-0000-00001B200000}"/>
    <cellStyle name="Input 3 3 2 2" xfId="2694" xr:uid="{00000000-0005-0000-0000-00001C200000}"/>
    <cellStyle name="Input 3 3 2 2 10" xfId="14274" xr:uid="{00000000-0005-0000-0000-00001D200000}"/>
    <cellStyle name="Input 3 3 2 2 11" xfId="15203" xr:uid="{00000000-0005-0000-0000-00001E200000}"/>
    <cellStyle name="Input 3 3 2 2 2" xfId="6094" xr:uid="{00000000-0005-0000-0000-00001F200000}"/>
    <cellStyle name="Input 3 3 2 2 2 2" xfId="11190" xr:uid="{00000000-0005-0000-0000-000020200000}"/>
    <cellStyle name="Input 3 3 2 2 2 2 2" xfId="15496" xr:uid="{00000000-0005-0000-0000-000021200000}"/>
    <cellStyle name="Input 3 3 2 2 2 2 3" xfId="16575" xr:uid="{00000000-0005-0000-0000-000022200000}"/>
    <cellStyle name="Input 3 3 2 2 2 2 4" xfId="17609" xr:uid="{00000000-0005-0000-0000-000023200000}"/>
    <cellStyle name="Input 3 3 2 2 2 2 5" xfId="18579" xr:uid="{00000000-0005-0000-0000-000024200000}"/>
    <cellStyle name="Input 3 3 2 2 2 2 6" xfId="19485" xr:uid="{00000000-0005-0000-0000-000025200000}"/>
    <cellStyle name="Input 3 3 2 2 2 3" xfId="11772" xr:uid="{00000000-0005-0000-0000-000026200000}"/>
    <cellStyle name="Input 3 3 2 2 2 3 2" xfId="16078" xr:uid="{00000000-0005-0000-0000-000027200000}"/>
    <cellStyle name="Input 3 3 2 2 2 3 3" xfId="17157" xr:uid="{00000000-0005-0000-0000-000028200000}"/>
    <cellStyle name="Input 3 3 2 2 2 3 4" xfId="18179" xr:uid="{00000000-0005-0000-0000-000029200000}"/>
    <cellStyle name="Input 3 3 2 2 2 3 5" xfId="19149" xr:uid="{00000000-0005-0000-0000-00002A200000}"/>
    <cellStyle name="Input 3 3 2 2 2 3 6" xfId="20055" xr:uid="{00000000-0005-0000-0000-00002B200000}"/>
    <cellStyle name="Input 3 3 2 2 2 4" xfId="11944" xr:uid="{00000000-0005-0000-0000-00002C200000}"/>
    <cellStyle name="Input 3 3 2 2 2 4 2" xfId="16250" xr:uid="{00000000-0005-0000-0000-00002D200000}"/>
    <cellStyle name="Input 3 3 2 2 2 4 3" xfId="17329" xr:uid="{00000000-0005-0000-0000-00002E200000}"/>
    <cellStyle name="Input 3 3 2 2 2 4 4" xfId="18347" xr:uid="{00000000-0005-0000-0000-00002F200000}"/>
    <cellStyle name="Input 3 3 2 2 2 4 5" xfId="19317" xr:uid="{00000000-0005-0000-0000-000030200000}"/>
    <cellStyle name="Input 3 3 2 2 2 4 6" xfId="20223" xr:uid="{00000000-0005-0000-0000-000031200000}"/>
    <cellStyle name="Input 3 3 2 2 2 5" xfId="13827" xr:uid="{00000000-0005-0000-0000-000032200000}"/>
    <cellStyle name="Input 3 3 2 2 2 6" xfId="12854" xr:uid="{00000000-0005-0000-0000-000033200000}"/>
    <cellStyle name="Input 3 3 2 2 2 7" xfId="14752" xr:uid="{00000000-0005-0000-0000-000034200000}"/>
    <cellStyle name="Input 3 3 2 2 2 8" xfId="16305" xr:uid="{00000000-0005-0000-0000-000035200000}"/>
    <cellStyle name="Input 3 3 2 2 2 9" xfId="12329" xr:uid="{00000000-0005-0000-0000-000036200000}"/>
    <cellStyle name="Input 3 3 2 2 3" xfId="5102" xr:uid="{00000000-0005-0000-0000-000037200000}"/>
    <cellStyle name="Input 3 3 2 2 3 2" xfId="10198" xr:uid="{00000000-0005-0000-0000-000038200000}"/>
    <cellStyle name="Input 3 3 2 2 3 2 2" xfId="15136" xr:uid="{00000000-0005-0000-0000-000039200000}"/>
    <cellStyle name="Input 3 3 2 2 3 2 3" xfId="14485" xr:uid="{00000000-0005-0000-0000-00003A200000}"/>
    <cellStyle name="Input 3 3 2 2 3 2 4" xfId="13929" xr:uid="{00000000-0005-0000-0000-00003B200000}"/>
    <cellStyle name="Input 3 3 2 2 3 2 5" xfId="15282" xr:uid="{00000000-0005-0000-0000-00003C200000}"/>
    <cellStyle name="Input 3 3 2 2 3 2 6" xfId="13147" xr:uid="{00000000-0005-0000-0000-00003D200000}"/>
    <cellStyle name="Input 3 3 2 2 3 3" xfId="11580" xr:uid="{00000000-0005-0000-0000-00003E200000}"/>
    <cellStyle name="Input 3 3 2 2 3 3 2" xfId="15886" xr:uid="{00000000-0005-0000-0000-00003F200000}"/>
    <cellStyle name="Input 3 3 2 2 3 3 3" xfId="16965" xr:uid="{00000000-0005-0000-0000-000040200000}"/>
    <cellStyle name="Input 3 3 2 2 3 3 4" xfId="17989" xr:uid="{00000000-0005-0000-0000-000041200000}"/>
    <cellStyle name="Input 3 3 2 2 3 3 5" xfId="18959" xr:uid="{00000000-0005-0000-0000-000042200000}"/>
    <cellStyle name="Input 3 3 2 2 3 3 6" xfId="19865" xr:uid="{00000000-0005-0000-0000-000043200000}"/>
    <cellStyle name="Input 3 3 2 2 3 4" xfId="11475" xr:uid="{00000000-0005-0000-0000-000044200000}"/>
    <cellStyle name="Input 3 3 2 2 3 4 2" xfId="15781" xr:uid="{00000000-0005-0000-0000-000045200000}"/>
    <cellStyle name="Input 3 3 2 2 3 4 3" xfId="16860" xr:uid="{00000000-0005-0000-0000-000046200000}"/>
    <cellStyle name="Input 3 3 2 2 3 4 4" xfId="17887" xr:uid="{00000000-0005-0000-0000-000047200000}"/>
    <cellStyle name="Input 3 3 2 2 3 4 5" xfId="18857" xr:uid="{00000000-0005-0000-0000-000048200000}"/>
    <cellStyle name="Input 3 3 2 2 3 4 6" xfId="19763" xr:uid="{00000000-0005-0000-0000-000049200000}"/>
    <cellStyle name="Input 3 3 2 2 3 5" xfId="13456" xr:uid="{00000000-0005-0000-0000-00004A200000}"/>
    <cellStyle name="Input 3 3 2 2 3 6" xfId="12582" xr:uid="{00000000-0005-0000-0000-00004B200000}"/>
    <cellStyle name="Input 3 3 2 2 3 7" xfId="14232" xr:uid="{00000000-0005-0000-0000-00004C200000}"/>
    <cellStyle name="Input 3 3 2 2 3 8" xfId="14990" xr:uid="{00000000-0005-0000-0000-00004D200000}"/>
    <cellStyle name="Input 3 3 2 2 3 9" xfId="13187" xr:uid="{00000000-0005-0000-0000-00004E200000}"/>
    <cellStyle name="Input 3 3 2 2 4" xfId="7797" xr:uid="{00000000-0005-0000-0000-00004F200000}"/>
    <cellStyle name="Input 3 3 2 2 4 2" xfId="14448" xr:uid="{00000000-0005-0000-0000-000050200000}"/>
    <cellStyle name="Input 3 3 2 2 4 3" xfId="12084" xr:uid="{00000000-0005-0000-0000-000051200000}"/>
    <cellStyle name="Input 3 3 2 2 4 4" xfId="15016" xr:uid="{00000000-0005-0000-0000-000052200000}"/>
    <cellStyle name="Input 3 3 2 2 4 5" xfId="14494" xr:uid="{00000000-0005-0000-0000-000053200000}"/>
    <cellStyle name="Input 3 3 2 2 4 6" xfId="12969" xr:uid="{00000000-0005-0000-0000-000054200000}"/>
    <cellStyle name="Input 3 3 2 2 5" xfId="11380" xr:uid="{00000000-0005-0000-0000-000055200000}"/>
    <cellStyle name="Input 3 3 2 2 5 2" xfId="15686" xr:uid="{00000000-0005-0000-0000-000056200000}"/>
    <cellStyle name="Input 3 3 2 2 5 3" xfId="16765" xr:uid="{00000000-0005-0000-0000-000057200000}"/>
    <cellStyle name="Input 3 3 2 2 5 4" xfId="17794" xr:uid="{00000000-0005-0000-0000-000058200000}"/>
    <cellStyle name="Input 3 3 2 2 5 5" xfId="18764" xr:uid="{00000000-0005-0000-0000-000059200000}"/>
    <cellStyle name="Input 3 3 2 2 5 6" xfId="19670" xr:uid="{00000000-0005-0000-0000-00005A200000}"/>
    <cellStyle name="Input 3 3 2 2 6" xfId="11623" xr:uid="{00000000-0005-0000-0000-00005B200000}"/>
    <cellStyle name="Input 3 3 2 2 6 2" xfId="15929" xr:uid="{00000000-0005-0000-0000-00005C200000}"/>
    <cellStyle name="Input 3 3 2 2 6 3" xfId="17008" xr:uid="{00000000-0005-0000-0000-00005D200000}"/>
    <cellStyle name="Input 3 3 2 2 6 4" xfId="18032" xr:uid="{00000000-0005-0000-0000-00005E200000}"/>
    <cellStyle name="Input 3 3 2 2 6 5" xfId="19002" xr:uid="{00000000-0005-0000-0000-00005F200000}"/>
    <cellStyle name="Input 3 3 2 2 6 6" xfId="19908" xr:uid="{00000000-0005-0000-0000-000060200000}"/>
    <cellStyle name="Input 3 3 2 2 7" xfId="12751" xr:uid="{00000000-0005-0000-0000-000061200000}"/>
    <cellStyle name="Input 3 3 2 2 8" xfId="12041" xr:uid="{00000000-0005-0000-0000-000062200000}"/>
    <cellStyle name="Input 3 3 2 2 9" xfId="15339" xr:uid="{00000000-0005-0000-0000-000063200000}"/>
    <cellStyle name="Input 3 3 2 3" xfId="3919" xr:uid="{00000000-0005-0000-0000-000064200000}"/>
    <cellStyle name="Input 3 3 2 3 2" xfId="9018" xr:uid="{00000000-0005-0000-0000-000065200000}"/>
    <cellStyle name="Input 3 3 2 3 2 2" xfId="14796" xr:uid="{00000000-0005-0000-0000-000066200000}"/>
    <cellStyle name="Input 3 3 2 3 2 3" xfId="14782" xr:uid="{00000000-0005-0000-0000-000067200000}"/>
    <cellStyle name="Input 3 3 2 3 2 4" xfId="13026" xr:uid="{00000000-0005-0000-0000-000068200000}"/>
    <cellStyle name="Input 3 3 2 3 2 5" xfId="12396" xr:uid="{00000000-0005-0000-0000-000069200000}"/>
    <cellStyle name="Input 3 3 2 3 2 6" xfId="12867" xr:uid="{00000000-0005-0000-0000-00006A200000}"/>
    <cellStyle name="Input 3 3 2 3 3" xfId="11486" xr:uid="{00000000-0005-0000-0000-00006B200000}"/>
    <cellStyle name="Input 3 3 2 3 3 2" xfId="15792" xr:uid="{00000000-0005-0000-0000-00006C200000}"/>
    <cellStyle name="Input 3 3 2 3 3 3" xfId="16871" xr:uid="{00000000-0005-0000-0000-00006D200000}"/>
    <cellStyle name="Input 3 3 2 3 3 4" xfId="17897" xr:uid="{00000000-0005-0000-0000-00006E200000}"/>
    <cellStyle name="Input 3 3 2 3 3 5" xfId="18867" xr:uid="{00000000-0005-0000-0000-00006F200000}"/>
    <cellStyle name="Input 3 3 2 3 3 6" xfId="19773" xr:uid="{00000000-0005-0000-0000-000070200000}"/>
    <cellStyle name="Input 3 3 2 3 4" xfId="6177" xr:uid="{00000000-0005-0000-0000-000071200000}"/>
    <cellStyle name="Input 3 3 2 3 4 2" xfId="13909" xr:uid="{00000000-0005-0000-0000-000072200000}"/>
    <cellStyle name="Input 3 3 2 3 4 3" xfId="14545" xr:uid="{00000000-0005-0000-0000-000073200000}"/>
    <cellStyle name="Input 3 3 2 3 4 4" xfId="12306" xr:uid="{00000000-0005-0000-0000-000074200000}"/>
    <cellStyle name="Input 3 3 2 3 4 5" xfId="13094" xr:uid="{00000000-0005-0000-0000-000075200000}"/>
    <cellStyle name="Input 3 3 2 3 4 6" xfId="12067" xr:uid="{00000000-0005-0000-0000-000076200000}"/>
    <cellStyle name="Input 3 3 2 3 5" xfId="13108" xr:uid="{00000000-0005-0000-0000-000077200000}"/>
    <cellStyle name="Input 3 3 2 3 6" xfId="13606" xr:uid="{00000000-0005-0000-0000-000078200000}"/>
    <cellStyle name="Input 3 3 2 3 7" xfId="171" xr:uid="{00000000-0005-0000-0000-000079200000}"/>
    <cellStyle name="Input 3 3 2 3 8" xfId="14202" xr:uid="{00000000-0005-0000-0000-00007A200000}"/>
    <cellStyle name="Input 3 3 2 3 9" xfId="12643" xr:uid="{00000000-0005-0000-0000-00007B200000}"/>
    <cellStyle name="Input 3 3 3" xfId="2642" xr:uid="{00000000-0005-0000-0000-00007C200000}"/>
    <cellStyle name="Input 3 3 3 10" xfId="13707" xr:uid="{00000000-0005-0000-0000-00007D200000}"/>
    <cellStyle name="Input 3 3 3 2" xfId="6058" xr:uid="{00000000-0005-0000-0000-00007E200000}"/>
    <cellStyle name="Input 3 3 3 2 2" xfId="11154" xr:uid="{00000000-0005-0000-0000-00007F200000}"/>
    <cellStyle name="Input 3 3 3 2 2 2" xfId="15460" xr:uid="{00000000-0005-0000-0000-000080200000}"/>
    <cellStyle name="Input 3 3 3 2 2 3" xfId="16539" xr:uid="{00000000-0005-0000-0000-000081200000}"/>
    <cellStyle name="Input 3 3 3 2 2 4" xfId="17573" xr:uid="{00000000-0005-0000-0000-000082200000}"/>
    <cellStyle name="Input 3 3 3 2 2 5" xfId="18543" xr:uid="{00000000-0005-0000-0000-000083200000}"/>
    <cellStyle name="Input 3 3 3 2 2 6" xfId="19449" xr:uid="{00000000-0005-0000-0000-000084200000}"/>
    <cellStyle name="Input 3 3 3 2 3" xfId="11736" xr:uid="{00000000-0005-0000-0000-000085200000}"/>
    <cellStyle name="Input 3 3 3 2 3 2" xfId="16042" xr:uid="{00000000-0005-0000-0000-000086200000}"/>
    <cellStyle name="Input 3 3 3 2 3 3" xfId="17121" xr:uid="{00000000-0005-0000-0000-000087200000}"/>
    <cellStyle name="Input 3 3 3 2 3 4" xfId="18143" xr:uid="{00000000-0005-0000-0000-000088200000}"/>
    <cellStyle name="Input 3 3 3 2 3 5" xfId="19113" xr:uid="{00000000-0005-0000-0000-000089200000}"/>
    <cellStyle name="Input 3 3 3 2 3 6" xfId="20019" xr:uid="{00000000-0005-0000-0000-00008A200000}"/>
    <cellStyle name="Input 3 3 3 2 4" xfId="11908" xr:uid="{00000000-0005-0000-0000-00008B200000}"/>
    <cellStyle name="Input 3 3 3 2 4 2" xfId="16214" xr:uid="{00000000-0005-0000-0000-00008C200000}"/>
    <cellStyle name="Input 3 3 3 2 4 3" xfId="17293" xr:uid="{00000000-0005-0000-0000-00008D200000}"/>
    <cellStyle name="Input 3 3 3 2 4 4" xfId="18311" xr:uid="{00000000-0005-0000-0000-00008E200000}"/>
    <cellStyle name="Input 3 3 3 2 4 5" xfId="19281" xr:uid="{00000000-0005-0000-0000-00008F200000}"/>
    <cellStyle name="Input 3 3 3 2 4 6" xfId="20187" xr:uid="{00000000-0005-0000-0000-000090200000}"/>
    <cellStyle name="Input 3 3 3 2 5" xfId="13791" xr:uid="{00000000-0005-0000-0000-000091200000}"/>
    <cellStyle name="Input 3 3 3 2 6" xfId="13344" xr:uid="{00000000-0005-0000-0000-000092200000}"/>
    <cellStyle name="Input 3 3 3 2 7" xfId="13233" xr:uid="{00000000-0005-0000-0000-000093200000}"/>
    <cellStyle name="Input 3 3 3 2 8" xfId="13706" xr:uid="{00000000-0005-0000-0000-000094200000}"/>
    <cellStyle name="Input 3 3 3 2 9" xfId="18452" xr:uid="{00000000-0005-0000-0000-000095200000}"/>
    <cellStyle name="Input 3 3 3 3" xfId="7745" xr:uid="{00000000-0005-0000-0000-000096200000}"/>
    <cellStyle name="Input 3 3 3 3 2" xfId="14411" xr:uid="{00000000-0005-0000-0000-000097200000}"/>
    <cellStyle name="Input 3 3 3 3 3" xfId="14388" xr:uid="{00000000-0005-0000-0000-000098200000}"/>
    <cellStyle name="Input 3 3 3 3 4" xfId="14736" xr:uid="{00000000-0005-0000-0000-000099200000}"/>
    <cellStyle name="Input 3 3 3 3 5" xfId="14677" xr:uid="{00000000-0005-0000-0000-00009A200000}"/>
    <cellStyle name="Input 3 3 3 3 6" xfId="13383" xr:uid="{00000000-0005-0000-0000-00009B200000}"/>
    <cellStyle name="Input 3 3 3 4" xfId="11344" xr:uid="{00000000-0005-0000-0000-00009C200000}"/>
    <cellStyle name="Input 3 3 3 4 2" xfId="15650" xr:uid="{00000000-0005-0000-0000-00009D200000}"/>
    <cellStyle name="Input 3 3 3 4 3" xfId="16729" xr:uid="{00000000-0005-0000-0000-00009E200000}"/>
    <cellStyle name="Input 3 3 3 4 4" xfId="17758" xr:uid="{00000000-0005-0000-0000-00009F200000}"/>
    <cellStyle name="Input 3 3 3 4 5" xfId="18728" xr:uid="{00000000-0005-0000-0000-0000A0200000}"/>
    <cellStyle name="Input 3 3 3 4 6" xfId="19634" xr:uid="{00000000-0005-0000-0000-0000A1200000}"/>
    <cellStyle name="Input 3 3 3 5" xfId="11632" xr:uid="{00000000-0005-0000-0000-0000A2200000}"/>
    <cellStyle name="Input 3 3 3 5 2" xfId="15938" xr:uid="{00000000-0005-0000-0000-0000A3200000}"/>
    <cellStyle name="Input 3 3 3 5 3" xfId="17017" xr:uid="{00000000-0005-0000-0000-0000A4200000}"/>
    <cellStyle name="Input 3 3 3 5 4" xfId="18041" xr:uid="{00000000-0005-0000-0000-0000A5200000}"/>
    <cellStyle name="Input 3 3 3 5 5" xfId="19011" xr:uid="{00000000-0005-0000-0000-0000A6200000}"/>
    <cellStyle name="Input 3 3 3 5 6" xfId="19917" xr:uid="{00000000-0005-0000-0000-0000A7200000}"/>
    <cellStyle name="Input 3 3 3 6" xfId="12712" xr:uid="{00000000-0005-0000-0000-0000A8200000}"/>
    <cellStyle name="Input 3 3 3 7" xfId="14751" xr:uid="{00000000-0005-0000-0000-0000A9200000}"/>
    <cellStyle name="Input 3 3 3 8" xfId="14071" xr:uid="{00000000-0005-0000-0000-0000AA200000}"/>
    <cellStyle name="Input 3 3 3 9" xfId="14875" xr:uid="{00000000-0005-0000-0000-0000AB200000}"/>
    <cellStyle name="Input 3 3 4" xfId="5983" xr:uid="{00000000-0005-0000-0000-0000AC200000}"/>
    <cellStyle name="Input 3 3 4 2" xfId="11079" xr:uid="{00000000-0005-0000-0000-0000AD200000}"/>
    <cellStyle name="Input 3 3 4 2 2" xfId="15385" xr:uid="{00000000-0005-0000-0000-0000AE200000}"/>
    <cellStyle name="Input 3 3 4 2 3" xfId="16464" xr:uid="{00000000-0005-0000-0000-0000AF200000}"/>
    <cellStyle name="Input 3 3 4 2 4" xfId="17499" xr:uid="{00000000-0005-0000-0000-0000B0200000}"/>
    <cellStyle name="Input 3 3 4 2 5" xfId="18469" xr:uid="{00000000-0005-0000-0000-0000B1200000}"/>
    <cellStyle name="Input 3 3 4 2 6" xfId="19375" xr:uid="{00000000-0005-0000-0000-0000B2200000}"/>
    <cellStyle name="Input 3 3 4 3" xfId="11661" xr:uid="{00000000-0005-0000-0000-0000B3200000}"/>
    <cellStyle name="Input 3 3 4 3 2" xfId="15967" xr:uid="{00000000-0005-0000-0000-0000B4200000}"/>
    <cellStyle name="Input 3 3 4 3 3" xfId="17046" xr:uid="{00000000-0005-0000-0000-0000B5200000}"/>
    <cellStyle name="Input 3 3 4 3 4" xfId="18069" xr:uid="{00000000-0005-0000-0000-0000B6200000}"/>
    <cellStyle name="Input 3 3 4 3 5" xfId="19039" xr:uid="{00000000-0005-0000-0000-0000B7200000}"/>
    <cellStyle name="Input 3 3 4 3 6" xfId="19945" xr:uid="{00000000-0005-0000-0000-0000B8200000}"/>
    <cellStyle name="Input 3 3 4 4" xfId="11833" xr:uid="{00000000-0005-0000-0000-0000B9200000}"/>
    <cellStyle name="Input 3 3 4 4 2" xfId="16139" xr:uid="{00000000-0005-0000-0000-0000BA200000}"/>
    <cellStyle name="Input 3 3 4 4 3" xfId="17218" xr:uid="{00000000-0005-0000-0000-0000BB200000}"/>
    <cellStyle name="Input 3 3 4 4 4" xfId="18237" xr:uid="{00000000-0005-0000-0000-0000BC200000}"/>
    <cellStyle name="Input 3 3 4 4 5" xfId="19207" xr:uid="{00000000-0005-0000-0000-0000BD200000}"/>
    <cellStyle name="Input 3 3 4 4 6" xfId="20113" xr:uid="{00000000-0005-0000-0000-0000BE200000}"/>
    <cellStyle name="Input 3 3 4 5" xfId="13716" xr:uid="{00000000-0005-0000-0000-0000BF200000}"/>
    <cellStyle name="Input 3 3 4 6" xfId="12172" xr:uid="{00000000-0005-0000-0000-0000C0200000}"/>
    <cellStyle name="Input 3 3 4 7" xfId="12691" xr:uid="{00000000-0005-0000-0000-0000C1200000}"/>
    <cellStyle name="Input 3 3 4 8" xfId="15267" xr:uid="{00000000-0005-0000-0000-0000C2200000}"/>
    <cellStyle name="Input 3 3 4 9" xfId="18426" xr:uid="{00000000-0005-0000-0000-0000C3200000}"/>
    <cellStyle name="Input 3 3 5" xfId="6489" xr:uid="{00000000-0005-0000-0000-0000C4200000}"/>
    <cellStyle name="Input 3 3 5 2" xfId="14002" xr:uid="{00000000-0005-0000-0000-0000C5200000}"/>
    <cellStyle name="Input 3 3 5 3" xfId="13191" xr:uid="{00000000-0005-0000-0000-0000C6200000}"/>
    <cellStyle name="Input 3 3 5 4" xfId="14187" xr:uid="{00000000-0005-0000-0000-0000C7200000}"/>
    <cellStyle name="Input 3 3 5 5" xfId="12797" xr:uid="{00000000-0005-0000-0000-0000C8200000}"/>
    <cellStyle name="Input 3 3 5 6" xfId="18407" xr:uid="{00000000-0005-0000-0000-0000C9200000}"/>
    <cellStyle name="Input 3 3 6" xfId="6162" xr:uid="{00000000-0005-0000-0000-0000CA200000}"/>
    <cellStyle name="Input 3 3 6 2" xfId="13894" xr:uid="{00000000-0005-0000-0000-0000CB200000}"/>
    <cellStyle name="Input 3 3 6 3" xfId="14546" xr:uid="{00000000-0005-0000-0000-0000CC200000}"/>
    <cellStyle name="Input 3 3 6 4" xfId="12168" xr:uid="{00000000-0005-0000-0000-0000CD200000}"/>
    <cellStyle name="Input 3 3 6 5" xfId="13377" xr:uid="{00000000-0005-0000-0000-0000CE200000}"/>
    <cellStyle name="Input 3 3 6 6" xfId="16304" xr:uid="{00000000-0005-0000-0000-0000CF200000}"/>
    <cellStyle name="Input 3 3 7" xfId="11647" xr:uid="{00000000-0005-0000-0000-0000D0200000}"/>
    <cellStyle name="Input 3 3 7 2" xfId="15953" xr:uid="{00000000-0005-0000-0000-0000D1200000}"/>
    <cellStyle name="Input 3 3 7 3" xfId="17032" xr:uid="{00000000-0005-0000-0000-0000D2200000}"/>
    <cellStyle name="Input 3 3 7 4" xfId="18056" xr:uid="{00000000-0005-0000-0000-0000D3200000}"/>
    <cellStyle name="Input 3 3 7 5" xfId="19026" xr:uid="{00000000-0005-0000-0000-0000D4200000}"/>
    <cellStyle name="Input 3 3 7 6" xfId="19932" xr:uid="{00000000-0005-0000-0000-0000D5200000}"/>
    <cellStyle name="Input 3 3 8" xfId="12204" xr:uid="{00000000-0005-0000-0000-0000D6200000}"/>
    <cellStyle name="Input 3 3 9" xfId="13959" xr:uid="{00000000-0005-0000-0000-0000D7200000}"/>
    <cellStyle name="Input 3 4" xfId="1584" xr:uid="{00000000-0005-0000-0000-0000D8200000}"/>
    <cellStyle name="Input 4" xfId="383" xr:uid="{00000000-0005-0000-0000-0000D9200000}"/>
    <cellStyle name="Input 4 2" xfId="1013" xr:uid="{00000000-0005-0000-0000-0000DA200000}"/>
    <cellStyle name="Input 4 2 10" xfId="12697" xr:uid="{00000000-0005-0000-0000-0000DB200000}"/>
    <cellStyle name="Input 4 2 11" xfId="12420" xr:uid="{00000000-0005-0000-0000-0000DC200000}"/>
    <cellStyle name="Input 4 2 12" xfId="15114" xr:uid="{00000000-0005-0000-0000-0000DD200000}"/>
    <cellStyle name="Input 4 2 2" xfId="1105" xr:uid="{00000000-0005-0000-0000-0000DE200000}"/>
    <cellStyle name="Input 4 2 2 2" xfId="2695" xr:uid="{00000000-0005-0000-0000-0000DF200000}"/>
    <cellStyle name="Input 4 2 2 2 10" xfId="14302" xr:uid="{00000000-0005-0000-0000-0000E0200000}"/>
    <cellStyle name="Input 4 2 2 2 11" xfId="16391" xr:uid="{00000000-0005-0000-0000-0000E1200000}"/>
    <cellStyle name="Input 4 2 2 2 2" xfId="6095" xr:uid="{00000000-0005-0000-0000-0000E2200000}"/>
    <cellStyle name="Input 4 2 2 2 2 2" xfId="11191" xr:uid="{00000000-0005-0000-0000-0000E3200000}"/>
    <cellStyle name="Input 4 2 2 2 2 2 2" xfId="15497" xr:uid="{00000000-0005-0000-0000-0000E4200000}"/>
    <cellStyle name="Input 4 2 2 2 2 2 3" xfId="16576" xr:uid="{00000000-0005-0000-0000-0000E5200000}"/>
    <cellStyle name="Input 4 2 2 2 2 2 4" xfId="17610" xr:uid="{00000000-0005-0000-0000-0000E6200000}"/>
    <cellStyle name="Input 4 2 2 2 2 2 5" xfId="18580" xr:uid="{00000000-0005-0000-0000-0000E7200000}"/>
    <cellStyle name="Input 4 2 2 2 2 2 6" xfId="19486" xr:uid="{00000000-0005-0000-0000-0000E8200000}"/>
    <cellStyle name="Input 4 2 2 2 2 3" xfId="11773" xr:uid="{00000000-0005-0000-0000-0000E9200000}"/>
    <cellStyle name="Input 4 2 2 2 2 3 2" xfId="16079" xr:uid="{00000000-0005-0000-0000-0000EA200000}"/>
    <cellStyle name="Input 4 2 2 2 2 3 3" xfId="17158" xr:uid="{00000000-0005-0000-0000-0000EB200000}"/>
    <cellStyle name="Input 4 2 2 2 2 3 4" xfId="18180" xr:uid="{00000000-0005-0000-0000-0000EC200000}"/>
    <cellStyle name="Input 4 2 2 2 2 3 5" xfId="19150" xr:uid="{00000000-0005-0000-0000-0000ED200000}"/>
    <cellStyle name="Input 4 2 2 2 2 3 6" xfId="20056" xr:uid="{00000000-0005-0000-0000-0000EE200000}"/>
    <cellStyle name="Input 4 2 2 2 2 4" xfId="11945" xr:uid="{00000000-0005-0000-0000-0000EF200000}"/>
    <cellStyle name="Input 4 2 2 2 2 4 2" xfId="16251" xr:uid="{00000000-0005-0000-0000-0000F0200000}"/>
    <cellStyle name="Input 4 2 2 2 2 4 3" xfId="17330" xr:uid="{00000000-0005-0000-0000-0000F1200000}"/>
    <cellStyle name="Input 4 2 2 2 2 4 4" xfId="18348" xr:uid="{00000000-0005-0000-0000-0000F2200000}"/>
    <cellStyle name="Input 4 2 2 2 2 4 5" xfId="19318" xr:uid="{00000000-0005-0000-0000-0000F3200000}"/>
    <cellStyle name="Input 4 2 2 2 2 4 6" xfId="20224" xr:uid="{00000000-0005-0000-0000-0000F4200000}"/>
    <cellStyle name="Input 4 2 2 2 2 5" xfId="13828" xr:uid="{00000000-0005-0000-0000-0000F5200000}"/>
    <cellStyle name="Input 4 2 2 2 2 6" xfId="14146" xr:uid="{00000000-0005-0000-0000-0000F6200000}"/>
    <cellStyle name="Input 4 2 2 2 2 7" xfId="12343" xr:uid="{00000000-0005-0000-0000-0000F7200000}"/>
    <cellStyle name="Input 4 2 2 2 2 8" xfId="17404" xr:uid="{00000000-0005-0000-0000-0000F8200000}"/>
    <cellStyle name="Input 4 2 2 2 2 9" xfId="12389" xr:uid="{00000000-0005-0000-0000-0000F9200000}"/>
    <cellStyle name="Input 4 2 2 2 3" xfId="5103" xr:uid="{00000000-0005-0000-0000-0000FA200000}"/>
    <cellStyle name="Input 4 2 2 2 3 2" xfId="10199" xr:uid="{00000000-0005-0000-0000-0000FB200000}"/>
    <cellStyle name="Input 4 2 2 2 3 2 2" xfId="15137" xr:uid="{00000000-0005-0000-0000-0000FC200000}"/>
    <cellStyle name="Input 4 2 2 2 3 2 3" xfId="15169" xr:uid="{00000000-0005-0000-0000-0000FD200000}"/>
    <cellStyle name="Input 4 2 2 2 3 2 4" xfId="13403" xr:uid="{00000000-0005-0000-0000-0000FE200000}"/>
    <cellStyle name="Input 4 2 2 2 3 2 5" xfId="12305" xr:uid="{00000000-0005-0000-0000-0000FF200000}"/>
    <cellStyle name="Input 4 2 2 2 3 2 6" xfId="16455" xr:uid="{00000000-0005-0000-0000-000000210000}"/>
    <cellStyle name="Input 4 2 2 2 3 3" xfId="11581" xr:uid="{00000000-0005-0000-0000-000001210000}"/>
    <cellStyle name="Input 4 2 2 2 3 3 2" xfId="15887" xr:uid="{00000000-0005-0000-0000-000002210000}"/>
    <cellStyle name="Input 4 2 2 2 3 3 3" xfId="16966" xr:uid="{00000000-0005-0000-0000-000003210000}"/>
    <cellStyle name="Input 4 2 2 2 3 3 4" xfId="17990" xr:uid="{00000000-0005-0000-0000-000004210000}"/>
    <cellStyle name="Input 4 2 2 2 3 3 5" xfId="18960" xr:uid="{00000000-0005-0000-0000-000005210000}"/>
    <cellStyle name="Input 4 2 2 2 3 3 6" xfId="19866" xr:uid="{00000000-0005-0000-0000-000006210000}"/>
    <cellStyle name="Input 4 2 2 2 3 4" xfId="11570" xr:uid="{00000000-0005-0000-0000-000007210000}"/>
    <cellStyle name="Input 4 2 2 2 3 4 2" xfId="15876" xr:uid="{00000000-0005-0000-0000-000008210000}"/>
    <cellStyle name="Input 4 2 2 2 3 4 3" xfId="16955" xr:uid="{00000000-0005-0000-0000-000009210000}"/>
    <cellStyle name="Input 4 2 2 2 3 4 4" xfId="17979" xr:uid="{00000000-0005-0000-0000-00000A210000}"/>
    <cellStyle name="Input 4 2 2 2 3 4 5" xfId="18949" xr:uid="{00000000-0005-0000-0000-00000B210000}"/>
    <cellStyle name="Input 4 2 2 2 3 4 6" xfId="19855" xr:uid="{00000000-0005-0000-0000-00000C210000}"/>
    <cellStyle name="Input 4 2 2 2 3 5" xfId="13457" xr:uid="{00000000-0005-0000-0000-00000D210000}"/>
    <cellStyle name="Input 4 2 2 2 3 6" xfId="14285" xr:uid="{00000000-0005-0000-0000-00000E210000}"/>
    <cellStyle name="Input 4 2 2 2 3 7" xfId="12234" xr:uid="{00000000-0005-0000-0000-00000F210000}"/>
    <cellStyle name="Input 4 2 2 2 3 8" xfId="15252" xr:uid="{00000000-0005-0000-0000-000010210000}"/>
    <cellStyle name="Input 4 2 2 2 3 9" xfId="12974" xr:uid="{00000000-0005-0000-0000-000011210000}"/>
    <cellStyle name="Input 4 2 2 2 4" xfId="7798" xr:uid="{00000000-0005-0000-0000-000012210000}"/>
    <cellStyle name="Input 4 2 2 2 4 2" xfId="14449" xr:uid="{00000000-0005-0000-0000-000013210000}"/>
    <cellStyle name="Input 4 2 2 2 4 3" xfId="12135" xr:uid="{00000000-0005-0000-0000-000014210000}"/>
    <cellStyle name="Input 4 2 2 2 4 4" xfId="14747" xr:uid="{00000000-0005-0000-0000-000015210000}"/>
    <cellStyle name="Input 4 2 2 2 4 5" xfId="13964" xr:uid="{00000000-0005-0000-0000-000016210000}"/>
    <cellStyle name="Input 4 2 2 2 4 6" xfId="14603" xr:uid="{00000000-0005-0000-0000-000017210000}"/>
    <cellStyle name="Input 4 2 2 2 5" xfId="11381" xr:uid="{00000000-0005-0000-0000-000018210000}"/>
    <cellStyle name="Input 4 2 2 2 5 2" xfId="15687" xr:uid="{00000000-0005-0000-0000-000019210000}"/>
    <cellStyle name="Input 4 2 2 2 5 3" xfId="16766" xr:uid="{00000000-0005-0000-0000-00001A210000}"/>
    <cellStyle name="Input 4 2 2 2 5 4" xfId="17795" xr:uid="{00000000-0005-0000-0000-00001B210000}"/>
    <cellStyle name="Input 4 2 2 2 5 5" xfId="18765" xr:uid="{00000000-0005-0000-0000-00001C210000}"/>
    <cellStyle name="Input 4 2 2 2 5 6" xfId="19671" xr:uid="{00000000-0005-0000-0000-00001D210000}"/>
    <cellStyle name="Input 4 2 2 2 6" xfId="11435" xr:uid="{00000000-0005-0000-0000-00001E210000}"/>
    <cellStyle name="Input 4 2 2 2 6 2" xfId="15741" xr:uid="{00000000-0005-0000-0000-00001F210000}"/>
    <cellStyle name="Input 4 2 2 2 6 3" xfId="16820" xr:uid="{00000000-0005-0000-0000-000020210000}"/>
    <cellStyle name="Input 4 2 2 2 6 4" xfId="17848" xr:uid="{00000000-0005-0000-0000-000021210000}"/>
    <cellStyle name="Input 4 2 2 2 6 5" xfId="18818" xr:uid="{00000000-0005-0000-0000-000022210000}"/>
    <cellStyle name="Input 4 2 2 2 6 6" xfId="19724" xr:uid="{00000000-0005-0000-0000-000023210000}"/>
    <cellStyle name="Input 4 2 2 2 7" xfId="12752" xr:uid="{00000000-0005-0000-0000-000024210000}"/>
    <cellStyle name="Input 4 2 2 2 8" xfId="12040" xr:uid="{00000000-0005-0000-0000-000025210000}"/>
    <cellStyle name="Input 4 2 2 2 9" xfId="14655" xr:uid="{00000000-0005-0000-0000-000026210000}"/>
    <cellStyle name="Input 4 2 2 3" xfId="3920" xr:uid="{00000000-0005-0000-0000-000027210000}"/>
    <cellStyle name="Input 4 2 2 3 2" xfId="9019" xr:uid="{00000000-0005-0000-0000-000028210000}"/>
    <cellStyle name="Input 4 2 2 3 2 2" xfId="14797" xr:uid="{00000000-0005-0000-0000-000029210000}"/>
    <cellStyle name="Input 4 2 2 3 2 3" xfId="13091" xr:uid="{00000000-0005-0000-0000-00002A210000}"/>
    <cellStyle name="Input 4 2 2 3 2 4" xfId="12453" xr:uid="{00000000-0005-0000-0000-00002B210000}"/>
    <cellStyle name="Input 4 2 2 3 2 5" xfId="15003" xr:uid="{00000000-0005-0000-0000-00002C210000}"/>
    <cellStyle name="Input 4 2 2 3 2 6" xfId="13560" xr:uid="{00000000-0005-0000-0000-00002D210000}"/>
    <cellStyle name="Input 4 2 2 3 3" xfId="11487" xr:uid="{00000000-0005-0000-0000-00002E210000}"/>
    <cellStyle name="Input 4 2 2 3 3 2" xfId="15793" xr:uid="{00000000-0005-0000-0000-00002F210000}"/>
    <cellStyle name="Input 4 2 2 3 3 3" xfId="16872" xr:uid="{00000000-0005-0000-0000-000030210000}"/>
    <cellStyle name="Input 4 2 2 3 3 4" xfId="17898" xr:uid="{00000000-0005-0000-0000-000031210000}"/>
    <cellStyle name="Input 4 2 2 3 3 5" xfId="18868" xr:uid="{00000000-0005-0000-0000-000032210000}"/>
    <cellStyle name="Input 4 2 2 3 3 6" xfId="19774" xr:uid="{00000000-0005-0000-0000-000033210000}"/>
    <cellStyle name="Input 4 2 2 3 4" xfId="11239" xr:uid="{00000000-0005-0000-0000-000034210000}"/>
    <cellStyle name="Input 4 2 2 3 4 2" xfId="15545" xr:uid="{00000000-0005-0000-0000-000035210000}"/>
    <cellStyle name="Input 4 2 2 3 4 3" xfId="16624" xr:uid="{00000000-0005-0000-0000-000036210000}"/>
    <cellStyle name="Input 4 2 2 3 4 4" xfId="17656" xr:uid="{00000000-0005-0000-0000-000037210000}"/>
    <cellStyle name="Input 4 2 2 3 4 5" xfId="18626" xr:uid="{00000000-0005-0000-0000-000038210000}"/>
    <cellStyle name="Input 4 2 2 3 4 6" xfId="19532" xr:uid="{00000000-0005-0000-0000-000039210000}"/>
    <cellStyle name="Input 4 2 2 3 5" xfId="13109" xr:uid="{00000000-0005-0000-0000-00003A210000}"/>
    <cellStyle name="Input 4 2 2 3 6" xfId="12904" xr:uid="{00000000-0005-0000-0000-00003B210000}"/>
    <cellStyle name="Input 4 2 2 3 7" xfId="13622" xr:uid="{00000000-0005-0000-0000-00003C210000}"/>
    <cellStyle name="Input 4 2 2 3 8" xfId="14153" xr:uid="{00000000-0005-0000-0000-00003D210000}"/>
    <cellStyle name="Input 4 2 2 3 9" xfId="12878" xr:uid="{00000000-0005-0000-0000-00003E210000}"/>
    <cellStyle name="Input 4 2 3" xfId="2643" xr:uid="{00000000-0005-0000-0000-00003F210000}"/>
    <cellStyle name="Input 4 2 3 10" xfId="14907" xr:uid="{00000000-0005-0000-0000-000040210000}"/>
    <cellStyle name="Input 4 2 3 2" xfId="6059" xr:uid="{00000000-0005-0000-0000-000041210000}"/>
    <cellStyle name="Input 4 2 3 2 2" xfId="11155" xr:uid="{00000000-0005-0000-0000-000042210000}"/>
    <cellStyle name="Input 4 2 3 2 2 2" xfId="15461" xr:uid="{00000000-0005-0000-0000-000043210000}"/>
    <cellStyle name="Input 4 2 3 2 2 3" xfId="16540" xr:uid="{00000000-0005-0000-0000-000044210000}"/>
    <cellStyle name="Input 4 2 3 2 2 4" xfId="17574" xr:uid="{00000000-0005-0000-0000-000045210000}"/>
    <cellStyle name="Input 4 2 3 2 2 5" xfId="18544" xr:uid="{00000000-0005-0000-0000-000046210000}"/>
    <cellStyle name="Input 4 2 3 2 2 6" xfId="19450" xr:uid="{00000000-0005-0000-0000-000047210000}"/>
    <cellStyle name="Input 4 2 3 2 3" xfId="11737" xr:uid="{00000000-0005-0000-0000-000048210000}"/>
    <cellStyle name="Input 4 2 3 2 3 2" xfId="16043" xr:uid="{00000000-0005-0000-0000-000049210000}"/>
    <cellStyle name="Input 4 2 3 2 3 3" xfId="17122" xr:uid="{00000000-0005-0000-0000-00004A210000}"/>
    <cellStyle name="Input 4 2 3 2 3 4" xfId="18144" xr:uid="{00000000-0005-0000-0000-00004B210000}"/>
    <cellStyle name="Input 4 2 3 2 3 5" xfId="19114" xr:uid="{00000000-0005-0000-0000-00004C210000}"/>
    <cellStyle name="Input 4 2 3 2 3 6" xfId="20020" xr:uid="{00000000-0005-0000-0000-00004D210000}"/>
    <cellStyle name="Input 4 2 3 2 4" xfId="11909" xr:uid="{00000000-0005-0000-0000-00004E210000}"/>
    <cellStyle name="Input 4 2 3 2 4 2" xfId="16215" xr:uid="{00000000-0005-0000-0000-00004F210000}"/>
    <cellStyle name="Input 4 2 3 2 4 3" xfId="17294" xr:uid="{00000000-0005-0000-0000-000050210000}"/>
    <cellStyle name="Input 4 2 3 2 4 4" xfId="18312" xr:uid="{00000000-0005-0000-0000-000051210000}"/>
    <cellStyle name="Input 4 2 3 2 4 5" xfId="19282" xr:uid="{00000000-0005-0000-0000-000052210000}"/>
    <cellStyle name="Input 4 2 3 2 4 6" xfId="20188" xr:uid="{00000000-0005-0000-0000-000053210000}"/>
    <cellStyle name="Input 4 2 3 2 5" xfId="13792" xr:uid="{00000000-0005-0000-0000-000054210000}"/>
    <cellStyle name="Input 4 2 3 2 6" xfId="14673" xr:uid="{00000000-0005-0000-0000-000055210000}"/>
    <cellStyle name="Input 4 2 3 2 7" xfId="11993" xr:uid="{00000000-0005-0000-0000-000056210000}"/>
    <cellStyle name="Input 4 2 3 2 8" xfId="14259" xr:uid="{00000000-0005-0000-0000-000057210000}"/>
    <cellStyle name="Input 4 2 3 2 9" xfId="12149" xr:uid="{00000000-0005-0000-0000-000058210000}"/>
    <cellStyle name="Input 4 2 3 3" xfId="7746" xr:uid="{00000000-0005-0000-0000-000059210000}"/>
    <cellStyle name="Input 4 2 3 3 2" xfId="14412" xr:uid="{00000000-0005-0000-0000-00005A210000}"/>
    <cellStyle name="Input 4 2 3 3 3" xfId="15107" xr:uid="{00000000-0005-0000-0000-00005B210000}"/>
    <cellStyle name="Input 4 2 3 3 4" xfId="14829" xr:uid="{00000000-0005-0000-0000-00005C210000}"/>
    <cellStyle name="Input 4 2 3 3 5" xfId="12906" xr:uid="{00000000-0005-0000-0000-00005D210000}"/>
    <cellStyle name="Input 4 2 3 3 6" xfId="17405" xr:uid="{00000000-0005-0000-0000-00005E210000}"/>
    <cellStyle name="Input 4 2 3 4" xfId="11345" xr:uid="{00000000-0005-0000-0000-00005F210000}"/>
    <cellStyle name="Input 4 2 3 4 2" xfId="15651" xr:uid="{00000000-0005-0000-0000-000060210000}"/>
    <cellStyle name="Input 4 2 3 4 3" xfId="16730" xr:uid="{00000000-0005-0000-0000-000061210000}"/>
    <cellStyle name="Input 4 2 3 4 4" xfId="17759" xr:uid="{00000000-0005-0000-0000-000062210000}"/>
    <cellStyle name="Input 4 2 3 4 5" xfId="18729" xr:uid="{00000000-0005-0000-0000-000063210000}"/>
    <cellStyle name="Input 4 2 3 4 6" xfId="19635" xr:uid="{00000000-0005-0000-0000-000064210000}"/>
    <cellStyle name="Input 4 2 3 5" xfId="11444" xr:uid="{00000000-0005-0000-0000-000065210000}"/>
    <cellStyle name="Input 4 2 3 5 2" xfId="15750" xr:uid="{00000000-0005-0000-0000-000066210000}"/>
    <cellStyle name="Input 4 2 3 5 3" xfId="16829" xr:uid="{00000000-0005-0000-0000-000067210000}"/>
    <cellStyle name="Input 4 2 3 5 4" xfId="17857" xr:uid="{00000000-0005-0000-0000-000068210000}"/>
    <cellStyle name="Input 4 2 3 5 5" xfId="18827" xr:uid="{00000000-0005-0000-0000-000069210000}"/>
    <cellStyle name="Input 4 2 3 5 6" xfId="19733" xr:uid="{00000000-0005-0000-0000-00006A210000}"/>
    <cellStyle name="Input 4 2 3 6" xfId="12713" xr:uid="{00000000-0005-0000-0000-00006B210000}"/>
    <cellStyle name="Input 4 2 3 7" xfId="13065" xr:uid="{00000000-0005-0000-0000-00006C210000}"/>
    <cellStyle name="Input 4 2 3 8" xfId="15290" xr:uid="{00000000-0005-0000-0000-00006D210000}"/>
    <cellStyle name="Input 4 2 3 9" xfId="12256" xr:uid="{00000000-0005-0000-0000-00006E210000}"/>
    <cellStyle name="Input 4 2 4" xfId="5984" xr:uid="{00000000-0005-0000-0000-00006F210000}"/>
    <cellStyle name="Input 4 2 4 2" xfId="11080" xr:uid="{00000000-0005-0000-0000-000070210000}"/>
    <cellStyle name="Input 4 2 4 2 2" xfId="15386" xr:uid="{00000000-0005-0000-0000-000071210000}"/>
    <cellStyle name="Input 4 2 4 2 3" xfId="16465" xr:uid="{00000000-0005-0000-0000-000072210000}"/>
    <cellStyle name="Input 4 2 4 2 4" xfId="17500" xr:uid="{00000000-0005-0000-0000-000073210000}"/>
    <cellStyle name="Input 4 2 4 2 5" xfId="18470" xr:uid="{00000000-0005-0000-0000-000074210000}"/>
    <cellStyle name="Input 4 2 4 2 6" xfId="19376" xr:uid="{00000000-0005-0000-0000-000075210000}"/>
    <cellStyle name="Input 4 2 4 3" xfId="11662" xr:uid="{00000000-0005-0000-0000-000076210000}"/>
    <cellStyle name="Input 4 2 4 3 2" xfId="15968" xr:uid="{00000000-0005-0000-0000-000077210000}"/>
    <cellStyle name="Input 4 2 4 3 3" xfId="17047" xr:uid="{00000000-0005-0000-0000-000078210000}"/>
    <cellStyle name="Input 4 2 4 3 4" xfId="18070" xr:uid="{00000000-0005-0000-0000-000079210000}"/>
    <cellStyle name="Input 4 2 4 3 5" xfId="19040" xr:uid="{00000000-0005-0000-0000-00007A210000}"/>
    <cellStyle name="Input 4 2 4 3 6" xfId="19946" xr:uid="{00000000-0005-0000-0000-00007B210000}"/>
    <cellStyle name="Input 4 2 4 4" xfId="11834" xr:uid="{00000000-0005-0000-0000-00007C210000}"/>
    <cellStyle name="Input 4 2 4 4 2" xfId="16140" xr:uid="{00000000-0005-0000-0000-00007D210000}"/>
    <cellStyle name="Input 4 2 4 4 3" xfId="17219" xr:uid="{00000000-0005-0000-0000-00007E210000}"/>
    <cellStyle name="Input 4 2 4 4 4" xfId="18238" xr:uid="{00000000-0005-0000-0000-00007F210000}"/>
    <cellStyle name="Input 4 2 4 4 5" xfId="19208" xr:uid="{00000000-0005-0000-0000-000080210000}"/>
    <cellStyle name="Input 4 2 4 4 6" xfId="20114" xr:uid="{00000000-0005-0000-0000-000081210000}"/>
    <cellStyle name="Input 4 2 4 5" xfId="13717" xr:uid="{00000000-0005-0000-0000-000082210000}"/>
    <cellStyle name="Input 4 2 4 6" xfId="14308" xr:uid="{00000000-0005-0000-0000-000083210000}"/>
    <cellStyle name="Input 4 2 4 7" xfId="13173" xr:uid="{00000000-0005-0000-0000-000084210000}"/>
    <cellStyle name="Input 4 2 4 8" xfId="13522" xr:uid="{00000000-0005-0000-0000-000085210000}"/>
    <cellStyle name="Input 4 2 4 9" xfId="15253" xr:uid="{00000000-0005-0000-0000-000086210000}"/>
    <cellStyle name="Input 4 2 5" xfId="6490" xr:uid="{00000000-0005-0000-0000-000087210000}"/>
    <cellStyle name="Input 4 2 5 2" xfId="14003" xr:uid="{00000000-0005-0000-0000-000088210000}"/>
    <cellStyle name="Input 4 2 5 3" xfId="14536" xr:uid="{00000000-0005-0000-0000-000089210000}"/>
    <cellStyle name="Input 4 2 5 4" xfId="13163" xr:uid="{00000000-0005-0000-0000-00008A210000}"/>
    <cellStyle name="Input 4 2 5 5" xfId="13416" xr:uid="{00000000-0005-0000-0000-00008B210000}"/>
    <cellStyle name="Input 4 2 5 6" xfId="17424" xr:uid="{00000000-0005-0000-0000-00008C210000}"/>
    <cellStyle name="Input 4 2 6" xfId="6702" xr:uid="{00000000-0005-0000-0000-00008D210000}"/>
    <cellStyle name="Input 4 2 6 2" xfId="14098" xr:uid="{00000000-0005-0000-0000-00008E210000}"/>
    <cellStyle name="Input 4 2 6 3" xfId="13525" xr:uid="{00000000-0005-0000-0000-00008F210000}"/>
    <cellStyle name="Input 4 2 6 4" xfId="12412" xr:uid="{00000000-0005-0000-0000-000090210000}"/>
    <cellStyle name="Input 4 2 6 5" xfId="14846" xr:uid="{00000000-0005-0000-0000-000091210000}"/>
    <cellStyle name="Input 4 2 6 6" xfId="13244" xr:uid="{00000000-0005-0000-0000-000092210000}"/>
    <cellStyle name="Input 4 2 7" xfId="11457" xr:uid="{00000000-0005-0000-0000-000093210000}"/>
    <cellStyle name="Input 4 2 7 2" xfId="15763" xr:uid="{00000000-0005-0000-0000-000094210000}"/>
    <cellStyle name="Input 4 2 7 3" xfId="16842" xr:uid="{00000000-0005-0000-0000-000095210000}"/>
    <cellStyle name="Input 4 2 7 4" xfId="17870" xr:uid="{00000000-0005-0000-0000-000096210000}"/>
    <cellStyle name="Input 4 2 7 5" xfId="18840" xr:uid="{00000000-0005-0000-0000-000097210000}"/>
    <cellStyle name="Input 4 2 7 6" xfId="19746" xr:uid="{00000000-0005-0000-0000-000098210000}"/>
    <cellStyle name="Input 4 2 8" xfId="12205" xr:uid="{00000000-0005-0000-0000-000099210000}"/>
    <cellStyle name="Input 4 2 9" xfId="14759" xr:uid="{00000000-0005-0000-0000-00009A210000}"/>
    <cellStyle name="Input 4 3" xfId="1585" xr:uid="{00000000-0005-0000-0000-00009B210000}"/>
    <cellStyle name="Input 5" xfId="384" xr:uid="{00000000-0005-0000-0000-00009C210000}"/>
    <cellStyle name="Input 5 2" xfId="1014" xr:uid="{00000000-0005-0000-0000-00009D210000}"/>
    <cellStyle name="Input 5 2 10" xfId="14953" xr:uid="{00000000-0005-0000-0000-00009E210000}"/>
    <cellStyle name="Input 5 2 11" xfId="12257" xr:uid="{00000000-0005-0000-0000-00009F210000}"/>
    <cellStyle name="Input 5 2 12" xfId="17444" xr:uid="{00000000-0005-0000-0000-0000A0210000}"/>
    <cellStyle name="Input 5 2 2" xfId="1106" xr:uid="{00000000-0005-0000-0000-0000A1210000}"/>
    <cellStyle name="Input 5 2 2 2" xfId="2696" xr:uid="{00000000-0005-0000-0000-0000A2210000}"/>
    <cellStyle name="Input 5 2 2 2 10" xfId="13590" xr:uid="{00000000-0005-0000-0000-0000A3210000}"/>
    <cellStyle name="Input 5 2 2 2 11" xfId="16350" xr:uid="{00000000-0005-0000-0000-0000A4210000}"/>
    <cellStyle name="Input 5 2 2 2 2" xfId="6096" xr:uid="{00000000-0005-0000-0000-0000A5210000}"/>
    <cellStyle name="Input 5 2 2 2 2 2" xfId="11192" xr:uid="{00000000-0005-0000-0000-0000A6210000}"/>
    <cellStyle name="Input 5 2 2 2 2 2 2" xfId="15498" xr:uid="{00000000-0005-0000-0000-0000A7210000}"/>
    <cellStyle name="Input 5 2 2 2 2 2 3" xfId="16577" xr:uid="{00000000-0005-0000-0000-0000A8210000}"/>
    <cellStyle name="Input 5 2 2 2 2 2 4" xfId="17611" xr:uid="{00000000-0005-0000-0000-0000A9210000}"/>
    <cellStyle name="Input 5 2 2 2 2 2 5" xfId="18581" xr:uid="{00000000-0005-0000-0000-0000AA210000}"/>
    <cellStyle name="Input 5 2 2 2 2 2 6" xfId="19487" xr:uid="{00000000-0005-0000-0000-0000AB210000}"/>
    <cellStyle name="Input 5 2 2 2 2 3" xfId="11774" xr:uid="{00000000-0005-0000-0000-0000AC210000}"/>
    <cellStyle name="Input 5 2 2 2 2 3 2" xfId="16080" xr:uid="{00000000-0005-0000-0000-0000AD210000}"/>
    <cellStyle name="Input 5 2 2 2 2 3 3" xfId="17159" xr:uid="{00000000-0005-0000-0000-0000AE210000}"/>
    <cellStyle name="Input 5 2 2 2 2 3 4" xfId="18181" xr:uid="{00000000-0005-0000-0000-0000AF210000}"/>
    <cellStyle name="Input 5 2 2 2 2 3 5" xfId="19151" xr:uid="{00000000-0005-0000-0000-0000B0210000}"/>
    <cellStyle name="Input 5 2 2 2 2 3 6" xfId="20057" xr:uid="{00000000-0005-0000-0000-0000B1210000}"/>
    <cellStyle name="Input 5 2 2 2 2 4" xfId="11946" xr:uid="{00000000-0005-0000-0000-0000B2210000}"/>
    <cellStyle name="Input 5 2 2 2 2 4 2" xfId="16252" xr:uid="{00000000-0005-0000-0000-0000B3210000}"/>
    <cellStyle name="Input 5 2 2 2 2 4 3" xfId="17331" xr:uid="{00000000-0005-0000-0000-0000B4210000}"/>
    <cellStyle name="Input 5 2 2 2 2 4 4" xfId="18349" xr:uid="{00000000-0005-0000-0000-0000B5210000}"/>
    <cellStyle name="Input 5 2 2 2 2 4 5" xfId="19319" xr:uid="{00000000-0005-0000-0000-0000B6210000}"/>
    <cellStyle name="Input 5 2 2 2 2 4 6" xfId="20225" xr:uid="{00000000-0005-0000-0000-0000B7210000}"/>
    <cellStyle name="Input 5 2 2 2 2 5" xfId="13829" xr:uid="{00000000-0005-0000-0000-0000B8210000}"/>
    <cellStyle name="Input 5 2 2 2 2 6" xfId="14899" xr:uid="{00000000-0005-0000-0000-0000B9210000}"/>
    <cellStyle name="Input 5 2 2 2 2 7" xfId="13374" xr:uid="{00000000-0005-0000-0000-0000BA210000}"/>
    <cellStyle name="Input 5 2 2 2 2 8" xfId="14777" xr:uid="{00000000-0005-0000-0000-0000BB210000}"/>
    <cellStyle name="Input 5 2 2 2 2 9" xfId="13309" xr:uid="{00000000-0005-0000-0000-0000BC210000}"/>
    <cellStyle name="Input 5 2 2 2 3" xfId="5104" xr:uid="{00000000-0005-0000-0000-0000BD210000}"/>
    <cellStyle name="Input 5 2 2 2 3 2" xfId="10200" xr:uid="{00000000-0005-0000-0000-0000BE210000}"/>
    <cellStyle name="Input 5 2 2 2 3 2 2" xfId="15138" xr:uid="{00000000-0005-0000-0000-0000BF210000}"/>
    <cellStyle name="Input 5 2 2 2 3 2 3" xfId="13488" xr:uid="{00000000-0005-0000-0000-0000C0210000}"/>
    <cellStyle name="Input 5 2 2 2 3 2 4" xfId="15364" xr:uid="{00000000-0005-0000-0000-0000C1210000}"/>
    <cellStyle name="Input 5 2 2 2 3 2 5" xfId="12457" xr:uid="{00000000-0005-0000-0000-0000C2210000}"/>
    <cellStyle name="Input 5 2 2 2 3 2 6" xfId="12659" xr:uid="{00000000-0005-0000-0000-0000C3210000}"/>
    <cellStyle name="Input 5 2 2 2 3 3" xfId="11582" xr:uid="{00000000-0005-0000-0000-0000C4210000}"/>
    <cellStyle name="Input 5 2 2 2 3 3 2" xfId="15888" xr:uid="{00000000-0005-0000-0000-0000C5210000}"/>
    <cellStyle name="Input 5 2 2 2 3 3 3" xfId="16967" xr:uid="{00000000-0005-0000-0000-0000C6210000}"/>
    <cellStyle name="Input 5 2 2 2 3 3 4" xfId="17991" xr:uid="{00000000-0005-0000-0000-0000C7210000}"/>
    <cellStyle name="Input 5 2 2 2 3 3 5" xfId="18961" xr:uid="{00000000-0005-0000-0000-0000C8210000}"/>
    <cellStyle name="Input 5 2 2 2 3 3 6" xfId="19867" xr:uid="{00000000-0005-0000-0000-0000C9210000}"/>
    <cellStyle name="Input 5 2 2 2 3 4" xfId="11332" xr:uid="{00000000-0005-0000-0000-0000CA210000}"/>
    <cellStyle name="Input 5 2 2 2 3 4 2" xfId="15638" xr:uid="{00000000-0005-0000-0000-0000CB210000}"/>
    <cellStyle name="Input 5 2 2 2 3 4 3" xfId="16717" xr:uid="{00000000-0005-0000-0000-0000CC210000}"/>
    <cellStyle name="Input 5 2 2 2 3 4 4" xfId="17746" xr:uid="{00000000-0005-0000-0000-0000CD210000}"/>
    <cellStyle name="Input 5 2 2 2 3 4 5" xfId="18716" xr:uid="{00000000-0005-0000-0000-0000CE210000}"/>
    <cellStyle name="Input 5 2 2 2 3 4 6" xfId="19622" xr:uid="{00000000-0005-0000-0000-0000CF210000}"/>
    <cellStyle name="Input 5 2 2 2 3 5" xfId="13458" xr:uid="{00000000-0005-0000-0000-0000D0210000}"/>
    <cellStyle name="Input 5 2 2 2 3 6" xfId="15018" xr:uid="{00000000-0005-0000-0000-0000D1210000}"/>
    <cellStyle name="Input 5 2 2 2 3 7" xfId="15051" xr:uid="{00000000-0005-0000-0000-0000D2210000}"/>
    <cellStyle name="Input 5 2 2 2 3 8" xfId="17472" xr:uid="{00000000-0005-0000-0000-0000D3210000}"/>
    <cellStyle name="Input 5 2 2 2 3 9" xfId="12129" xr:uid="{00000000-0005-0000-0000-0000D4210000}"/>
    <cellStyle name="Input 5 2 2 2 4" xfId="7799" xr:uid="{00000000-0005-0000-0000-0000D5210000}"/>
    <cellStyle name="Input 5 2 2 2 4 2" xfId="14450" xr:uid="{00000000-0005-0000-0000-0000D6210000}"/>
    <cellStyle name="Input 5 2 2 2 4 3" xfId="12002" xr:uid="{00000000-0005-0000-0000-0000D7210000}"/>
    <cellStyle name="Input 5 2 2 2 4 4" xfId="14267" xr:uid="{00000000-0005-0000-0000-0000D8210000}"/>
    <cellStyle name="Input 5 2 2 2 4 5" xfId="12940" xr:uid="{00000000-0005-0000-0000-0000D9210000}"/>
    <cellStyle name="Input 5 2 2 2 4 6" xfId="18396" xr:uid="{00000000-0005-0000-0000-0000DA210000}"/>
    <cellStyle name="Input 5 2 2 2 5" xfId="11382" xr:uid="{00000000-0005-0000-0000-0000DB210000}"/>
    <cellStyle name="Input 5 2 2 2 5 2" xfId="15688" xr:uid="{00000000-0005-0000-0000-0000DC210000}"/>
    <cellStyle name="Input 5 2 2 2 5 3" xfId="16767" xr:uid="{00000000-0005-0000-0000-0000DD210000}"/>
    <cellStyle name="Input 5 2 2 2 5 4" xfId="17796" xr:uid="{00000000-0005-0000-0000-0000DE210000}"/>
    <cellStyle name="Input 5 2 2 2 5 5" xfId="18766" xr:uid="{00000000-0005-0000-0000-0000DF210000}"/>
    <cellStyle name="Input 5 2 2 2 5 6" xfId="19672" xr:uid="{00000000-0005-0000-0000-0000E0210000}"/>
    <cellStyle name="Input 5 2 2 2 6" xfId="11272" xr:uid="{00000000-0005-0000-0000-0000E1210000}"/>
    <cellStyle name="Input 5 2 2 2 6 2" xfId="15578" xr:uid="{00000000-0005-0000-0000-0000E2210000}"/>
    <cellStyle name="Input 5 2 2 2 6 3" xfId="16657" xr:uid="{00000000-0005-0000-0000-0000E3210000}"/>
    <cellStyle name="Input 5 2 2 2 6 4" xfId="17687" xr:uid="{00000000-0005-0000-0000-0000E4210000}"/>
    <cellStyle name="Input 5 2 2 2 6 5" xfId="18657" xr:uid="{00000000-0005-0000-0000-0000E5210000}"/>
    <cellStyle name="Input 5 2 2 2 6 6" xfId="19563" xr:uid="{00000000-0005-0000-0000-0000E6210000}"/>
    <cellStyle name="Input 5 2 2 2 7" xfId="12753" xr:uid="{00000000-0005-0000-0000-0000E7210000}"/>
    <cellStyle name="Input 5 2 2 2 8" xfId="12039" xr:uid="{00000000-0005-0000-0000-0000E8210000}"/>
    <cellStyle name="Input 5 2 2 2 9" xfId="13332" xr:uid="{00000000-0005-0000-0000-0000E9210000}"/>
    <cellStyle name="Input 5 2 2 3" xfId="3921" xr:uid="{00000000-0005-0000-0000-0000EA210000}"/>
    <cellStyle name="Input 5 2 2 3 2" xfId="9020" xr:uid="{00000000-0005-0000-0000-0000EB210000}"/>
    <cellStyle name="Input 5 2 2 3 2 2" xfId="14798" xr:uid="{00000000-0005-0000-0000-0000EC210000}"/>
    <cellStyle name="Input 5 2 2 3 2 3" xfId="14399" xr:uid="{00000000-0005-0000-0000-0000ED210000}"/>
    <cellStyle name="Input 5 2 2 3 2 4" xfId="12077" xr:uid="{00000000-0005-0000-0000-0000EE210000}"/>
    <cellStyle name="Input 5 2 2 3 2 5" xfId="12930" xr:uid="{00000000-0005-0000-0000-0000EF210000}"/>
    <cellStyle name="Input 5 2 2 3 2 6" xfId="12275" xr:uid="{00000000-0005-0000-0000-0000F0210000}"/>
    <cellStyle name="Input 5 2 2 3 3" xfId="11488" xr:uid="{00000000-0005-0000-0000-0000F1210000}"/>
    <cellStyle name="Input 5 2 2 3 3 2" xfId="15794" xr:uid="{00000000-0005-0000-0000-0000F2210000}"/>
    <cellStyle name="Input 5 2 2 3 3 3" xfId="16873" xr:uid="{00000000-0005-0000-0000-0000F3210000}"/>
    <cellStyle name="Input 5 2 2 3 3 4" xfId="17899" xr:uid="{00000000-0005-0000-0000-0000F4210000}"/>
    <cellStyle name="Input 5 2 2 3 3 5" xfId="18869" xr:uid="{00000000-0005-0000-0000-0000F5210000}"/>
    <cellStyle name="Input 5 2 2 3 3 6" xfId="19775" xr:uid="{00000000-0005-0000-0000-0000F6210000}"/>
    <cellStyle name="Input 5 2 2 3 4" xfId="6842" xr:uid="{00000000-0005-0000-0000-0000F7210000}"/>
    <cellStyle name="Input 5 2 2 3 4 2" xfId="14156" xr:uid="{00000000-0005-0000-0000-0000F8210000}"/>
    <cellStyle name="Input 5 2 2 3 4 3" xfId="13516" xr:uid="{00000000-0005-0000-0000-0000F9210000}"/>
    <cellStyle name="Input 5 2 2 3 4 4" xfId="15248" xr:uid="{00000000-0005-0000-0000-0000FA210000}"/>
    <cellStyle name="Input 5 2 2 3 4 5" xfId="12898" xr:uid="{00000000-0005-0000-0000-0000FB210000}"/>
    <cellStyle name="Input 5 2 2 3 4 6" xfId="13258" xr:uid="{00000000-0005-0000-0000-0000FC210000}"/>
    <cellStyle name="Input 5 2 2 3 5" xfId="13110" xr:uid="{00000000-0005-0000-0000-0000FD210000}"/>
    <cellStyle name="Input 5 2 2 3 6" xfId="12452" xr:uid="{00000000-0005-0000-0000-0000FE210000}"/>
    <cellStyle name="Input 5 2 2 3 7" xfId="12525" xr:uid="{00000000-0005-0000-0000-0000FF210000}"/>
    <cellStyle name="Input 5 2 2 3 8" xfId="14658" xr:uid="{00000000-0005-0000-0000-000000220000}"/>
    <cellStyle name="Input 5 2 2 3 9" xfId="12858" xr:uid="{00000000-0005-0000-0000-000001220000}"/>
    <cellStyle name="Input 5 2 3" xfId="2644" xr:uid="{00000000-0005-0000-0000-000002220000}"/>
    <cellStyle name="Input 5 2 3 10" xfId="12793" xr:uid="{00000000-0005-0000-0000-000003220000}"/>
    <cellStyle name="Input 5 2 3 2" xfId="6060" xr:uid="{00000000-0005-0000-0000-000004220000}"/>
    <cellStyle name="Input 5 2 3 2 2" xfId="11156" xr:uid="{00000000-0005-0000-0000-000005220000}"/>
    <cellStyle name="Input 5 2 3 2 2 2" xfId="15462" xr:uid="{00000000-0005-0000-0000-000006220000}"/>
    <cellStyle name="Input 5 2 3 2 2 3" xfId="16541" xr:uid="{00000000-0005-0000-0000-000007220000}"/>
    <cellStyle name="Input 5 2 3 2 2 4" xfId="17575" xr:uid="{00000000-0005-0000-0000-000008220000}"/>
    <cellStyle name="Input 5 2 3 2 2 5" xfId="18545" xr:uid="{00000000-0005-0000-0000-000009220000}"/>
    <cellStyle name="Input 5 2 3 2 2 6" xfId="19451" xr:uid="{00000000-0005-0000-0000-00000A220000}"/>
    <cellStyle name="Input 5 2 3 2 3" xfId="11738" xr:uid="{00000000-0005-0000-0000-00000B220000}"/>
    <cellStyle name="Input 5 2 3 2 3 2" xfId="16044" xr:uid="{00000000-0005-0000-0000-00000C220000}"/>
    <cellStyle name="Input 5 2 3 2 3 3" xfId="17123" xr:uid="{00000000-0005-0000-0000-00000D220000}"/>
    <cellStyle name="Input 5 2 3 2 3 4" xfId="18145" xr:uid="{00000000-0005-0000-0000-00000E220000}"/>
    <cellStyle name="Input 5 2 3 2 3 5" xfId="19115" xr:uid="{00000000-0005-0000-0000-00000F220000}"/>
    <cellStyle name="Input 5 2 3 2 3 6" xfId="20021" xr:uid="{00000000-0005-0000-0000-000010220000}"/>
    <cellStyle name="Input 5 2 3 2 4" xfId="11910" xr:uid="{00000000-0005-0000-0000-000011220000}"/>
    <cellStyle name="Input 5 2 3 2 4 2" xfId="16216" xr:uid="{00000000-0005-0000-0000-000012220000}"/>
    <cellStyle name="Input 5 2 3 2 4 3" xfId="17295" xr:uid="{00000000-0005-0000-0000-000013220000}"/>
    <cellStyle name="Input 5 2 3 2 4 4" xfId="18313" xr:uid="{00000000-0005-0000-0000-000014220000}"/>
    <cellStyle name="Input 5 2 3 2 4 5" xfId="19283" xr:uid="{00000000-0005-0000-0000-000015220000}"/>
    <cellStyle name="Input 5 2 3 2 4 6" xfId="20189" xr:uid="{00000000-0005-0000-0000-000016220000}"/>
    <cellStyle name="Input 5 2 3 2 5" xfId="13793" xr:uid="{00000000-0005-0000-0000-000017220000}"/>
    <cellStyle name="Input 5 2 3 2 6" xfId="15357" xr:uid="{00000000-0005-0000-0000-000018220000}"/>
    <cellStyle name="Input 5 2 3 2 7" xfId="16438" xr:uid="{00000000-0005-0000-0000-000019220000}"/>
    <cellStyle name="Input 5 2 3 2 8" xfId="12880" xr:uid="{00000000-0005-0000-0000-00001A220000}"/>
    <cellStyle name="Input 5 2 3 2 9" xfId="15329" xr:uid="{00000000-0005-0000-0000-00001B220000}"/>
    <cellStyle name="Input 5 2 3 3" xfId="7747" xr:uid="{00000000-0005-0000-0000-00001C220000}"/>
    <cellStyle name="Input 5 2 3 3 2" xfId="14413" xr:uid="{00000000-0005-0000-0000-00001D220000}"/>
    <cellStyle name="Input 5 2 3 3 3" xfId="13426" xr:uid="{00000000-0005-0000-0000-00001E220000}"/>
    <cellStyle name="Input 5 2 3 3 4" xfId="12876" xr:uid="{00000000-0005-0000-0000-00001F220000}"/>
    <cellStyle name="Input 5 2 3 3 5" xfId="14732" xr:uid="{00000000-0005-0000-0000-000020220000}"/>
    <cellStyle name="Input 5 2 3 3 6" xfId="13635" xr:uid="{00000000-0005-0000-0000-000021220000}"/>
    <cellStyle name="Input 5 2 3 4" xfId="11346" xr:uid="{00000000-0005-0000-0000-000022220000}"/>
    <cellStyle name="Input 5 2 3 4 2" xfId="15652" xr:uid="{00000000-0005-0000-0000-000023220000}"/>
    <cellStyle name="Input 5 2 3 4 3" xfId="16731" xr:uid="{00000000-0005-0000-0000-000024220000}"/>
    <cellStyle name="Input 5 2 3 4 4" xfId="17760" xr:uid="{00000000-0005-0000-0000-000025220000}"/>
    <cellStyle name="Input 5 2 3 4 5" xfId="18730" xr:uid="{00000000-0005-0000-0000-000026220000}"/>
    <cellStyle name="Input 5 2 3 4 6" xfId="19636" xr:uid="{00000000-0005-0000-0000-000027220000}"/>
    <cellStyle name="Input 5 2 3 5" xfId="11280" xr:uid="{00000000-0005-0000-0000-000028220000}"/>
    <cellStyle name="Input 5 2 3 5 2" xfId="15586" xr:uid="{00000000-0005-0000-0000-000029220000}"/>
    <cellStyle name="Input 5 2 3 5 3" xfId="16665" xr:uid="{00000000-0005-0000-0000-00002A220000}"/>
    <cellStyle name="Input 5 2 3 5 4" xfId="17695" xr:uid="{00000000-0005-0000-0000-00002B220000}"/>
    <cellStyle name="Input 5 2 3 5 5" xfId="18665" xr:uid="{00000000-0005-0000-0000-00002C220000}"/>
    <cellStyle name="Input 5 2 3 5 6" xfId="19571" xr:uid="{00000000-0005-0000-0000-00002D220000}"/>
    <cellStyle name="Input 5 2 3 6" xfId="12714" xr:uid="{00000000-0005-0000-0000-00002E220000}"/>
    <cellStyle name="Input 5 2 3 7" xfId="14365" xr:uid="{00000000-0005-0000-0000-00002F220000}"/>
    <cellStyle name="Input 5 2 3 8" xfId="13170" xr:uid="{00000000-0005-0000-0000-000030220000}"/>
    <cellStyle name="Input 5 2 3 9" xfId="15320" xr:uid="{00000000-0005-0000-0000-000031220000}"/>
    <cellStyle name="Input 5 2 4" xfId="5985" xr:uid="{00000000-0005-0000-0000-000032220000}"/>
    <cellStyle name="Input 5 2 4 2" xfId="11081" xr:uid="{00000000-0005-0000-0000-000033220000}"/>
    <cellStyle name="Input 5 2 4 2 2" xfId="15387" xr:uid="{00000000-0005-0000-0000-000034220000}"/>
    <cellStyle name="Input 5 2 4 2 3" xfId="16466" xr:uid="{00000000-0005-0000-0000-000035220000}"/>
    <cellStyle name="Input 5 2 4 2 4" xfId="17501" xr:uid="{00000000-0005-0000-0000-000036220000}"/>
    <cellStyle name="Input 5 2 4 2 5" xfId="18471" xr:uid="{00000000-0005-0000-0000-000037220000}"/>
    <cellStyle name="Input 5 2 4 2 6" xfId="19377" xr:uid="{00000000-0005-0000-0000-000038220000}"/>
    <cellStyle name="Input 5 2 4 3" xfId="11663" xr:uid="{00000000-0005-0000-0000-000039220000}"/>
    <cellStyle name="Input 5 2 4 3 2" xfId="15969" xr:uid="{00000000-0005-0000-0000-00003A220000}"/>
    <cellStyle name="Input 5 2 4 3 3" xfId="17048" xr:uid="{00000000-0005-0000-0000-00003B220000}"/>
    <cellStyle name="Input 5 2 4 3 4" xfId="18071" xr:uid="{00000000-0005-0000-0000-00003C220000}"/>
    <cellStyle name="Input 5 2 4 3 5" xfId="19041" xr:uid="{00000000-0005-0000-0000-00003D220000}"/>
    <cellStyle name="Input 5 2 4 3 6" xfId="19947" xr:uid="{00000000-0005-0000-0000-00003E220000}"/>
    <cellStyle name="Input 5 2 4 4" xfId="11835" xr:uid="{00000000-0005-0000-0000-00003F220000}"/>
    <cellStyle name="Input 5 2 4 4 2" xfId="16141" xr:uid="{00000000-0005-0000-0000-000040220000}"/>
    <cellStyle name="Input 5 2 4 4 3" xfId="17220" xr:uid="{00000000-0005-0000-0000-000041220000}"/>
    <cellStyle name="Input 5 2 4 4 4" xfId="18239" xr:uid="{00000000-0005-0000-0000-000042220000}"/>
    <cellStyle name="Input 5 2 4 4 5" xfId="19209" xr:uid="{00000000-0005-0000-0000-000043220000}"/>
    <cellStyle name="Input 5 2 4 4 6" xfId="20115" xr:uid="{00000000-0005-0000-0000-000044220000}"/>
    <cellStyle name="Input 5 2 4 5" xfId="13718" xr:uid="{00000000-0005-0000-0000-000045220000}"/>
    <cellStyle name="Input 5 2 4 6" xfId="15035" xr:uid="{00000000-0005-0000-0000-000046220000}"/>
    <cellStyle name="Input 5 2 4 7" xfId="13072" xr:uid="{00000000-0005-0000-0000-000047220000}"/>
    <cellStyle name="Input 5 2 4 8" xfId="12095" xr:uid="{00000000-0005-0000-0000-000048220000}"/>
    <cellStyle name="Input 5 2 4 9" xfId="13483" xr:uid="{00000000-0005-0000-0000-000049220000}"/>
    <cellStyle name="Input 5 2 5" xfId="6491" xr:uid="{00000000-0005-0000-0000-00004A220000}"/>
    <cellStyle name="Input 5 2 5 2" xfId="14004" xr:uid="{00000000-0005-0000-0000-00004B220000}"/>
    <cellStyle name="Input 5 2 5 3" xfId="15209" xr:uid="{00000000-0005-0000-0000-00004C220000}"/>
    <cellStyle name="Input 5 2 5 4" xfId="16325" xr:uid="{00000000-0005-0000-0000-00004D220000}"/>
    <cellStyle name="Input 5 2 5 5" xfId="16375" xr:uid="{00000000-0005-0000-0000-00004E220000}"/>
    <cellStyle name="Input 5 2 5 6" xfId="12167" xr:uid="{00000000-0005-0000-0000-00004F220000}"/>
    <cellStyle name="Input 5 2 6" xfId="6161" xr:uid="{00000000-0005-0000-0000-000050220000}"/>
    <cellStyle name="Input 5 2 6 2" xfId="13893" xr:uid="{00000000-0005-0000-0000-000051220000}"/>
    <cellStyle name="Input 5 2 6 3" xfId="13203" xr:uid="{00000000-0005-0000-0000-000052220000}"/>
    <cellStyle name="Input 5 2 6 4" xfId="12439" xr:uid="{00000000-0005-0000-0000-000053220000}"/>
    <cellStyle name="Input 5 2 6 5" xfId="12096" xr:uid="{00000000-0005-0000-0000-000054220000}"/>
    <cellStyle name="Input 5 2 6 6" xfId="18414" xr:uid="{00000000-0005-0000-0000-000055220000}"/>
    <cellStyle name="Input 5 2 7" xfId="11304" xr:uid="{00000000-0005-0000-0000-000056220000}"/>
    <cellStyle name="Input 5 2 7 2" xfId="15610" xr:uid="{00000000-0005-0000-0000-000057220000}"/>
    <cellStyle name="Input 5 2 7 3" xfId="16689" xr:uid="{00000000-0005-0000-0000-000058220000}"/>
    <cellStyle name="Input 5 2 7 4" xfId="17718" xr:uid="{00000000-0005-0000-0000-000059220000}"/>
    <cellStyle name="Input 5 2 7 5" xfId="18688" xr:uid="{00000000-0005-0000-0000-00005A220000}"/>
    <cellStyle name="Input 5 2 7 6" xfId="19594" xr:uid="{00000000-0005-0000-0000-00005B220000}"/>
    <cellStyle name="Input 5 2 8" xfId="12206" xr:uid="{00000000-0005-0000-0000-00005C220000}"/>
    <cellStyle name="Input 5 2 9" xfId="13073" xr:uid="{00000000-0005-0000-0000-00005D220000}"/>
    <cellStyle name="Input 5 3" xfId="1586" xr:uid="{00000000-0005-0000-0000-00005E220000}"/>
    <cellStyle name="Input 6" xfId="385" xr:uid="{00000000-0005-0000-0000-00005F220000}"/>
    <cellStyle name="Input 6 2" xfId="1015" xr:uid="{00000000-0005-0000-0000-000060220000}"/>
    <cellStyle name="Input 6 2 10" xfId="12631" xr:uid="{00000000-0005-0000-0000-000061220000}"/>
    <cellStyle name="Input 6 2 11" xfId="13951" xr:uid="{00000000-0005-0000-0000-000062220000}"/>
    <cellStyle name="Input 6 2 12" xfId="14083" xr:uid="{00000000-0005-0000-0000-000063220000}"/>
    <cellStyle name="Input 6 2 2" xfId="1107" xr:uid="{00000000-0005-0000-0000-000064220000}"/>
    <cellStyle name="Input 6 2 2 2" xfId="2697" xr:uid="{00000000-0005-0000-0000-000065220000}"/>
    <cellStyle name="Input 6 2 2 2 10" xfId="13568" xr:uid="{00000000-0005-0000-0000-000066220000}"/>
    <cellStyle name="Input 6 2 2 2 11" xfId="12231" xr:uid="{00000000-0005-0000-0000-000067220000}"/>
    <cellStyle name="Input 6 2 2 2 2" xfId="6097" xr:uid="{00000000-0005-0000-0000-000068220000}"/>
    <cellStyle name="Input 6 2 2 2 2 2" xfId="11193" xr:uid="{00000000-0005-0000-0000-000069220000}"/>
    <cellStyle name="Input 6 2 2 2 2 2 2" xfId="15499" xr:uid="{00000000-0005-0000-0000-00006A220000}"/>
    <cellStyle name="Input 6 2 2 2 2 2 3" xfId="16578" xr:uid="{00000000-0005-0000-0000-00006B220000}"/>
    <cellStyle name="Input 6 2 2 2 2 2 4" xfId="17612" xr:uid="{00000000-0005-0000-0000-00006C220000}"/>
    <cellStyle name="Input 6 2 2 2 2 2 5" xfId="18582" xr:uid="{00000000-0005-0000-0000-00006D220000}"/>
    <cellStyle name="Input 6 2 2 2 2 2 6" xfId="19488" xr:uid="{00000000-0005-0000-0000-00006E220000}"/>
    <cellStyle name="Input 6 2 2 2 2 3" xfId="11775" xr:uid="{00000000-0005-0000-0000-00006F220000}"/>
    <cellStyle name="Input 6 2 2 2 2 3 2" xfId="16081" xr:uid="{00000000-0005-0000-0000-000070220000}"/>
    <cellStyle name="Input 6 2 2 2 2 3 3" xfId="17160" xr:uid="{00000000-0005-0000-0000-000071220000}"/>
    <cellStyle name="Input 6 2 2 2 2 3 4" xfId="18182" xr:uid="{00000000-0005-0000-0000-000072220000}"/>
    <cellStyle name="Input 6 2 2 2 2 3 5" xfId="19152" xr:uid="{00000000-0005-0000-0000-000073220000}"/>
    <cellStyle name="Input 6 2 2 2 2 3 6" xfId="20058" xr:uid="{00000000-0005-0000-0000-000074220000}"/>
    <cellStyle name="Input 6 2 2 2 2 4" xfId="11947" xr:uid="{00000000-0005-0000-0000-000075220000}"/>
    <cellStyle name="Input 6 2 2 2 2 4 2" xfId="16253" xr:uid="{00000000-0005-0000-0000-000076220000}"/>
    <cellStyle name="Input 6 2 2 2 2 4 3" xfId="17332" xr:uid="{00000000-0005-0000-0000-000077220000}"/>
    <cellStyle name="Input 6 2 2 2 2 4 4" xfId="18350" xr:uid="{00000000-0005-0000-0000-000078220000}"/>
    <cellStyle name="Input 6 2 2 2 2 4 5" xfId="19320" xr:uid="{00000000-0005-0000-0000-000079220000}"/>
    <cellStyle name="Input 6 2 2 2 2 4 6" xfId="20226" xr:uid="{00000000-0005-0000-0000-00007A220000}"/>
    <cellStyle name="Input 6 2 2 2 2 5" xfId="13830" xr:uid="{00000000-0005-0000-0000-00007B220000}"/>
    <cellStyle name="Input 6 2 2 2 2 6" xfId="13211" xr:uid="{00000000-0005-0000-0000-00007C220000}"/>
    <cellStyle name="Input 6 2 2 2 2 7" xfId="15272" xr:uid="{00000000-0005-0000-0000-00007D220000}"/>
    <cellStyle name="Input 6 2 2 2 2 8" xfId="14341" xr:uid="{00000000-0005-0000-0000-00007E220000}"/>
    <cellStyle name="Input 6 2 2 2 2 9" xfId="12433" xr:uid="{00000000-0005-0000-0000-00007F220000}"/>
    <cellStyle name="Input 6 2 2 2 3" xfId="5105" xr:uid="{00000000-0005-0000-0000-000080220000}"/>
    <cellStyle name="Input 6 2 2 2 3 2" xfId="10201" xr:uid="{00000000-0005-0000-0000-000081220000}"/>
    <cellStyle name="Input 6 2 2 2 3 2 2" xfId="15139" xr:uid="{00000000-0005-0000-0000-000082220000}"/>
    <cellStyle name="Input 6 2 2 2 3 2 3" xfId="12786" xr:uid="{00000000-0005-0000-0000-000083220000}"/>
    <cellStyle name="Input 6 2 2 2 3 2 4" xfId="12479" xr:uid="{00000000-0005-0000-0000-000084220000}"/>
    <cellStyle name="Input 6 2 2 2 3 2 5" xfId="170" xr:uid="{00000000-0005-0000-0000-000085220000}"/>
    <cellStyle name="Input 6 2 2 2 3 2 6" xfId="12005" xr:uid="{00000000-0005-0000-0000-000086220000}"/>
    <cellStyle name="Input 6 2 2 2 3 3" xfId="11583" xr:uid="{00000000-0005-0000-0000-000087220000}"/>
    <cellStyle name="Input 6 2 2 2 3 3 2" xfId="15889" xr:uid="{00000000-0005-0000-0000-000088220000}"/>
    <cellStyle name="Input 6 2 2 2 3 3 3" xfId="16968" xr:uid="{00000000-0005-0000-0000-000089220000}"/>
    <cellStyle name="Input 6 2 2 2 3 3 4" xfId="17992" xr:uid="{00000000-0005-0000-0000-00008A220000}"/>
    <cellStyle name="Input 6 2 2 2 3 3 5" xfId="18962" xr:uid="{00000000-0005-0000-0000-00008B220000}"/>
    <cellStyle name="Input 6 2 2 2 3 3 6" xfId="19868" xr:uid="{00000000-0005-0000-0000-00008C220000}"/>
    <cellStyle name="Input 6 2 2 2 3 4" xfId="11515" xr:uid="{00000000-0005-0000-0000-00008D220000}"/>
    <cellStyle name="Input 6 2 2 2 3 4 2" xfId="15821" xr:uid="{00000000-0005-0000-0000-00008E220000}"/>
    <cellStyle name="Input 6 2 2 2 3 4 3" xfId="16900" xr:uid="{00000000-0005-0000-0000-00008F220000}"/>
    <cellStyle name="Input 6 2 2 2 3 4 4" xfId="17926" xr:uid="{00000000-0005-0000-0000-000090220000}"/>
    <cellStyle name="Input 6 2 2 2 3 4 5" xfId="18896" xr:uid="{00000000-0005-0000-0000-000091220000}"/>
    <cellStyle name="Input 6 2 2 2 3 4 6" xfId="19802" xr:uid="{00000000-0005-0000-0000-000092220000}"/>
    <cellStyle name="Input 6 2 2 2 3 5" xfId="13459" xr:uid="{00000000-0005-0000-0000-000093220000}"/>
    <cellStyle name="Input 6 2 2 2 3 6" xfId="13342" xr:uid="{00000000-0005-0000-0000-000094220000}"/>
    <cellStyle name="Input 6 2 2 2 3 7" xfId="12427" xr:uid="{00000000-0005-0000-0000-000095220000}"/>
    <cellStyle name="Input 6 2 2 2 3 8" xfId="13402" xr:uid="{00000000-0005-0000-0000-000096220000}"/>
    <cellStyle name="Input 6 2 2 2 3 9" xfId="12560" xr:uid="{00000000-0005-0000-0000-000097220000}"/>
    <cellStyle name="Input 6 2 2 2 4" xfId="7800" xr:uid="{00000000-0005-0000-0000-000098220000}"/>
    <cellStyle name="Input 6 2 2 2 4 2" xfId="14451" xr:uid="{00000000-0005-0000-0000-000099220000}"/>
    <cellStyle name="Input 6 2 2 2 4 3" xfId="14082" xr:uid="{00000000-0005-0000-0000-00009A220000}"/>
    <cellStyle name="Input 6 2 2 2 4 4" xfId="14862" xr:uid="{00000000-0005-0000-0000-00009B220000}"/>
    <cellStyle name="Input 6 2 2 2 4 5" xfId="12634" xr:uid="{00000000-0005-0000-0000-00009C220000}"/>
    <cellStyle name="Input 6 2 2 2 4 6" xfId="17430" xr:uid="{00000000-0005-0000-0000-00009D220000}"/>
    <cellStyle name="Input 6 2 2 2 5" xfId="11383" xr:uid="{00000000-0005-0000-0000-00009E220000}"/>
    <cellStyle name="Input 6 2 2 2 5 2" xfId="15689" xr:uid="{00000000-0005-0000-0000-00009F220000}"/>
    <cellStyle name="Input 6 2 2 2 5 3" xfId="16768" xr:uid="{00000000-0005-0000-0000-0000A0220000}"/>
    <cellStyle name="Input 6 2 2 2 5 4" xfId="17797" xr:uid="{00000000-0005-0000-0000-0000A1220000}"/>
    <cellStyle name="Input 6 2 2 2 5 5" xfId="18767" xr:uid="{00000000-0005-0000-0000-0000A2220000}"/>
    <cellStyle name="Input 6 2 2 2 5 6" xfId="19673" xr:uid="{00000000-0005-0000-0000-0000A3220000}"/>
    <cellStyle name="Input 6 2 2 2 6" xfId="11271" xr:uid="{00000000-0005-0000-0000-0000A4220000}"/>
    <cellStyle name="Input 6 2 2 2 6 2" xfId="15577" xr:uid="{00000000-0005-0000-0000-0000A5220000}"/>
    <cellStyle name="Input 6 2 2 2 6 3" xfId="16656" xr:uid="{00000000-0005-0000-0000-0000A6220000}"/>
    <cellStyle name="Input 6 2 2 2 6 4" xfId="17686" xr:uid="{00000000-0005-0000-0000-0000A7220000}"/>
    <cellStyle name="Input 6 2 2 2 6 5" xfId="18656" xr:uid="{00000000-0005-0000-0000-0000A8220000}"/>
    <cellStyle name="Input 6 2 2 2 6 6" xfId="19562" xr:uid="{00000000-0005-0000-0000-0000A9220000}"/>
    <cellStyle name="Input 6 2 2 2 7" xfId="12754" xr:uid="{00000000-0005-0000-0000-0000AA220000}"/>
    <cellStyle name="Input 6 2 2 2 8" xfId="14211" xr:uid="{00000000-0005-0000-0000-0000AB220000}"/>
    <cellStyle name="Input 6 2 2 2 9" xfId="12006" xr:uid="{00000000-0005-0000-0000-0000AC220000}"/>
    <cellStyle name="Input 6 2 2 3" xfId="3922" xr:uid="{00000000-0005-0000-0000-0000AD220000}"/>
    <cellStyle name="Input 6 2 2 3 2" xfId="9021" xr:uid="{00000000-0005-0000-0000-0000AE220000}"/>
    <cellStyle name="Input 6 2 2 3 2 2" xfId="14799" xr:uid="{00000000-0005-0000-0000-0000AF220000}"/>
    <cellStyle name="Input 6 2 2 3 2 3" xfId="15118" xr:uid="{00000000-0005-0000-0000-0000B0220000}"/>
    <cellStyle name="Input 6 2 2 3 2 4" xfId="13486" xr:uid="{00000000-0005-0000-0000-0000B1220000}"/>
    <cellStyle name="Input 6 2 2 3 2 5" xfId="16357" xr:uid="{00000000-0005-0000-0000-0000B2220000}"/>
    <cellStyle name="Input 6 2 2 3 2 6" xfId="15341" xr:uid="{00000000-0005-0000-0000-0000B3220000}"/>
    <cellStyle name="Input 6 2 2 3 3" xfId="11489" xr:uid="{00000000-0005-0000-0000-0000B4220000}"/>
    <cellStyle name="Input 6 2 2 3 3 2" xfId="15795" xr:uid="{00000000-0005-0000-0000-0000B5220000}"/>
    <cellStyle name="Input 6 2 2 3 3 3" xfId="16874" xr:uid="{00000000-0005-0000-0000-0000B6220000}"/>
    <cellStyle name="Input 6 2 2 3 3 4" xfId="17900" xr:uid="{00000000-0005-0000-0000-0000B7220000}"/>
    <cellStyle name="Input 6 2 2 3 3 5" xfId="18870" xr:uid="{00000000-0005-0000-0000-0000B8220000}"/>
    <cellStyle name="Input 6 2 2 3 3 6" xfId="19776" xr:uid="{00000000-0005-0000-0000-0000B9220000}"/>
    <cellStyle name="Input 6 2 2 3 4" xfId="6187" xr:uid="{00000000-0005-0000-0000-0000BA220000}"/>
    <cellStyle name="Input 6 2 2 3 4 2" xfId="13919" xr:uid="{00000000-0005-0000-0000-0000BB220000}"/>
    <cellStyle name="Input 6 2 2 3 4 3" xfId="14542" xr:uid="{00000000-0005-0000-0000-0000BC220000}"/>
    <cellStyle name="Input 6 2 2 3 4 4" xfId="14077" xr:uid="{00000000-0005-0000-0000-0000BD220000}"/>
    <cellStyle name="Input 6 2 2 3 4 5" xfId="12739" xr:uid="{00000000-0005-0000-0000-0000BE220000}"/>
    <cellStyle name="Input 6 2 2 3 4 6" xfId="14266" xr:uid="{00000000-0005-0000-0000-0000BF220000}"/>
    <cellStyle name="Input 6 2 2 3 5" xfId="13111" xr:uid="{00000000-0005-0000-0000-0000C0220000}"/>
    <cellStyle name="Input 6 2 2 3 6" xfId="12451" xr:uid="{00000000-0005-0000-0000-0000C1220000}"/>
    <cellStyle name="Input 6 2 2 3 7" xfId="12950" xr:uid="{00000000-0005-0000-0000-0000C2220000}"/>
    <cellStyle name="Input 6 2 2 3 8" xfId="13410" xr:uid="{00000000-0005-0000-0000-0000C3220000}"/>
    <cellStyle name="Input 6 2 2 3 9" xfId="15164" xr:uid="{00000000-0005-0000-0000-0000C4220000}"/>
    <cellStyle name="Input 6 2 3" xfId="2645" xr:uid="{00000000-0005-0000-0000-0000C5220000}"/>
    <cellStyle name="Input 6 2 3 10" xfId="14610" xr:uid="{00000000-0005-0000-0000-0000C6220000}"/>
    <cellStyle name="Input 6 2 3 2" xfId="6061" xr:uid="{00000000-0005-0000-0000-0000C7220000}"/>
    <cellStyle name="Input 6 2 3 2 2" xfId="11157" xr:uid="{00000000-0005-0000-0000-0000C8220000}"/>
    <cellStyle name="Input 6 2 3 2 2 2" xfId="15463" xr:uid="{00000000-0005-0000-0000-0000C9220000}"/>
    <cellStyle name="Input 6 2 3 2 2 3" xfId="16542" xr:uid="{00000000-0005-0000-0000-0000CA220000}"/>
    <cellStyle name="Input 6 2 3 2 2 4" xfId="17576" xr:uid="{00000000-0005-0000-0000-0000CB220000}"/>
    <cellStyle name="Input 6 2 3 2 2 5" xfId="18546" xr:uid="{00000000-0005-0000-0000-0000CC220000}"/>
    <cellStyle name="Input 6 2 3 2 2 6" xfId="19452" xr:uid="{00000000-0005-0000-0000-0000CD220000}"/>
    <cellStyle name="Input 6 2 3 2 3" xfId="11739" xr:uid="{00000000-0005-0000-0000-0000CE220000}"/>
    <cellStyle name="Input 6 2 3 2 3 2" xfId="16045" xr:uid="{00000000-0005-0000-0000-0000CF220000}"/>
    <cellStyle name="Input 6 2 3 2 3 3" xfId="17124" xr:uid="{00000000-0005-0000-0000-0000D0220000}"/>
    <cellStyle name="Input 6 2 3 2 3 4" xfId="18146" xr:uid="{00000000-0005-0000-0000-0000D1220000}"/>
    <cellStyle name="Input 6 2 3 2 3 5" xfId="19116" xr:uid="{00000000-0005-0000-0000-0000D2220000}"/>
    <cellStyle name="Input 6 2 3 2 3 6" xfId="20022" xr:uid="{00000000-0005-0000-0000-0000D3220000}"/>
    <cellStyle name="Input 6 2 3 2 4" xfId="11911" xr:uid="{00000000-0005-0000-0000-0000D4220000}"/>
    <cellStyle name="Input 6 2 3 2 4 2" xfId="16217" xr:uid="{00000000-0005-0000-0000-0000D5220000}"/>
    <cellStyle name="Input 6 2 3 2 4 3" xfId="17296" xr:uid="{00000000-0005-0000-0000-0000D6220000}"/>
    <cellStyle name="Input 6 2 3 2 4 4" xfId="18314" xr:uid="{00000000-0005-0000-0000-0000D7220000}"/>
    <cellStyle name="Input 6 2 3 2 4 5" xfId="19284" xr:uid="{00000000-0005-0000-0000-0000D8220000}"/>
    <cellStyle name="Input 6 2 3 2 4 6" xfId="20190" xr:uid="{00000000-0005-0000-0000-0000D9220000}"/>
    <cellStyle name="Input 6 2 3 2 5" xfId="13794" xr:uid="{00000000-0005-0000-0000-0000DA220000}"/>
    <cellStyle name="Input 6 2 3 2 6" xfId="13688" xr:uid="{00000000-0005-0000-0000-0000DB220000}"/>
    <cellStyle name="Input 6 2 3 2 7" xfId="12387" xr:uid="{00000000-0005-0000-0000-0000DC220000}"/>
    <cellStyle name="Input 6 2 3 2 8" xfId="14247" xr:uid="{00000000-0005-0000-0000-0000DD220000}"/>
    <cellStyle name="Input 6 2 3 2 9" xfId="13307" xr:uid="{00000000-0005-0000-0000-0000DE220000}"/>
    <cellStyle name="Input 6 2 3 3" xfId="7748" xr:uid="{00000000-0005-0000-0000-0000DF220000}"/>
    <cellStyle name="Input 6 2 3 3 2" xfId="14414" xr:uid="{00000000-0005-0000-0000-0000E0220000}"/>
    <cellStyle name="Input 6 2 3 3 3" xfId="12685" xr:uid="{00000000-0005-0000-0000-0000E1220000}"/>
    <cellStyle name="Input 6 2 3 3 4" xfId="14215" xr:uid="{00000000-0005-0000-0000-0000E2220000}"/>
    <cellStyle name="Input 6 2 3 3 5" xfId="14702" xr:uid="{00000000-0005-0000-0000-0000E3220000}"/>
    <cellStyle name="Input 6 2 3 3 6" xfId="14273" xr:uid="{00000000-0005-0000-0000-0000E4220000}"/>
    <cellStyle name="Input 6 2 3 4" xfId="11347" xr:uid="{00000000-0005-0000-0000-0000E5220000}"/>
    <cellStyle name="Input 6 2 3 4 2" xfId="15653" xr:uid="{00000000-0005-0000-0000-0000E6220000}"/>
    <cellStyle name="Input 6 2 3 4 3" xfId="16732" xr:uid="{00000000-0005-0000-0000-0000E7220000}"/>
    <cellStyle name="Input 6 2 3 4 4" xfId="17761" xr:uid="{00000000-0005-0000-0000-0000E8220000}"/>
    <cellStyle name="Input 6 2 3 4 5" xfId="18731" xr:uid="{00000000-0005-0000-0000-0000E9220000}"/>
    <cellStyle name="Input 6 2 3 4 6" xfId="19637" xr:uid="{00000000-0005-0000-0000-0000EA220000}"/>
    <cellStyle name="Input 6 2 3 5" xfId="11541" xr:uid="{00000000-0005-0000-0000-0000EB220000}"/>
    <cellStyle name="Input 6 2 3 5 2" xfId="15847" xr:uid="{00000000-0005-0000-0000-0000EC220000}"/>
    <cellStyle name="Input 6 2 3 5 3" xfId="16926" xr:uid="{00000000-0005-0000-0000-0000ED220000}"/>
    <cellStyle name="Input 6 2 3 5 4" xfId="17951" xr:uid="{00000000-0005-0000-0000-0000EE220000}"/>
    <cellStyle name="Input 6 2 3 5 5" xfId="18921" xr:uid="{00000000-0005-0000-0000-0000EF220000}"/>
    <cellStyle name="Input 6 2 3 5 6" xfId="19827" xr:uid="{00000000-0005-0000-0000-0000F0220000}"/>
    <cellStyle name="Input 6 2 3 6" xfId="12715" xr:uid="{00000000-0005-0000-0000-0000F1220000}"/>
    <cellStyle name="Input 6 2 3 7" xfId="15085" xr:uid="{00000000-0005-0000-0000-0000F2220000}"/>
    <cellStyle name="Input 6 2 3 8" xfId="14045" xr:uid="{00000000-0005-0000-0000-0000F3220000}"/>
    <cellStyle name="Input 6 2 3 9" xfId="13375" xr:uid="{00000000-0005-0000-0000-0000F4220000}"/>
    <cellStyle name="Input 6 2 4" xfId="5986" xr:uid="{00000000-0005-0000-0000-0000F5220000}"/>
    <cellStyle name="Input 6 2 4 2" xfId="11082" xr:uid="{00000000-0005-0000-0000-0000F6220000}"/>
    <cellStyle name="Input 6 2 4 2 2" xfId="15388" xr:uid="{00000000-0005-0000-0000-0000F7220000}"/>
    <cellStyle name="Input 6 2 4 2 3" xfId="16467" xr:uid="{00000000-0005-0000-0000-0000F8220000}"/>
    <cellStyle name="Input 6 2 4 2 4" xfId="17502" xr:uid="{00000000-0005-0000-0000-0000F9220000}"/>
    <cellStyle name="Input 6 2 4 2 5" xfId="18472" xr:uid="{00000000-0005-0000-0000-0000FA220000}"/>
    <cellStyle name="Input 6 2 4 2 6" xfId="19378" xr:uid="{00000000-0005-0000-0000-0000FB220000}"/>
    <cellStyle name="Input 6 2 4 3" xfId="11664" xr:uid="{00000000-0005-0000-0000-0000FC220000}"/>
    <cellStyle name="Input 6 2 4 3 2" xfId="15970" xr:uid="{00000000-0005-0000-0000-0000FD220000}"/>
    <cellStyle name="Input 6 2 4 3 3" xfId="17049" xr:uid="{00000000-0005-0000-0000-0000FE220000}"/>
    <cellStyle name="Input 6 2 4 3 4" xfId="18072" xr:uid="{00000000-0005-0000-0000-0000FF220000}"/>
    <cellStyle name="Input 6 2 4 3 5" xfId="19042" xr:uid="{00000000-0005-0000-0000-000000230000}"/>
    <cellStyle name="Input 6 2 4 3 6" xfId="19948" xr:uid="{00000000-0005-0000-0000-000001230000}"/>
    <cellStyle name="Input 6 2 4 4" xfId="11836" xr:uid="{00000000-0005-0000-0000-000002230000}"/>
    <cellStyle name="Input 6 2 4 4 2" xfId="16142" xr:uid="{00000000-0005-0000-0000-000003230000}"/>
    <cellStyle name="Input 6 2 4 4 3" xfId="17221" xr:uid="{00000000-0005-0000-0000-000004230000}"/>
    <cellStyle name="Input 6 2 4 4 4" xfId="18240" xr:uid="{00000000-0005-0000-0000-000005230000}"/>
    <cellStyle name="Input 6 2 4 4 5" xfId="19210" xr:uid="{00000000-0005-0000-0000-000006230000}"/>
    <cellStyle name="Input 6 2 4 4 6" xfId="20116" xr:uid="{00000000-0005-0000-0000-000007230000}"/>
    <cellStyle name="Input 6 2 4 5" xfId="13719" xr:uid="{00000000-0005-0000-0000-000008230000}"/>
    <cellStyle name="Input 6 2 4 6" xfId="13360" xr:uid="{00000000-0005-0000-0000-000009230000}"/>
    <cellStyle name="Input 6 2 4 7" xfId="14923" xr:uid="{00000000-0005-0000-0000-00000A230000}"/>
    <cellStyle name="Input 6 2 4 8" xfId="16371" xr:uid="{00000000-0005-0000-0000-00000B230000}"/>
    <cellStyle name="Input 6 2 4 9" xfId="16351" xr:uid="{00000000-0005-0000-0000-00000C230000}"/>
    <cellStyle name="Input 6 2 5" xfId="6492" xr:uid="{00000000-0005-0000-0000-00000D230000}"/>
    <cellStyle name="Input 6 2 5 2" xfId="14005" xr:uid="{00000000-0005-0000-0000-00000E230000}"/>
    <cellStyle name="Input 6 2 5 3" xfId="13531" xr:uid="{00000000-0005-0000-0000-00000F230000}"/>
    <cellStyle name="Input 6 2 5 4" xfId="13382" xr:uid="{00000000-0005-0000-0000-000010230000}"/>
    <cellStyle name="Input 6 2 5 5" xfId="13627" xr:uid="{00000000-0005-0000-0000-000011230000}"/>
    <cellStyle name="Input 6 2 5 6" xfId="12121" xr:uid="{00000000-0005-0000-0000-000012230000}"/>
    <cellStyle name="Input 6 2 6" xfId="6416" xr:uid="{00000000-0005-0000-0000-000013230000}"/>
    <cellStyle name="Input 6 2 6 2" xfId="13977" xr:uid="{00000000-0005-0000-0000-000014230000}"/>
    <cellStyle name="Input 6 2 6 3" xfId="14129" xr:uid="{00000000-0005-0000-0000-000015230000}"/>
    <cellStyle name="Input 6 2 6 4" xfId="15200" xr:uid="{00000000-0005-0000-0000-000016230000}"/>
    <cellStyle name="Input 6 2 6 5" xfId="12700" xr:uid="{00000000-0005-0000-0000-000017230000}"/>
    <cellStyle name="Input 6 2 6 6" xfId="13658" xr:uid="{00000000-0005-0000-0000-000018230000}"/>
    <cellStyle name="Input 6 2 7" xfId="11303" xr:uid="{00000000-0005-0000-0000-000019230000}"/>
    <cellStyle name="Input 6 2 7 2" xfId="15609" xr:uid="{00000000-0005-0000-0000-00001A230000}"/>
    <cellStyle name="Input 6 2 7 3" xfId="16688" xr:uid="{00000000-0005-0000-0000-00001B230000}"/>
    <cellStyle name="Input 6 2 7 4" xfId="17717" xr:uid="{00000000-0005-0000-0000-00001C230000}"/>
    <cellStyle name="Input 6 2 7 5" xfId="18687" xr:uid="{00000000-0005-0000-0000-00001D230000}"/>
    <cellStyle name="Input 6 2 7 6" xfId="19593" xr:uid="{00000000-0005-0000-0000-00001E230000}"/>
    <cellStyle name="Input 6 2 8" xfId="12207" xr:uid="{00000000-0005-0000-0000-00001F230000}"/>
    <cellStyle name="Input 6 2 9" xfId="14378" xr:uid="{00000000-0005-0000-0000-000020230000}"/>
    <cellStyle name="Input 6 3" xfId="1587" xr:uid="{00000000-0005-0000-0000-000021230000}"/>
    <cellStyle name="Input 7" xfId="386" xr:uid="{00000000-0005-0000-0000-000022230000}"/>
    <cellStyle name="Input 7 2" xfId="1016" xr:uid="{00000000-0005-0000-0000-000023230000}"/>
    <cellStyle name="Input 7 2 10" xfId="13381" xr:uid="{00000000-0005-0000-0000-000024230000}"/>
    <cellStyle name="Input 7 2 11" xfId="14124" xr:uid="{00000000-0005-0000-0000-000025230000}"/>
    <cellStyle name="Input 7 2 12" xfId="16360" xr:uid="{00000000-0005-0000-0000-000026230000}"/>
    <cellStyle name="Input 7 2 2" xfId="1108" xr:uid="{00000000-0005-0000-0000-000027230000}"/>
    <cellStyle name="Input 7 2 2 2" xfId="2698" xr:uid="{00000000-0005-0000-0000-000028230000}"/>
    <cellStyle name="Input 7 2 2 2 10" xfId="17449" xr:uid="{00000000-0005-0000-0000-000029230000}"/>
    <cellStyle name="Input 7 2 2 2 11" xfId="14984" xr:uid="{00000000-0005-0000-0000-00002A230000}"/>
    <cellStyle name="Input 7 2 2 2 2" xfId="6098" xr:uid="{00000000-0005-0000-0000-00002B230000}"/>
    <cellStyle name="Input 7 2 2 2 2 2" xfId="11194" xr:uid="{00000000-0005-0000-0000-00002C230000}"/>
    <cellStyle name="Input 7 2 2 2 2 2 2" xfId="15500" xr:uid="{00000000-0005-0000-0000-00002D230000}"/>
    <cellStyle name="Input 7 2 2 2 2 2 3" xfId="16579" xr:uid="{00000000-0005-0000-0000-00002E230000}"/>
    <cellStyle name="Input 7 2 2 2 2 2 4" xfId="17613" xr:uid="{00000000-0005-0000-0000-00002F230000}"/>
    <cellStyle name="Input 7 2 2 2 2 2 5" xfId="18583" xr:uid="{00000000-0005-0000-0000-000030230000}"/>
    <cellStyle name="Input 7 2 2 2 2 2 6" xfId="19489" xr:uid="{00000000-0005-0000-0000-000031230000}"/>
    <cellStyle name="Input 7 2 2 2 2 3" xfId="11776" xr:uid="{00000000-0005-0000-0000-000032230000}"/>
    <cellStyle name="Input 7 2 2 2 2 3 2" xfId="16082" xr:uid="{00000000-0005-0000-0000-000033230000}"/>
    <cellStyle name="Input 7 2 2 2 2 3 3" xfId="17161" xr:uid="{00000000-0005-0000-0000-000034230000}"/>
    <cellStyle name="Input 7 2 2 2 2 3 4" xfId="18183" xr:uid="{00000000-0005-0000-0000-000035230000}"/>
    <cellStyle name="Input 7 2 2 2 2 3 5" xfId="19153" xr:uid="{00000000-0005-0000-0000-000036230000}"/>
    <cellStyle name="Input 7 2 2 2 2 3 6" xfId="20059" xr:uid="{00000000-0005-0000-0000-000037230000}"/>
    <cellStyle name="Input 7 2 2 2 2 4" xfId="11948" xr:uid="{00000000-0005-0000-0000-000038230000}"/>
    <cellStyle name="Input 7 2 2 2 2 4 2" xfId="16254" xr:uid="{00000000-0005-0000-0000-000039230000}"/>
    <cellStyle name="Input 7 2 2 2 2 4 3" xfId="17333" xr:uid="{00000000-0005-0000-0000-00003A230000}"/>
    <cellStyle name="Input 7 2 2 2 2 4 4" xfId="18351" xr:uid="{00000000-0005-0000-0000-00003B230000}"/>
    <cellStyle name="Input 7 2 2 2 2 4 5" xfId="19321" xr:uid="{00000000-0005-0000-0000-00003C230000}"/>
    <cellStyle name="Input 7 2 2 2 2 4 6" xfId="20227" xr:uid="{00000000-0005-0000-0000-00003D230000}"/>
    <cellStyle name="Input 7 2 2 2 2 5" xfId="13831" xr:uid="{00000000-0005-0000-0000-00003E230000}"/>
    <cellStyle name="Input 7 2 2 2 2 6" xfId="14554" xr:uid="{00000000-0005-0000-0000-00003F230000}"/>
    <cellStyle name="Input 7 2 2 2 2 7" xfId="13506" xr:uid="{00000000-0005-0000-0000-000040230000}"/>
    <cellStyle name="Input 7 2 2 2 2 8" xfId="15196" xr:uid="{00000000-0005-0000-0000-000041230000}"/>
    <cellStyle name="Input 7 2 2 2 2 9" xfId="18410" xr:uid="{00000000-0005-0000-0000-000042230000}"/>
    <cellStyle name="Input 7 2 2 2 3" xfId="5106" xr:uid="{00000000-0005-0000-0000-000043230000}"/>
    <cellStyle name="Input 7 2 2 2 3 2" xfId="10202" xr:uid="{00000000-0005-0000-0000-000044230000}"/>
    <cellStyle name="Input 7 2 2 2 3 2 2" xfId="15140" xr:uid="{00000000-0005-0000-0000-000045230000}"/>
    <cellStyle name="Input 7 2 2 2 3 2 3" xfId="12277" xr:uid="{00000000-0005-0000-0000-000046230000}"/>
    <cellStyle name="Input 7 2 2 2 3 2 4" xfId="14049" xr:uid="{00000000-0005-0000-0000-000047230000}"/>
    <cellStyle name="Input 7 2 2 2 3 2 5" xfId="16312" xr:uid="{00000000-0005-0000-0000-000048230000}"/>
    <cellStyle name="Input 7 2 2 2 3 2 6" xfId="12516" xr:uid="{00000000-0005-0000-0000-000049230000}"/>
    <cellStyle name="Input 7 2 2 2 3 3" xfId="11584" xr:uid="{00000000-0005-0000-0000-00004A230000}"/>
    <cellStyle name="Input 7 2 2 2 3 3 2" xfId="15890" xr:uid="{00000000-0005-0000-0000-00004B230000}"/>
    <cellStyle name="Input 7 2 2 2 3 3 3" xfId="16969" xr:uid="{00000000-0005-0000-0000-00004C230000}"/>
    <cellStyle name="Input 7 2 2 2 3 3 4" xfId="17993" xr:uid="{00000000-0005-0000-0000-00004D230000}"/>
    <cellStyle name="Input 7 2 2 2 3 3 5" xfId="18963" xr:uid="{00000000-0005-0000-0000-00004E230000}"/>
    <cellStyle name="Input 7 2 2 2 3 3 6" xfId="19869" xr:uid="{00000000-0005-0000-0000-00004F230000}"/>
    <cellStyle name="Input 7 2 2 2 3 4" xfId="11609" xr:uid="{00000000-0005-0000-0000-000050230000}"/>
    <cellStyle name="Input 7 2 2 2 3 4 2" xfId="15915" xr:uid="{00000000-0005-0000-0000-000051230000}"/>
    <cellStyle name="Input 7 2 2 2 3 4 3" xfId="16994" xr:uid="{00000000-0005-0000-0000-000052230000}"/>
    <cellStyle name="Input 7 2 2 2 3 4 4" xfId="18018" xr:uid="{00000000-0005-0000-0000-000053230000}"/>
    <cellStyle name="Input 7 2 2 2 3 4 5" xfId="18988" xr:uid="{00000000-0005-0000-0000-000054230000}"/>
    <cellStyle name="Input 7 2 2 2 3 4 6" xfId="19894" xr:uid="{00000000-0005-0000-0000-000055230000}"/>
    <cellStyle name="Input 7 2 2 2 3 5" xfId="13460" xr:uid="{00000000-0005-0000-0000-000056230000}"/>
    <cellStyle name="Input 7 2 2 2 3 6" xfId="14671" xr:uid="{00000000-0005-0000-0000-000057230000}"/>
    <cellStyle name="Input 7 2 2 2 3 7" xfId="13502" xr:uid="{00000000-0005-0000-0000-000058230000}"/>
    <cellStyle name="Input 7 2 2 2 3 8" xfId="12272" xr:uid="{00000000-0005-0000-0000-000059230000}"/>
    <cellStyle name="Input 7 2 2 2 3 9" xfId="13046" xr:uid="{00000000-0005-0000-0000-00005A230000}"/>
    <cellStyle name="Input 7 2 2 2 4" xfId="7801" xr:uid="{00000000-0005-0000-0000-00005B230000}"/>
    <cellStyle name="Input 7 2 2 2 4 2" xfId="14452" xr:uid="{00000000-0005-0000-0000-00005C230000}"/>
    <cellStyle name="Input 7 2 2 2 4 3" xfId="14850" xr:uid="{00000000-0005-0000-0000-00005D230000}"/>
    <cellStyle name="Input 7 2 2 2 4 4" xfId="14780" xr:uid="{00000000-0005-0000-0000-00005E230000}"/>
    <cellStyle name="Input 7 2 2 2 4 5" xfId="12540" xr:uid="{00000000-0005-0000-0000-00005F230000}"/>
    <cellStyle name="Input 7 2 2 2 4 6" xfId="15009" xr:uid="{00000000-0005-0000-0000-000060230000}"/>
    <cellStyle name="Input 7 2 2 2 5" xfId="11384" xr:uid="{00000000-0005-0000-0000-000061230000}"/>
    <cellStyle name="Input 7 2 2 2 5 2" xfId="15690" xr:uid="{00000000-0005-0000-0000-000062230000}"/>
    <cellStyle name="Input 7 2 2 2 5 3" xfId="16769" xr:uid="{00000000-0005-0000-0000-000063230000}"/>
    <cellStyle name="Input 7 2 2 2 5 4" xfId="17798" xr:uid="{00000000-0005-0000-0000-000064230000}"/>
    <cellStyle name="Input 7 2 2 2 5 5" xfId="18768" xr:uid="{00000000-0005-0000-0000-000065230000}"/>
    <cellStyle name="Input 7 2 2 2 5 6" xfId="19674" xr:uid="{00000000-0005-0000-0000-000066230000}"/>
    <cellStyle name="Input 7 2 2 2 6" xfId="11526" xr:uid="{00000000-0005-0000-0000-000067230000}"/>
    <cellStyle name="Input 7 2 2 2 6 2" xfId="15832" xr:uid="{00000000-0005-0000-0000-000068230000}"/>
    <cellStyle name="Input 7 2 2 2 6 3" xfId="16911" xr:uid="{00000000-0005-0000-0000-000069230000}"/>
    <cellStyle name="Input 7 2 2 2 6 4" xfId="17936" xr:uid="{00000000-0005-0000-0000-00006A230000}"/>
    <cellStyle name="Input 7 2 2 2 6 5" xfId="18906" xr:uid="{00000000-0005-0000-0000-00006B230000}"/>
    <cellStyle name="Input 7 2 2 2 6 6" xfId="19812" xr:uid="{00000000-0005-0000-0000-00006C230000}"/>
    <cellStyle name="Input 7 2 2 2 7" xfId="12755" xr:uid="{00000000-0005-0000-0000-00006D230000}"/>
    <cellStyle name="Input 7 2 2 2 8" xfId="14968" xr:uid="{00000000-0005-0000-0000-00006E230000}"/>
    <cellStyle name="Input 7 2 2 2 9" xfId="153" xr:uid="{00000000-0005-0000-0000-00006F230000}"/>
    <cellStyle name="Input 7 2 2 3" xfId="3923" xr:uid="{00000000-0005-0000-0000-000070230000}"/>
    <cellStyle name="Input 7 2 2 3 2" xfId="9022" xr:uid="{00000000-0005-0000-0000-000071230000}"/>
    <cellStyle name="Input 7 2 2 3 2 2" xfId="14800" xr:uid="{00000000-0005-0000-0000-000072230000}"/>
    <cellStyle name="Input 7 2 2 3 2 3" xfId="13439" xr:uid="{00000000-0005-0000-0000-000073230000}"/>
    <cellStyle name="Input 7 2 2 3 2 4" xfId="12875" xr:uid="{00000000-0005-0000-0000-000074230000}"/>
    <cellStyle name="Input 7 2 2 3 2 5" xfId="12322" xr:uid="{00000000-0005-0000-0000-000075230000}"/>
    <cellStyle name="Input 7 2 2 3 2 6" xfId="12051" xr:uid="{00000000-0005-0000-0000-000076230000}"/>
    <cellStyle name="Input 7 2 2 3 3" xfId="11490" xr:uid="{00000000-0005-0000-0000-000077230000}"/>
    <cellStyle name="Input 7 2 2 3 3 2" xfId="15796" xr:uid="{00000000-0005-0000-0000-000078230000}"/>
    <cellStyle name="Input 7 2 2 3 3 3" xfId="16875" xr:uid="{00000000-0005-0000-0000-000079230000}"/>
    <cellStyle name="Input 7 2 2 3 3 4" xfId="17901" xr:uid="{00000000-0005-0000-0000-00007A230000}"/>
    <cellStyle name="Input 7 2 2 3 3 5" xfId="18871" xr:uid="{00000000-0005-0000-0000-00007B230000}"/>
    <cellStyle name="Input 7 2 2 3 3 6" xfId="19777" xr:uid="{00000000-0005-0000-0000-00007C230000}"/>
    <cellStyle name="Input 7 2 2 3 4" xfId="7138" xr:uid="{00000000-0005-0000-0000-00007D230000}"/>
    <cellStyle name="Input 7 2 2 3 4 2" xfId="14218" xr:uid="{00000000-0005-0000-0000-00007E230000}"/>
    <cellStyle name="Input 7 2 2 3 4 3" xfId="13178" xr:uid="{00000000-0005-0000-0000-00007F230000}"/>
    <cellStyle name="Input 7 2 2 3 4 4" xfId="15275" xr:uid="{00000000-0005-0000-0000-000080230000}"/>
    <cellStyle name="Input 7 2 2 3 4 5" xfId="16386" xr:uid="{00000000-0005-0000-0000-000081230000}"/>
    <cellStyle name="Input 7 2 2 3 4 6" xfId="12273" xr:uid="{00000000-0005-0000-0000-000082230000}"/>
    <cellStyle name="Input 7 2 2 3 5" xfId="13112" xr:uid="{00000000-0005-0000-0000-000083230000}"/>
    <cellStyle name="Input 7 2 2 3 6" xfId="12450" xr:uid="{00000000-0005-0000-0000-000084230000}"/>
    <cellStyle name="Input 7 2 2 3 7" xfId="13654" xr:uid="{00000000-0005-0000-0000-000085230000}"/>
    <cellStyle name="Input 7 2 2 3 8" xfId="14934" xr:uid="{00000000-0005-0000-0000-000086230000}"/>
    <cellStyle name="Input 7 2 2 3 9" xfId="14955" xr:uid="{00000000-0005-0000-0000-000087230000}"/>
    <cellStyle name="Input 7 2 3" xfId="2646" xr:uid="{00000000-0005-0000-0000-000088230000}"/>
    <cellStyle name="Input 7 2 3 10" xfId="13642" xr:uid="{00000000-0005-0000-0000-000089230000}"/>
    <cellStyle name="Input 7 2 3 2" xfId="6062" xr:uid="{00000000-0005-0000-0000-00008A230000}"/>
    <cellStyle name="Input 7 2 3 2 2" xfId="11158" xr:uid="{00000000-0005-0000-0000-00008B230000}"/>
    <cellStyle name="Input 7 2 3 2 2 2" xfId="15464" xr:uid="{00000000-0005-0000-0000-00008C230000}"/>
    <cellStyle name="Input 7 2 3 2 2 3" xfId="16543" xr:uid="{00000000-0005-0000-0000-00008D230000}"/>
    <cellStyle name="Input 7 2 3 2 2 4" xfId="17577" xr:uid="{00000000-0005-0000-0000-00008E230000}"/>
    <cellStyle name="Input 7 2 3 2 2 5" xfId="18547" xr:uid="{00000000-0005-0000-0000-00008F230000}"/>
    <cellStyle name="Input 7 2 3 2 2 6" xfId="19453" xr:uid="{00000000-0005-0000-0000-000090230000}"/>
    <cellStyle name="Input 7 2 3 2 3" xfId="11740" xr:uid="{00000000-0005-0000-0000-000091230000}"/>
    <cellStyle name="Input 7 2 3 2 3 2" xfId="16046" xr:uid="{00000000-0005-0000-0000-000092230000}"/>
    <cellStyle name="Input 7 2 3 2 3 3" xfId="17125" xr:uid="{00000000-0005-0000-0000-000093230000}"/>
    <cellStyle name="Input 7 2 3 2 3 4" xfId="18147" xr:uid="{00000000-0005-0000-0000-000094230000}"/>
    <cellStyle name="Input 7 2 3 2 3 5" xfId="19117" xr:uid="{00000000-0005-0000-0000-000095230000}"/>
    <cellStyle name="Input 7 2 3 2 3 6" xfId="20023" xr:uid="{00000000-0005-0000-0000-000096230000}"/>
    <cellStyle name="Input 7 2 3 2 4" xfId="11912" xr:uid="{00000000-0005-0000-0000-000097230000}"/>
    <cellStyle name="Input 7 2 3 2 4 2" xfId="16218" xr:uid="{00000000-0005-0000-0000-000098230000}"/>
    <cellStyle name="Input 7 2 3 2 4 3" xfId="17297" xr:uid="{00000000-0005-0000-0000-000099230000}"/>
    <cellStyle name="Input 7 2 3 2 4 4" xfId="18315" xr:uid="{00000000-0005-0000-0000-00009A230000}"/>
    <cellStyle name="Input 7 2 3 2 4 5" xfId="19285" xr:uid="{00000000-0005-0000-0000-00009B230000}"/>
    <cellStyle name="Input 7 2 3 2 4 6" xfId="20191" xr:uid="{00000000-0005-0000-0000-00009C230000}"/>
    <cellStyle name="Input 7 2 3 2 5" xfId="13795" xr:uid="{00000000-0005-0000-0000-00009D230000}"/>
    <cellStyle name="Input 7 2 3 2 6" xfId="12988" xr:uid="{00000000-0005-0000-0000-00009E230000}"/>
    <cellStyle name="Input 7 2 3 2 7" xfId="12910" xr:uid="{00000000-0005-0000-0000-00009F230000}"/>
    <cellStyle name="Input 7 2 3 2 8" xfId="13037" xr:uid="{00000000-0005-0000-0000-0000A0230000}"/>
    <cellStyle name="Input 7 2 3 2 9" xfId="15061" xr:uid="{00000000-0005-0000-0000-0000A1230000}"/>
    <cellStyle name="Input 7 2 3 3" xfId="7749" xr:uid="{00000000-0005-0000-0000-0000A2230000}"/>
    <cellStyle name="Input 7 2 3 3 2" xfId="14415" xr:uid="{00000000-0005-0000-0000-0000A3230000}"/>
    <cellStyle name="Input 7 2 3 3 3" xfId="14088" xr:uid="{00000000-0005-0000-0000-0000A4230000}"/>
    <cellStyle name="Input 7 2 3 3 4" xfId="14866" xr:uid="{00000000-0005-0000-0000-0000A5230000}"/>
    <cellStyle name="Input 7 2 3 3 5" xfId="12128" xr:uid="{00000000-0005-0000-0000-0000A6230000}"/>
    <cellStyle name="Input 7 2 3 3 6" xfId="15242" xr:uid="{00000000-0005-0000-0000-0000A7230000}"/>
    <cellStyle name="Input 7 2 3 4" xfId="11348" xr:uid="{00000000-0005-0000-0000-0000A8230000}"/>
    <cellStyle name="Input 7 2 3 4 2" xfId="15654" xr:uid="{00000000-0005-0000-0000-0000A9230000}"/>
    <cellStyle name="Input 7 2 3 4 3" xfId="16733" xr:uid="{00000000-0005-0000-0000-0000AA230000}"/>
    <cellStyle name="Input 7 2 3 4 4" xfId="17762" xr:uid="{00000000-0005-0000-0000-0000AB230000}"/>
    <cellStyle name="Input 7 2 3 4 5" xfId="18732" xr:uid="{00000000-0005-0000-0000-0000AC230000}"/>
    <cellStyle name="Input 7 2 3 4 6" xfId="19638" xr:uid="{00000000-0005-0000-0000-0000AD230000}"/>
    <cellStyle name="Input 7 2 3 5" xfId="11631" xr:uid="{00000000-0005-0000-0000-0000AE230000}"/>
    <cellStyle name="Input 7 2 3 5 2" xfId="15937" xr:uid="{00000000-0005-0000-0000-0000AF230000}"/>
    <cellStyle name="Input 7 2 3 5 3" xfId="17016" xr:uid="{00000000-0005-0000-0000-0000B0230000}"/>
    <cellStyle name="Input 7 2 3 5 4" xfId="18040" xr:uid="{00000000-0005-0000-0000-0000B1230000}"/>
    <cellStyle name="Input 7 2 3 5 5" xfId="19010" xr:uid="{00000000-0005-0000-0000-0000B2230000}"/>
    <cellStyle name="Input 7 2 3 5 6" xfId="19916" xr:uid="{00000000-0005-0000-0000-0000B3230000}"/>
    <cellStyle name="Input 7 2 3 6" xfId="12716" xr:uid="{00000000-0005-0000-0000-0000B4230000}"/>
    <cellStyle name="Input 7 2 3 7" xfId="13408" xr:uid="{00000000-0005-0000-0000-0000B5230000}"/>
    <cellStyle name="Input 7 2 3 8" xfId="13574" xr:uid="{00000000-0005-0000-0000-0000B6230000}"/>
    <cellStyle name="Input 7 2 3 9" xfId="12079" xr:uid="{00000000-0005-0000-0000-0000B7230000}"/>
    <cellStyle name="Input 7 2 4" xfId="5987" xr:uid="{00000000-0005-0000-0000-0000B8230000}"/>
    <cellStyle name="Input 7 2 4 2" xfId="11083" xr:uid="{00000000-0005-0000-0000-0000B9230000}"/>
    <cellStyle name="Input 7 2 4 2 2" xfId="15389" xr:uid="{00000000-0005-0000-0000-0000BA230000}"/>
    <cellStyle name="Input 7 2 4 2 3" xfId="16468" xr:uid="{00000000-0005-0000-0000-0000BB230000}"/>
    <cellStyle name="Input 7 2 4 2 4" xfId="17503" xr:uid="{00000000-0005-0000-0000-0000BC230000}"/>
    <cellStyle name="Input 7 2 4 2 5" xfId="18473" xr:uid="{00000000-0005-0000-0000-0000BD230000}"/>
    <cellStyle name="Input 7 2 4 2 6" xfId="19379" xr:uid="{00000000-0005-0000-0000-0000BE230000}"/>
    <cellStyle name="Input 7 2 4 3" xfId="11665" xr:uid="{00000000-0005-0000-0000-0000BF230000}"/>
    <cellStyle name="Input 7 2 4 3 2" xfId="15971" xr:uid="{00000000-0005-0000-0000-0000C0230000}"/>
    <cellStyle name="Input 7 2 4 3 3" xfId="17050" xr:uid="{00000000-0005-0000-0000-0000C1230000}"/>
    <cellStyle name="Input 7 2 4 3 4" xfId="18073" xr:uid="{00000000-0005-0000-0000-0000C2230000}"/>
    <cellStyle name="Input 7 2 4 3 5" xfId="19043" xr:uid="{00000000-0005-0000-0000-0000C3230000}"/>
    <cellStyle name="Input 7 2 4 3 6" xfId="19949" xr:uid="{00000000-0005-0000-0000-0000C4230000}"/>
    <cellStyle name="Input 7 2 4 4" xfId="11837" xr:uid="{00000000-0005-0000-0000-0000C5230000}"/>
    <cellStyle name="Input 7 2 4 4 2" xfId="16143" xr:uid="{00000000-0005-0000-0000-0000C6230000}"/>
    <cellStyle name="Input 7 2 4 4 3" xfId="17222" xr:uid="{00000000-0005-0000-0000-0000C7230000}"/>
    <cellStyle name="Input 7 2 4 4 4" xfId="18241" xr:uid="{00000000-0005-0000-0000-0000C8230000}"/>
    <cellStyle name="Input 7 2 4 4 5" xfId="19211" xr:uid="{00000000-0005-0000-0000-0000C9230000}"/>
    <cellStyle name="Input 7 2 4 4 6" xfId="20117" xr:uid="{00000000-0005-0000-0000-0000CA230000}"/>
    <cellStyle name="Input 7 2 4 5" xfId="13720" xr:uid="{00000000-0005-0000-0000-0000CB230000}"/>
    <cellStyle name="Input 7 2 4 6" xfId="14690" xr:uid="{00000000-0005-0000-0000-0000CC230000}"/>
    <cellStyle name="Input 7 2 4 7" xfId="12802" xr:uid="{00000000-0005-0000-0000-0000CD230000}"/>
    <cellStyle name="Input 7 2 4 8" xfId="14174" xr:uid="{00000000-0005-0000-0000-0000CE230000}"/>
    <cellStyle name="Input 7 2 4 9" xfId="14335" xr:uid="{00000000-0005-0000-0000-0000CF230000}"/>
    <cellStyle name="Input 7 2 5" xfId="6493" xr:uid="{00000000-0005-0000-0000-0000D0230000}"/>
    <cellStyle name="Input 7 2 5 2" xfId="14006" xr:uid="{00000000-0005-0000-0000-0000D1230000}"/>
    <cellStyle name="Input 7 2 5 3" xfId="12838" xr:uid="{00000000-0005-0000-0000-0000D2230000}"/>
    <cellStyle name="Input 7 2 5 4" xfId="13965" xr:uid="{00000000-0005-0000-0000-0000D3230000}"/>
    <cellStyle name="Input 7 2 5 5" xfId="17403" xr:uid="{00000000-0005-0000-0000-0000D4230000}"/>
    <cellStyle name="Input 7 2 5 6" xfId="12055" xr:uid="{00000000-0005-0000-0000-0000D5230000}"/>
    <cellStyle name="Input 7 2 6" xfId="6160" xr:uid="{00000000-0005-0000-0000-0000D6230000}"/>
    <cellStyle name="Input 7 2 6 2" xfId="13892" xr:uid="{00000000-0005-0000-0000-0000D7230000}"/>
    <cellStyle name="Input 7 2 6 3" xfId="14891" xr:uid="{00000000-0005-0000-0000-0000D8230000}"/>
    <cellStyle name="Input 7 2 6 4" xfId="12120" xr:uid="{00000000-0005-0000-0000-0000D9230000}"/>
    <cellStyle name="Input 7 2 6 5" xfId="13310" xr:uid="{00000000-0005-0000-0000-0000DA230000}"/>
    <cellStyle name="Input 7 2 6 6" xfId="12425" xr:uid="{00000000-0005-0000-0000-0000DB230000}"/>
    <cellStyle name="Input 7 2 7" xfId="11302" xr:uid="{00000000-0005-0000-0000-0000DC230000}"/>
    <cellStyle name="Input 7 2 7 2" xfId="15608" xr:uid="{00000000-0005-0000-0000-0000DD230000}"/>
    <cellStyle name="Input 7 2 7 3" xfId="16687" xr:uid="{00000000-0005-0000-0000-0000DE230000}"/>
    <cellStyle name="Input 7 2 7 4" xfId="17716" xr:uid="{00000000-0005-0000-0000-0000DF230000}"/>
    <cellStyle name="Input 7 2 7 5" xfId="18686" xr:uid="{00000000-0005-0000-0000-0000E0230000}"/>
    <cellStyle name="Input 7 2 7 6" xfId="19592" xr:uid="{00000000-0005-0000-0000-0000E1230000}"/>
    <cellStyle name="Input 7 2 8" xfId="12208" xr:uid="{00000000-0005-0000-0000-0000E2230000}"/>
    <cellStyle name="Input 7 2 9" xfId="15097" xr:uid="{00000000-0005-0000-0000-0000E3230000}"/>
    <cellStyle name="Input 8" xfId="387" xr:uid="{00000000-0005-0000-0000-0000E4230000}"/>
    <cellStyle name="Input 8 2" xfId="1017" xr:uid="{00000000-0005-0000-0000-0000E5230000}"/>
    <cellStyle name="Input 8 2 10" xfId="13573" xr:uid="{00000000-0005-0000-0000-0000E6230000}"/>
    <cellStyle name="Input 8 2 11" xfId="12432" xr:uid="{00000000-0005-0000-0000-0000E7230000}"/>
    <cellStyle name="Input 8 2 12" xfId="12801" xr:uid="{00000000-0005-0000-0000-0000E8230000}"/>
    <cellStyle name="Input 8 2 2" xfId="1109" xr:uid="{00000000-0005-0000-0000-0000E9230000}"/>
    <cellStyle name="Input 8 2 2 2" xfId="2699" xr:uid="{00000000-0005-0000-0000-0000EA230000}"/>
    <cellStyle name="Input 8 2 2 2 10" xfId="13320" xr:uid="{00000000-0005-0000-0000-0000EB230000}"/>
    <cellStyle name="Input 8 2 2 2 11" xfId="12064" xr:uid="{00000000-0005-0000-0000-0000EC230000}"/>
    <cellStyle name="Input 8 2 2 2 2" xfId="6099" xr:uid="{00000000-0005-0000-0000-0000ED230000}"/>
    <cellStyle name="Input 8 2 2 2 2 2" xfId="11195" xr:uid="{00000000-0005-0000-0000-0000EE230000}"/>
    <cellStyle name="Input 8 2 2 2 2 2 2" xfId="15501" xr:uid="{00000000-0005-0000-0000-0000EF230000}"/>
    <cellStyle name="Input 8 2 2 2 2 2 3" xfId="16580" xr:uid="{00000000-0005-0000-0000-0000F0230000}"/>
    <cellStyle name="Input 8 2 2 2 2 2 4" xfId="17614" xr:uid="{00000000-0005-0000-0000-0000F1230000}"/>
    <cellStyle name="Input 8 2 2 2 2 2 5" xfId="18584" xr:uid="{00000000-0005-0000-0000-0000F2230000}"/>
    <cellStyle name="Input 8 2 2 2 2 2 6" xfId="19490" xr:uid="{00000000-0005-0000-0000-0000F3230000}"/>
    <cellStyle name="Input 8 2 2 2 2 3" xfId="11777" xr:uid="{00000000-0005-0000-0000-0000F4230000}"/>
    <cellStyle name="Input 8 2 2 2 2 3 2" xfId="16083" xr:uid="{00000000-0005-0000-0000-0000F5230000}"/>
    <cellStyle name="Input 8 2 2 2 2 3 3" xfId="17162" xr:uid="{00000000-0005-0000-0000-0000F6230000}"/>
    <cellStyle name="Input 8 2 2 2 2 3 4" xfId="18184" xr:uid="{00000000-0005-0000-0000-0000F7230000}"/>
    <cellStyle name="Input 8 2 2 2 2 3 5" xfId="19154" xr:uid="{00000000-0005-0000-0000-0000F8230000}"/>
    <cellStyle name="Input 8 2 2 2 2 3 6" xfId="20060" xr:uid="{00000000-0005-0000-0000-0000F9230000}"/>
    <cellStyle name="Input 8 2 2 2 2 4" xfId="11949" xr:uid="{00000000-0005-0000-0000-0000FA230000}"/>
    <cellStyle name="Input 8 2 2 2 2 4 2" xfId="16255" xr:uid="{00000000-0005-0000-0000-0000FB230000}"/>
    <cellStyle name="Input 8 2 2 2 2 4 3" xfId="17334" xr:uid="{00000000-0005-0000-0000-0000FC230000}"/>
    <cellStyle name="Input 8 2 2 2 2 4 4" xfId="18352" xr:uid="{00000000-0005-0000-0000-0000FD230000}"/>
    <cellStyle name="Input 8 2 2 2 2 4 5" xfId="19322" xr:uid="{00000000-0005-0000-0000-0000FE230000}"/>
    <cellStyle name="Input 8 2 2 2 2 4 6" xfId="20228" xr:uid="{00000000-0005-0000-0000-0000FF230000}"/>
    <cellStyle name="Input 8 2 2 2 2 5" xfId="13832" xr:uid="{00000000-0005-0000-0000-000000240000}"/>
    <cellStyle name="Input 8 2 2 2 2 6" xfId="15231" xr:uid="{00000000-0005-0000-0000-000001240000}"/>
    <cellStyle name="Input 8 2 2 2 2 7" xfId="16343" xr:uid="{00000000-0005-0000-0000-000002240000}"/>
    <cellStyle name="Input 8 2 2 2 2 8" xfId="15332" xr:uid="{00000000-0005-0000-0000-000003240000}"/>
    <cellStyle name="Input 8 2 2 2 2 9" xfId="17429" xr:uid="{00000000-0005-0000-0000-000004240000}"/>
    <cellStyle name="Input 8 2 2 2 3" xfId="5107" xr:uid="{00000000-0005-0000-0000-000005240000}"/>
    <cellStyle name="Input 8 2 2 2 3 2" xfId="10203" xr:uid="{00000000-0005-0000-0000-000006240000}"/>
    <cellStyle name="Input 8 2 2 2 3 2 2" xfId="15141" xr:uid="{00000000-0005-0000-0000-000007240000}"/>
    <cellStyle name="Input 8 2 2 2 3 2 3" xfId="12148" xr:uid="{00000000-0005-0000-0000-000008240000}"/>
    <cellStyle name="Input 8 2 2 2 3 2 4" xfId="14654" xr:uid="{00000000-0005-0000-0000-000009240000}"/>
    <cellStyle name="Input 8 2 2 2 3 2 5" xfId="14363" xr:uid="{00000000-0005-0000-0000-00000A240000}"/>
    <cellStyle name="Input 8 2 2 2 3 2 6" xfId="13312" xr:uid="{00000000-0005-0000-0000-00000B240000}"/>
    <cellStyle name="Input 8 2 2 2 3 3" xfId="11585" xr:uid="{00000000-0005-0000-0000-00000C240000}"/>
    <cellStyle name="Input 8 2 2 2 3 3 2" xfId="15891" xr:uid="{00000000-0005-0000-0000-00000D240000}"/>
    <cellStyle name="Input 8 2 2 2 3 3 3" xfId="16970" xr:uid="{00000000-0005-0000-0000-00000E240000}"/>
    <cellStyle name="Input 8 2 2 2 3 3 4" xfId="17994" xr:uid="{00000000-0005-0000-0000-00000F240000}"/>
    <cellStyle name="Input 8 2 2 2 3 3 5" xfId="18964" xr:uid="{00000000-0005-0000-0000-000010240000}"/>
    <cellStyle name="Input 8 2 2 2 3 3 6" xfId="19870" xr:uid="{00000000-0005-0000-0000-000011240000}"/>
    <cellStyle name="Input 8 2 2 2 3 4" xfId="11415" xr:uid="{00000000-0005-0000-0000-000012240000}"/>
    <cellStyle name="Input 8 2 2 2 3 4 2" xfId="15721" xr:uid="{00000000-0005-0000-0000-000013240000}"/>
    <cellStyle name="Input 8 2 2 2 3 4 3" xfId="16800" xr:uid="{00000000-0005-0000-0000-000014240000}"/>
    <cellStyle name="Input 8 2 2 2 3 4 4" xfId="17829" xr:uid="{00000000-0005-0000-0000-000015240000}"/>
    <cellStyle name="Input 8 2 2 2 3 4 5" xfId="18799" xr:uid="{00000000-0005-0000-0000-000016240000}"/>
    <cellStyle name="Input 8 2 2 2 3 4 6" xfId="19705" xr:uid="{00000000-0005-0000-0000-000017240000}"/>
    <cellStyle name="Input 8 2 2 2 3 5" xfId="13461" xr:uid="{00000000-0005-0000-0000-000018240000}"/>
    <cellStyle name="Input 8 2 2 2 3 6" xfId="15353" xr:uid="{00000000-0005-0000-0000-000019240000}"/>
    <cellStyle name="Input 8 2 2 2 3 7" xfId="16436" xr:uid="{00000000-0005-0000-0000-00001A240000}"/>
    <cellStyle name="Input 8 2 2 2 3 8" xfId="12430" xr:uid="{00000000-0005-0000-0000-00001B240000}"/>
    <cellStyle name="Input 8 2 2 2 3 9" xfId="18448" xr:uid="{00000000-0005-0000-0000-00001C240000}"/>
    <cellStyle name="Input 8 2 2 2 4" xfId="7802" xr:uid="{00000000-0005-0000-0000-00001D240000}"/>
    <cellStyle name="Input 8 2 2 2 4 2" xfId="14453" xr:uid="{00000000-0005-0000-0000-00001E240000}"/>
    <cellStyle name="Input 8 2 2 2 4 3" xfId="13165" xr:uid="{00000000-0005-0000-0000-00001F240000}"/>
    <cellStyle name="Input 8 2 2 2 4 4" xfId="13599" xr:uid="{00000000-0005-0000-0000-000020240000}"/>
    <cellStyle name="Input 8 2 2 2 4 5" xfId="15337" xr:uid="{00000000-0005-0000-0000-000021240000}"/>
    <cellStyle name="Input 8 2 2 2 4 6" xfId="14118" xr:uid="{00000000-0005-0000-0000-000022240000}"/>
    <cellStyle name="Input 8 2 2 2 5" xfId="11385" xr:uid="{00000000-0005-0000-0000-000023240000}"/>
    <cellStyle name="Input 8 2 2 2 5 2" xfId="15691" xr:uid="{00000000-0005-0000-0000-000024240000}"/>
    <cellStyle name="Input 8 2 2 2 5 3" xfId="16770" xr:uid="{00000000-0005-0000-0000-000025240000}"/>
    <cellStyle name="Input 8 2 2 2 5 4" xfId="17799" xr:uid="{00000000-0005-0000-0000-000026240000}"/>
    <cellStyle name="Input 8 2 2 2 5 5" xfId="18769" xr:uid="{00000000-0005-0000-0000-000027240000}"/>
    <cellStyle name="Input 8 2 2 2 5 6" xfId="19675" xr:uid="{00000000-0005-0000-0000-000028240000}"/>
    <cellStyle name="Input 8 2 2 2 6" xfId="11617" xr:uid="{00000000-0005-0000-0000-000029240000}"/>
    <cellStyle name="Input 8 2 2 2 6 2" xfId="15923" xr:uid="{00000000-0005-0000-0000-00002A240000}"/>
    <cellStyle name="Input 8 2 2 2 6 3" xfId="17002" xr:uid="{00000000-0005-0000-0000-00002B240000}"/>
    <cellStyle name="Input 8 2 2 2 6 4" xfId="18026" xr:uid="{00000000-0005-0000-0000-00002C240000}"/>
    <cellStyle name="Input 8 2 2 2 6 5" xfId="18996" xr:uid="{00000000-0005-0000-0000-00002D240000}"/>
    <cellStyle name="Input 8 2 2 2 6 6" xfId="19902" xr:uid="{00000000-0005-0000-0000-00002E240000}"/>
    <cellStyle name="Input 8 2 2 2 7" xfId="12756" xr:uid="{00000000-0005-0000-0000-00002F240000}"/>
    <cellStyle name="Input 8 2 2 2 8" xfId="13282" xr:uid="{00000000-0005-0000-0000-000030240000}"/>
    <cellStyle name="Input 8 2 2 2 9" xfId="13239" xr:uid="{00000000-0005-0000-0000-000031240000}"/>
    <cellStyle name="Input 8 2 2 3" xfId="3924" xr:uid="{00000000-0005-0000-0000-000032240000}"/>
    <cellStyle name="Input 8 2 2 3 2" xfId="9023" xr:uid="{00000000-0005-0000-0000-000033240000}"/>
    <cellStyle name="Input 8 2 2 3 2 2" xfId="14801" xr:uid="{00000000-0005-0000-0000-000034240000}"/>
    <cellStyle name="Input 8 2 2 3 2 3" xfId="12702" xr:uid="{00000000-0005-0000-0000-000035240000}"/>
    <cellStyle name="Input 8 2 2 3 2 4" xfId="14972" xr:uid="{00000000-0005-0000-0000-000036240000}"/>
    <cellStyle name="Input 8 2 2 3 2 5" xfId="14368" xr:uid="{00000000-0005-0000-0000-000037240000}"/>
    <cellStyle name="Input 8 2 2 3 2 6" xfId="14197" xr:uid="{00000000-0005-0000-0000-000038240000}"/>
    <cellStyle name="Input 8 2 2 3 3" xfId="11491" xr:uid="{00000000-0005-0000-0000-000039240000}"/>
    <cellStyle name="Input 8 2 2 3 3 2" xfId="15797" xr:uid="{00000000-0005-0000-0000-00003A240000}"/>
    <cellStyle name="Input 8 2 2 3 3 3" xfId="16876" xr:uid="{00000000-0005-0000-0000-00003B240000}"/>
    <cellStyle name="Input 8 2 2 3 3 4" xfId="17902" xr:uid="{00000000-0005-0000-0000-00003C240000}"/>
    <cellStyle name="Input 8 2 2 3 3 5" xfId="18872" xr:uid="{00000000-0005-0000-0000-00003D240000}"/>
    <cellStyle name="Input 8 2 2 3 3 6" xfId="19778" xr:uid="{00000000-0005-0000-0000-00003E240000}"/>
    <cellStyle name="Input 8 2 2 3 4" xfId="7139" xr:uid="{00000000-0005-0000-0000-00003F240000}"/>
    <cellStyle name="Input 8 2 2 3 4 2" xfId="14219" xr:uid="{00000000-0005-0000-0000-000040240000}"/>
    <cellStyle name="Input 8 2 2 3 4 3" xfId="14517" xr:uid="{00000000-0005-0000-0000-000041240000}"/>
    <cellStyle name="Input 8 2 2 3 4 4" xfId="13427" xr:uid="{00000000-0005-0000-0000-000042240000}"/>
    <cellStyle name="Input 8 2 2 3 4 5" xfId="13979" xr:uid="{00000000-0005-0000-0000-000043240000}"/>
    <cellStyle name="Input 8 2 2 3 4 6" xfId="13018" xr:uid="{00000000-0005-0000-0000-000044240000}"/>
    <cellStyle name="Input 8 2 2 3 5" xfId="13113" xr:uid="{00000000-0005-0000-0000-000045240000}"/>
    <cellStyle name="Input 8 2 2 3 6" xfId="14188" xr:uid="{00000000-0005-0000-0000-000046240000}"/>
    <cellStyle name="Input 8 2 2 3 7" xfId="12012" xr:uid="{00000000-0005-0000-0000-000047240000}"/>
    <cellStyle name="Input 8 2 2 3 8" xfId="13681" xr:uid="{00000000-0005-0000-0000-000048240000}"/>
    <cellStyle name="Input 8 2 2 3 9" xfId="13482" xr:uid="{00000000-0005-0000-0000-000049240000}"/>
    <cellStyle name="Input 8 2 3" xfId="2647" xr:uid="{00000000-0005-0000-0000-00004A240000}"/>
    <cellStyle name="Input 8 2 3 10" xfId="14640" xr:uid="{00000000-0005-0000-0000-00004B240000}"/>
    <cellStyle name="Input 8 2 3 2" xfId="6063" xr:uid="{00000000-0005-0000-0000-00004C240000}"/>
    <cellStyle name="Input 8 2 3 2 2" xfId="11159" xr:uid="{00000000-0005-0000-0000-00004D240000}"/>
    <cellStyle name="Input 8 2 3 2 2 2" xfId="15465" xr:uid="{00000000-0005-0000-0000-00004E240000}"/>
    <cellStyle name="Input 8 2 3 2 2 3" xfId="16544" xr:uid="{00000000-0005-0000-0000-00004F240000}"/>
    <cellStyle name="Input 8 2 3 2 2 4" xfId="17578" xr:uid="{00000000-0005-0000-0000-000050240000}"/>
    <cellStyle name="Input 8 2 3 2 2 5" xfId="18548" xr:uid="{00000000-0005-0000-0000-000051240000}"/>
    <cellStyle name="Input 8 2 3 2 2 6" xfId="19454" xr:uid="{00000000-0005-0000-0000-000052240000}"/>
    <cellStyle name="Input 8 2 3 2 3" xfId="11741" xr:uid="{00000000-0005-0000-0000-000053240000}"/>
    <cellStyle name="Input 8 2 3 2 3 2" xfId="16047" xr:uid="{00000000-0005-0000-0000-000054240000}"/>
    <cellStyle name="Input 8 2 3 2 3 3" xfId="17126" xr:uid="{00000000-0005-0000-0000-000055240000}"/>
    <cellStyle name="Input 8 2 3 2 3 4" xfId="18148" xr:uid="{00000000-0005-0000-0000-000056240000}"/>
    <cellStyle name="Input 8 2 3 2 3 5" xfId="19118" xr:uid="{00000000-0005-0000-0000-000057240000}"/>
    <cellStyle name="Input 8 2 3 2 3 6" xfId="20024" xr:uid="{00000000-0005-0000-0000-000058240000}"/>
    <cellStyle name="Input 8 2 3 2 4" xfId="11913" xr:uid="{00000000-0005-0000-0000-000059240000}"/>
    <cellStyle name="Input 8 2 3 2 4 2" xfId="16219" xr:uid="{00000000-0005-0000-0000-00005A240000}"/>
    <cellStyle name="Input 8 2 3 2 4 3" xfId="17298" xr:uid="{00000000-0005-0000-0000-00005B240000}"/>
    <cellStyle name="Input 8 2 3 2 4 4" xfId="18316" xr:uid="{00000000-0005-0000-0000-00005C240000}"/>
    <cellStyle name="Input 8 2 3 2 4 5" xfId="19286" xr:uid="{00000000-0005-0000-0000-00005D240000}"/>
    <cellStyle name="Input 8 2 3 2 4 6" xfId="20192" xr:uid="{00000000-0005-0000-0000-00005E240000}"/>
    <cellStyle name="Input 8 2 3 2 5" xfId="13796" xr:uid="{00000000-0005-0000-0000-00005F240000}"/>
    <cellStyle name="Input 8 2 3 2 6" xfId="12587" xr:uid="{00000000-0005-0000-0000-000060240000}"/>
    <cellStyle name="Input 8 2 3 2 7" xfId="14980" xr:uid="{00000000-0005-0000-0000-000061240000}"/>
    <cellStyle name="Input 8 2 3 2 8" xfId="17473" xr:uid="{00000000-0005-0000-0000-000062240000}"/>
    <cellStyle name="Input 8 2 3 2 9" xfId="14248" xr:uid="{00000000-0005-0000-0000-000063240000}"/>
    <cellStyle name="Input 8 2 3 3" xfId="7750" xr:uid="{00000000-0005-0000-0000-000064240000}"/>
    <cellStyle name="Input 8 2 3 3 2" xfId="14416" xr:uid="{00000000-0005-0000-0000-000065240000}"/>
    <cellStyle name="Input 8 2 3 3 3" xfId="14856" xr:uid="{00000000-0005-0000-0000-000066240000}"/>
    <cellStyle name="Input 8 2 3 3 4" xfId="13074" xr:uid="{00000000-0005-0000-0000-000067240000}"/>
    <cellStyle name="Input 8 2 3 3 5" xfId="14063" xr:uid="{00000000-0005-0000-0000-000068240000}"/>
    <cellStyle name="Input 8 2 3 3 6" xfId="14716" xr:uid="{00000000-0005-0000-0000-000069240000}"/>
    <cellStyle name="Input 8 2 3 4" xfId="11349" xr:uid="{00000000-0005-0000-0000-00006A240000}"/>
    <cellStyle name="Input 8 2 3 4 2" xfId="15655" xr:uid="{00000000-0005-0000-0000-00006B240000}"/>
    <cellStyle name="Input 8 2 3 4 3" xfId="16734" xr:uid="{00000000-0005-0000-0000-00006C240000}"/>
    <cellStyle name="Input 8 2 3 4 4" xfId="17763" xr:uid="{00000000-0005-0000-0000-00006D240000}"/>
    <cellStyle name="Input 8 2 3 4 5" xfId="18733" xr:uid="{00000000-0005-0000-0000-00006E240000}"/>
    <cellStyle name="Input 8 2 3 4 6" xfId="19639" xr:uid="{00000000-0005-0000-0000-00006F240000}"/>
    <cellStyle name="Input 8 2 3 5" xfId="11443" xr:uid="{00000000-0005-0000-0000-000070240000}"/>
    <cellStyle name="Input 8 2 3 5 2" xfId="15749" xr:uid="{00000000-0005-0000-0000-000071240000}"/>
    <cellStyle name="Input 8 2 3 5 3" xfId="16828" xr:uid="{00000000-0005-0000-0000-000072240000}"/>
    <cellStyle name="Input 8 2 3 5 4" xfId="17856" xr:uid="{00000000-0005-0000-0000-000073240000}"/>
    <cellStyle name="Input 8 2 3 5 5" xfId="18826" xr:uid="{00000000-0005-0000-0000-000074240000}"/>
    <cellStyle name="Input 8 2 3 5 6" xfId="19732" xr:uid="{00000000-0005-0000-0000-000075240000}"/>
    <cellStyle name="Input 8 2 3 6" xfId="12717" xr:uid="{00000000-0005-0000-0000-000076240000}"/>
    <cellStyle name="Input 8 2 3 7" xfId="12667" xr:uid="{00000000-0005-0000-0000-000077240000}"/>
    <cellStyle name="Input 8 2 3 8" xfId="12497" xr:uid="{00000000-0005-0000-0000-000078240000}"/>
    <cellStyle name="Input 8 2 3 9" xfId="12317" xr:uid="{00000000-0005-0000-0000-000079240000}"/>
    <cellStyle name="Input 8 2 4" xfId="5988" xr:uid="{00000000-0005-0000-0000-00007A240000}"/>
    <cellStyle name="Input 8 2 4 2" xfId="11084" xr:uid="{00000000-0005-0000-0000-00007B240000}"/>
    <cellStyle name="Input 8 2 4 2 2" xfId="15390" xr:uid="{00000000-0005-0000-0000-00007C240000}"/>
    <cellStyle name="Input 8 2 4 2 3" xfId="16469" xr:uid="{00000000-0005-0000-0000-00007D240000}"/>
    <cellStyle name="Input 8 2 4 2 4" xfId="17504" xr:uid="{00000000-0005-0000-0000-00007E240000}"/>
    <cellStyle name="Input 8 2 4 2 5" xfId="18474" xr:uid="{00000000-0005-0000-0000-00007F240000}"/>
    <cellStyle name="Input 8 2 4 2 6" xfId="19380" xr:uid="{00000000-0005-0000-0000-000080240000}"/>
    <cellStyle name="Input 8 2 4 3" xfId="11666" xr:uid="{00000000-0005-0000-0000-000081240000}"/>
    <cellStyle name="Input 8 2 4 3 2" xfId="15972" xr:uid="{00000000-0005-0000-0000-000082240000}"/>
    <cellStyle name="Input 8 2 4 3 3" xfId="17051" xr:uid="{00000000-0005-0000-0000-000083240000}"/>
    <cellStyle name="Input 8 2 4 3 4" xfId="18074" xr:uid="{00000000-0005-0000-0000-000084240000}"/>
    <cellStyle name="Input 8 2 4 3 5" xfId="19044" xr:uid="{00000000-0005-0000-0000-000085240000}"/>
    <cellStyle name="Input 8 2 4 3 6" xfId="19950" xr:uid="{00000000-0005-0000-0000-000086240000}"/>
    <cellStyle name="Input 8 2 4 4" xfId="11838" xr:uid="{00000000-0005-0000-0000-000087240000}"/>
    <cellStyle name="Input 8 2 4 4 2" xfId="16144" xr:uid="{00000000-0005-0000-0000-000088240000}"/>
    <cellStyle name="Input 8 2 4 4 3" xfId="17223" xr:uid="{00000000-0005-0000-0000-000089240000}"/>
    <cellStyle name="Input 8 2 4 4 4" xfId="18242" xr:uid="{00000000-0005-0000-0000-00008A240000}"/>
    <cellStyle name="Input 8 2 4 4 5" xfId="19212" xr:uid="{00000000-0005-0000-0000-00008B240000}"/>
    <cellStyle name="Input 8 2 4 4 6" xfId="20118" xr:uid="{00000000-0005-0000-0000-00008C240000}"/>
    <cellStyle name="Input 8 2 4 5" xfId="13721" xr:uid="{00000000-0005-0000-0000-00008D240000}"/>
    <cellStyle name="Input 8 2 4 6" xfId="15372" xr:uid="{00000000-0005-0000-0000-00008E240000}"/>
    <cellStyle name="Input 8 2 4 7" xfId="16452" xr:uid="{00000000-0005-0000-0000-00008F240000}"/>
    <cellStyle name="Input 8 2 4 8" xfId="17419" xr:uid="{00000000-0005-0000-0000-000090240000}"/>
    <cellStyle name="Input 8 2 4 9" xfId="12641" xr:uid="{00000000-0005-0000-0000-000091240000}"/>
    <cellStyle name="Input 8 2 5" xfId="6494" xr:uid="{00000000-0005-0000-0000-000092240000}"/>
    <cellStyle name="Input 8 2 5 2" xfId="14007" xr:uid="{00000000-0005-0000-0000-000093240000}"/>
    <cellStyle name="Input 8 2 5 3" xfId="12363" xr:uid="{00000000-0005-0000-0000-000094240000}"/>
    <cellStyle name="Input 8 2 5 4" xfId="13662" xr:uid="{00000000-0005-0000-0000-000095240000}"/>
    <cellStyle name="Input 8 2 5 5" xfId="1141" xr:uid="{00000000-0005-0000-0000-000096240000}"/>
    <cellStyle name="Input 8 2 5 6" xfId="12942" xr:uid="{00000000-0005-0000-0000-000097240000}"/>
    <cellStyle name="Input 8 2 6" xfId="6415" xr:uid="{00000000-0005-0000-0000-000098240000}"/>
    <cellStyle name="Input 8 2 6 2" xfId="13976" xr:uid="{00000000-0005-0000-0000-000099240000}"/>
    <cellStyle name="Input 8 2 6 3" xfId="12366" xr:uid="{00000000-0005-0000-0000-00009A240000}"/>
    <cellStyle name="Input 8 2 6 4" xfId="13661" xr:uid="{00000000-0005-0000-0000-00009B240000}"/>
    <cellStyle name="Input 8 2 6 5" xfId="17483" xr:uid="{00000000-0005-0000-0000-00009C240000}"/>
    <cellStyle name="Input 8 2 6 6" xfId="14560" xr:uid="{00000000-0005-0000-0000-00009D240000}"/>
    <cellStyle name="Input 8 2 7" xfId="6479" xr:uid="{00000000-0005-0000-0000-00009E240000}"/>
    <cellStyle name="Input 8 2 7 2" xfId="13992" xr:uid="{00000000-0005-0000-0000-00009F240000}"/>
    <cellStyle name="Input 8 2 7 3" xfId="14128" xr:uid="{00000000-0005-0000-0000-0000A0240000}"/>
    <cellStyle name="Input 8 2 7 4" xfId="13520" xr:uid="{00000000-0005-0000-0000-0000A1240000}"/>
    <cellStyle name="Input 8 2 7 5" xfId="12809" xr:uid="{00000000-0005-0000-0000-0000A2240000}"/>
    <cellStyle name="Input 8 2 7 6" xfId="13419" xr:uid="{00000000-0005-0000-0000-0000A3240000}"/>
    <cellStyle name="Input 8 2 8" xfId="12209" xr:uid="{00000000-0005-0000-0000-0000A4240000}"/>
    <cellStyle name="Input 8 2 9" xfId="13415" xr:uid="{00000000-0005-0000-0000-0000A5240000}"/>
    <cellStyle name="Input 9" xfId="724" xr:uid="{00000000-0005-0000-0000-0000A6240000}"/>
    <cellStyle name="Input Percent" xfId="1588" xr:uid="{00000000-0005-0000-0000-0000A7240000}"/>
    <cellStyle name="Input Percent 10" xfId="16421" xr:uid="{00000000-0005-0000-0000-0000A8240000}"/>
    <cellStyle name="Input Percent 11" xfId="14691" xr:uid="{00000000-0005-0000-0000-0000A9240000}"/>
    <cellStyle name="Input Percent 12" xfId="18441" xr:uid="{00000000-0005-0000-0000-0000AA240000}"/>
    <cellStyle name="Input Percent 2" xfId="2237" xr:uid="{00000000-0005-0000-0000-0000AB240000}"/>
    <cellStyle name="Input Percent 2 10" xfId="14661" xr:uid="{00000000-0005-0000-0000-0000AC240000}"/>
    <cellStyle name="Input Percent 2 11" xfId="14095" xr:uid="{00000000-0005-0000-0000-0000AD240000}"/>
    <cellStyle name="Input Percent 2 2" xfId="3581" xr:uid="{00000000-0005-0000-0000-0000AE240000}"/>
    <cellStyle name="Input Percent 2 2 10" xfId="15265" xr:uid="{00000000-0005-0000-0000-0000AF240000}"/>
    <cellStyle name="Input Percent 2 2 2" xfId="6139" xr:uid="{00000000-0005-0000-0000-0000B0240000}"/>
    <cellStyle name="Input Percent 2 2 2 2" xfId="11235" xr:uid="{00000000-0005-0000-0000-0000B1240000}"/>
    <cellStyle name="Input Percent 2 2 2 2 2" xfId="15541" xr:uid="{00000000-0005-0000-0000-0000B2240000}"/>
    <cellStyle name="Input Percent 2 2 2 2 3" xfId="16620" xr:uid="{00000000-0005-0000-0000-0000B3240000}"/>
    <cellStyle name="Input Percent 2 2 2 2 4" xfId="17652" xr:uid="{00000000-0005-0000-0000-0000B4240000}"/>
    <cellStyle name="Input Percent 2 2 2 2 5" xfId="18622" xr:uid="{00000000-0005-0000-0000-0000B5240000}"/>
    <cellStyle name="Input Percent 2 2 2 2 6" xfId="19528" xr:uid="{00000000-0005-0000-0000-0000B6240000}"/>
    <cellStyle name="Input Percent 2 2 2 3" xfId="11817" xr:uid="{00000000-0005-0000-0000-0000B7240000}"/>
    <cellStyle name="Input Percent 2 2 2 3 2" xfId="16123" xr:uid="{00000000-0005-0000-0000-0000B8240000}"/>
    <cellStyle name="Input Percent 2 2 2 3 3" xfId="17202" xr:uid="{00000000-0005-0000-0000-0000B9240000}"/>
    <cellStyle name="Input Percent 2 2 2 3 4" xfId="18222" xr:uid="{00000000-0005-0000-0000-0000BA240000}"/>
    <cellStyle name="Input Percent 2 2 2 3 5" xfId="19192" xr:uid="{00000000-0005-0000-0000-0000BB240000}"/>
    <cellStyle name="Input Percent 2 2 2 3 6" xfId="20098" xr:uid="{00000000-0005-0000-0000-0000BC240000}"/>
    <cellStyle name="Input Percent 2 2 2 4" xfId="11989" xr:uid="{00000000-0005-0000-0000-0000BD240000}"/>
    <cellStyle name="Input Percent 2 2 2 4 2" xfId="16295" xr:uid="{00000000-0005-0000-0000-0000BE240000}"/>
    <cellStyle name="Input Percent 2 2 2 4 3" xfId="17374" xr:uid="{00000000-0005-0000-0000-0000BF240000}"/>
    <cellStyle name="Input Percent 2 2 2 4 4" xfId="18390" xr:uid="{00000000-0005-0000-0000-0000C0240000}"/>
    <cellStyle name="Input Percent 2 2 2 4 5" xfId="19360" xr:uid="{00000000-0005-0000-0000-0000C1240000}"/>
    <cellStyle name="Input Percent 2 2 2 4 6" xfId="20266" xr:uid="{00000000-0005-0000-0000-0000C2240000}"/>
    <cellStyle name="Input Percent 2 2 2 5" xfId="13872" xr:uid="{00000000-0005-0000-0000-0000C3240000}"/>
    <cellStyle name="Input Percent 2 2 2 6" xfId="13544" xr:uid="{00000000-0005-0000-0000-0000C4240000}"/>
    <cellStyle name="Input Percent 2 2 2 7" xfId="14910" xr:uid="{00000000-0005-0000-0000-0000C5240000}"/>
    <cellStyle name="Input Percent 2 2 2 8" xfId="14753" xr:uid="{00000000-0005-0000-0000-0000C6240000}"/>
    <cellStyle name="Input Percent 2 2 2 9" xfId="13577" xr:uid="{00000000-0005-0000-0000-0000C7240000}"/>
    <cellStyle name="Input Percent 2 2 3" xfId="8684" xr:uid="{00000000-0005-0000-0000-0000C8240000}"/>
    <cellStyle name="Input Percent 2 2 3 2" xfId="14695" xr:uid="{00000000-0005-0000-0000-0000C9240000}"/>
    <cellStyle name="Input Percent 2 2 3 3" xfId="14044" xr:uid="{00000000-0005-0000-0000-0000CA240000}"/>
    <cellStyle name="Input Percent 2 2 3 4" xfId="14123" xr:uid="{00000000-0005-0000-0000-0000CB240000}"/>
    <cellStyle name="Input Percent 2 2 3 5" xfId="15115" xr:uid="{00000000-0005-0000-0000-0000CC240000}"/>
    <cellStyle name="Input Percent 2 2 3 6" xfId="12413" xr:uid="{00000000-0005-0000-0000-0000CD240000}"/>
    <cellStyle name="Input Percent 2 2 4" xfId="11466" xr:uid="{00000000-0005-0000-0000-0000CE240000}"/>
    <cellStyle name="Input Percent 2 2 4 2" xfId="15772" xr:uid="{00000000-0005-0000-0000-0000CF240000}"/>
    <cellStyle name="Input Percent 2 2 4 3" xfId="16851" xr:uid="{00000000-0005-0000-0000-0000D0240000}"/>
    <cellStyle name="Input Percent 2 2 4 4" xfId="17878" xr:uid="{00000000-0005-0000-0000-0000D1240000}"/>
    <cellStyle name="Input Percent 2 2 4 5" xfId="18848" xr:uid="{00000000-0005-0000-0000-0000D2240000}"/>
    <cellStyle name="Input Percent 2 2 4 6" xfId="19754" xr:uid="{00000000-0005-0000-0000-0000D3240000}"/>
    <cellStyle name="Input Percent 2 2 5" xfId="11518" xr:uid="{00000000-0005-0000-0000-0000D4240000}"/>
    <cellStyle name="Input Percent 2 2 5 2" xfId="15824" xr:uid="{00000000-0005-0000-0000-0000D5240000}"/>
    <cellStyle name="Input Percent 2 2 5 3" xfId="16903" xr:uid="{00000000-0005-0000-0000-0000D6240000}"/>
    <cellStyle name="Input Percent 2 2 5 4" xfId="17929" xr:uid="{00000000-0005-0000-0000-0000D7240000}"/>
    <cellStyle name="Input Percent 2 2 5 5" xfId="18899" xr:uid="{00000000-0005-0000-0000-0000D8240000}"/>
    <cellStyle name="Input Percent 2 2 5 6" xfId="19805" xr:uid="{00000000-0005-0000-0000-0000D9240000}"/>
    <cellStyle name="Input Percent 2 2 6" xfId="13011" xr:uid="{00000000-0005-0000-0000-0000DA240000}"/>
    <cellStyle name="Input Percent 2 2 7" xfId="12113" xr:uid="{00000000-0005-0000-0000-0000DB240000}"/>
    <cellStyle name="Input Percent 2 2 8" xfId="12557" xr:uid="{00000000-0005-0000-0000-0000DC240000}"/>
    <cellStyle name="Input Percent 2 2 9" xfId="1148" xr:uid="{00000000-0005-0000-0000-0000DD240000}"/>
    <cellStyle name="Input Percent 2 3" xfId="6032" xr:uid="{00000000-0005-0000-0000-0000DE240000}"/>
    <cellStyle name="Input Percent 2 3 2" xfId="11128" xr:uid="{00000000-0005-0000-0000-0000DF240000}"/>
    <cellStyle name="Input Percent 2 3 2 2" xfId="15434" xr:uid="{00000000-0005-0000-0000-0000E0240000}"/>
    <cellStyle name="Input Percent 2 3 2 3" xfId="16513" xr:uid="{00000000-0005-0000-0000-0000E1240000}"/>
    <cellStyle name="Input Percent 2 3 2 4" xfId="17547" xr:uid="{00000000-0005-0000-0000-0000E2240000}"/>
    <cellStyle name="Input Percent 2 3 2 5" xfId="18517" xr:uid="{00000000-0005-0000-0000-0000E3240000}"/>
    <cellStyle name="Input Percent 2 3 2 6" xfId="19423" xr:uid="{00000000-0005-0000-0000-0000E4240000}"/>
    <cellStyle name="Input Percent 2 3 3" xfId="11710" xr:uid="{00000000-0005-0000-0000-0000E5240000}"/>
    <cellStyle name="Input Percent 2 3 3 2" xfId="16016" xr:uid="{00000000-0005-0000-0000-0000E6240000}"/>
    <cellStyle name="Input Percent 2 3 3 3" xfId="17095" xr:uid="{00000000-0005-0000-0000-0000E7240000}"/>
    <cellStyle name="Input Percent 2 3 3 4" xfId="18117" xr:uid="{00000000-0005-0000-0000-0000E8240000}"/>
    <cellStyle name="Input Percent 2 3 3 5" xfId="19087" xr:uid="{00000000-0005-0000-0000-0000E9240000}"/>
    <cellStyle name="Input Percent 2 3 3 6" xfId="19993" xr:uid="{00000000-0005-0000-0000-0000EA240000}"/>
    <cellStyle name="Input Percent 2 3 4" xfId="11882" xr:uid="{00000000-0005-0000-0000-0000EB240000}"/>
    <cellStyle name="Input Percent 2 3 4 2" xfId="16188" xr:uid="{00000000-0005-0000-0000-0000EC240000}"/>
    <cellStyle name="Input Percent 2 3 4 3" xfId="17267" xr:uid="{00000000-0005-0000-0000-0000ED240000}"/>
    <cellStyle name="Input Percent 2 3 4 4" xfId="18285" xr:uid="{00000000-0005-0000-0000-0000EE240000}"/>
    <cellStyle name="Input Percent 2 3 4 5" xfId="19255" xr:uid="{00000000-0005-0000-0000-0000EF240000}"/>
    <cellStyle name="Input Percent 2 3 4 6" xfId="20161" xr:uid="{00000000-0005-0000-0000-0000F0240000}"/>
    <cellStyle name="Input Percent 2 3 5" xfId="13765" xr:uid="{00000000-0005-0000-0000-0000F1240000}"/>
    <cellStyle name="Input Percent 2 3 6" xfId="14287" xr:uid="{00000000-0005-0000-0000-0000F2240000}"/>
    <cellStyle name="Input Percent 2 3 7" xfId="12320" xr:uid="{00000000-0005-0000-0000-0000F3240000}"/>
    <cellStyle name="Input Percent 2 3 8" xfId="13971" xr:uid="{00000000-0005-0000-0000-0000F4240000}"/>
    <cellStyle name="Input Percent 2 3 9" xfId="12559" xr:uid="{00000000-0005-0000-0000-0000F5240000}"/>
    <cellStyle name="Input Percent 2 4" xfId="7347" xr:uid="{00000000-0005-0000-0000-0000F6240000}"/>
    <cellStyle name="Input Percent 2 4 2" xfId="14280" xr:uid="{00000000-0005-0000-0000-0000F7240000}"/>
    <cellStyle name="Input Percent 2 4 3" xfId="13409" xr:uid="{00000000-0005-0000-0000-0000F8240000}"/>
    <cellStyle name="Input Percent 2 4 4" xfId="13572" xr:uid="{00000000-0005-0000-0000-0000F9240000}"/>
    <cellStyle name="Input Percent 2 4 5" xfId="15214" xr:uid="{00000000-0005-0000-0000-0000FA240000}"/>
    <cellStyle name="Input Percent 2 4 6" xfId="16314" xr:uid="{00000000-0005-0000-0000-0000FB240000}"/>
    <cellStyle name="Input Percent 2 5" xfId="11313" xr:uid="{00000000-0005-0000-0000-0000FC240000}"/>
    <cellStyle name="Input Percent 2 5 2" xfId="15619" xr:uid="{00000000-0005-0000-0000-0000FD240000}"/>
    <cellStyle name="Input Percent 2 5 3" xfId="16698" xr:uid="{00000000-0005-0000-0000-0000FE240000}"/>
    <cellStyle name="Input Percent 2 5 4" xfId="17727" xr:uid="{00000000-0005-0000-0000-0000FF240000}"/>
    <cellStyle name="Input Percent 2 5 5" xfId="18697" xr:uid="{00000000-0005-0000-0000-000000250000}"/>
    <cellStyle name="Input Percent 2 5 6" xfId="19603" xr:uid="{00000000-0005-0000-0000-000001250000}"/>
    <cellStyle name="Input Percent 2 6" xfId="11287" xr:uid="{00000000-0005-0000-0000-000002250000}"/>
    <cellStyle name="Input Percent 2 6 2" xfId="15593" xr:uid="{00000000-0005-0000-0000-000003250000}"/>
    <cellStyle name="Input Percent 2 6 3" xfId="16672" xr:uid="{00000000-0005-0000-0000-000004250000}"/>
    <cellStyle name="Input Percent 2 6 4" xfId="17702" xr:uid="{00000000-0005-0000-0000-000005250000}"/>
    <cellStyle name="Input Percent 2 6 5" xfId="18672" xr:uid="{00000000-0005-0000-0000-000006250000}"/>
    <cellStyle name="Input Percent 2 6 6" xfId="19578" xr:uid="{00000000-0005-0000-0000-000007250000}"/>
    <cellStyle name="Input Percent 2 7" xfId="12578" xr:uid="{00000000-0005-0000-0000-000008250000}"/>
    <cellStyle name="Input Percent 2 8" xfId="15082" xr:uid="{00000000-0005-0000-0000-000009250000}"/>
    <cellStyle name="Input Percent 2 9" xfId="14057" xr:uid="{00000000-0005-0000-0000-00000A250000}"/>
    <cellStyle name="Input Percent 3" xfId="2328" xr:uid="{00000000-0005-0000-0000-00000B250000}"/>
    <cellStyle name="Input Percent 3 10" xfId="15306" xr:uid="{00000000-0005-0000-0000-00000C250000}"/>
    <cellStyle name="Input Percent 3 2" xfId="6038" xr:uid="{00000000-0005-0000-0000-00000D250000}"/>
    <cellStyle name="Input Percent 3 2 2" xfId="11134" xr:uid="{00000000-0005-0000-0000-00000E250000}"/>
    <cellStyle name="Input Percent 3 2 2 2" xfId="15440" xr:uid="{00000000-0005-0000-0000-00000F250000}"/>
    <cellStyle name="Input Percent 3 2 2 3" xfId="16519" xr:uid="{00000000-0005-0000-0000-000010250000}"/>
    <cellStyle name="Input Percent 3 2 2 4" xfId="17553" xr:uid="{00000000-0005-0000-0000-000011250000}"/>
    <cellStyle name="Input Percent 3 2 2 5" xfId="18523" xr:uid="{00000000-0005-0000-0000-000012250000}"/>
    <cellStyle name="Input Percent 3 2 2 6" xfId="19429" xr:uid="{00000000-0005-0000-0000-000013250000}"/>
    <cellStyle name="Input Percent 3 2 3" xfId="11716" xr:uid="{00000000-0005-0000-0000-000014250000}"/>
    <cellStyle name="Input Percent 3 2 3 2" xfId="16022" xr:uid="{00000000-0005-0000-0000-000015250000}"/>
    <cellStyle name="Input Percent 3 2 3 3" xfId="17101" xr:uid="{00000000-0005-0000-0000-000016250000}"/>
    <cellStyle name="Input Percent 3 2 3 4" xfId="18123" xr:uid="{00000000-0005-0000-0000-000017250000}"/>
    <cellStyle name="Input Percent 3 2 3 5" xfId="19093" xr:uid="{00000000-0005-0000-0000-000018250000}"/>
    <cellStyle name="Input Percent 3 2 3 6" xfId="19999" xr:uid="{00000000-0005-0000-0000-000019250000}"/>
    <cellStyle name="Input Percent 3 2 4" xfId="11888" xr:uid="{00000000-0005-0000-0000-00001A250000}"/>
    <cellStyle name="Input Percent 3 2 4 2" xfId="16194" xr:uid="{00000000-0005-0000-0000-00001B250000}"/>
    <cellStyle name="Input Percent 3 2 4 3" xfId="17273" xr:uid="{00000000-0005-0000-0000-00001C250000}"/>
    <cellStyle name="Input Percent 3 2 4 4" xfId="18291" xr:uid="{00000000-0005-0000-0000-00001D250000}"/>
    <cellStyle name="Input Percent 3 2 4 5" xfId="19261" xr:uid="{00000000-0005-0000-0000-00001E250000}"/>
    <cellStyle name="Input Percent 3 2 4 6" xfId="20167" xr:uid="{00000000-0005-0000-0000-00001F250000}"/>
    <cellStyle name="Input Percent 3 2 5" xfId="13771" xr:uid="{00000000-0005-0000-0000-000020250000}"/>
    <cellStyle name="Input Percent 3 2 6" xfId="12987" xr:uid="{00000000-0005-0000-0000-000021250000}"/>
    <cellStyle name="Input Percent 3 2 7" xfId="13267" xr:uid="{00000000-0005-0000-0000-000022250000}"/>
    <cellStyle name="Input Percent 3 2 8" xfId="13526" xr:uid="{00000000-0005-0000-0000-000023250000}"/>
    <cellStyle name="Input Percent 3 2 9" xfId="13236" xr:uid="{00000000-0005-0000-0000-000024250000}"/>
    <cellStyle name="Input Percent 3 3" xfId="7437" xr:uid="{00000000-0005-0000-0000-000025250000}"/>
    <cellStyle name="Input Percent 3 3 2" xfId="14313" xr:uid="{00000000-0005-0000-0000-000026250000}"/>
    <cellStyle name="Input Percent 3 3 3" xfId="14099" xr:uid="{00000000-0005-0000-0000-000027250000}"/>
    <cellStyle name="Input Percent 3 3 4" xfId="12833" xr:uid="{00000000-0005-0000-0000-000028250000}"/>
    <cellStyle name="Input Percent 3 3 5" xfId="17388" xr:uid="{00000000-0005-0000-0000-000029250000}"/>
    <cellStyle name="Input Percent 3 3 6" xfId="14580" xr:uid="{00000000-0005-0000-0000-00002A250000}"/>
    <cellStyle name="Input Percent 3 4" xfId="11319" xr:uid="{00000000-0005-0000-0000-00002B250000}"/>
    <cellStyle name="Input Percent 3 4 2" xfId="15625" xr:uid="{00000000-0005-0000-0000-00002C250000}"/>
    <cellStyle name="Input Percent 3 4 3" xfId="16704" xr:uid="{00000000-0005-0000-0000-00002D250000}"/>
    <cellStyle name="Input Percent 3 4 4" xfId="17733" xr:uid="{00000000-0005-0000-0000-00002E250000}"/>
    <cellStyle name="Input Percent 3 4 5" xfId="18703" xr:uid="{00000000-0005-0000-0000-00002F250000}"/>
    <cellStyle name="Input Percent 3 4 6" xfId="19609" xr:uid="{00000000-0005-0000-0000-000030250000}"/>
    <cellStyle name="Input Percent 3 5" xfId="11448" xr:uid="{00000000-0005-0000-0000-000031250000}"/>
    <cellStyle name="Input Percent 3 5 2" xfId="15754" xr:uid="{00000000-0005-0000-0000-000032250000}"/>
    <cellStyle name="Input Percent 3 5 3" xfId="16833" xr:uid="{00000000-0005-0000-0000-000033250000}"/>
    <cellStyle name="Input Percent 3 5 4" xfId="17861" xr:uid="{00000000-0005-0000-0000-000034250000}"/>
    <cellStyle name="Input Percent 3 5 5" xfId="18831" xr:uid="{00000000-0005-0000-0000-000035250000}"/>
    <cellStyle name="Input Percent 3 5 6" xfId="19737" xr:uid="{00000000-0005-0000-0000-000036250000}"/>
    <cellStyle name="Input Percent 3 6" xfId="12609" xr:uid="{00000000-0005-0000-0000-000037250000}"/>
    <cellStyle name="Input Percent 3 7" xfId="14626" xr:uid="{00000000-0005-0000-0000-000038250000}"/>
    <cellStyle name="Input Percent 3 8" xfId="15182" xr:uid="{00000000-0005-0000-0000-000039250000}"/>
    <cellStyle name="Input Percent 3 9" xfId="13575" xr:uid="{00000000-0005-0000-0000-00003A250000}"/>
    <cellStyle name="Input Percent 4" xfId="6025" xr:uid="{00000000-0005-0000-0000-00003B250000}"/>
    <cellStyle name="Input Percent 4 2" xfId="11121" xr:uid="{00000000-0005-0000-0000-00003C250000}"/>
    <cellStyle name="Input Percent 4 2 2" xfId="15427" xr:uid="{00000000-0005-0000-0000-00003D250000}"/>
    <cellStyle name="Input Percent 4 2 3" xfId="16506" xr:uid="{00000000-0005-0000-0000-00003E250000}"/>
    <cellStyle name="Input Percent 4 2 4" xfId="17540" xr:uid="{00000000-0005-0000-0000-00003F250000}"/>
    <cellStyle name="Input Percent 4 2 5" xfId="18510" xr:uid="{00000000-0005-0000-0000-000040250000}"/>
    <cellStyle name="Input Percent 4 2 6" xfId="19416" xr:uid="{00000000-0005-0000-0000-000041250000}"/>
    <cellStyle name="Input Percent 4 3" xfId="11703" xr:uid="{00000000-0005-0000-0000-000042250000}"/>
    <cellStyle name="Input Percent 4 3 2" xfId="16009" xr:uid="{00000000-0005-0000-0000-000043250000}"/>
    <cellStyle name="Input Percent 4 3 3" xfId="17088" xr:uid="{00000000-0005-0000-0000-000044250000}"/>
    <cellStyle name="Input Percent 4 3 4" xfId="18110" xr:uid="{00000000-0005-0000-0000-000045250000}"/>
    <cellStyle name="Input Percent 4 3 5" xfId="19080" xr:uid="{00000000-0005-0000-0000-000046250000}"/>
    <cellStyle name="Input Percent 4 3 6" xfId="19986" xr:uid="{00000000-0005-0000-0000-000047250000}"/>
    <cellStyle name="Input Percent 4 4" xfId="11875" xr:uid="{00000000-0005-0000-0000-000048250000}"/>
    <cellStyle name="Input Percent 4 4 2" xfId="16181" xr:uid="{00000000-0005-0000-0000-000049250000}"/>
    <cellStyle name="Input Percent 4 4 3" xfId="17260" xr:uid="{00000000-0005-0000-0000-00004A250000}"/>
    <cellStyle name="Input Percent 4 4 4" xfId="18278" xr:uid="{00000000-0005-0000-0000-00004B250000}"/>
    <cellStyle name="Input Percent 4 4 5" xfId="19248" xr:uid="{00000000-0005-0000-0000-00004C250000}"/>
    <cellStyle name="Input Percent 4 4 6" xfId="20154" xr:uid="{00000000-0005-0000-0000-00004D250000}"/>
    <cellStyle name="Input Percent 4 5" xfId="13758" xr:uid="{00000000-0005-0000-0000-00004E250000}"/>
    <cellStyle name="Input Percent 4 6" xfId="15022" xr:uid="{00000000-0005-0000-0000-00004F250000}"/>
    <cellStyle name="Input Percent 4 7" xfId="14323" xr:uid="{00000000-0005-0000-0000-000050250000}"/>
    <cellStyle name="Input Percent 4 8" xfId="12887" xr:uid="{00000000-0005-0000-0000-000051250000}"/>
    <cellStyle name="Input Percent 4 9" xfId="13097" xr:uid="{00000000-0005-0000-0000-000052250000}"/>
    <cellStyle name="Input Percent 5" xfId="6848" xr:uid="{00000000-0005-0000-0000-000053250000}"/>
    <cellStyle name="Input Percent 5 2" xfId="14162" xr:uid="{00000000-0005-0000-0000-000054250000}"/>
    <cellStyle name="Input Percent 5 3" xfId="12333" xr:uid="{00000000-0005-0000-0000-000055250000}"/>
    <cellStyle name="Input Percent 5 4" xfId="12961" xr:uid="{00000000-0005-0000-0000-000056250000}"/>
    <cellStyle name="Input Percent 5 5" xfId="12152" xr:uid="{00000000-0005-0000-0000-000057250000}"/>
    <cellStyle name="Input Percent 5 6" xfId="14489" xr:uid="{00000000-0005-0000-0000-000058250000}"/>
    <cellStyle name="Input Percent 6" xfId="11262" xr:uid="{00000000-0005-0000-0000-000059250000}"/>
    <cellStyle name="Input Percent 6 2" xfId="15568" xr:uid="{00000000-0005-0000-0000-00005A250000}"/>
    <cellStyle name="Input Percent 6 3" xfId="16647" xr:uid="{00000000-0005-0000-0000-00005B250000}"/>
    <cellStyle name="Input Percent 6 4" xfId="17677" xr:uid="{00000000-0005-0000-0000-00005C250000}"/>
    <cellStyle name="Input Percent 6 5" xfId="18647" xr:uid="{00000000-0005-0000-0000-00005D250000}"/>
    <cellStyle name="Input Percent 6 6" xfId="19553" xr:uid="{00000000-0005-0000-0000-00005E250000}"/>
    <cellStyle name="Input Percent 7" xfId="6849" xr:uid="{00000000-0005-0000-0000-00005F250000}"/>
    <cellStyle name="Input Percent 7 2" xfId="14163" xr:uid="{00000000-0005-0000-0000-000060250000}"/>
    <cellStyle name="Input Percent 7 3" xfId="12332" xr:uid="{00000000-0005-0000-0000-000061250000}"/>
    <cellStyle name="Input Percent 7 4" xfId="13664" xr:uid="{00000000-0005-0000-0000-000062250000}"/>
    <cellStyle name="Input Percent 7 5" xfId="13148" xr:uid="{00000000-0005-0000-0000-000063250000}"/>
    <cellStyle name="Input Percent 7 6" xfId="14660" xr:uid="{00000000-0005-0000-0000-000064250000}"/>
    <cellStyle name="Input Percent 8" xfId="12404" xr:uid="{00000000-0005-0000-0000-000065250000}"/>
    <cellStyle name="Input Percent 9" xfId="15328" xr:uid="{00000000-0005-0000-0000-000066250000}"/>
    <cellStyle name="inputarea" xfId="1589" xr:uid="{00000000-0005-0000-0000-000067250000}"/>
    <cellStyle name="Lines" xfId="1590" xr:uid="{00000000-0005-0000-0000-000068250000}"/>
    <cellStyle name="Linked Cell" xfId="119" builtinId="24" customBuiltin="1"/>
    <cellStyle name="Linked Cell 2" xfId="52" xr:uid="{00000000-0005-0000-0000-00006A250000}"/>
    <cellStyle name="Linked Cell 2 2" xfId="856" xr:uid="{00000000-0005-0000-0000-00006B250000}"/>
    <cellStyle name="Linked Cell 2 3" xfId="1591" xr:uid="{00000000-0005-0000-0000-00006C250000}"/>
    <cellStyle name="Linked Cell 3" xfId="388" xr:uid="{00000000-0005-0000-0000-00006D250000}"/>
    <cellStyle name="Linked Cell 3 2" xfId="857" xr:uid="{00000000-0005-0000-0000-00006E250000}"/>
    <cellStyle name="Linked Cell 4" xfId="389" xr:uid="{00000000-0005-0000-0000-00006F250000}"/>
    <cellStyle name="Linked Cell 5" xfId="390" xr:uid="{00000000-0005-0000-0000-000070250000}"/>
    <cellStyle name="Linked Cell 6" xfId="391" xr:uid="{00000000-0005-0000-0000-000071250000}"/>
    <cellStyle name="Linked Cell 7" xfId="392" xr:uid="{00000000-0005-0000-0000-000072250000}"/>
    <cellStyle name="Linked Cell 8" xfId="393" xr:uid="{00000000-0005-0000-0000-000073250000}"/>
    <cellStyle name="Linked Cell 9" xfId="722" xr:uid="{00000000-0005-0000-0000-000074250000}"/>
    <cellStyle name="Manual Input" xfId="1592" xr:uid="{00000000-0005-0000-0000-000075250000}"/>
    <cellStyle name="Manual Input Cell" xfId="1593" xr:uid="{00000000-0005-0000-0000-000076250000}"/>
    <cellStyle name="Manual Input Cell 10" xfId="14337" xr:uid="{00000000-0005-0000-0000-000077250000}"/>
    <cellStyle name="Manual Input Cell 11" xfId="13215" xr:uid="{00000000-0005-0000-0000-000078250000}"/>
    <cellStyle name="Manual Input Cell 12" xfId="12123" xr:uid="{00000000-0005-0000-0000-000079250000}"/>
    <cellStyle name="Manual Input Cell 2" xfId="2236" xr:uid="{00000000-0005-0000-0000-00007A250000}"/>
    <cellStyle name="Manual Input Cell 2 10" xfId="12622" xr:uid="{00000000-0005-0000-0000-00007B250000}"/>
    <cellStyle name="Manual Input Cell 2 11" xfId="17386" xr:uid="{00000000-0005-0000-0000-00007C250000}"/>
    <cellStyle name="Manual Input Cell 2 2" xfId="2333" xr:uid="{00000000-0005-0000-0000-00007D250000}"/>
    <cellStyle name="Manual Input Cell 2 2 10" xfId="12681" xr:uid="{00000000-0005-0000-0000-00007E250000}"/>
    <cellStyle name="Manual Input Cell 2 2 2" xfId="6042" xr:uid="{00000000-0005-0000-0000-00007F250000}"/>
    <cellStyle name="Manual Input Cell 2 2 2 2" xfId="11138" xr:uid="{00000000-0005-0000-0000-000080250000}"/>
    <cellStyle name="Manual Input Cell 2 2 2 2 2" xfId="15444" xr:uid="{00000000-0005-0000-0000-000081250000}"/>
    <cellStyle name="Manual Input Cell 2 2 2 2 3" xfId="16523" xr:uid="{00000000-0005-0000-0000-000082250000}"/>
    <cellStyle name="Manual Input Cell 2 2 2 2 4" xfId="17557" xr:uid="{00000000-0005-0000-0000-000083250000}"/>
    <cellStyle name="Manual Input Cell 2 2 2 2 5" xfId="18527" xr:uid="{00000000-0005-0000-0000-000084250000}"/>
    <cellStyle name="Manual Input Cell 2 2 2 2 6" xfId="19433" xr:uid="{00000000-0005-0000-0000-000085250000}"/>
    <cellStyle name="Manual Input Cell 2 2 2 3" xfId="11720" xr:uid="{00000000-0005-0000-0000-000086250000}"/>
    <cellStyle name="Manual Input Cell 2 2 2 3 2" xfId="16026" xr:uid="{00000000-0005-0000-0000-000087250000}"/>
    <cellStyle name="Manual Input Cell 2 2 2 3 3" xfId="17105" xr:uid="{00000000-0005-0000-0000-000088250000}"/>
    <cellStyle name="Manual Input Cell 2 2 2 3 4" xfId="18127" xr:uid="{00000000-0005-0000-0000-000089250000}"/>
    <cellStyle name="Manual Input Cell 2 2 2 3 5" xfId="19097" xr:uid="{00000000-0005-0000-0000-00008A250000}"/>
    <cellStyle name="Manual Input Cell 2 2 2 3 6" xfId="20003" xr:uid="{00000000-0005-0000-0000-00008B250000}"/>
    <cellStyle name="Manual Input Cell 2 2 2 4" xfId="11892" xr:uid="{00000000-0005-0000-0000-00008C250000}"/>
    <cellStyle name="Manual Input Cell 2 2 2 4 2" xfId="16198" xr:uid="{00000000-0005-0000-0000-00008D250000}"/>
    <cellStyle name="Manual Input Cell 2 2 2 4 3" xfId="17277" xr:uid="{00000000-0005-0000-0000-00008E250000}"/>
    <cellStyle name="Manual Input Cell 2 2 2 4 4" xfId="18295" xr:uid="{00000000-0005-0000-0000-00008F250000}"/>
    <cellStyle name="Manual Input Cell 2 2 2 4 5" xfId="19265" xr:uid="{00000000-0005-0000-0000-000090250000}"/>
    <cellStyle name="Manual Input Cell 2 2 2 4 6" xfId="20171" xr:uid="{00000000-0005-0000-0000-000091250000}"/>
    <cellStyle name="Manual Input Cell 2 2 2 5" xfId="13775" xr:uid="{00000000-0005-0000-0000-000092250000}"/>
    <cellStyle name="Manual Input Cell 2 2 2 6" xfId="13345" xr:uid="{00000000-0005-0000-0000-000093250000}"/>
    <cellStyle name="Manual Input Cell 2 2 2 7" xfId="15262" xr:uid="{00000000-0005-0000-0000-000094250000}"/>
    <cellStyle name="Manual Input Cell 2 2 2 8" xfId="12068" xr:uid="{00000000-0005-0000-0000-000095250000}"/>
    <cellStyle name="Manual Input Cell 2 2 2 9" xfId="18457" xr:uid="{00000000-0005-0000-0000-000096250000}"/>
    <cellStyle name="Manual Input Cell 2 2 3" xfId="7442" xr:uid="{00000000-0005-0000-0000-000097250000}"/>
    <cellStyle name="Manual Input Cell 2 2 3 2" xfId="14317" xr:uid="{00000000-0005-0000-0000-000098250000}"/>
    <cellStyle name="Manual Input Cell 2 2 3 3" xfId="13515" xr:uid="{00000000-0005-0000-0000-000099250000}"/>
    <cellStyle name="Manual Input Cell 2 2 3 4" xfId="14913" xr:uid="{00000000-0005-0000-0000-00009A250000}"/>
    <cellStyle name="Manual Input Cell 2 2 3 5" xfId="14032" xr:uid="{00000000-0005-0000-0000-00009B250000}"/>
    <cellStyle name="Manual Input Cell 2 2 3 6" xfId="16414" xr:uid="{00000000-0005-0000-0000-00009C250000}"/>
    <cellStyle name="Manual Input Cell 2 2 4" xfId="11323" xr:uid="{00000000-0005-0000-0000-00009D250000}"/>
    <cellStyle name="Manual Input Cell 2 2 4 2" xfId="15629" xr:uid="{00000000-0005-0000-0000-00009E250000}"/>
    <cellStyle name="Manual Input Cell 2 2 4 3" xfId="16708" xr:uid="{00000000-0005-0000-0000-00009F250000}"/>
    <cellStyle name="Manual Input Cell 2 2 4 4" xfId="17737" xr:uid="{00000000-0005-0000-0000-0000A0250000}"/>
    <cellStyle name="Manual Input Cell 2 2 4 5" xfId="18707" xr:uid="{00000000-0005-0000-0000-0000A1250000}"/>
    <cellStyle name="Manual Input Cell 2 2 4 6" xfId="19613" xr:uid="{00000000-0005-0000-0000-0000A2250000}"/>
    <cellStyle name="Manual Input Cell 2 2 5" xfId="11284" xr:uid="{00000000-0005-0000-0000-0000A3250000}"/>
    <cellStyle name="Manual Input Cell 2 2 5 2" xfId="15590" xr:uid="{00000000-0005-0000-0000-0000A4250000}"/>
    <cellStyle name="Manual Input Cell 2 2 5 3" xfId="16669" xr:uid="{00000000-0005-0000-0000-0000A5250000}"/>
    <cellStyle name="Manual Input Cell 2 2 5 4" xfId="17699" xr:uid="{00000000-0005-0000-0000-0000A6250000}"/>
    <cellStyle name="Manual Input Cell 2 2 5 5" xfId="18669" xr:uid="{00000000-0005-0000-0000-0000A7250000}"/>
    <cellStyle name="Manual Input Cell 2 2 5 6" xfId="19575" xr:uid="{00000000-0005-0000-0000-0000A8250000}"/>
    <cellStyle name="Manual Input Cell 2 2 6" xfId="12614" xr:uid="{00000000-0005-0000-0000-0000A9250000}"/>
    <cellStyle name="Manual Input Cell 2 2 7" xfId="14221" xr:uid="{00000000-0005-0000-0000-0000AA250000}"/>
    <cellStyle name="Manual Input Cell 2 2 8" xfId="13024" xr:uid="{00000000-0005-0000-0000-0000AB250000}"/>
    <cellStyle name="Manual Input Cell 2 2 9" xfId="12445" xr:uid="{00000000-0005-0000-0000-0000AC250000}"/>
    <cellStyle name="Manual Input Cell 2 3" xfId="6031" xr:uid="{00000000-0005-0000-0000-0000AD250000}"/>
    <cellStyle name="Manual Input Cell 2 3 2" xfId="11127" xr:uid="{00000000-0005-0000-0000-0000AE250000}"/>
    <cellStyle name="Manual Input Cell 2 3 2 2" xfId="15433" xr:uid="{00000000-0005-0000-0000-0000AF250000}"/>
    <cellStyle name="Manual Input Cell 2 3 2 3" xfId="16512" xr:uid="{00000000-0005-0000-0000-0000B0250000}"/>
    <cellStyle name="Manual Input Cell 2 3 2 4" xfId="17546" xr:uid="{00000000-0005-0000-0000-0000B1250000}"/>
    <cellStyle name="Manual Input Cell 2 3 2 5" xfId="18516" xr:uid="{00000000-0005-0000-0000-0000B2250000}"/>
    <cellStyle name="Manual Input Cell 2 3 2 6" xfId="19422" xr:uid="{00000000-0005-0000-0000-0000B3250000}"/>
    <cellStyle name="Manual Input Cell 2 3 3" xfId="11709" xr:uid="{00000000-0005-0000-0000-0000B4250000}"/>
    <cellStyle name="Manual Input Cell 2 3 3 2" xfId="16015" xr:uid="{00000000-0005-0000-0000-0000B5250000}"/>
    <cellStyle name="Manual Input Cell 2 3 3 3" xfId="17094" xr:uid="{00000000-0005-0000-0000-0000B6250000}"/>
    <cellStyle name="Manual Input Cell 2 3 3 4" xfId="18116" xr:uid="{00000000-0005-0000-0000-0000B7250000}"/>
    <cellStyle name="Manual Input Cell 2 3 3 5" xfId="19086" xr:uid="{00000000-0005-0000-0000-0000B8250000}"/>
    <cellStyle name="Manual Input Cell 2 3 3 6" xfId="19992" xr:uid="{00000000-0005-0000-0000-0000B9250000}"/>
    <cellStyle name="Manual Input Cell 2 3 4" xfId="11881" xr:uid="{00000000-0005-0000-0000-0000BA250000}"/>
    <cellStyle name="Manual Input Cell 2 3 4 2" xfId="16187" xr:uid="{00000000-0005-0000-0000-0000BB250000}"/>
    <cellStyle name="Manual Input Cell 2 3 4 3" xfId="17266" xr:uid="{00000000-0005-0000-0000-0000BC250000}"/>
    <cellStyle name="Manual Input Cell 2 3 4 4" xfId="18284" xr:uid="{00000000-0005-0000-0000-0000BD250000}"/>
    <cellStyle name="Manual Input Cell 2 3 4 5" xfId="19254" xr:uid="{00000000-0005-0000-0000-0000BE250000}"/>
    <cellStyle name="Manual Input Cell 2 3 4 6" xfId="20160" xr:uid="{00000000-0005-0000-0000-0000BF250000}"/>
    <cellStyle name="Manual Input Cell 2 3 5" xfId="13764" xr:uid="{00000000-0005-0000-0000-0000C0250000}"/>
    <cellStyle name="Manual Input Cell 2 3 6" xfId="12590" xr:uid="{00000000-0005-0000-0000-0000C1250000}"/>
    <cellStyle name="Manual Input Cell 2 3 7" xfId="13647" xr:uid="{00000000-0005-0000-0000-0000C2250000}"/>
    <cellStyle name="Manual Input Cell 2 3 8" xfId="17487" xr:uid="{00000000-0005-0000-0000-0000C3250000}"/>
    <cellStyle name="Manual Input Cell 2 3 9" xfId="14297" xr:uid="{00000000-0005-0000-0000-0000C4250000}"/>
    <cellStyle name="Manual Input Cell 2 4" xfId="7346" xr:uid="{00000000-0005-0000-0000-0000C5250000}"/>
    <cellStyle name="Manual Input Cell 2 4 2" xfId="14279" xr:uid="{00000000-0005-0000-0000-0000C6250000}"/>
    <cellStyle name="Manual Input Cell 2 4 3" xfId="15090" xr:uid="{00000000-0005-0000-0000-0000C7250000}"/>
    <cellStyle name="Manual Input Cell 2 4 4" xfId="13096" xr:uid="{00000000-0005-0000-0000-0000C8250000}"/>
    <cellStyle name="Manual Input Cell 2 4 5" xfId="14945" xr:uid="{00000000-0005-0000-0000-0000C9250000}"/>
    <cellStyle name="Manual Input Cell 2 4 6" xfId="12137" xr:uid="{00000000-0005-0000-0000-0000CA250000}"/>
    <cellStyle name="Manual Input Cell 2 5" xfId="11312" xr:uid="{00000000-0005-0000-0000-0000CB250000}"/>
    <cellStyle name="Manual Input Cell 2 5 2" xfId="15618" xr:uid="{00000000-0005-0000-0000-0000CC250000}"/>
    <cellStyle name="Manual Input Cell 2 5 3" xfId="16697" xr:uid="{00000000-0005-0000-0000-0000CD250000}"/>
    <cellStyle name="Manual Input Cell 2 5 4" xfId="17726" xr:uid="{00000000-0005-0000-0000-0000CE250000}"/>
    <cellStyle name="Manual Input Cell 2 5 5" xfId="18696" xr:uid="{00000000-0005-0000-0000-0000CF250000}"/>
    <cellStyle name="Manual Input Cell 2 5 6" xfId="19602" xr:uid="{00000000-0005-0000-0000-0000D0250000}"/>
    <cellStyle name="Manual Input Cell 2 6" xfId="11288" xr:uid="{00000000-0005-0000-0000-0000D1250000}"/>
    <cellStyle name="Manual Input Cell 2 6 2" xfId="15594" xr:uid="{00000000-0005-0000-0000-0000D2250000}"/>
    <cellStyle name="Manual Input Cell 2 6 3" xfId="16673" xr:uid="{00000000-0005-0000-0000-0000D3250000}"/>
    <cellStyle name="Manual Input Cell 2 6 4" xfId="17703" xr:uid="{00000000-0005-0000-0000-0000D4250000}"/>
    <cellStyle name="Manual Input Cell 2 6 5" xfId="18673" xr:uid="{00000000-0005-0000-0000-0000D5250000}"/>
    <cellStyle name="Manual Input Cell 2 6 6" xfId="19579" xr:uid="{00000000-0005-0000-0000-0000D6250000}"/>
    <cellStyle name="Manual Input Cell 2 7" xfId="12577" xr:uid="{00000000-0005-0000-0000-0000D7250000}"/>
    <cellStyle name="Manual Input Cell 2 8" xfId="14360" xr:uid="{00000000-0005-0000-0000-0000D8250000}"/>
    <cellStyle name="Manual Input Cell 2 9" xfId="12817" xr:uid="{00000000-0005-0000-0000-0000D9250000}"/>
    <cellStyle name="Manual Input Cell 3" xfId="2896" xr:uid="{00000000-0005-0000-0000-0000DA250000}"/>
    <cellStyle name="Manual Input Cell 3 10" xfId="14666" xr:uid="{00000000-0005-0000-0000-0000DB250000}"/>
    <cellStyle name="Manual Input Cell 3 2" xfId="6129" xr:uid="{00000000-0005-0000-0000-0000DC250000}"/>
    <cellStyle name="Manual Input Cell 3 2 2" xfId="11225" xr:uid="{00000000-0005-0000-0000-0000DD250000}"/>
    <cellStyle name="Manual Input Cell 3 2 2 2" xfId="15531" xr:uid="{00000000-0005-0000-0000-0000DE250000}"/>
    <cellStyle name="Manual Input Cell 3 2 2 3" xfId="16610" xr:uid="{00000000-0005-0000-0000-0000DF250000}"/>
    <cellStyle name="Manual Input Cell 3 2 2 4" xfId="17644" xr:uid="{00000000-0005-0000-0000-0000E0250000}"/>
    <cellStyle name="Manual Input Cell 3 2 2 5" xfId="18614" xr:uid="{00000000-0005-0000-0000-0000E1250000}"/>
    <cellStyle name="Manual Input Cell 3 2 2 6" xfId="19520" xr:uid="{00000000-0005-0000-0000-0000E2250000}"/>
    <cellStyle name="Manual Input Cell 3 2 3" xfId="11807" xr:uid="{00000000-0005-0000-0000-0000E3250000}"/>
    <cellStyle name="Manual Input Cell 3 2 3 2" xfId="16113" xr:uid="{00000000-0005-0000-0000-0000E4250000}"/>
    <cellStyle name="Manual Input Cell 3 2 3 3" xfId="17192" xr:uid="{00000000-0005-0000-0000-0000E5250000}"/>
    <cellStyle name="Manual Input Cell 3 2 3 4" xfId="18214" xr:uid="{00000000-0005-0000-0000-0000E6250000}"/>
    <cellStyle name="Manual Input Cell 3 2 3 5" xfId="19184" xr:uid="{00000000-0005-0000-0000-0000E7250000}"/>
    <cellStyle name="Manual Input Cell 3 2 3 6" xfId="20090" xr:uid="{00000000-0005-0000-0000-0000E8250000}"/>
    <cellStyle name="Manual Input Cell 3 2 4" xfId="11979" xr:uid="{00000000-0005-0000-0000-0000E9250000}"/>
    <cellStyle name="Manual Input Cell 3 2 4 2" xfId="16285" xr:uid="{00000000-0005-0000-0000-0000EA250000}"/>
    <cellStyle name="Manual Input Cell 3 2 4 3" xfId="17364" xr:uid="{00000000-0005-0000-0000-0000EB250000}"/>
    <cellStyle name="Manual Input Cell 3 2 4 4" xfId="18382" xr:uid="{00000000-0005-0000-0000-0000EC250000}"/>
    <cellStyle name="Manual Input Cell 3 2 4 5" xfId="19352" xr:uid="{00000000-0005-0000-0000-0000ED250000}"/>
    <cellStyle name="Manual Input Cell 3 2 4 6" xfId="20258" xr:uid="{00000000-0005-0000-0000-0000EE250000}"/>
    <cellStyle name="Manual Input Cell 3 2 5" xfId="13862" xr:uid="{00000000-0005-0000-0000-0000EF250000}"/>
    <cellStyle name="Manual Input Cell 3 2 6" xfId="13206" xr:uid="{00000000-0005-0000-0000-0000F0250000}"/>
    <cellStyle name="Manual Input Cell 3 2 7" xfId="12436" xr:uid="{00000000-0005-0000-0000-0000F1250000}"/>
    <cellStyle name="Manual Input Cell 3 2 8" xfId="12285" xr:uid="{00000000-0005-0000-0000-0000F2250000}"/>
    <cellStyle name="Manual Input Cell 3 2 9" xfId="18419" xr:uid="{00000000-0005-0000-0000-0000F3250000}"/>
    <cellStyle name="Manual Input Cell 3 3" xfId="7999" xr:uid="{00000000-0005-0000-0000-0000F4250000}"/>
    <cellStyle name="Manual Input Cell 3 3 2" xfId="14520" xr:uid="{00000000-0005-0000-0000-0000F5250000}"/>
    <cellStyle name="Manual Input Cell 3 3 3" xfId="14505" xr:uid="{00000000-0005-0000-0000-0000F6250000}"/>
    <cellStyle name="Manual Input Cell 3 3 4" xfId="15187" xr:uid="{00000000-0005-0000-0000-0000F7250000}"/>
    <cellStyle name="Manual Input Cell 3 3 5" xfId="13219" xr:uid="{00000000-0005-0000-0000-0000F8250000}"/>
    <cellStyle name="Manual Input Cell 3 3 6" xfId="15047" xr:uid="{00000000-0005-0000-0000-0000F9250000}"/>
    <cellStyle name="Manual Input Cell 3 4" xfId="11420" xr:uid="{00000000-0005-0000-0000-0000FA250000}"/>
    <cellStyle name="Manual Input Cell 3 4 2" xfId="15726" xr:uid="{00000000-0005-0000-0000-0000FB250000}"/>
    <cellStyle name="Manual Input Cell 3 4 3" xfId="16805" xr:uid="{00000000-0005-0000-0000-0000FC250000}"/>
    <cellStyle name="Manual Input Cell 3 4 4" xfId="17834" xr:uid="{00000000-0005-0000-0000-0000FD250000}"/>
    <cellStyle name="Manual Input Cell 3 4 5" xfId="18804" xr:uid="{00000000-0005-0000-0000-0000FE250000}"/>
    <cellStyle name="Manual Input Cell 3 4 6" xfId="19710" xr:uid="{00000000-0005-0000-0000-0000FF250000}"/>
    <cellStyle name="Manual Input Cell 3 5" xfId="11426" xr:uid="{00000000-0005-0000-0000-000000260000}"/>
    <cellStyle name="Manual Input Cell 3 5 2" xfId="15732" xr:uid="{00000000-0005-0000-0000-000001260000}"/>
    <cellStyle name="Manual Input Cell 3 5 3" xfId="16811" xr:uid="{00000000-0005-0000-0000-000002260000}"/>
    <cellStyle name="Manual Input Cell 3 5 4" xfId="17839" xr:uid="{00000000-0005-0000-0000-000003260000}"/>
    <cellStyle name="Manual Input Cell 3 5 5" xfId="18809" xr:uid="{00000000-0005-0000-0000-000004260000}"/>
    <cellStyle name="Manual Input Cell 3 5 6" xfId="19715" xr:uid="{00000000-0005-0000-0000-000005260000}"/>
    <cellStyle name="Manual Input Cell 3 6" xfId="12825" xr:uid="{00000000-0005-0000-0000-000006260000}"/>
    <cellStyle name="Manual Input Cell 3 7" xfId="12473" xr:uid="{00000000-0005-0000-0000-000007260000}"/>
    <cellStyle name="Manual Input Cell 3 8" xfId="14239" xr:uid="{00000000-0005-0000-0000-000008260000}"/>
    <cellStyle name="Manual Input Cell 3 9" xfId="15274" xr:uid="{00000000-0005-0000-0000-000009260000}"/>
    <cellStyle name="Manual Input Cell 4" xfId="6026" xr:uid="{00000000-0005-0000-0000-00000A260000}"/>
    <cellStyle name="Manual Input Cell 4 2" xfId="11122" xr:uid="{00000000-0005-0000-0000-00000B260000}"/>
    <cellStyle name="Manual Input Cell 4 2 2" xfId="15428" xr:uid="{00000000-0005-0000-0000-00000C260000}"/>
    <cellStyle name="Manual Input Cell 4 2 3" xfId="16507" xr:uid="{00000000-0005-0000-0000-00000D260000}"/>
    <cellStyle name="Manual Input Cell 4 2 4" xfId="17541" xr:uid="{00000000-0005-0000-0000-00000E260000}"/>
    <cellStyle name="Manual Input Cell 4 2 5" xfId="18511" xr:uid="{00000000-0005-0000-0000-00000F260000}"/>
    <cellStyle name="Manual Input Cell 4 2 6" xfId="19417" xr:uid="{00000000-0005-0000-0000-000010260000}"/>
    <cellStyle name="Manual Input Cell 4 3" xfId="11704" xr:uid="{00000000-0005-0000-0000-000011260000}"/>
    <cellStyle name="Manual Input Cell 4 3 2" xfId="16010" xr:uid="{00000000-0005-0000-0000-000012260000}"/>
    <cellStyle name="Manual Input Cell 4 3 3" xfId="17089" xr:uid="{00000000-0005-0000-0000-000013260000}"/>
    <cellStyle name="Manual Input Cell 4 3 4" xfId="18111" xr:uid="{00000000-0005-0000-0000-000014260000}"/>
    <cellStyle name="Manual Input Cell 4 3 5" xfId="19081" xr:uid="{00000000-0005-0000-0000-000015260000}"/>
    <cellStyle name="Manual Input Cell 4 3 6" xfId="19987" xr:uid="{00000000-0005-0000-0000-000016260000}"/>
    <cellStyle name="Manual Input Cell 4 4" xfId="11876" xr:uid="{00000000-0005-0000-0000-000017260000}"/>
    <cellStyle name="Manual Input Cell 4 4 2" xfId="16182" xr:uid="{00000000-0005-0000-0000-000018260000}"/>
    <cellStyle name="Manual Input Cell 4 4 3" xfId="17261" xr:uid="{00000000-0005-0000-0000-000019260000}"/>
    <cellStyle name="Manual Input Cell 4 4 4" xfId="18279" xr:uid="{00000000-0005-0000-0000-00001A260000}"/>
    <cellStyle name="Manual Input Cell 4 4 5" xfId="19249" xr:uid="{00000000-0005-0000-0000-00001B260000}"/>
    <cellStyle name="Manual Input Cell 4 4 6" xfId="20155" xr:uid="{00000000-0005-0000-0000-00001C260000}"/>
    <cellStyle name="Manual Input Cell 4 5" xfId="13759" xr:uid="{00000000-0005-0000-0000-00001D260000}"/>
    <cellStyle name="Manual Input Cell 4 6" xfId="13346" xr:uid="{00000000-0005-0000-0000-00001E260000}"/>
    <cellStyle name="Manual Input Cell 4 7" xfId="12881" xr:uid="{00000000-0005-0000-0000-00001F260000}"/>
    <cellStyle name="Manual Input Cell 4 8" xfId="16408" xr:uid="{00000000-0005-0000-0000-000020260000}"/>
    <cellStyle name="Manual Input Cell 4 9" xfId="18459" xr:uid="{00000000-0005-0000-0000-000021260000}"/>
    <cellStyle name="Manual Input Cell 5" xfId="6850" xr:uid="{00000000-0005-0000-0000-000022260000}"/>
    <cellStyle name="Manual Input Cell 5 2" xfId="14164" xr:uid="{00000000-0005-0000-0000-000023260000}"/>
    <cellStyle name="Manual Input Cell 5 3" xfId="12331" xr:uid="{00000000-0005-0000-0000-000024260000}"/>
    <cellStyle name="Manual Input Cell 5 4" xfId="15333" xr:uid="{00000000-0005-0000-0000-000025260000}"/>
    <cellStyle name="Manual Input Cell 5 5" xfId="13150" xr:uid="{00000000-0005-0000-0000-000026260000}"/>
    <cellStyle name="Manual Input Cell 5 6" xfId="12623" xr:uid="{00000000-0005-0000-0000-000027260000}"/>
    <cellStyle name="Manual Input Cell 6" xfId="11263" xr:uid="{00000000-0005-0000-0000-000028260000}"/>
    <cellStyle name="Manual Input Cell 6 2" xfId="15569" xr:uid="{00000000-0005-0000-0000-000029260000}"/>
    <cellStyle name="Manual Input Cell 6 3" xfId="16648" xr:uid="{00000000-0005-0000-0000-00002A260000}"/>
    <cellStyle name="Manual Input Cell 6 4" xfId="17678" xr:uid="{00000000-0005-0000-0000-00002B260000}"/>
    <cellStyle name="Manual Input Cell 6 5" xfId="18648" xr:uid="{00000000-0005-0000-0000-00002C260000}"/>
    <cellStyle name="Manual Input Cell 6 6" xfId="19554" xr:uid="{00000000-0005-0000-0000-00002D260000}"/>
    <cellStyle name="Manual Input Cell 7" xfId="11290" xr:uid="{00000000-0005-0000-0000-00002E260000}"/>
    <cellStyle name="Manual Input Cell 7 2" xfId="15596" xr:uid="{00000000-0005-0000-0000-00002F260000}"/>
    <cellStyle name="Manual Input Cell 7 3" xfId="16675" xr:uid="{00000000-0005-0000-0000-000030260000}"/>
    <cellStyle name="Manual Input Cell 7 4" xfId="17705" xr:uid="{00000000-0005-0000-0000-000031260000}"/>
    <cellStyle name="Manual Input Cell 7 5" xfId="18675" xr:uid="{00000000-0005-0000-0000-000032260000}"/>
    <cellStyle name="Manual Input Cell 7 6" xfId="19581" xr:uid="{00000000-0005-0000-0000-000033260000}"/>
    <cellStyle name="Manual Input Cell 8" xfId="12405" xr:uid="{00000000-0005-0000-0000-000034260000}"/>
    <cellStyle name="Manual Input Cell 9" xfId="12181" xr:uid="{00000000-0005-0000-0000-000035260000}"/>
    <cellStyle name="mennu bar" xfId="1594" xr:uid="{00000000-0005-0000-0000-000036260000}"/>
    <cellStyle name="mennu bar 10" xfId="13176" xr:uid="{00000000-0005-0000-0000-000037260000}"/>
    <cellStyle name="mennu bar 11" xfId="14481" xr:uid="{00000000-0005-0000-0000-000038260000}"/>
    <cellStyle name="mennu bar 12" xfId="12871" xr:uid="{00000000-0005-0000-0000-000039260000}"/>
    <cellStyle name="mennu bar 2" xfId="2235" xr:uid="{00000000-0005-0000-0000-00003A260000}"/>
    <cellStyle name="mennu bar 2 10" xfId="15374" xr:uid="{00000000-0005-0000-0000-00003B260000}"/>
    <cellStyle name="mennu bar 2 11" xfId="13596" xr:uid="{00000000-0005-0000-0000-00003C260000}"/>
    <cellStyle name="mennu bar 2 2" xfId="2332" xr:uid="{00000000-0005-0000-0000-00003D260000}"/>
    <cellStyle name="mennu bar 2 2 10" xfId="12340" xr:uid="{00000000-0005-0000-0000-00003E260000}"/>
    <cellStyle name="mennu bar 2 2 2" xfId="6041" xr:uid="{00000000-0005-0000-0000-00003F260000}"/>
    <cellStyle name="mennu bar 2 2 2 2" xfId="11137" xr:uid="{00000000-0005-0000-0000-000040260000}"/>
    <cellStyle name="mennu bar 2 2 2 2 2" xfId="15443" xr:uid="{00000000-0005-0000-0000-000041260000}"/>
    <cellStyle name="mennu bar 2 2 2 2 3" xfId="16522" xr:uid="{00000000-0005-0000-0000-000042260000}"/>
    <cellStyle name="mennu bar 2 2 2 2 4" xfId="17556" xr:uid="{00000000-0005-0000-0000-000043260000}"/>
    <cellStyle name="mennu bar 2 2 2 2 5" xfId="18526" xr:uid="{00000000-0005-0000-0000-000044260000}"/>
    <cellStyle name="mennu bar 2 2 2 2 6" xfId="19432" xr:uid="{00000000-0005-0000-0000-000045260000}"/>
    <cellStyle name="mennu bar 2 2 2 3" xfId="11719" xr:uid="{00000000-0005-0000-0000-000046260000}"/>
    <cellStyle name="mennu bar 2 2 2 3 2" xfId="16025" xr:uid="{00000000-0005-0000-0000-000047260000}"/>
    <cellStyle name="mennu bar 2 2 2 3 3" xfId="17104" xr:uid="{00000000-0005-0000-0000-000048260000}"/>
    <cellStyle name="mennu bar 2 2 2 3 4" xfId="18126" xr:uid="{00000000-0005-0000-0000-000049260000}"/>
    <cellStyle name="mennu bar 2 2 2 3 5" xfId="19096" xr:uid="{00000000-0005-0000-0000-00004A260000}"/>
    <cellStyle name="mennu bar 2 2 2 3 6" xfId="20002" xr:uid="{00000000-0005-0000-0000-00004B260000}"/>
    <cellStyle name="mennu bar 2 2 2 4" xfId="11891" xr:uid="{00000000-0005-0000-0000-00004C260000}"/>
    <cellStyle name="mennu bar 2 2 2 4 2" xfId="16197" xr:uid="{00000000-0005-0000-0000-00004D260000}"/>
    <cellStyle name="mennu bar 2 2 2 4 3" xfId="17276" xr:uid="{00000000-0005-0000-0000-00004E260000}"/>
    <cellStyle name="mennu bar 2 2 2 4 4" xfId="18294" xr:uid="{00000000-0005-0000-0000-00004F260000}"/>
    <cellStyle name="mennu bar 2 2 2 4 5" xfId="19264" xr:uid="{00000000-0005-0000-0000-000050260000}"/>
    <cellStyle name="mennu bar 2 2 2 4 6" xfId="20170" xr:uid="{00000000-0005-0000-0000-000051260000}"/>
    <cellStyle name="mennu bar 2 2 2 5" xfId="13774" xr:uid="{00000000-0005-0000-0000-000052260000}"/>
    <cellStyle name="mennu bar 2 2 2 6" xfId="15021" xr:uid="{00000000-0005-0000-0000-000053260000}"/>
    <cellStyle name="mennu bar 2 2 2 7" xfId="14708" xr:uid="{00000000-0005-0000-0000-000054260000}"/>
    <cellStyle name="mennu bar 2 2 2 8" xfId="13276" xr:uid="{00000000-0005-0000-0000-000055260000}"/>
    <cellStyle name="mennu bar 2 2 2 9" xfId="12046" xr:uid="{00000000-0005-0000-0000-000056260000}"/>
    <cellStyle name="mennu bar 2 2 3" xfId="7441" xr:uid="{00000000-0005-0000-0000-000057260000}"/>
    <cellStyle name="mennu bar 2 2 3 2" xfId="14316" xr:uid="{00000000-0005-0000-0000-000058260000}"/>
    <cellStyle name="mennu bar 2 2 3 3" xfId="15195" xr:uid="{00000000-0005-0000-0000-000059260000}"/>
    <cellStyle name="mennu bar 2 2 3 4" xfId="16315" xr:uid="{00000000-0005-0000-0000-00005A260000}"/>
    <cellStyle name="mennu bar 2 2 3 5" xfId="14593" xr:uid="{00000000-0005-0000-0000-00005B260000}"/>
    <cellStyle name="mennu bar 2 2 3 6" xfId="13645" xr:uid="{00000000-0005-0000-0000-00005C260000}"/>
    <cellStyle name="mennu bar 2 2 4" xfId="11322" xr:uid="{00000000-0005-0000-0000-00005D260000}"/>
    <cellStyle name="mennu bar 2 2 4 2" xfId="15628" xr:uid="{00000000-0005-0000-0000-00005E260000}"/>
    <cellStyle name="mennu bar 2 2 4 3" xfId="16707" xr:uid="{00000000-0005-0000-0000-00005F260000}"/>
    <cellStyle name="mennu bar 2 2 4 4" xfId="17736" xr:uid="{00000000-0005-0000-0000-000060260000}"/>
    <cellStyle name="mennu bar 2 2 4 5" xfId="18706" xr:uid="{00000000-0005-0000-0000-000061260000}"/>
    <cellStyle name="mennu bar 2 2 4 6" xfId="19612" xr:uid="{00000000-0005-0000-0000-000062260000}"/>
    <cellStyle name="mennu bar 2 2 5" xfId="11447" xr:uid="{00000000-0005-0000-0000-000063260000}"/>
    <cellStyle name="mennu bar 2 2 5 2" xfId="15753" xr:uid="{00000000-0005-0000-0000-000064260000}"/>
    <cellStyle name="mennu bar 2 2 5 3" xfId="16832" xr:uid="{00000000-0005-0000-0000-000065260000}"/>
    <cellStyle name="mennu bar 2 2 5 4" xfId="17860" xr:uid="{00000000-0005-0000-0000-000066260000}"/>
    <cellStyle name="mennu bar 2 2 5 5" xfId="18830" xr:uid="{00000000-0005-0000-0000-000067260000}"/>
    <cellStyle name="mennu bar 2 2 5 6" xfId="19736" xr:uid="{00000000-0005-0000-0000-000068260000}"/>
    <cellStyle name="mennu bar 2 2 6" xfId="12613" xr:uid="{00000000-0005-0000-0000-000069260000}"/>
    <cellStyle name="mennu bar 2 2 7" xfId="12502" xr:uid="{00000000-0005-0000-0000-00006A260000}"/>
    <cellStyle name="mennu bar 2 2 8" xfId="13308" xr:uid="{00000000-0005-0000-0000-00006B260000}"/>
    <cellStyle name="mennu bar 2 2 9" xfId="12015" xr:uid="{00000000-0005-0000-0000-00006C260000}"/>
    <cellStyle name="mennu bar 2 3" xfId="6030" xr:uid="{00000000-0005-0000-0000-00006D260000}"/>
    <cellStyle name="mennu bar 2 3 2" xfId="11126" xr:uid="{00000000-0005-0000-0000-00006E260000}"/>
    <cellStyle name="mennu bar 2 3 2 2" xfId="15432" xr:uid="{00000000-0005-0000-0000-00006F260000}"/>
    <cellStyle name="mennu bar 2 3 2 3" xfId="16511" xr:uid="{00000000-0005-0000-0000-000070260000}"/>
    <cellStyle name="mennu bar 2 3 2 4" xfId="17545" xr:uid="{00000000-0005-0000-0000-000071260000}"/>
    <cellStyle name="mennu bar 2 3 2 5" xfId="18515" xr:uid="{00000000-0005-0000-0000-000072260000}"/>
    <cellStyle name="mennu bar 2 3 2 6" xfId="19421" xr:uid="{00000000-0005-0000-0000-000073260000}"/>
    <cellStyle name="mennu bar 2 3 3" xfId="11708" xr:uid="{00000000-0005-0000-0000-000074260000}"/>
    <cellStyle name="mennu bar 2 3 3 2" xfId="16014" xr:uid="{00000000-0005-0000-0000-000075260000}"/>
    <cellStyle name="mennu bar 2 3 3 3" xfId="17093" xr:uid="{00000000-0005-0000-0000-000076260000}"/>
    <cellStyle name="mennu bar 2 3 3 4" xfId="18115" xr:uid="{00000000-0005-0000-0000-000077260000}"/>
    <cellStyle name="mennu bar 2 3 3 5" xfId="19085" xr:uid="{00000000-0005-0000-0000-000078260000}"/>
    <cellStyle name="mennu bar 2 3 3 6" xfId="19991" xr:uid="{00000000-0005-0000-0000-000079260000}"/>
    <cellStyle name="mennu bar 2 3 4" xfId="11880" xr:uid="{00000000-0005-0000-0000-00007A260000}"/>
    <cellStyle name="mennu bar 2 3 4 2" xfId="16186" xr:uid="{00000000-0005-0000-0000-00007B260000}"/>
    <cellStyle name="mennu bar 2 3 4 3" xfId="17265" xr:uid="{00000000-0005-0000-0000-00007C260000}"/>
    <cellStyle name="mennu bar 2 3 4 4" xfId="18283" xr:uid="{00000000-0005-0000-0000-00007D260000}"/>
    <cellStyle name="mennu bar 2 3 4 5" xfId="19253" xr:uid="{00000000-0005-0000-0000-00007E260000}"/>
    <cellStyle name="mennu bar 2 3 4 6" xfId="20159" xr:uid="{00000000-0005-0000-0000-00007F260000}"/>
    <cellStyle name="mennu bar 2 3 5" xfId="13763" xr:uid="{00000000-0005-0000-0000-000080260000}"/>
    <cellStyle name="mennu bar 2 3 6" xfId="12991" xr:uid="{00000000-0005-0000-0000-000081260000}"/>
    <cellStyle name="mennu bar 2 3 7" xfId="13270" xr:uid="{00000000-0005-0000-0000-000082260000}"/>
    <cellStyle name="mennu bar 2 3 8" xfId="14596" xr:uid="{00000000-0005-0000-0000-000083260000}"/>
    <cellStyle name="mennu bar 2 3 9" xfId="14585" xr:uid="{00000000-0005-0000-0000-000084260000}"/>
    <cellStyle name="mennu bar 2 4" xfId="7345" xr:uid="{00000000-0005-0000-0000-000085260000}"/>
    <cellStyle name="mennu bar 2 4 2" xfId="14278" xr:uid="{00000000-0005-0000-0000-000086260000}"/>
    <cellStyle name="mennu bar 2 4 3" xfId="14370" xr:uid="{00000000-0005-0000-0000-000087260000}"/>
    <cellStyle name="mennu bar 2 4 4" xfId="13954" xr:uid="{00000000-0005-0000-0000-000088260000}"/>
    <cellStyle name="mennu bar 2 4 5" xfId="15324" xr:uid="{00000000-0005-0000-0000-000089260000}"/>
    <cellStyle name="mennu bar 2 4 6" xfId="12891" xr:uid="{00000000-0005-0000-0000-00008A260000}"/>
    <cellStyle name="mennu bar 2 5" xfId="11311" xr:uid="{00000000-0005-0000-0000-00008B260000}"/>
    <cellStyle name="mennu bar 2 5 2" xfId="15617" xr:uid="{00000000-0005-0000-0000-00008C260000}"/>
    <cellStyle name="mennu bar 2 5 3" xfId="16696" xr:uid="{00000000-0005-0000-0000-00008D260000}"/>
    <cellStyle name="mennu bar 2 5 4" xfId="17725" xr:uid="{00000000-0005-0000-0000-00008E260000}"/>
    <cellStyle name="mennu bar 2 5 5" xfId="18695" xr:uid="{00000000-0005-0000-0000-00008F260000}"/>
    <cellStyle name="mennu bar 2 5 6" xfId="19601" xr:uid="{00000000-0005-0000-0000-000090260000}"/>
    <cellStyle name="mennu bar 2 6" xfId="11289" xr:uid="{00000000-0005-0000-0000-000091260000}"/>
    <cellStyle name="mennu bar 2 6 2" xfId="15595" xr:uid="{00000000-0005-0000-0000-000092260000}"/>
    <cellStyle name="mennu bar 2 6 3" xfId="16674" xr:uid="{00000000-0005-0000-0000-000093260000}"/>
    <cellStyle name="mennu bar 2 6 4" xfId="17704" xr:uid="{00000000-0005-0000-0000-000094260000}"/>
    <cellStyle name="mennu bar 2 6 5" xfId="18674" xr:uid="{00000000-0005-0000-0000-000095260000}"/>
    <cellStyle name="mennu bar 2 6 6" xfId="19580" xr:uid="{00000000-0005-0000-0000-000096260000}"/>
    <cellStyle name="mennu bar 2 7" xfId="12576" xr:uid="{00000000-0005-0000-0000-000097260000}"/>
    <cellStyle name="mennu bar 2 8" xfId="13063" xr:uid="{00000000-0005-0000-0000-000098260000}"/>
    <cellStyle name="mennu bar 2 9" xfId="14195" xr:uid="{00000000-0005-0000-0000-000099260000}"/>
    <cellStyle name="mennu bar 3" xfId="2329" xr:uid="{00000000-0005-0000-0000-00009A260000}"/>
    <cellStyle name="mennu bar 3 10" xfId="18440" xr:uid="{00000000-0005-0000-0000-00009B260000}"/>
    <cellStyle name="mennu bar 3 2" xfId="6039" xr:uid="{00000000-0005-0000-0000-00009C260000}"/>
    <cellStyle name="mennu bar 3 2 2" xfId="11135" xr:uid="{00000000-0005-0000-0000-00009D260000}"/>
    <cellStyle name="mennu bar 3 2 2 2" xfId="15441" xr:uid="{00000000-0005-0000-0000-00009E260000}"/>
    <cellStyle name="mennu bar 3 2 2 3" xfId="16520" xr:uid="{00000000-0005-0000-0000-00009F260000}"/>
    <cellStyle name="mennu bar 3 2 2 4" xfId="17554" xr:uid="{00000000-0005-0000-0000-0000A0260000}"/>
    <cellStyle name="mennu bar 3 2 2 5" xfId="18524" xr:uid="{00000000-0005-0000-0000-0000A1260000}"/>
    <cellStyle name="mennu bar 3 2 2 6" xfId="19430" xr:uid="{00000000-0005-0000-0000-0000A2260000}"/>
    <cellStyle name="mennu bar 3 2 3" xfId="11717" xr:uid="{00000000-0005-0000-0000-0000A3260000}"/>
    <cellStyle name="mennu bar 3 2 3 2" xfId="16023" xr:uid="{00000000-0005-0000-0000-0000A4260000}"/>
    <cellStyle name="mennu bar 3 2 3 3" xfId="17102" xr:uid="{00000000-0005-0000-0000-0000A5260000}"/>
    <cellStyle name="mennu bar 3 2 3 4" xfId="18124" xr:uid="{00000000-0005-0000-0000-0000A6260000}"/>
    <cellStyle name="mennu bar 3 2 3 5" xfId="19094" xr:uid="{00000000-0005-0000-0000-0000A7260000}"/>
    <cellStyle name="mennu bar 3 2 3 6" xfId="20000" xr:uid="{00000000-0005-0000-0000-0000A8260000}"/>
    <cellStyle name="mennu bar 3 2 4" xfId="11889" xr:uid="{00000000-0005-0000-0000-0000A9260000}"/>
    <cellStyle name="mennu bar 3 2 4 2" xfId="16195" xr:uid="{00000000-0005-0000-0000-0000AA260000}"/>
    <cellStyle name="mennu bar 3 2 4 3" xfId="17274" xr:uid="{00000000-0005-0000-0000-0000AB260000}"/>
    <cellStyle name="mennu bar 3 2 4 4" xfId="18292" xr:uid="{00000000-0005-0000-0000-0000AC260000}"/>
    <cellStyle name="mennu bar 3 2 4 5" xfId="19262" xr:uid="{00000000-0005-0000-0000-0000AD260000}"/>
    <cellStyle name="mennu bar 3 2 4 6" xfId="20168" xr:uid="{00000000-0005-0000-0000-0000AE260000}"/>
    <cellStyle name="mennu bar 3 2 5" xfId="13772" xr:uid="{00000000-0005-0000-0000-0000AF260000}"/>
    <cellStyle name="mennu bar 3 2 6" xfId="12585" xr:uid="{00000000-0005-0000-0000-0000B0260000}"/>
    <cellStyle name="mennu bar 3 2 7" xfId="15315" xr:uid="{00000000-0005-0000-0000-0000B1260000}"/>
    <cellStyle name="mennu bar 3 2 8" xfId="17486" xr:uid="{00000000-0005-0000-0000-0000B2260000}"/>
    <cellStyle name="mennu bar 3 2 9" xfId="14988" xr:uid="{00000000-0005-0000-0000-0000B3260000}"/>
    <cellStyle name="mennu bar 3 3" xfId="7438" xr:uid="{00000000-0005-0000-0000-0000B4260000}"/>
    <cellStyle name="mennu bar 3 3 2" xfId="14314" xr:uid="{00000000-0005-0000-0000-0000B5260000}"/>
    <cellStyle name="mennu bar 3 3 3" xfId="14859" xr:uid="{00000000-0005-0000-0000-0000B6260000}"/>
    <cellStyle name="mennu bar 3 3 4" xfId="13981" xr:uid="{00000000-0005-0000-0000-0000B7260000}"/>
    <cellStyle name="mennu bar 3 3 5" xfId="12155" xr:uid="{00000000-0005-0000-0000-0000B8260000}"/>
    <cellStyle name="mennu bar 3 3 6" xfId="12458" xr:uid="{00000000-0005-0000-0000-0000B9260000}"/>
    <cellStyle name="mennu bar 3 4" xfId="11320" xr:uid="{00000000-0005-0000-0000-0000BA260000}"/>
    <cellStyle name="mennu bar 3 4 2" xfId="15626" xr:uid="{00000000-0005-0000-0000-0000BB260000}"/>
    <cellStyle name="mennu bar 3 4 3" xfId="16705" xr:uid="{00000000-0005-0000-0000-0000BC260000}"/>
    <cellStyle name="mennu bar 3 4 4" xfId="17734" xr:uid="{00000000-0005-0000-0000-0000BD260000}"/>
    <cellStyle name="mennu bar 3 4 5" xfId="18704" xr:uid="{00000000-0005-0000-0000-0000BE260000}"/>
    <cellStyle name="mennu bar 3 4 6" xfId="19610" xr:uid="{00000000-0005-0000-0000-0000BF260000}"/>
    <cellStyle name="mennu bar 3 5" xfId="11285" xr:uid="{00000000-0005-0000-0000-0000C0260000}"/>
    <cellStyle name="mennu bar 3 5 2" xfId="15591" xr:uid="{00000000-0005-0000-0000-0000C1260000}"/>
    <cellStyle name="mennu bar 3 5 3" xfId="16670" xr:uid="{00000000-0005-0000-0000-0000C2260000}"/>
    <cellStyle name="mennu bar 3 5 4" xfId="17700" xr:uid="{00000000-0005-0000-0000-0000C3260000}"/>
    <cellStyle name="mennu bar 3 5 5" xfId="18670" xr:uid="{00000000-0005-0000-0000-0000C4260000}"/>
    <cellStyle name="mennu bar 3 5 6" xfId="19576" xr:uid="{00000000-0005-0000-0000-0000C5260000}"/>
    <cellStyle name="mennu bar 3 6" xfId="12610" xr:uid="{00000000-0005-0000-0000-0000C6260000}"/>
    <cellStyle name="mennu bar 3 7" xfId="15312" xr:uid="{00000000-0005-0000-0000-0000C7260000}"/>
    <cellStyle name="mennu bar 3 8" xfId="16406" xr:uid="{00000000-0005-0000-0000-0000C8260000}"/>
    <cellStyle name="mennu bar 3 9" xfId="15036" xr:uid="{00000000-0005-0000-0000-0000C9260000}"/>
    <cellStyle name="mennu bar 4" xfId="6027" xr:uid="{00000000-0005-0000-0000-0000CA260000}"/>
    <cellStyle name="mennu bar 4 2" xfId="11123" xr:uid="{00000000-0005-0000-0000-0000CB260000}"/>
    <cellStyle name="mennu bar 4 2 2" xfId="15429" xr:uid="{00000000-0005-0000-0000-0000CC260000}"/>
    <cellStyle name="mennu bar 4 2 3" xfId="16508" xr:uid="{00000000-0005-0000-0000-0000CD260000}"/>
    <cellStyle name="mennu bar 4 2 4" xfId="17542" xr:uid="{00000000-0005-0000-0000-0000CE260000}"/>
    <cellStyle name="mennu bar 4 2 5" xfId="18512" xr:uid="{00000000-0005-0000-0000-0000CF260000}"/>
    <cellStyle name="mennu bar 4 2 6" xfId="19418" xr:uid="{00000000-0005-0000-0000-0000D0260000}"/>
    <cellStyle name="mennu bar 4 3" xfId="11705" xr:uid="{00000000-0005-0000-0000-0000D1260000}"/>
    <cellStyle name="mennu bar 4 3 2" xfId="16011" xr:uid="{00000000-0005-0000-0000-0000D2260000}"/>
    <cellStyle name="mennu bar 4 3 3" xfId="17090" xr:uid="{00000000-0005-0000-0000-0000D3260000}"/>
    <cellStyle name="mennu bar 4 3 4" xfId="18112" xr:uid="{00000000-0005-0000-0000-0000D4260000}"/>
    <cellStyle name="mennu bar 4 3 5" xfId="19082" xr:uid="{00000000-0005-0000-0000-0000D5260000}"/>
    <cellStyle name="mennu bar 4 3 6" xfId="19988" xr:uid="{00000000-0005-0000-0000-0000D6260000}"/>
    <cellStyle name="mennu bar 4 4" xfId="11877" xr:uid="{00000000-0005-0000-0000-0000D7260000}"/>
    <cellStyle name="mennu bar 4 4 2" xfId="16183" xr:uid="{00000000-0005-0000-0000-0000D8260000}"/>
    <cellStyle name="mennu bar 4 4 3" xfId="17262" xr:uid="{00000000-0005-0000-0000-0000D9260000}"/>
    <cellStyle name="mennu bar 4 4 4" xfId="18280" xr:uid="{00000000-0005-0000-0000-0000DA260000}"/>
    <cellStyle name="mennu bar 4 4 5" xfId="19250" xr:uid="{00000000-0005-0000-0000-0000DB260000}"/>
    <cellStyle name="mennu bar 4 4 6" xfId="20156" xr:uid="{00000000-0005-0000-0000-0000DC260000}"/>
    <cellStyle name="mennu bar 4 5" xfId="13760" xr:uid="{00000000-0005-0000-0000-0000DD260000}"/>
    <cellStyle name="mennu bar 4 6" xfId="14676" xr:uid="{00000000-0005-0000-0000-0000DE260000}"/>
    <cellStyle name="mennu bar 4 7" xfId="14498" xr:uid="{00000000-0005-0000-0000-0000DF260000}"/>
    <cellStyle name="mennu bar 4 8" xfId="12586" xr:uid="{00000000-0005-0000-0000-0000E0260000}"/>
    <cellStyle name="mennu bar 4 9" xfId="16317" xr:uid="{00000000-0005-0000-0000-0000E1260000}"/>
    <cellStyle name="mennu bar 5" xfId="6851" xr:uid="{00000000-0005-0000-0000-0000E2260000}"/>
    <cellStyle name="mennu bar 5 2" xfId="14165" xr:uid="{00000000-0005-0000-0000-0000E3260000}"/>
    <cellStyle name="mennu bar 5 3" xfId="12330" xr:uid="{00000000-0005-0000-0000-0000E4260000}"/>
    <cellStyle name="mennu bar 5 4" xfId="14646" xr:uid="{00000000-0005-0000-0000-0000E5260000}"/>
    <cellStyle name="mennu bar 5 5" xfId="17390" xr:uid="{00000000-0005-0000-0000-0000E6260000}"/>
    <cellStyle name="mennu bar 5 6" xfId="12978" xr:uid="{00000000-0005-0000-0000-0000E7260000}"/>
    <cellStyle name="mennu bar 6" xfId="11264" xr:uid="{00000000-0005-0000-0000-0000E8260000}"/>
    <cellStyle name="mennu bar 6 2" xfId="15570" xr:uid="{00000000-0005-0000-0000-0000E9260000}"/>
    <cellStyle name="mennu bar 6 3" xfId="16649" xr:uid="{00000000-0005-0000-0000-0000EA260000}"/>
    <cellStyle name="mennu bar 6 4" xfId="17679" xr:uid="{00000000-0005-0000-0000-0000EB260000}"/>
    <cellStyle name="mennu bar 6 5" xfId="18649" xr:uid="{00000000-0005-0000-0000-0000EC260000}"/>
    <cellStyle name="mennu bar 6 6" xfId="19555" xr:uid="{00000000-0005-0000-0000-0000ED260000}"/>
    <cellStyle name="mennu bar 7" xfId="11291" xr:uid="{00000000-0005-0000-0000-0000EE260000}"/>
    <cellStyle name="mennu bar 7 2" xfId="15597" xr:uid="{00000000-0005-0000-0000-0000EF260000}"/>
    <cellStyle name="mennu bar 7 3" xfId="16676" xr:uid="{00000000-0005-0000-0000-0000F0260000}"/>
    <cellStyle name="mennu bar 7 4" xfId="17706" xr:uid="{00000000-0005-0000-0000-0000F1260000}"/>
    <cellStyle name="mennu bar 7 5" xfId="18676" xr:uid="{00000000-0005-0000-0000-0000F2260000}"/>
    <cellStyle name="mennu bar 7 6" xfId="19582" xr:uid="{00000000-0005-0000-0000-0000F3260000}"/>
    <cellStyle name="mennu bar 8" xfId="12406" xr:uid="{00000000-0005-0000-0000-0000F4260000}"/>
    <cellStyle name="mennu bar 9" xfId="14249" xr:uid="{00000000-0005-0000-0000-0000F5260000}"/>
    <cellStyle name="Model Generated Cell" xfId="1595" xr:uid="{00000000-0005-0000-0000-0000F6260000}"/>
    <cellStyle name="ModGen" xfId="1596" xr:uid="{00000000-0005-0000-0000-0000F7260000}"/>
    <cellStyle name="Names" xfId="1597" xr:uid="{00000000-0005-0000-0000-0000F8260000}"/>
    <cellStyle name="Neutral" xfId="115" builtinId="28" customBuiltin="1"/>
    <cellStyle name="Neutral 2" xfId="53" xr:uid="{00000000-0005-0000-0000-0000FA260000}"/>
    <cellStyle name="Neutral 2 2" xfId="858" xr:uid="{00000000-0005-0000-0000-0000FB260000}"/>
    <cellStyle name="Neutral 2 3" xfId="1598" xr:uid="{00000000-0005-0000-0000-0000FC260000}"/>
    <cellStyle name="Neutral 3" xfId="394" xr:uid="{00000000-0005-0000-0000-0000FD260000}"/>
    <cellStyle name="Neutral 3 2" xfId="859" xr:uid="{00000000-0005-0000-0000-0000FE260000}"/>
    <cellStyle name="Neutral 4" xfId="395" xr:uid="{00000000-0005-0000-0000-0000FF260000}"/>
    <cellStyle name="Neutral 5" xfId="396" xr:uid="{00000000-0005-0000-0000-000000270000}"/>
    <cellStyle name="Neutral 6" xfId="397" xr:uid="{00000000-0005-0000-0000-000001270000}"/>
    <cellStyle name="Neutral 7" xfId="398" xr:uid="{00000000-0005-0000-0000-000002270000}"/>
    <cellStyle name="Neutral 8" xfId="399" xr:uid="{00000000-0005-0000-0000-000003270000}"/>
    <cellStyle name="Neutral 9" xfId="549" xr:uid="{00000000-0005-0000-0000-000004270000}"/>
    <cellStyle name="no dec" xfId="1599" xr:uid="{00000000-0005-0000-0000-000005270000}"/>
    <cellStyle name="Normal" xfId="0" builtinId="0"/>
    <cellStyle name="Normal - Style1" xfId="1600" xr:uid="{00000000-0005-0000-0000-000007270000}"/>
    <cellStyle name="Normal 10" xfId="73" xr:uid="{00000000-0005-0000-0000-000008270000}"/>
    <cellStyle name="Normal 10 2" xfId="576" xr:uid="{00000000-0005-0000-0000-000009270000}"/>
    <cellStyle name="Normal 10 2 2" xfId="1603" xr:uid="{00000000-0005-0000-0000-00000A270000}"/>
    <cellStyle name="Normal 10 2 2 2" xfId="1604" xr:uid="{00000000-0005-0000-0000-00000B270000}"/>
    <cellStyle name="Normal 10 2 2 2 2" xfId="1605" xr:uid="{00000000-0005-0000-0000-00000C270000}"/>
    <cellStyle name="Normal 10 2 2 2 2 2" xfId="3015" xr:uid="{00000000-0005-0000-0000-00000D270000}"/>
    <cellStyle name="Normal 10 2 2 2 2 2 2" xfId="5411" xr:uid="{00000000-0005-0000-0000-00000E270000}"/>
    <cellStyle name="Normal 10 2 2 2 2 2 2 2" xfId="10507" xr:uid="{00000000-0005-0000-0000-00000F270000}"/>
    <cellStyle name="Normal 10 2 2 2 2 2 3" xfId="8118" xr:uid="{00000000-0005-0000-0000-000010270000}"/>
    <cellStyle name="Normal 10 2 2 2 2 3" xfId="4219" xr:uid="{00000000-0005-0000-0000-000011270000}"/>
    <cellStyle name="Normal 10 2 2 2 2 3 2" xfId="9315" xr:uid="{00000000-0005-0000-0000-000012270000}"/>
    <cellStyle name="Normal 10 2 2 2 2 4" xfId="6856" xr:uid="{00000000-0005-0000-0000-000013270000}"/>
    <cellStyle name="Normal 10 2 2 2 3" xfId="3014" xr:uid="{00000000-0005-0000-0000-000014270000}"/>
    <cellStyle name="Normal 10 2 2 2 3 2" xfId="5410" xr:uid="{00000000-0005-0000-0000-000015270000}"/>
    <cellStyle name="Normal 10 2 2 2 3 2 2" xfId="10506" xr:uid="{00000000-0005-0000-0000-000016270000}"/>
    <cellStyle name="Normal 10 2 2 2 3 3" xfId="8117" xr:uid="{00000000-0005-0000-0000-000017270000}"/>
    <cellStyle name="Normal 10 2 2 2 4" xfId="4218" xr:uid="{00000000-0005-0000-0000-000018270000}"/>
    <cellStyle name="Normal 10 2 2 2 4 2" xfId="9314" xr:uid="{00000000-0005-0000-0000-000019270000}"/>
    <cellStyle name="Normal 10 2 2 2 5" xfId="6855" xr:uid="{00000000-0005-0000-0000-00001A270000}"/>
    <cellStyle name="Normal 10 2 2 3" xfId="1606" xr:uid="{00000000-0005-0000-0000-00001B270000}"/>
    <cellStyle name="Normal 10 2 2 3 2" xfId="3016" xr:uid="{00000000-0005-0000-0000-00001C270000}"/>
    <cellStyle name="Normal 10 2 2 3 2 2" xfId="5412" xr:uid="{00000000-0005-0000-0000-00001D270000}"/>
    <cellStyle name="Normal 10 2 2 3 2 2 2" xfId="10508" xr:uid="{00000000-0005-0000-0000-00001E270000}"/>
    <cellStyle name="Normal 10 2 2 3 2 3" xfId="8119" xr:uid="{00000000-0005-0000-0000-00001F270000}"/>
    <cellStyle name="Normal 10 2 2 3 3" xfId="4220" xr:uid="{00000000-0005-0000-0000-000020270000}"/>
    <cellStyle name="Normal 10 2 2 3 3 2" xfId="9316" xr:uid="{00000000-0005-0000-0000-000021270000}"/>
    <cellStyle name="Normal 10 2 2 3 4" xfId="6857" xr:uid="{00000000-0005-0000-0000-000022270000}"/>
    <cellStyle name="Normal 10 2 2 4" xfId="1607" xr:uid="{00000000-0005-0000-0000-000023270000}"/>
    <cellStyle name="Normal 10 2 2 4 2" xfId="3017" xr:uid="{00000000-0005-0000-0000-000024270000}"/>
    <cellStyle name="Normal 10 2 2 4 2 2" xfId="5413" xr:uid="{00000000-0005-0000-0000-000025270000}"/>
    <cellStyle name="Normal 10 2 2 4 2 2 2" xfId="10509" xr:uid="{00000000-0005-0000-0000-000026270000}"/>
    <cellStyle name="Normal 10 2 2 4 2 3" xfId="8120" xr:uid="{00000000-0005-0000-0000-000027270000}"/>
    <cellStyle name="Normal 10 2 2 4 3" xfId="4221" xr:uid="{00000000-0005-0000-0000-000028270000}"/>
    <cellStyle name="Normal 10 2 2 4 3 2" xfId="9317" xr:uid="{00000000-0005-0000-0000-000029270000}"/>
    <cellStyle name="Normal 10 2 2 4 4" xfId="6858" xr:uid="{00000000-0005-0000-0000-00002A270000}"/>
    <cellStyle name="Normal 10 2 2 5" xfId="3013" xr:uid="{00000000-0005-0000-0000-00002B270000}"/>
    <cellStyle name="Normal 10 2 2 5 2" xfId="5409" xr:uid="{00000000-0005-0000-0000-00002C270000}"/>
    <cellStyle name="Normal 10 2 2 5 2 2" xfId="10505" xr:uid="{00000000-0005-0000-0000-00002D270000}"/>
    <cellStyle name="Normal 10 2 2 5 3" xfId="8116" xr:uid="{00000000-0005-0000-0000-00002E270000}"/>
    <cellStyle name="Normal 10 2 2 6" xfId="4217" xr:uid="{00000000-0005-0000-0000-00002F270000}"/>
    <cellStyle name="Normal 10 2 2 6 2" xfId="9313" xr:uid="{00000000-0005-0000-0000-000030270000}"/>
    <cellStyle name="Normal 10 2 2 7" xfId="6854" xr:uid="{00000000-0005-0000-0000-000031270000}"/>
    <cellStyle name="Normal 10 2 3" xfId="1608" xr:uid="{00000000-0005-0000-0000-000032270000}"/>
    <cellStyle name="Normal 10 2 3 2" xfId="1609" xr:uid="{00000000-0005-0000-0000-000033270000}"/>
    <cellStyle name="Normal 10 2 3 2 2" xfId="3019" xr:uid="{00000000-0005-0000-0000-000034270000}"/>
    <cellStyle name="Normal 10 2 3 2 2 2" xfId="5415" xr:uid="{00000000-0005-0000-0000-000035270000}"/>
    <cellStyle name="Normal 10 2 3 2 2 2 2" xfId="10511" xr:uid="{00000000-0005-0000-0000-000036270000}"/>
    <cellStyle name="Normal 10 2 3 2 2 3" xfId="8122" xr:uid="{00000000-0005-0000-0000-000037270000}"/>
    <cellStyle name="Normal 10 2 3 2 3" xfId="4223" xr:uid="{00000000-0005-0000-0000-000038270000}"/>
    <cellStyle name="Normal 10 2 3 2 3 2" xfId="9319" xr:uid="{00000000-0005-0000-0000-000039270000}"/>
    <cellStyle name="Normal 10 2 3 2 4" xfId="6860" xr:uid="{00000000-0005-0000-0000-00003A270000}"/>
    <cellStyle name="Normal 10 2 3 3" xfId="3018" xr:uid="{00000000-0005-0000-0000-00003B270000}"/>
    <cellStyle name="Normal 10 2 3 3 2" xfId="5414" xr:uid="{00000000-0005-0000-0000-00003C270000}"/>
    <cellStyle name="Normal 10 2 3 3 2 2" xfId="10510" xr:uid="{00000000-0005-0000-0000-00003D270000}"/>
    <cellStyle name="Normal 10 2 3 3 3" xfId="8121" xr:uid="{00000000-0005-0000-0000-00003E270000}"/>
    <cellStyle name="Normal 10 2 3 4" xfId="4222" xr:uid="{00000000-0005-0000-0000-00003F270000}"/>
    <cellStyle name="Normal 10 2 3 4 2" xfId="9318" xr:uid="{00000000-0005-0000-0000-000040270000}"/>
    <cellStyle name="Normal 10 2 3 5" xfId="6859" xr:uid="{00000000-0005-0000-0000-000041270000}"/>
    <cellStyle name="Normal 10 2 4" xfId="1610" xr:uid="{00000000-0005-0000-0000-000042270000}"/>
    <cellStyle name="Normal 10 2 4 2" xfId="3020" xr:uid="{00000000-0005-0000-0000-000043270000}"/>
    <cellStyle name="Normal 10 2 4 2 2" xfId="5416" xr:uid="{00000000-0005-0000-0000-000044270000}"/>
    <cellStyle name="Normal 10 2 4 2 2 2" xfId="10512" xr:uid="{00000000-0005-0000-0000-000045270000}"/>
    <cellStyle name="Normal 10 2 4 2 3" xfId="8123" xr:uid="{00000000-0005-0000-0000-000046270000}"/>
    <cellStyle name="Normal 10 2 4 3" xfId="4224" xr:uid="{00000000-0005-0000-0000-000047270000}"/>
    <cellStyle name="Normal 10 2 4 3 2" xfId="9320" xr:uid="{00000000-0005-0000-0000-000048270000}"/>
    <cellStyle name="Normal 10 2 4 4" xfId="6861" xr:uid="{00000000-0005-0000-0000-000049270000}"/>
    <cellStyle name="Normal 10 2 5" xfId="1611" xr:uid="{00000000-0005-0000-0000-00004A270000}"/>
    <cellStyle name="Normal 10 2 5 2" xfId="3021" xr:uid="{00000000-0005-0000-0000-00004B270000}"/>
    <cellStyle name="Normal 10 2 5 2 2" xfId="5417" xr:uid="{00000000-0005-0000-0000-00004C270000}"/>
    <cellStyle name="Normal 10 2 5 2 2 2" xfId="10513" xr:uid="{00000000-0005-0000-0000-00004D270000}"/>
    <cellStyle name="Normal 10 2 5 2 3" xfId="8124" xr:uid="{00000000-0005-0000-0000-00004E270000}"/>
    <cellStyle name="Normal 10 2 5 3" xfId="4225" xr:uid="{00000000-0005-0000-0000-00004F270000}"/>
    <cellStyle name="Normal 10 2 5 3 2" xfId="9321" xr:uid="{00000000-0005-0000-0000-000050270000}"/>
    <cellStyle name="Normal 10 2 5 4" xfId="6862" xr:uid="{00000000-0005-0000-0000-000051270000}"/>
    <cellStyle name="Normal 10 2 6" xfId="1602" xr:uid="{00000000-0005-0000-0000-000052270000}"/>
    <cellStyle name="Normal 10 2 6 2" xfId="3012" xr:uid="{00000000-0005-0000-0000-000053270000}"/>
    <cellStyle name="Normal 10 2 6 2 2" xfId="5408" xr:uid="{00000000-0005-0000-0000-000054270000}"/>
    <cellStyle name="Normal 10 2 6 2 2 2" xfId="10504" xr:uid="{00000000-0005-0000-0000-000055270000}"/>
    <cellStyle name="Normal 10 2 6 2 3" xfId="8115" xr:uid="{00000000-0005-0000-0000-000056270000}"/>
    <cellStyle name="Normal 10 2 6 3" xfId="4216" xr:uid="{00000000-0005-0000-0000-000057270000}"/>
    <cellStyle name="Normal 10 2 6 3 2" xfId="9312" xr:uid="{00000000-0005-0000-0000-000058270000}"/>
    <cellStyle name="Normal 10 2 6 4" xfId="6853" xr:uid="{00000000-0005-0000-0000-000059270000}"/>
    <cellStyle name="Normal 10 2 7" xfId="2382" xr:uid="{00000000-0005-0000-0000-00005A270000}"/>
    <cellStyle name="Normal 10 2 7 2" xfId="4829" xr:uid="{00000000-0005-0000-0000-00005B270000}"/>
    <cellStyle name="Normal 10 2 7 2 2" xfId="9925" xr:uid="{00000000-0005-0000-0000-00005C270000}"/>
    <cellStyle name="Normal 10 2 7 3" xfId="7486" xr:uid="{00000000-0005-0000-0000-00005D270000}"/>
    <cellStyle name="Normal 10 2 8" xfId="3646" xr:uid="{00000000-0005-0000-0000-00005E270000}"/>
    <cellStyle name="Normal 10 2 8 2" xfId="8745" xr:uid="{00000000-0005-0000-0000-00005F270000}"/>
    <cellStyle name="Normal 10 2 9" xfId="6226" xr:uid="{00000000-0005-0000-0000-000060270000}"/>
    <cellStyle name="Normal 10 3" xfId="1612" xr:uid="{00000000-0005-0000-0000-000061270000}"/>
    <cellStyle name="Normal 10 3 2" xfId="1613" xr:uid="{00000000-0005-0000-0000-000062270000}"/>
    <cellStyle name="Normal 10 3 2 2" xfId="1614" xr:uid="{00000000-0005-0000-0000-000063270000}"/>
    <cellStyle name="Normal 10 3 2 2 2" xfId="3024" xr:uid="{00000000-0005-0000-0000-000064270000}"/>
    <cellStyle name="Normal 10 3 2 2 2 2" xfId="5420" xr:uid="{00000000-0005-0000-0000-000065270000}"/>
    <cellStyle name="Normal 10 3 2 2 2 2 2" xfId="10516" xr:uid="{00000000-0005-0000-0000-000066270000}"/>
    <cellStyle name="Normal 10 3 2 2 2 3" xfId="8127" xr:uid="{00000000-0005-0000-0000-000067270000}"/>
    <cellStyle name="Normal 10 3 2 2 3" xfId="4228" xr:uid="{00000000-0005-0000-0000-000068270000}"/>
    <cellStyle name="Normal 10 3 2 2 3 2" xfId="9324" xr:uid="{00000000-0005-0000-0000-000069270000}"/>
    <cellStyle name="Normal 10 3 2 2 4" xfId="6865" xr:uid="{00000000-0005-0000-0000-00006A270000}"/>
    <cellStyle name="Normal 10 3 2 3" xfId="3023" xr:uid="{00000000-0005-0000-0000-00006B270000}"/>
    <cellStyle name="Normal 10 3 2 3 2" xfId="5419" xr:uid="{00000000-0005-0000-0000-00006C270000}"/>
    <cellStyle name="Normal 10 3 2 3 2 2" xfId="10515" xr:uid="{00000000-0005-0000-0000-00006D270000}"/>
    <cellStyle name="Normal 10 3 2 3 3" xfId="8126" xr:uid="{00000000-0005-0000-0000-00006E270000}"/>
    <cellStyle name="Normal 10 3 2 4" xfId="4227" xr:uid="{00000000-0005-0000-0000-00006F270000}"/>
    <cellStyle name="Normal 10 3 2 4 2" xfId="9323" xr:uid="{00000000-0005-0000-0000-000070270000}"/>
    <cellStyle name="Normal 10 3 2 5" xfId="6864" xr:uid="{00000000-0005-0000-0000-000071270000}"/>
    <cellStyle name="Normal 10 3 3" xfId="1615" xr:uid="{00000000-0005-0000-0000-000072270000}"/>
    <cellStyle name="Normal 10 3 3 2" xfId="3025" xr:uid="{00000000-0005-0000-0000-000073270000}"/>
    <cellStyle name="Normal 10 3 3 2 2" xfId="5421" xr:uid="{00000000-0005-0000-0000-000074270000}"/>
    <cellStyle name="Normal 10 3 3 2 2 2" xfId="10517" xr:uid="{00000000-0005-0000-0000-000075270000}"/>
    <cellStyle name="Normal 10 3 3 2 3" xfId="8128" xr:uid="{00000000-0005-0000-0000-000076270000}"/>
    <cellStyle name="Normal 10 3 3 3" xfId="4229" xr:uid="{00000000-0005-0000-0000-000077270000}"/>
    <cellStyle name="Normal 10 3 3 3 2" xfId="9325" xr:uid="{00000000-0005-0000-0000-000078270000}"/>
    <cellStyle name="Normal 10 3 3 4" xfId="6866" xr:uid="{00000000-0005-0000-0000-000079270000}"/>
    <cellStyle name="Normal 10 3 4" xfId="1616" xr:uid="{00000000-0005-0000-0000-00007A270000}"/>
    <cellStyle name="Normal 10 3 4 2" xfId="3026" xr:uid="{00000000-0005-0000-0000-00007B270000}"/>
    <cellStyle name="Normal 10 3 4 2 2" xfId="5422" xr:uid="{00000000-0005-0000-0000-00007C270000}"/>
    <cellStyle name="Normal 10 3 4 2 2 2" xfId="10518" xr:uid="{00000000-0005-0000-0000-00007D270000}"/>
    <cellStyle name="Normal 10 3 4 2 3" xfId="8129" xr:uid="{00000000-0005-0000-0000-00007E270000}"/>
    <cellStyle name="Normal 10 3 4 3" xfId="4230" xr:uid="{00000000-0005-0000-0000-00007F270000}"/>
    <cellStyle name="Normal 10 3 4 3 2" xfId="9326" xr:uid="{00000000-0005-0000-0000-000080270000}"/>
    <cellStyle name="Normal 10 3 4 4" xfId="6867" xr:uid="{00000000-0005-0000-0000-000081270000}"/>
    <cellStyle name="Normal 10 3 5" xfId="3022" xr:uid="{00000000-0005-0000-0000-000082270000}"/>
    <cellStyle name="Normal 10 3 5 2" xfId="5418" xr:uid="{00000000-0005-0000-0000-000083270000}"/>
    <cellStyle name="Normal 10 3 5 2 2" xfId="10514" xr:uid="{00000000-0005-0000-0000-000084270000}"/>
    <cellStyle name="Normal 10 3 5 3" xfId="8125" xr:uid="{00000000-0005-0000-0000-000085270000}"/>
    <cellStyle name="Normal 10 3 6" xfId="4226" xr:uid="{00000000-0005-0000-0000-000086270000}"/>
    <cellStyle name="Normal 10 3 6 2" xfId="9322" xr:uid="{00000000-0005-0000-0000-000087270000}"/>
    <cellStyle name="Normal 10 3 7" xfId="6863" xr:uid="{00000000-0005-0000-0000-000088270000}"/>
    <cellStyle name="Normal 10 4" xfId="1617" xr:uid="{00000000-0005-0000-0000-000089270000}"/>
    <cellStyle name="Normal 10 4 2" xfId="1618" xr:uid="{00000000-0005-0000-0000-00008A270000}"/>
    <cellStyle name="Normal 10 4 2 2" xfId="1619" xr:uid="{00000000-0005-0000-0000-00008B270000}"/>
    <cellStyle name="Normal 10 4 2 2 2" xfId="3029" xr:uid="{00000000-0005-0000-0000-00008C270000}"/>
    <cellStyle name="Normal 10 4 2 2 2 2" xfId="5425" xr:uid="{00000000-0005-0000-0000-00008D270000}"/>
    <cellStyle name="Normal 10 4 2 2 2 2 2" xfId="10521" xr:uid="{00000000-0005-0000-0000-00008E270000}"/>
    <cellStyle name="Normal 10 4 2 2 2 3" xfId="8132" xr:uid="{00000000-0005-0000-0000-00008F270000}"/>
    <cellStyle name="Normal 10 4 2 2 3" xfId="4233" xr:uid="{00000000-0005-0000-0000-000090270000}"/>
    <cellStyle name="Normal 10 4 2 2 3 2" xfId="9329" xr:uid="{00000000-0005-0000-0000-000091270000}"/>
    <cellStyle name="Normal 10 4 2 2 4" xfId="6870" xr:uid="{00000000-0005-0000-0000-000092270000}"/>
    <cellStyle name="Normal 10 4 2 3" xfId="3028" xr:uid="{00000000-0005-0000-0000-000093270000}"/>
    <cellStyle name="Normal 10 4 2 3 2" xfId="5424" xr:uid="{00000000-0005-0000-0000-000094270000}"/>
    <cellStyle name="Normal 10 4 2 3 2 2" xfId="10520" xr:uid="{00000000-0005-0000-0000-000095270000}"/>
    <cellStyle name="Normal 10 4 2 3 3" xfId="8131" xr:uid="{00000000-0005-0000-0000-000096270000}"/>
    <cellStyle name="Normal 10 4 2 4" xfId="4232" xr:uid="{00000000-0005-0000-0000-000097270000}"/>
    <cellStyle name="Normal 10 4 2 4 2" xfId="9328" xr:uid="{00000000-0005-0000-0000-000098270000}"/>
    <cellStyle name="Normal 10 4 2 5" xfId="6869" xr:uid="{00000000-0005-0000-0000-000099270000}"/>
    <cellStyle name="Normal 10 4 3" xfId="1620" xr:uid="{00000000-0005-0000-0000-00009A270000}"/>
    <cellStyle name="Normal 10 4 3 2" xfId="3030" xr:uid="{00000000-0005-0000-0000-00009B270000}"/>
    <cellStyle name="Normal 10 4 3 2 2" xfId="5426" xr:uid="{00000000-0005-0000-0000-00009C270000}"/>
    <cellStyle name="Normal 10 4 3 2 2 2" xfId="10522" xr:uid="{00000000-0005-0000-0000-00009D270000}"/>
    <cellStyle name="Normal 10 4 3 2 3" xfId="8133" xr:uid="{00000000-0005-0000-0000-00009E270000}"/>
    <cellStyle name="Normal 10 4 3 3" xfId="4234" xr:uid="{00000000-0005-0000-0000-00009F270000}"/>
    <cellStyle name="Normal 10 4 3 3 2" xfId="9330" xr:uid="{00000000-0005-0000-0000-0000A0270000}"/>
    <cellStyle name="Normal 10 4 3 4" xfId="6871" xr:uid="{00000000-0005-0000-0000-0000A1270000}"/>
    <cellStyle name="Normal 10 4 4" xfId="1621" xr:uid="{00000000-0005-0000-0000-0000A2270000}"/>
    <cellStyle name="Normal 10 4 4 2" xfId="3031" xr:uid="{00000000-0005-0000-0000-0000A3270000}"/>
    <cellStyle name="Normal 10 4 4 2 2" xfId="5427" xr:uid="{00000000-0005-0000-0000-0000A4270000}"/>
    <cellStyle name="Normal 10 4 4 2 2 2" xfId="10523" xr:uid="{00000000-0005-0000-0000-0000A5270000}"/>
    <cellStyle name="Normal 10 4 4 2 3" xfId="8134" xr:uid="{00000000-0005-0000-0000-0000A6270000}"/>
    <cellStyle name="Normal 10 4 4 3" xfId="4235" xr:uid="{00000000-0005-0000-0000-0000A7270000}"/>
    <cellStyle name="Normal 10 4 4 3 2" xfId="9331" xr:uid="{00000000-0005-0000-0000-0000A8270000}"/>
    <cellStyle name="Normal 10 4 4 4" xfId="6872" xr:uid="{00000000-0005-0000-0000-0000A9270000}"/>
    <cellStyle name="Normal 10 4 5" xfId="3027" xr:uid="{00000000-0005-0000-0000-0000AA270000}"/>
    <cellStyle name="Normal 10 4 5 2" xfId="5423" xr:uid="{00000000-0005-0000-0000-0000AB270000}"/>
    <cellStyle name="Normal 10 4 5 2 2" xfId="10519" xr:uid="{00000000-0005-0000-0000-0000AC270000}"/>
    <cellStyle name="Normal 10 4 5 3" xfId="8130" xr:uid="{00000000-0005-0000-0000-0000AD270000}"/>
    <cellStyle name="Normal 10 4 6" xfId="4231" xr:uid="{00000000-0005-0000-0000-0000AE270000}"/>
    <cellStyle name="Normal 10 4 6 2" xfId="9327" xr:uid="{00000000-0005-0000-0000-0000AF270000}"/>
    <cellStyle name="Normal 10 4 7" xfId="6868" xr:uid="{00000000-0005-0000-0000-0000B0270000}"/>
    <cellStyle name="Normal 10 5" xfId="1622" xr:uid="{00000000-0005-0000-0000-0000B1270000}"/>
    <cellStyle name="Normal 10 5 2" xfId="1623" xr:uid="{00000000-0005-0000-0000-0000B2270000}"/>
    <cellStyle name="Normal 10 5 2 2" xfId="1624" xr:uid="{00000000-0005-0000-0000-0000B3270000}"/>
    <cellStyle name="Normal 10 5 2 2 2" xfId="3034" xr:uid="{00000000-0005-0000-0000-0000B4270000}"/>
    <cellStyle name="Normal 10 5 2 2 2 2" xfId="5430" xr:uid="{00000000-0005-0000-0000-0000B5270000}"/>
    <cellStyle name="Normal 10 5 2 2 2 2 2" xfId="10526" xr:uid="{00000000-0005-0000-0000-0000B6270000}"/>
    <cellStyle name="Normal 10 5 2 2 2 3" xfId="8137" xr:uid="{00000000-0005-0000-0000-0000B7270000}"/>
    <cellStyle name="Normal 10 5 2 2 3" xfId="4238" xr:uid="{00000000-0005-0000-0000-0000B8270000}"/>
    <cellStyle name="Normal 10 5 2 2 3 2" xfId="9334" xr:uid="{00000000-0005-0000-0000-0000B9270000}"/>
    <cellStyle name="Normal 10 5 2 2 4" xfId="6875" xr:uid="{00000000-0005-0000-0000-0000BA270000}"/>
    <cellStyle name="Normal 10 5 2 3" xfId="3033" xr:uid="{00000000-0005-0000-0000-0000BB270000}"/>
    <cellStyle name="Normal 10 5 2 3 2" xfId="5429" xr:uid="{00000000-0005-0000-0000-0000BC270000}"/>
    <cellStyle name="Normal 10 5 2 3 2 2" xfId="10525" xr:uid="{00000000-0005-0000-0000-0000BD270000}"/>
    <cellStyle name="Normal 10 5 2 3 3" xfId="8136" xr:uid="{00000000-0005-0000-0000-0000BE270000}"/>
    <cellStyle name="Normal 10 5 2 4" xfId="4237" xr:uid="{00000000-0005-0000-0000-0000BF270000}"/>
    <cellStyle name="Normal 10 5 2 4 2" xfId="9333" xr:uid="{00000000-0005-0000-0000-0000C0270000}"/>
    <cellStyle name="Normal 10 5 2 5" xfId="6874" xr:uid="{00000000-0005-0000-0000-0000C1270000}"/>
    <cellStyle name="Normal 10 5 3" xfId="1625" xr:uid="{00000000-0005-0000-0000-0000C2270000}"/>
    <cellStyle name="Normal 10 5 3 2" xfId="3035" xr:uid="{00000000-0005-0000-0000-0000C3270000}"/>
    <cellStyle name="Normal 10 5 3 2 2" xfId="5431" xr:uid="{00000000-0005-0000-0000-0000C4270000}"/>
    <cellStyle name="Normal 10 5 3 2 2 2" xfId="10527" xr:uid="{00000000-0005-0000-0000-0000C5270000}"/>
    <cellStyle name="Normal 10 5 3 2 3" xfId="8138" xr:uid="{00000000-0005-0000-0000-0000C6270000}"/>
    <cellStyle name="Normal 10 5 3 3" xfId="4239" xr:uid="{00000000-0005-0000-0000-0000C7270000}"/>
    <cellStyle name="Normal 10 5 3 3 2" xfId="9335" xr:uid="{00000000-0005-0000-0000-0000C8270000}"/>
    <cellStyle name="Normal 10 5 3 4" xfId="6876" xr:uid="{00000000-0005-0000-0000-0000C9270000}"/>
    <cellStyle name="Normal 10 5 4" xfId="1626" xr:uid="{00000000-0005-0000-0000-0000CA270000}"/>
    <cellStyle name="Normal 10 5 4 2" xfId="3036" xr:uid="{00000000-0005-0000-0000-0000CB270000}"/>
    <cellStyle name="Normal 10 5 4 2 2" xfId="5432" xr:uid="{00000000-0005-0000-0000-0000CC270000}"/>
    <cellStyle name="Normal 10 5 4 2 2 2" xfId="10528" xr:uid="{00000000-0005-0000-0000-0000CD270000}"/>
    <cellStyle name="Normal 10 5 4 2 3" xfId="8139" xr:uid="{00000000-0005-0000-0000-0000CE270000}"/>
    <cellStyle name="Normal 10 5 4 3" xfId="4240" xr:uid="{00000000-0005-0000-0000-0000CF270000}"/>
    <cellStyle name="Normal 10 5 4 3 2" xfId="9336" xr:uid="{00000000-0005-0000-0000-0000D0270000}"/>
    <cellStyle name="Normal 10 5 4 4" xfId="6877" xr:uid="{00000000-0005-0000-0000-0000D1270000}"/>
    <cellStyle name="Normal 10 5 5" xfId="3032" xr:uid="{00000000-0005-0000-0000-0000D2270000}"/>
    <cellStyle name="Normal 10 5 5 2" xfId="5428" xr:uid="{00000000-0005-0000-0000-0000D3270000}"/>
    <cellStyle name="Normal 10 5 5 2 2" xfId="10524" xr:uid="{00000000-0005-0000-0000-0000D4270000}"/>
    <cellStyle name="Normal 10 5 5 3" xfId="8135" xr:uid="{00000000-0005-0000-0000-0000D5270000}"/>
    <cellStyle name="Normal 10 5 6" xfId="4236" xr:uid="{00000000-0005-0000-0000-0000D6270000}"/>
    <cellStyle name="Normal 10 5 6 2" xfId="9332" xr:uid="{00000000-0005-0000-0000-0000D7270000}"/>
    <cellStyle name="Normal 10 5 7" xfId="6873" xr:uid="{00000000-0005-0000-0000-0000D8270000}"/>
    <cellStyle name="Normal 10 6" xfId="1627" xr:uid="{00000000-0005-0000-0000-0000D9270000}"/>
    <cellStyle name="Normal 10 6 2" xfId="1628" xr:uid="{00000000-0005-0000-0000-0000DA270000}"/>
    <cellStyle name="Normal 10 6 2 2" xfId="3038" xr:uid="{00000000-0005-0000-0000-0000DB270000}"/>
    <cellStyle name="Normal 10 6 2 2 2" xfId="5434" xr:uid="{00000000-0005-0000-0000-0000DC270000}"/>
    <cellStyle name="Normal 10 6 2 2 2 2" xfId="10530" xr:uid="{00000000-0005-0000-0000-0000DD270000}"/>
    <cellStyle name="Normal 10 6 2 2 3" xfId="8141" xr:uid="{00000000-0005-0000-0000-0000DE270000}"/>
    <cellStyle name="Normal 10 6 2 3" xfId="4242" xr:uid="{00000000-0005-0000-0000-0000DF270000}"/>
    <cellStyle name="Normal 10 6 2 3 2" xfId="9338" xr:uid="{00000000-0005-0000-0000-0000E0270000}"/>
    <cellStyle name="Normal 10 6 2 4" xfId="6879" xr:uid="{00000000-0005-0000-0000-0000E1270000}"/>
    <cellStyle name="Normal 10 6 3" xfId="3037" xr:uid="{00000000-0005-0000-0000-0000E2270000}"/>
    <cellStyle name="Normal 10 6 3 2" xfId="5433" xr:uid="{00000000-0005-0000-0000-0000E3270000}"/>
    <cellStyle name="Normal 10 6 3 2 2" xfId="10529" xr:uid="{00000000-0005-0000-0000-0000E4270000}"/>
    <cellStyle name="Normal 10 6 3 3" xfId="8140" xr:uid="{00000000-0005-0000-0000-0000E5270000}"/>
    <cellStyle name="Normal 10 6 4" xfId="4241" xr:uid="{00000000-0005-0000-0000-0000E6270000}"/>
    <cellStyle name="Normal 10 6 4 2" xfId="9337" xr:uid="{00000000-0005-0000-0000-0000E7270000}"/>
    <cellStyle name="Normal 10 6 5" xfId="6878" xr:uid="{00000000-0005-0000-0000-0000E8270000}"/>
    <cellStyle name="Normal 10 7" xfId="1629" xr:uid="{00000000-0005-0000-0000-0000E9270000}"/>
    <cellStyle name="Normal 10 7 2" xfId="3039" xr:uid="{00000000-0005-0000-0000-0000EA270000}"/>
    <cellStyle name="Normal 10 7 2 2" xfId="5435" xr:uid="{00000000-0005-0000-0000-0000EB270000}"/>
    <cellStyle name="Normal 10 7 2 2 2" xfId="10531" xr:uid="{00000000-0005-0000-0000-0000EC270000}"/>
    <cellStyle name="Normal 10 7 2 3" xfId="8142" xr:uid="{00000000-0005-0000-0000-0000ED270000}"/>
    <cellStyle name="Normal 10 7 3" xfId="4243" xr:uid="{00000000-0005-0000-0000-0000EE270000}"/>
    <cellStyle name="Normal 10 7 3 2" xfId="9339" xr:uid="{00000000-0005-0000-0000-0000EF270000}"/>
    <cellStyle name="Normal 10 7 4" xfId="6880" xr:uid="{00000000-0005-0000-0000-0000F0270000}"/>
    <cellStyle name="Normal 10 8" xfId="1630" xr:uid="{00000000-0005-0000-0000-0000F1270000}"/>
    <cellStyle name="Normal 10 8 2" xfId="3040" xr:uid="{00000000-0005-0000-0000-0000F2270000}"/>
    <cellStyle name="Normal 10 8 2 2" xfId="5436" xr:uid="{00000000-0005-0000-0000-0000F3270000}"/>
    <cellStyle name="Normal 10 8 2 2 2" xfId="10532" xr:uid="{00000000-0005-0000-0000-0000F4270000}"/>
    <cellStyle name="Normal 10 8 2 3" xfId="8143" xr:uid="{00000000-0005-0000-0000-0000F5270000}"/>
    <cellStyle name="Normal 10 8 3" xfId="4244" xr:uid="{00000000-0005-0000-0000-0000F6270000}"/>
    <cellStyle name="Normal 10 8 3 2" xfId="9340" xr:uid="{00000000-0005-0000-0000-0000F7270000}"/>
    <cellStyle name="Normal 10 8 4" xfId="6881" xr:uid="{00000000-0005-0000-0000-0000F8270000}"/>
    <cellStyle name="Normal 10 9" xfId="1601" xr:uid="{00000000-0005-0000-0000-0000F9270000}"/>
    <cellStyle name="Normal 10 9 2" xfId="3011" xr:uid="{00000000-0005-0000-0000-0000FA270000}"/>
    <cellStyle name="Normal 10 9 2 2" xfId="5407" xr:uid="{00000000-0005-0000-0000-0000FB270000}"/>
    <cellStyle name="Normal 10 9 2 2 2" xfId="10503" xr:uid="{00000000-0005-0000-0000-0000FC270000}"/>
    <cellStyle name="Normal 10 9 2 3" xfId="8114" xr:uid="{00000000-0005-0000-0000-0000FD270000}"/>
    <cellStyle name="Normal 10 9 3" xfId="4215" xr:uid="{00000000-0005-0000-0000-0000FE270000}"/>
    <cellStyle name="Normal 10 9 3 2" xfId="9311" xr:uid="{00000000-0005-0000-0000-0000FF270000}"/>
    <cellStyle name="Normal 10 9 4" xfId="6852" xr:uid="{00000000-0005-0000-0000-000000280000}"/>
    <cellStyle name="Normal 100" xfId="2281" xr:uid="{00000000-0005-0000-0000-000001280000}"/>
    <cellStyle name="Normal 100 2" xfId="3534" xr:uid="{00000000-0005-0000-0000-000002280000}"/>
    <cellStyle name="Normal 100 2 2" xfId="5929" xr:uid="{00000000-0005-0000-0000-000003280000}"/>
    <cellStyle name="Normal 100 2 2 2" xfId="11025" xr:uid="{00000000-0005-0000-0000-000004280000}"/>
    <cellStyle name="Normal 100 2 3" xfId="8637" xr:uid="{00000000-0005-0000-0000-000005280000}"/>
    <cellStyle name="Normal 100 3" xfId="4740" xr:uid="{00000000-0005-0000-0000-000006280000}"/>
    <cellStyle name="Normal 100 3 2" xfId="9836" xr:uid="{00000000-0005-0000-0000-000007280000}"/>
    <cellStyle name="Normal 100 4" xfId="7390" xr:uid="{00000000-0005-0000-0000-000008280000}"/>
    <cellStyle name="Normal 101" xfId="2267" xr:uid="{00000000-0005-0000-0000-000009280000}"/>
    <cellStyle name="Normal 101 2" xfId="3520" xr:uid="{00000000-0005-0000-0000-00000A280000}"/>
    <cellStyle name="Normal 101 2 2" xfId="5915" xr:uid="{00000000-0005-0000-0000-00000B280000}"/>
    <cellStyle name="Normal 101 2 2 2" xfId="11011" xr:uid="{00000000-0005-0000-0000-00000C280000}"/>
    <cellStyle name="Normal 101 2 3" xfId="8623" xr:uid="{00000000-0005-0000-0000-00000D280000}"/>
    <cellStyle name="Normal 101 3" xfId="4726" xr:uid="{00000000-0005-0000-0000-00000E280000}"/>
    <cellStyle name="Normal 101 3 2" xfId="9822" xr:uid="{00000000-0005-0000-0000-00000F280000}"/>
    <cellStyle name="Normal 101 4" xfId="7376" xr:uid="{00000000-0005-0000-0000-000010280000}"/>
    <cellStyle name="Normal 102" xfId="2258" xr:uid="{00000000-0005-0000-0000-000011280000}"/>
    <cellStyle name="Normal 102 2" xfId="3511" xr:uid="{00000000-0005-0000-0000-000012280000}"/>
    <cellStyle name="Normal 102 2 2" xfId="5906" xr:uid="{00000000-0005-0000-0000-000013280000}"/>
    <cellStyle name="Normal 102 2 2 2" xfId="11002" xr:uid="{00000000-0005-0000-0000-000014280000}"/>
    <cellStyle name="Normal 102 2 3" xfId="8614" xr:uid="{00000000-0005-0000-0000-000015280000}"/>
    <cellStyle name="Normal 102 3" xfId="4717" xr:uid="{00000000-0005-0000-0000-000016280000}"/>
    <cellStyle name="Normal 102 3 2" xfId="9813" xr:uid="{00000000-0005-0000-0000-000017280000}"/>
    <cellStyle name="Normal 102 4" xfId="7367" xr:uid="{00000000-0005-0000-0000-000018280000}"/>
    <cellStyle name="Normal 103" xfId="2279" xr:uid="{00000000-0005-0000-0000-000019280000}"/>
    <cellStyle name="Normal 103 2" xfId="3532" xr:uid="{00000000-0005-0000-0000-00001A280000}"/>
    <cellStyle name="Normal 103 2 2" xfId="5927" xr:uid="{00000000-0005-0000-0000-00001B280000}"/>
    <cellStyle name="Normal 103 2 2 2" xfId="11023" xr:uid="{00000000-0005-0000-0000-00001C280000}"/>
    <cellStyle name="Normal 103 2 3" xfId="8635" xr:uid="{00000000-0005-0000-0000-00001D280000}"/>
    <cellStyle name="Normal 103 3" xfId="4738" xr:uid="{00000000-0005-0000-0000-00001E280000}"/>
    <cellStyle name="Normal 103 3 2" xfId="9834" xr:uid="{00000000-0005-0000-0000-00001F280000}"/>
    <cellStyle name="Normal 103 4" xfId="7388" xr:uid="{00000000-0005-0000-0000-000020280000}"/>
    <cellStyle name="Normal 104" xfId="2259" xr:uid="{00000000-0005-0000-0000-000021280000}"/>
    <cellStyle name="Normal 104 2" xfId="3512" xr:uid="{00000000-0005-0000-0000-000022280000}"/>
    <cellStyle name="Normal 104 2 2" xfId="5907" xr:uid="{00000000-0005-0000-0000-000023280000}"/>
    <cellStyle name="Normal 104 2 2 2" xfId="11003" xr:uid="{00000000-0005-0000-0000-000024280000}"/>
    <cellStyle name="Normal 104 2 3" xfId="8615" xr:uid="{00000000-0005-0000-0000-000025280000}"/>
    <cellStyle name="Normal 104 3" xfId="4718" xr:uid="{00000000-0005-0000-0000-000026280000}"/>
    <cellStyle name="Normal 104 3 2" xfId="9814" xr:uid="{00000000-0005-0000-0000-000027280000}"/>
    <cellStyle name="Normal 104 4" xfId="7368" xr:uid="{00000000-0005-0000-0000-000028280000}"/>
    <cellStyle name="Normal 105" xfId="2265" xr:uid="{00000000-0005-0000-0000-000029280000}"/>
    <cellStyle name="Normal 105 2" xfId="3518" xr:uid="{00000000-0005-0000-0000-00002A280000}"/>
    <cellStyle name="Normal 105 2 2" xfId="5913" xr:uid="{00000000-0005-0000-0000-00002B280000}"/>
    <cellStyle name="Normal 105 2 2 2" xfId="11009" xr:uid="{00000000-0005-0000-0000-00002C280000}"/>
    <cellStyle name="Normal 105 2 3" xfId="8621" xr:uid="{00000000-0005-0000-0000-00002D280000}"/>
    <cellStyle name="Normal 105 3" xfId="4724" xr:uid="{00000000-0005-0000-0000-00002E280000}"/>
    <cellStyle name="Normal 105 3 2" xfId="9820" xr:uid="{00000000-0005-0000-0000-00002F280000}"/>
    <cellStyle name="Normal 105 4" xfId="7374" xr:uid="{00000000-0005-0000-0000-000030280000}"/>
    <cellStyle name="Normal 106" xfId="2262" xr:uid="{00000000-0005-0000-0000-000031280000}"/>
    <cellStyle name="Normal 106 2" xfId="3515" xr:uid="{00000000-0005-0000-0000-000032280000}"/>
    <cellStyle name="Normal 106 2 2" xfId="5910" xr:uid="{00000000-0005-0000-0000-000033280000}"/>
    <cellStyle name="Normal 106 2 2 2" xfId="11006" xr:uid="{00000000-0005-0000-0000-000034280000}"/>
    <cellStyle name="Normal 106 2 3" xfId="8618" xr:uid="{00000000-0005-0000-0000-000035280000}"/>
    <cellStyle name="Normal 106 3" xfId="4721" xr:uid="{00000000-0005-0000-0000-000036280000}"/>
    <cellStyle name="Normal 106 3 2" xfId="9817" xr:uid="{00000000-0005-0000-0000-000037280000}"/>
    <cellStyle name="Normal 106 4" xfId="7371" xr:uid="{00000000-0005-0000-0000-000038280000}"/>
    <cellStyle name="Normal 107" xfId="2247" xr:uid="{00000000-0005-0000-0000-000039280000}"/>
    <cellStyle name="Normal 107 2" xfId="3501" xr:uid="{00000000-0005-0000-0000-00003A280000}"/>
    <cellStyle name="Normal 107 2 2" xfId="5896" xr:uid="{00000000-0005-0000-0000-00003B280000}"/>
    <cellStyle name="Normal 107 2 2 2" xfId="10992" xr:uid="{00000000-0005-0000-0000-00003C280000}"/>
    <cellStyle name="Normal 107 2 3" xfId="8604" xr:uid="{00000000-0005-0000-0000-00003D280000}"/>
    <cellStyle name="Normal 107 3" xfId="4707" xr:uid="{00000000-0005-0000-0000-00003E280000}"/>
    <cellStyle name="Normal 107 3 2" xfId="9803" xr:uid="{00000000-0005-0000-0000-00003F280000}"/>
    <cellStyle name="Normal 107 4" xfId="7356" xr:uid="{00000000-0005-0000-0000-000040280000}"/>
    <cellStyle name="Normal 108" xfId="2245" xr:uid="{00000000-0005-0000-0000-000041280000}"/>
    <cellStyle name="Normal 108 2" xfId="3499" xr:uid="{00000000-0005-0000-0000-000042280000}"/>
    <cellStyle name="Normal 108 2 2" xfId="5894" xr:uid="{00000000-0005-0000-0000-000043280000}"/>
    <cellStyle name="Normal 108 2 2 2" xfId="10990" xr:uid="{00000000-0005-0000-0000-000044280000}"/>
    <cellStyle name="Normal 108 2 3" xfId="8602" xr:uid="{00000000-0005-0000-0000-000045280000}"/>
    <cellStyle name="Normal 108 3" xfId="4705" xr:uid="{00000000-0005-0000-0000-000046280000}"/>
    <cellStyle name="Normal 108 3 2" xfId="9801" xr:uid="{00000000-0005-0000-0000-000047280000}"/>
    <cellStyle name="Normal 108 4" xfId="7354" xr:uid="{00000000-0005-0000-0000-000048280000}"/>
    <cellStyle name="Normal 109" xfId="2292" xr:uid="{00000000-0005-0000-0000-000049280000}"/>
    <cellStyle name="Normal 109 2" xfId="3545" xr:uid="{00000000-0005-0000-0000-00004A280000}"/>
    <cellStyle name="Normal 109 2 2" xfId="5940" xr:uid="{00000000-0005-0000-0000-00004B280000}"/>
    <cellStyle name="Normal 109 2 2 2" xfId="11036" xr:uid="{00000000-0005-0000-0000-00004C280000}"/>
    <cellStyle name="Normal 109 2 3" xfId="8648" xr:uid="{00000000-0005-0000-0000-00004D280000}"/>
    <cellStyle name="Normal 109 3" xfId="4751" xr:uid="{00000000-0005-0000-0000-00004E280000}"/>
    <cellStyle name="Normal 109 3 2" xfId="9847" xr:uid="{00000000-0005-0000-0000-00004F280000}"/>
    <cellStyle name="Normal 109 4" xfId="7401" xr:uid="{00000000-0005-0000-0000-000050280000}"/>
    <cellStyle name="Normal 11" xfId="13" xr:uid="{00000000-0005-0000-0000-000051280000}"/>
    <cellStyle name="Normal 11 10" xfId="1631" xr:uid="{00000000-0005-0000-0000-000052280000}"/>
    <cellStyle name="Normal 11 10 2" xfId="3041" xr:uid="{00000000-0005-0000-0000-000053280000}"/>
    <cellStyle name="Normal 11 10 2 2" xfId="5437" xr:uid="{00000000-0005-0000-0000-000054280000}"/>
    <cellStyle name="Normal 11 10 2 2 2" xfId="10533" xr:uid="{00000000-0005-0000-0000-000055280000}"/>
    <cellStyle name="Normal 11 10 2 3" xfId="8144" xr:uid="{00000000-0005-0000-0000-000056280000}"/>
    <cellStyle name="Normal 11 10 3" xfId="4245" xr:uid="{00000000-0005-0000-0000-000057280000}"/>
    <cellStyle name="Normal 11 10 3 2" xfId="9341" xr:uid="{00000000-0005-0000-0000-000058280000}"/>
    <cellStyle name="Normal 11 10 4" xfId="6882" xr:uid="{00000000-0005-0000-0000-000059280000}"/>
    <cellStyle name="Normal 11 2" xfId="566" xr:uid="{00000000-0005-0000-0000-00005A280000}"/>
    <cellStyle name="Normal 11 2 10" xfId="2372" xr:uid="{00000000-0005-0000-0000-00005B280000}"/>
    <cellStyle name="Normal 11 2 10 2" xfId="4819" xr:uid="{00000000-0005-0000-0000-00005C280000}"/>
    <cellStyle name="Normal 11 2 10 2 2" xfId="9915" xr:uid="{00000000-0005-0000-0000-00005D280000}"/>
    <cellStyle name="Normal 11 2 10 3" xfId="7476" xr:uid="{00000000-0005-0000-0000-00005E280000}"/>
    <cellStyle name="Normal 11 2 11" xfId="3636" xr:uid="{00000000-0005-0000-0000-00005F280000}"/>
    <cellStyle name="Normal 11 2 11 2" xfId="8735" xr:uid="{00000000-0005-0000-0000-000060280000}"/>
    <cellStyle name="Normal 11 2 12" xfId="6216" xr:uid="{00000000-0005-0000-0000-000061280000}"/>
    <cellStyle name="Normal 11 2 2" xfId="1633" xr:uid="{00000000-0005-0000-0000-000062280000}"/>
    <cellStyle name="Normal 11 2 2 2" xfId="1634" xr:uid="{00000000-0005-0000-0000-000063280000}"/>
    <cellStyle name="Normal 11 2 2 2 2" xfId="1635" xr:uid="{00000000-0005-0000-0000-000064280000}"/>
    <cellStyle name="Normal 11 2 2 2 2 2" xfId="1636" xr:uid="{00000000-0005-0000-0000-000065280000}"/>
    <cellStyle name="Normal 11 2 2 2 2 2 2" xfId="3046" xr:uid="{00000000-0005-0000-0000-000066280000}"/>
    <cellStyle name="Normal 11 2 2 2 2 2 2 2" xfId="5442" xr:uid="{00000000-0005-0000-0000-000067280000}"/>
    <cellStyle name="Normal 11 2 2 2 2 2 2 2 2" xfId="10538" xr:uid="{00000000-0005-0000-0000-000068280000}"/>
    <cellStyle name="Normal 11 2 2 2 2 2 2 3" xfId="8149" xr:uid="{00000000-0005-0000-0000-000069280000}"/>
    <cellStyle name="Normal 11 2 2 2 2 2 3" xfId="4250" xr:uid="{00000000-0005-0000-0000-00006A280000}"/>
    <cellStyle name="Normal 11 2 2 2 2 2 3 2" xfId="9346" xr:uid="{00000000-0005-0000-0000-00006B280000}"/>
    <cellStyle name="Normal 11 2 2 2 2 2 4" xfId="6887" xr:uid="{00000000-0005-0000-0000-00006C280000}"/>
    <cellStyle name="Normal 11 2 2 2 2 3" xfId="3045" xr:uid="{00000000-0005-0000-0000-00006D280000}"/>
    <cellStyle name="Normal 11 2 2 2 2 3 2" xfId="5441" xr:uid="{00000000-0005-0000-0000-00006E280000}"/>
    <cellStyle name="Normal 11 2 2 2 2 3 2 2" xfId="10537" xr:uid="{00000000-0005-0000-0000-00006F280000}"/>
    <cellStyle name="Normal 11 2 2 2 2 3 3" xfId="8148" xr:uid="{00000000-0005-0000-0000-000070280000}"/>
    <cellStyle name="Normal 11 2 2 2 2 4" xfId="4249" xr:uid="{00000000-0005-0000-0000-000071280000}"/>
    <cellStyle name="Normal 11 2 2 2 2 4 2" xfId="9345" xr:uid="{00000000-0005-0000-0000-000072280000}"/>
    <cellStyle name="Normal 11 2 2 2 2 5" xfId="6886" xr:uid="{00000000-0005-0000-0000-000073280000}"/>
    <cellStyle name="Normal 11 2 2 2 3" xfId="1637" xr:uid="{00000000-0005-0000-0000-000074280000}"/>
    <cellStyle name="Normal 11 2 2 2 3 2" xfId="3047" xr:uid="{00000000-0005-0000-0000-000075280000}"/>
    <cellStyle name="Normal 11 2 2 2 3 2 2" xfId="5443" xr:uid="{00000000-0005-0000-0000-000076280000}"/>
    <cellStyle name="Normal 11 2 2 2 3 2 2 2" xfId="10539" xr:uid="{00000000-0005-0000-0000-000077280000}"/>
    <cellStyle name="Normal 11 2 2 2 3 2 3" xfId="8150" xr:uid="{00000000-0005-0000-0000-000078280000}"/>
    <cellStyle name="Normal 11 2 2 2 3 3" xfId="4251" xr:uid="{00000000-0005-0000-0000-000079280000}"/>
    <cellStyle name="Normal 11 2 2 2 3 3 2" xfId="9347" xr:uid="{00000000-0005-0000-0000-00007A280000}"/>
    <cellStyle name="Normal 11 2 2 2 3 4" xfId="6888" xr:uid="{00000000-0005-0000-0000-00007B280000}"/>
    <cellStyle name="Normal 11 2 2 2 4" xfId="1638" xr:uid="{00000000-0005-0000-0000-00007C280000}"/>
    <cellStyle name="Normal 11 2 2 2 4 2" xfId="3048" xr:uid="{00000000-0005-0000-0000-00007D280000}"/>
    <cellStyle name="Normal 11 2 2 2 4 2 2" xfId="5444" xr:uid="{00000000-0005-0000-0000-00007E280000}"/>
    <cellStyle name="Normal 11 2 2 2 4 2 2 2" xfId="10540" xr:uid="{00000000-0005-0000-0000-00007F280000}"/>
    <cellStyle name="Normal 11 2 2 2 4 2 3" xfId="8151" xr:uid="{00000000-0005-0000-0000-000080280000}"/>
    <cellStyle name="Normal 11 2 2 2 4 3" xfId="4252" xr:uid="{00000000-0005-0000-0000-000081280000}"/>
    <cellStyle name="Normal 11 2 2 2 4 3 2" xfId="9348" xr:uid="{00000000-0005-0000-0000-000082280000}"/>
    <cellStyle name="Normal 11 2 2 2 4 4" xfId="6889" xr:uid="{00000000-0005-0000-0000-000083280000}"/>
    <cellStyle name="Normal 11 2 2 2 5" xfId="3044" xr:uid="{00000000-0005-0000-0000-000084280000}"/>
    <cellStyle name="Normal 11 2 2 2 5 2" xfId="5440" xr:uid="{00000000-0005-0000-0000-000085280000}"/>
    <cellStyle name="Normal 11 2 2 2 5 2 2" xfId="10536" xr:uid="{00000000-0005-0000-0000-000086280000}"/>
    <cellStyle name="Normal 11 2 2 2 5 3" xfId="8147" xr:uid="{00000000-0005-0000-0000-000087280000}"/>
    <cellStyle name="Normal 11 2 2 2 6" xfId="4248" xr:uid="{00000000-0005-0000-0000-000088280000}"/>
    <cellStyle name="Normal 11 2 2 2 6 2" xfId="9344" xr:uid="{00000000-0005-0000-0000-000089280000}"/>
    <cellStyle name="Normal 11 2 2 2 7" xfId="6885" xr:uid="{00000000-0005-0000-0000-00008A280000}"/>
    <cellStyle name="Normal 11 2 2 3" xfId="1639" xr:uid="{00000000-0005-0000-0000-00008B280000}"/>
    <cellStyle name="Normal 11 2 2 3 2" xfId="1640" xr:uid="{00000000-0005-0000-0000-00008C280000}"/>
    <cellStyle name="Normal 11 2 2 3 2 2" xfId="3050" xr:uid="{00000000-0005-0000-0000-00008D280000}"/>
    <cellStyle name="Normal 11 2 2 3 2 2 2" xfId="5446" xr:uid="{00000000-0005-0000-0000-00008E280000}"/>
    <cellStyle name="Normal 11 2 2 3 2 2 2 2" xfId="10542" xr:uid="{00000000-0005-0000-0000-00008F280000}"/>
    <cellStyle name="Normal 11 2 2 3 2 2 3" xfId="8153" xr:uid="{00000000-0005-0000-0000-000090280000}"/>
    <cellStyle name="Normal 11 2 2 3 2 3" xfId="4254" xr:uid="{00000000-0005-0000-0000-000091280000}"/>
    <cellStyle name="Normal 11 2 2 3 2 3 2" xfId="9350" xr:uid="{00000000-0005-0000-0000-000092280000}"/>
    <cellStyle name="Normal 11 2 2 3 2 4" xfId="6891" xr:uid="{00000000-0005-0000-0000-000093280000}"/>
    <cellStyle name="Normal 11 2 2 3 3" xfId="3049" xr:uid="{00000000-0005-0000-0000-000094280000}"/>
    <cellStyle name="Normal 11 2 2 3 3 2" xfId="5445" xr:uid="{00000000-0005-0000-0000-000095280000}"/>
    <cellStyle name="Normal 11 2 2 3 3 2 2" xfId="10541" xr:uid="{00000000-0005-0000-0000-000096280000}"/>
    <cellStyle name="Normal 11 2 2 3 3 3" xfId="8152" xr:uid="{00000000-0005-0000-0000-000097280000}"/>
    <cellStyle name="Normal 11 2 2 3 4" xfId="4253" xr:uid="{00000000-0005-0000-0000-000098280000}"/>
    <cellStyle name="Normal 11 2 2 3 4 2" xfId="9349" xr:uid="{00000000-0005-0000-0000-000099280000}"/>
    <cellStyle name="Normal 11 2 2 3 5" xfId="6890" xr:uid="{00000000-0005-0000-0000-00009A280000}"/>
    <cellStyle name="Normal 11 2 2 4" xfId="1641" xr:uid="{00000000-0005-0000-0000-00009B280000}"/>
    <cellStyle name="Normal 11 2 2 4 2" xfId="3051" xr:uid="{00000000-0005-0000-0000-00009C280000}"/>
    <cellStyle name="Normal 11 2 2 4 2 2" xfId="5447" xr:uid="{00000000-0005-0000-0000-00009D280000}"/>
    <cellStyle name="Normal 11 2 2 4 2 2 2" xfId="10543" xr:uid="{00000000-0005-0000-0000-00009E280000}"/>
    <cellStyle name="Normal 11 2 2 4 2 3" xfId="8154" xr:uid="{00000000-0005-0000-0000-00009F280000}"/>
    <cellStyle name="Normal 11 2 2 4 3" xfId="4255" xr:uid="{00000000-0005-0000-0000-0000A0280000}"/>
    <cellStyle name="Normal 11 2 2 4 3 2" xfId="9351" xr:uid="{00000000-0005-0000-0000-0000A1280000}"/>
    <cellStyle name="Normal 11 2 2 4 4" xfId="6892" xr:uid="{00000000-0005-0000-0000-0000A2280000}"/>
    <cellStyle name="Normal 11 2 2 5" xfId="1642" xr:uid="{00000000-0005-0000-0000-0000A3280000}"/>
    <cellStyle name="Normal 11 2 2 5 2" xfId="3052" xr:uid="{00000000-0005-0000-0000-0000A4280000}"/>
    <cellStyle name="Normal 11 2 2 5 2 2" xfId="5448" xr:uid="{00000000-0005-0000-0000-0000A5280000}"/>
    <cellStyle name="Normal 11 2 2 5 2 2 2" xfId="10544" xr:uid="{00000000-0005-0000-0000-0000A6280000}"/>
    <cellStyle name="Normal 11 2 2 5 2 3" xfId="8155" xr:uid="{00000000-0005-0000-0000-0000A7280000}"/>
    <cellStyle name="Normal 11 2 2 5 3" xfId="4256" xr:uid="{00000000-0005-0000-0000-0000A8280000}"/>
    <cellStyle name="Normal 11 2 2 5 3 2" xfId="9352" xr:uid="{00000000-0005-0000-0000-0000A9280000}"/>
    <cellStyle name="Normal 11 2 2 5 4" xfId="6893" xr:uid="{00000000-0005-0000-0000-0000AA280000}"/>
    <cellStyle name="Normal 11 2 2 6" xfId="3043" xr:uid="{00000000-0005-0000-0000-0000AB280000}"/>
    <cellStyle name="Normal 11 2 2 6 2" xfId="5439" xr:uid="{00000000-0005-0000-0000-0000AC280000}"/>
    <cellStyle name="Normal 11 2 2 6 2 2" xfId="10535" xr:uid="{00000000-0005-0000-0000-0000AD280000}"/>
    <cellStyle name="Normal 11 2 2 6 3" xfId="8146" xr:uid="{00000000-0005-0000-0000-0000AE280000}"/>
    <cellStyle name="Normal 11 2 2 7" xfId="4247" xr:uid="{00000000-0005-0000-0000-0000AF280000}"/>
    <cellStyle name="Normal 11 2 2 7 2" xfId="9343" xr:uid="{00000000-0005-0000-0000-0000B0280000}"/>
    <cellStyle name="Normal 11 2 2 8" xfId="6884" xr:uid="{00000000-0005-0000-0000-0000B1280000}"/>
    <cellStyle name="Normal 11 2 3" xfId="1643" xr:uid="{00000000-0005-0000-0000-0000B2280000}"/>
    <cellStyle name="Normal 11 2 3 2" xfId="1644" xr:uid="{00000000-0005-0000-0000-0000B3280000}"/>
    <cellStyle name="Normal 11 2 3 2 2" xfId="1645" xr:uid="{00000000-0005-0000-0000-0000B4280000}"/>
    <cellStyle name="Normal 11 2 3 2 2 2" xfId="3055" xr:uid="{00000000-0005-0000-0000-0000B5280000}"/>
    <cellStyle name="Normal 11 2 3 2 2 2 2" xfId="5451" xr:uid="{00000000-0005-0000-0000-0000B6280000}"/>
    <cellStyle name="Normal 11 2 3 2 2 2 2 2" xfId="10547" xr:uid="{00000000-0005-0000-0000-0000B7280000}"/>
    <cellStyle name="Normal 11 2 3 2 2 2 3" xfId="8158" xr:uid="{00000000-0005-0000-0000-0000B8280000}"/>
    <cellStyle name="Normal 11 2 3 2 2 3" xfId="4259" xr:uid="{00000000-0005-0000-0000-0000B9280000}"/>
    <cellStyle name="Normal 11 2 3 2 2 3 2" xfId="9355" xr:uid="{00000000-0005-0000-0000-0000BA280000}"/>
    <cellStyle name="Normal 11 2 3 2 2 4" xfId="6896" xr:uid="{00000000-0005-0000-0000-0000BB280000}"/>
    <cellStyle name="Normal 11 2 3 2 3" xfId="3054" xr:uid="{00000000-0005-0000-0000-0000BC280000}"/>
    <cellStyle name="Normal 11 2 3 2 3 2" xfId="5450" xr:uid="{00000000-0005-0000-0000-0000BD280000}"/>
    <cellStyle name="Normal 11 2 3 2 3 2 2" xfId="10546" xr:uid="{00000000-0005-0000-0000-0000BE280000}"/>
    <cellStyle name="Normal 11 2 3 2 3 3" xfId="8157" xr:uid="{00000000-0005-0000-0000-0000BF280000}"/>
    <cellStyle name="Normal 11 2 3 2 4" xfId="4258" xr:uid="{00000000-0005-0000-0000-0000C0280000}"/>
    <cellStyle name="Normal 11 2 3 2 4 2" xfId="9354" xr:uid="{00000000-0005-0000-0000-0000C1280000}"/>
    <cellStyle name="Normal 11 2 3 2 5" xfId="6895" xr:uid="{00000000-0005-0000-0000-0000C2280000}"/>
    <cellStyle name="Normal 11 2 3 3" xfId="1646" xr:uid="{00000000-0005-0000-0000-0000C3280000}"/>
    <cellStyle name="Normal 11 2 3 3 2" xfId="3056" xr:uid="{00000000-0005-0000-0000-0000C4280000}"/>
    <cellStyle name="Normal 11 2 3 3 2 2" xfId="5452" xr:uid="{00000000-0005-0000-0000-0000C5280000}"/>
    <cellStyle name="Normal 11 2 3 3 2 2 2" xfId="10548" xr:uid="{00000000-0005-0000-0000-0000C6280000}"/>
    <cellStyle name="Normal 11 2 3 3 2 3" xfId="8159" xr:uid="{00000000-0005-0000-0000-0000C7280000}"/>
    <cellStyle name="Normal 11 2 3 3 3" xfId="4260" xr:uid="{00000000-0005-0000-0000-0000C8280000}"/>
    <cellStyle name="Normal 11 2 3 3 3 2" xfId="9356" xr:uid="{00000000-0005-0000-0000-0000C9280000}"/>
    <cellStyle name="Normal 11 2 3 3 4" xfId="6897" xr:uid="{00000000-0005-0000-0000-0000CA280000}"/>
    <cellStyle name="Normal 11 2 3 4" xfId="1647" xr:uid="{00000000-0005-0000-0000-0000CB280000}"/>
    <cellStyle name="Normal 11 2 3 4 2" xfId="3057" xr:uid="{00000000-0005-0000-0000-0000CC280000}"/>
    <cellStyle name="Normal 11 2 3 4 2 2" xfId="5453" xr:uid="{00000000-0005-0000-0000-0000CD280000}"/>
    <cellStyle name="Normal 11 2 3 4 2 2 2" xfId="10549" xr:uid="{00000000-0005-0000-0000-0000CE280000}"/>
    <cellStyle name="Normal 11 2 3 4 2 3" xfId="8160" xr:uid="{00000000-0005-0000-0000-0000CF280000}"/>
    <cellStyle name="Normal 11 2 3 4 3" xfId="4261" xr:uid="{00000000-0005-0000-0000-0000D0280000}"/>
    <cellStyle name="Normal 11 2 3 4 3 2" xfId="9357" xr:uid="{00000000-0005-0000-0000-0000D1280000}"/>
    <cellStyle name="Normal 11 2 3 4 4" xfId="6898" xr:uid="{00000000-0005-0000-0000-0000D2280000}"/>
    <cellStyle name="Normal 11 2 3 5" xfId="3053" xr:uid="{00000000-0005-0000-0000-0000D3280000}"/>
    <cellStyle name="Normal 11 2 3 5 2" xfId="5449" xr:uid="{00000000-0005-0000-0000-0000D4280000}"/>
    <cellStyle name="Normal 11 2 3 5 2 2" xfId="10545" xr:uid="{00000000-0005-0000-0000-0000D5280000}"/>
    <cellStyle name="Normal 11 2 3 5 3" xfId="8156" xr:uid="{00000000-0005-0000-0000-0000D6280000}"/>
    <cellStyle name="Normal 11 2 3 6" xfId="4257" xr:uid="{00000000-0005-0000-0000-0000D7280000}"/>
    <cellStyle name="Normal 11 2 3 6 2" xfId="9353" xr:uid="{00000000-0005-0000-0000-0000D8280000}"/>
    <cellStyle name="Normal 11 2 3 7" xfId="6894" xr:uid="{00000000-0005-0000-0000-0000D9280000}"/>
    <cellStyle name="Normal 11 2 4" xfId="1648" xr:uid="{00000000-0005-0000-0000-0000DA280000}"/>
    <cellStyle name="Normal 11 2 4 2" xfId="1649" xr:uid="{00000000-0005-0000-0000-0000DB280000}"/>
    <cellStyle name="Normal 11 2 4 2 2" xfId="1650" xr:uid="{00000000-0005-0000-0000-0000DC280000}"/>
    <cellStyle name="Normal 11 2 4 2 2 2" xfId="3060" xr:uid="{00000000-0005-0000-0000-0000DD280000}"/>
    <cellStyle name="Normal 11 2 4 2 2 2 2" xfId="5456" xr:uid="{00000000-0005-0000-0000-0000DE280000}"/>
    <cellStyle name="Normal 11 2 4 2 2 2 2 2" xfId="10552" xr:uid="{00000000-0005-0000-0000-0000DF280000}"/>
    <cellStyle name="Normal 11 2 4 2 2 2 3" xfId="8163" xr:uid="{00000000-0005-0000-0000-0000E0280000}"/>
    <cellStyle name="Normal 11 2 4 2 2 3" xfId="4264" xr:uid="{00000000-0005-0000-0000-0000E1280000}"/>
    <cellStyle name="Normal 11 2 4 2 2 3 2" xfId="9360" xr:uid="{00000000-0005-0000-0000-0000E2280000}"/>
    <cellStyle name="Normal 11 2 4 2 2 4" xfId="6901" xr:uid="{00000000-0005-0000-0000-0000E3280000}"/>
    <cellStyle name="Normal 11 2 4 2 3" xfId="3059" xr:uid="{00000000-0005-0000-0000-0000E4280000}"/>
    <cellStyle name="Normal 11 2 4 2 3 2" xfId="5455" xr:uid="{00000000-0005-0000-0000-0000E5280000}"/>
    <cellStyle name="Normal 11 2 4 2 3 2 2" xfId="10551" xr:uid="{00000000-0005-0000-0000-0000E6280000}"/>
    <cellStyle name="Normal 11 2 4 2 3 3" xfId="8162" xr:uid="{00000000-0005-0000-0000-0000E7280000}"/>
    <cellStyle name="Normal 11 2 4 2 4" xfId="4263" xr:uid="{00000000-0005-0000-0000-0000E8280000}"/>
    <cellStyle name="Normal 11 2 4 2 4 2" xfId="9359" xr:uid="{00000000-0005-0000-0000-0000E9280000}"/>
    <cellStyle name="Normal 11 2 4 2 5" xfId="6900" xr:uid="{00000000-0005-0000-0000-0000EA280000}"/>
    <cellStyle name="Normal 11 2 4 3" xfId="1651" xr:uid="{00000000-0005-0000-0000-0000EB280000}"/>
    <cellStyle name="Normal 11 2 4 3 2" xfId="3061" xr:uid="{00000000-0005-0000-0000-0000EC280000}"/>
    <cellStyle name="Normal 11 2 4 3 2 2" xfId="5457" xr:uid="{00000000-0005-0000-0000-0000ED280000}"/>
    <cellStyle name="Normal 11 2 4 3 2 2 2" xfId="10553" xr:uid="{00000000-0005-0000-0000-0000EE280000}"/>
    <cellStyle name="Normal 11 2 4 3 2 3" xfId="8164" xr:uid="{00000000-0005-0000-0000-0000EF280000}"/>
    <cellStyle name="Normal 11 2 4 3 3" xfId="4265" xr:uid="{00000000-0005-0000-0000-0000F0280000}"/>
    <cellStyle name="Normal 11 2 4 3 3 2" xfId="9361" xr:uid="{00000000-0005-0000-0000-0000F1280000}"/>
    <cellStyle name="Normal 11 2 4 3 4" xfId="6902" xr:uid="{00000000-0005-0000-0000-0000F2280000}"/>
    <cellStyle name="Normal 11 2 4 4" xfId="1652" xr:uid="{00000000-0005-0000-0000-0000F3280000}"/>
    <cellStyle name="Normal 11 2 4 4 2" xfId="3062" xr:uid="{00000000-0005-0000-0000-0000F4280000}"/>
    <cellStyle name="Normal 11 2 4 4 2 2" xfId="5458" xr:uid="{00000000-0005-0000-0000-0000F5280000}"/>
    <cellStyle name="Normal 11 2 4 4 2 2 2" xfId="10554" xr:uid="{00000000-0005-0000-0000-0000F6280000}"/>
    <cellStyle name="Normal 11 2 4 4 2 3" xfId="8165" xr:uid="{00000000-0005-0000-0000-0000F7280000}"/>
    <cellStyle name="Normal 11 2 4 4 3" xfId="4266" xr:uid="{00000000-0005-0000-0000-0000F8280000}"/>
    <cellStyle name="Normal 11 2 4 4 3 2" xfId="9362" xr:uid="{00000000-0005-0000-0000-0000F9280000}"/>
    <cellStyle name="Normal 11 2 4 4 4" xfId="6903" xr:uid="{00000000-0005-0000-0000-0000FA280000}"/>
    <cellStyle name="Normal 11 2 4 5" xfId="3058" xr:uid="{00000000-0005-0000-0000-0000FB280000}"/>
    <cellStyle name="Normal 11 2 4 5 2" xfId="5454" xr:uid="{00000000-0005-0000-0000-0000FC280000}"/>
    <cellStyle name="Normal 11 2 4 5 2 2" xfId="10550" xr:uid="{00000000-0005-0000-0000-0000FD280000}"/>
    <cellStyle name="Normal 11 2 4 5 3" xfId="8161" xr:uid="{00000000-0005-0000-0000-0000FE280000}"/>
    <cellStyle name="Normal 11 2 4 6" xfId="4262" xr:uid="{00000000-0005-0000-0000-0000FF280000}"/>
    <cellStyle name="Normal 11 2 4 6 2" xfId="9358" xr:uid="{00000000-0005-0000-0000-000000290000}"/>
    <cellStyle name="Normal 11 2 4 7" xfId="6899" xr:uid="{00000000-0005-0000-0000-000001290000}"/>
    <cellStyle name="Normal 11 2 5" xfId="1653" xr:uid="{00000000-0005-0000-0000-000002290000}"/>
    <cellStyle name="Normal 11 2 5 2" xfId="1654" xr:uid="{00000000-0005-0000-0000-000003290000}"/>
    <cellStyle name="Normal 11 2 5 2 2" xfId="1655" xr:uid="{00000000-0005-0000-0000-000004290000}"/>
    <cellStyle name="Normal 11 2 5 2 2 2" xfId="3065" xr:uid="{00000000-0005-0000-0000-000005290000}"/>
    <cellStyle name="Normal 11 2 5 2 2 2 2" xfId="5461" xr:uid="{00000000-0005-0000-0000-000006290000}"/>
    <cellStyle name="Normal 11 2 5 2 2 2 2 2" xfId="10557" xr:uid="{00000000-0005-0000-0000-000007290000}"/>
    <cellStyle name="Normal 11 2 5 2 2 2 3" xfId="8168" xr:uid="{00000000-0005-0000-0000-000008290000}"/>
    <cellStyle name="Normal 11 2 5 2 2 3" xfId="4269" xr:uid="{00000000-0005-0000-0000-000009290000}"/>
    <cellStyle name="Normal 11 2 5 2 2 3 2" xfId="9365" xr:uid="{00000000-0005-0000-0000-00000A290000}"/>
    <cellStyle name="Normal 11 2 5 2 2 4" xfId="6906" xr:uid="{00000000-0005-0000-0000-00000B290000}"/>
    <cellStyle name="Normal 11 2 5 2 3" xfId="3064" xr:uid="{00000000-0005-0000-0000-00000C290000}"/>
    <cellStyle name="Normal 11 2 5 2 3 2" xfId="5460" xr:uid="{00000000-0005-0000-0000-00000D290000}"/>
    <cellStyle name="Normal 11 2 5 2 3 2 2" xfId="10556" xr:uid="{00000000-0005-0000-0000-00000E290000}"/>
    <cellStyle name="Normal 11 2 5 2 3 3" xfId="8167" xr:uid="{00000000-0005-0000-0000-00000F290000}"/>
    <cellStyle name="Normal 11 2 5 2 4" xfId="4268" xr:uid="{00000000-0005-0000-0000-000010290000}"/>
    <cellStyle name="Normal 11 2 5 2 4 2" xfId="9364" xr:uid="{00000000-0005-0000-0000-000011290000}"/>
    <cellStyle name="Normal 11 2 5 2 5" xfId="6905" xr:uid="{00000000-0005-0000-0000-000012290000}"/>
    <cellStyle name="Normal 11 2 5 3" xfId="1656" xr:uid="{00000000-0005-0000-0000-000013290000}"/>
    <cellStyle name="Normal 11 2 5 3 2" xfId="3066" xr:uid="{00000000-0005-0000-0000-000014290000}"/>
    <cellStyle name="Normal 11 2 5 3 2 2" xfId="5462" xr:uid="{00000000-0005-0000-0000-000015290000}"/>
    <cellStyle name="Normal 11 2 5 3 2 2 2" xfId="10558" xr:uid="{00000000-0005-0000-0000-000016290000}"/>
    <cellStyle name="Normal 11 2 5 3 2 3" xfId="8169" xr:uid="{00000000-0005-0000-0000-000017290000}"/>
    <cellStyle name="Normal 11 2 5 3 3" xfId="4270" xr:uid="{00000000-0005-0000-0000-000018290000}"/>
    <cellStyle name="Normal 11 2 5 3 3 2" xfId="9366" xr:uid="{00000000-0005-0000-0000-000019290000}"/>
    <cellStyle name="Normal 11 2 5 3 4" xfId="6907" xr:uid="{00000000-0005-0000-0000-00001A290000}"/>
    <cellStyle name="Normal 11 2 5 4" xfId="1657" xr:uid="{00000000-0005-0000-0000-00001B290000}"/>
    <cellStyle name="Normal 11 2 5 4 2" xfId="3067" xr:uid="{00000000-0005-0000-0000-00001C290000}"/>
    <cellStyle name="Normal 11 2 5 4 2 2" xfId="5463" xr:uid="{00000000-0005-0000-0000-00001D290000}"/>
    <cellStyle name="Normal 11 2 5 4 2 2 2" xfId="10559" xr:uid="{00000000-0005-0000-0000-00001E290000}"/>
    <cellStyle name="Normal 11 2 5 4 2 3" xfId="8170" xr:uid="{00000000-0005-0000-0000-00001F290000}"/>
    <cellStyle name="Normal 11 2 5 4 3" xfId="4271" xr:uid="{00000000-0005-0000-0000-000020290000}"/>
    <cellStyle name="Normal 11 2 5 4 3 2" xfId="9367" xr:uid="{00000000-0005-0000-0000-000021290000}"/>
    <cellStyle name="Normal 11 2 5 4 4" xfId="6908" xr:uid="{00000000-0005-0000-0000-000022290000}"/>
    <cellStyle name="Normal 11 2 5 5" xfId="3063" xr:uid="{00000000-0005-0000-0000-000023290000}"/>
    <cellStyle name="Normal 11 2 5 5 2" xfId="5459" xr:uid="{00000000-0005-0000-0000-000024290000}"/>
    <cellStyle name="Normal 11 2 5 5 2 2" xfId="10555" xr:uid="{00000000-0005-0000-0000-000025290000}"/>
    <cellStyle name="Normal 11 2 5 5 3" xfId="8166" xr:uid="{00000000-0005-0000-0000-000026290000}"/>
    <cellStyle name="Normal 11 2 5 6" xfId="4267" xr:uid="{00000000-0005-0000-0000-000027290000}"/>
    <cellStyle name="Normal 11 2 5 6 2" xfId="9363" xr:uid="{00000000-0005-0000-0000-000028290000}"/>
    <cellStyle name="Normal 11 2 5 7" xfId="6904" xr:uid="{00000000-0005-0000-0000-000029290000}"/>
    <cellStyle name="Normal 11 2 6" xfId="1658" xr:uid="{00000000-0005-0000-0000-00002A290000}"/>
    <cellStyle name="Normal 11 2 6 2" xfId="1659" xr:uid="{00000000-0005-0000-0000-00002B290000}"/>
    <cellStyle name="Normal 11 2 6 2 2" xfId="3069" xr:uid="{00000000-0005-0000-0000-00002C290000}"/>
    <cellStyle name="Normal 11 2 6 2 2 2" xfId="5465" xr:uid="{00000000-0005-0000-0000-00002D290000}"/>
    <cellStyle name="Normal 11 2 6 2 2 2 2" xfId="10561" xr:uid="{00000000-0005-0000-0000-00002E290000}"/>
    <cellStyle name="Normal 11 2 6 2 2 3" xfId="8172" xr:uid="{00000000-0005-0000-0000-00002F290000}"/>
    <cellStyle name="Normal 11 2 6 2 3" xfId="4273" xr:uid="{00000000-0005-0000-0000-000030290000}"/>
    <cellStyle name="Normal 11 2 6 2 3 2" xfId="9369" xr:uid="{00000000-0005-0000-0000-000031290000}"/>
    <cellStyle name="Normal 11 2 6 2 4" xfId="6910" xr:uid="{00000000-0005-0000-0000-000032290000}"/>
    <cellStyle name="Normal 11 2 6 3" xfId="3068" xr:uid="{00000000-0005-0000-0000-000033290000}"/>
    <cellStyle name="Normal 11 2 6 3 2" xfId="5464" xr:uid="{00000000-0005-0000-0000-000034290000}"/>
    <cellStyle name="Normal 11 2 6 3 2 2" xfId="10560" xr:uid="{00000000-0005-0000-0000-000035290000}"/>
    <cellStyle name="Normal 11 2 6 3 3" xfId="8171" xr:uid="{00000000-0005-0000-0000-000036290000}"/>
    <cellStyle name="Normal 11 2 6 4" xfId="4272" xr:uid="{00000000-0005-0000-0000-000037290000}"/>
    <cellStyle name="Normal 11 2 6 4 2" xfId="9368" xr:uid="{00000000-0005-0000-0000-000038290000}"/>
    <cellStyle name="Normal 11 2 6 5" xfId="6909" xr:uid="{00000000-0005-0000-0000-000039290000}"/>
    <cellStyle name="Normal 11 2 7" xfId="1660" xr:uid="{00000000-0005-0000-0000-00003A290000}"/>
    <cellStyle name="Normal 11 2 7 2" xfId="3070" xr:uid="{00000000-0005-0000-0000-00003B290000}"/>
    <cellStyle name="Normal 11 2 7 2 2" xfId="5466" xr:uid="{00000000-0005-0000-0000-00003C290000}"/>
    <cellStyle name="Normal 11 2 7 2 2 2" xfId="10562" xr:uid="{00000000-0005-0000-0000-00003D290000}"/>
    <cellStyle name="Normal 11 2 7 2 3" xfId="8173" xr:uid="{00000000-0005-0000-0000-00003E290000}"/>
    <cellStyle name="Normal 11 2 7 3" xfId="4274" xr:uid="{00000000-0005-0000-0000-00003F290000}"/>
    <cellStyle name="Normal 11 2 7 3 2" xfId="9370" xr:uid="{00000000-0005-0000-0000-000040290000}"/>
    <cellStyle name="Normal 11 2 7 4" xfId="6911" xr:uid="{00000000-0005-0000-0000-000041290000}"/>
    <cellStyle name="Normal 11 2 8" xfId="1661" xr:uid="{00000000-0005-0000-0000-000042290000}"/>
    <cellStyle name="Normal 11 2 8 2" xfId="3071" xr:uid="{00000000-0005-0000-0000-000043290000}"/>
    <cellStyle name="Normal 11 2 8 2 2" xfId="5467" xr:uid="{00000000-0005-0000-0000-000044290000}"/>
    <cellStyle name="Normal 11 2 8 2 2 2" xfId="10563" xr:uid="{00000000-0005-0000-0000-000045290000}"/>
    <cellStyle name="Normal 11 2 8 2 3" xfId="8174" xr:uid="{00000000-0005-0000-0000-000046290000}"/>
    <cellStyle name="Normal 11 2 8 3" xfId="4275" xr:uid="{00000000-0005-0000-0000-000047290000}"/>
    <cellStyle name="Normal 11 2 8 3 2" xfId="9371" xr:uid="{00000000-0005-0000-0000-000048290000}"/>
    <cellStyle name="Normal 11 2 8 4" xfId="6912" xr:uid="{00000000-0005-0000-0000-000049290000}"/>
    <cellStyle name="Normal 11 2 9" xfId="1632" xr:uid="{00000000-0005-0000-0000-00004A290000}"/>
    <cellStyle name="Normal 11 2 9 2" xfId="3042" xr:uid="{00000000-0005-0000-0000-00004B290000}"/>
    <cellStyle name="Normal 11 2 9 2 2" xfId="5438" xr:uid="{00000000-0005-0000-0000-00004C290000}"/>
    <cellStyle name="Normal 11 2 9 2 2 2" xfId="10534" xr:uid="{00000000-0005-0000-0000-00004D290000}"/>
    <cellStyle name="Normal 11 2 9 2 3" xfId="8145" xr:uid="{00000000-0005-0000-0000-00004E290000}"/>
    <cellStyle name="Normal 11 2 9 3" xfId="4246" xr:uid="{00000000-0005-0000-0000-00004F290000}"/>
    <cellStyle name="Normal 11 2 9 3 2" xfId="9342" xr:uid="{00000000-0005-0000-0000-000050290000}"/>
    <cellStyle name="Normal 11 2 9 4" xfId="6883" xr:uid="{00000000-0005-0000-0000-000051290000}"/>
    <cellStyle name="Normal 11 3" xfId="1662" xr:uid="{00000000-0005-0000-0000-000052290000}"/>
    <cellStyle name="Normal 11 3 2" xfId="1663" xr:uid="{00000000-0005-0000-0000-000053290000}"/>
    <cellStyle name="Normal 11 3 2 2" xfId="1664" xr:uid="{00000000-0005-0000-0000-000054290000}"/>
    <cellStyle name="Normal 11 3 2 2 2" xfId="1665" xr:uid="{00000000-0005-0000-0000-000055290000}"/>
    <cellStyle name="Normal 11 3 2 2 2 2" xfId="3075" xr:uid="{00000000-0005-0000-0000-000056290000}"/>
    <cellStyle name="Normal 11 3 2 2 2 2 2" xfId="5471" xr:uid="{00000000-0005-0000-0000-000057290000}"/>
    <cellStyle name="Normal 11 3 2 2 2 2 2 2" xfId="10567" xr:uid="{00000000-0005-0000-0000-000058290000}"/>
    <cellStyle name="Normal 11 3 2 2 2 2 3" xfId="8178" xr:uid="{00000000-0005-0000-0000-000059290000}"/>
    <cellStyle name="Normal 11 3 2 2 2 3" xfId="4279" xr:uid="{00000000-0005-0000-0000-00005A290000}"/>
    <cellStyle name="Normal 11 3 2 2 2 3 2" xfId="9375" xr:uid="{00000000-0005-0000-0000-00005B290000}"/>
    <cellStyle name="Normal 11 3 2 2 2 4" xfId="6916" xr:uid="{00000000-0005-0000-0000-00005C290000}"/>
    <cellStyle name="Normal 11 3 2 2 3" xfId="3074" xr:uid="{00000000-0005-0000-0000-00005D290000}"/>
    <cellStyle name="Normal 11 3 2 2 3 2" xfId="5470" xr:uid="{00000000-0005-0000-0000-00005E290000}"/>
    <cellStyle name="Normal 11 3 2 2 3 2 2" xfId="10566" xr:uid="{00000000-0005-0000-0000-00005F290000}"/>
    <cellStyle name="Normal 11 3 2 2 3 3" xfId="8177" xr:uid="{00000000-0005-0000-0000-000060290000}"/>
    <cellStyle name="Normal 11 3 2 2 4" xfId="4278" xr:uid="{00000000-0005-0000-0000-000061290000}"/>
    <cellStyle name="Normal 11 3 2 2 4 2" xfId="9374" xr:uid="{00000000-0005-0000-0000-000062290000}"/>
    <cellStyle name="Normal 11 3 2 2 5" xfId="6915" xr:uid="{00000000-0005-0000-0000-000063290000}"/>
    <cellStyle name="Normal 11 3 2 3" xfId="1666" xr:uid="{00000000-0005-0000-0000-000064290000}"/>
    <cellStyle name="Normal 11 3 2 3 2" xfId="3076" xr:uid="{00000000-0005-0000-0000-000065290000}"/>
    <cellStyle name="Normal 11 3 2 3 2 2" xfId="5472" xr:uid="{00000000-0005-0000-0000-000066290000}"/>
    <cellStyle name="Normal 11 3 2 3 2 2 2" xfId="10568" xr:uid="{00000000-0005-0000-0000-000067290000}"/>
    <cellStyle name="Normal 11 3 2 3 2 3" xfId="8179" xr:uid="{00000000-0005-0000-0000-000068290000}"/>
    <cellStyle name="Normal 11 3 2 3 3" xfId="4280" xr:uid="{00000000-0005-0000-0000-000069290000}"/>
    <cellStyle name="Normal 11 3 2 3 3 2" xfId="9376" xr:uid="{00000000-0005-0000-0000-00006A290000}"/>
    <cellStyle name="Normal 11 3 2 3 4" xfId="6917" xr:uid="{00000000-0005-0000-0000-00006B290000}"/>
    <cellStyle name="Normal 11 3 2 4" xfId="1667" xr:uid="{00000000-0005-0000-0000-00006C290000}"/>
    <cellStyle name="Normal 11 3 2 4 2" xfId="3077" xr:uid="{00000000-0005-0000-0000-00006D290000}"/>
    <cellStyle name="Normal 11 3 2 4 2 2" xfId="5473" xr:uid="{00000000-0005-0000-0000-00006E290000}"/>
    <cellStyle name="Normal 11 3 2 4 2 2 2" xfId="10569" xr:uid="{00000000-0005-0000-0000-00006F290000}"/>
    <cellStyle name="Normal 11 3 2 4 2 3" xfId="8180" xr:uid="{00000000-0005-0000-0000-000070290000}"/>
    <cellStyle name="Normal 11 3 2 4 3" xfId="4281" xr:uid="{00000000-0005-0000-0000-000071290000}"/>
    <cellStyle name="Normal 11 3 2 4 3 2" xfId="9377" xr:uid="{00000000-0005-0000-0000-000072290000}"/>
    <cellStyle name="Normal 11 3 2 4 4" xfId="6918" xr:uid="{00000000-0005-0000-0000-000073290000}"/>
    <cellStyle name="Normal 11 3 2 5" xfId="3073" xr:uid="{00000000-0005-0000-0000-000074290000}"/>
    <cellStyle name="Normal 11 3 2 5 2" xfId="5469" xr:uid="{00000000-0005-0000-0000-000075290000}"/>
    <cellStyle name="Normal 11 3 2 5 2 2" xfId="10565" xr:uid="{00000000-0005-0000-0000-000076290000}"/>
    <cellStyle name="Normal 11 3 2 5 3" xfId="8176" xr:uid="{00000000-0005-0000-0000-000077290000}"/>
    <cellStyle name="Normal 11 3 2 6" xfId="4277" xr:uid="{00000000-0005-0000-0000-000078290000}"/>
    <cellStyle name="Normal 11 3 2 6 2" xfId="9373" xr:uid="{00000000-0005-0000-0000-000079290000}"/>
    <cellStyle name="Normal 11 3 2 7" xfId="6914" xr:uid="{00000000-0005-0000-0000-00007A290000}"/>
    <cellStyle name="Normal 11 3 3" xfId="1668" xr:uid="{00000000-0005-0000-0000-00007B290000}"/>
    <cellStyle name="Normal 11 3 3 2" xfId="1669" xr:uid="{00000000-0005-0000-0000-00007C290000}"/>
    <cellStyle name="Normal 11 3 3 2 2" xfId="3079" xr:uid="{00000000-0005-0000-0000-00007D290000}"/>
    <cellStyle name="Normal 11 3 3 2 2 2" xfId="5475" xr:uid="{00000000-0005-0000-0000-00007E290000}"/>
    <cellStyle name="Normal 11 3 3 2 2 2 2" xfId="10571" xr:uid="{00000000-0005-0000-0000-00007F290000}"/>
    <cellStyle name="Normal 11 3 3 2 2 3" xfId="8182" xr:uid="{00000000-0005-0000-0000-000080290000}"/>
    <cellStyle name="Normal 11 3 3 2 3" xfId="4283" xr:uid="{00000000-0005-0000-0000-000081290000}"/>
    <cellStyle name="Normal 11 3 3 2 3 2" xfId="9379" xr:uid="{00000000-0005-0000-0000-000082290000}"/>
    <cellStyle name="Normal 11 3 3 2 4" xfId="6920" xr:uid="{00000000-0005-0000-0000-000083290000}"/>
    <cellStyle name="Normal 11 3 3 3" xfId="3078" xr:uid="{00000000-0005-0000-0000-000084290000}"/>
    <cellStyle name="Normal 11 3 3 3 2" xfId="5474" xr:uid="{00000000-0005-0000-0000-000085290000}"/>
    <cellStyle name="Normal 11 3 3 3 2 2" xfId="10570" xr:uid="{00000000-0005-0000-0000-000086290000}"/>
    <cellStyle name="Normal 11 3 3 3 3" xfId="8181" xr:uid="{00000000-0005-0000-0000-000087290000}"/>
    <cellStyle name="Normal 11 3 3 4" xfId="4282" xr:uid="{00000000-0005-0000-0000-000088290000}"/>
    <cellStyle name="Normal 11 3 3 4 2" xfId="9378" xr:uid="{00000000-0005-0000-0000-000089290000}"/>
    <cellStyle name="Normal 11 3 3 5" xfId="6919" xr:uid="{00000000-0005-0000-0000-00008A290000}"/>
    <cellStyle name="Normal 11 3 4" xfId="1670" xr:uid="{00000000-0005-0000-0000-00008B290000}"/>
    <cellStyle name="Normal 11 3 4 2" xfId="3080" xr:uid="{00000000-0005-0000-0000-00008C290000}"/>
    <cellStyle name="Normal 11 3 4 2 2" xfId="5476" xr:uid="{00000000-0005-0000-0000-00008D290000}"/>
    <cellStyle name="Normal 11 3 4 2 2 2" xfId="10572" xr:uid="{00000000-0005-0000-0000-00008E290000}"/>
    <cellStyle name="Normal 11 3 4 2 3" xfId="8183" xr:uid="{00000000-0005-0000-0000-00008F290000}"/>
    <cellStyle name="Normal 11 3 4 3" xfId="4284" xr:uid="{00000000-0005-0000-0000-000090290000}"/>
    <cellStyle name="Normal 11 3 4 3 2" xfId="9380" xr:uid="{00000000-0005-0000-0000-000091290000}"/>
    <cellStyle name="Normal 11 3 4 4" xfId="6921" xr:uid="{00000000-0005-0000-0000-000092290000}"/>
    <cellStyle name="Normal 11 3 5" xfId="1671" xr:uid="{00000000-0005-0000-0000-000093290000}"/>
    <cellStyle name="Normal 11 3 5 2" xfId="3081" xr:uid="{00000000-0005-0000-0000-000094290000}"/>
    <cellStyle name="Normal 11 3 5 2 2" xfId="5477" xr:uid="{00000000-0005-0000-0000-000095290000}"/>
    <cellStyle name="Normal 11 3 5 2 2 2" xfId="10573" xr:uid="{00000000-0005-0000-0000-000096290000}"/>
    <cellStyle name="Normal 11 3 5 2 3" xfId="8184" xr:uid="{00000000-0005-0000-0000-000097290000}"/>
    <cellStyle name="Normal 11 3 5 3" xfId="4285" xr:uid="{00000000-0005-0000-0000-000098290000}"/>
    <cellStyle name="Normal 11 3 5 3 2" xfId="9381" xr:uid="{00000000-0005-0000-0000-000099290000}"/>
    <cellStyle name="Normal 11 3 5 4" xfId="6922" xr:uid="{00000000-0005-0000-0000-00009A290000}"/>
    <cellStyle name="Normal 11 3 6" xfId="3072" xr:uid="{00000000-0005-0000-0000-00009B290000}"/>
    <cellStyle name="Normal 11 3 6 2" xfId="5468" xr:uid="{00000000-0005-0000-0000-00009C290000}"/>
    <cellStyle name="Normal 11 3 6 2 2" xfId="10564" xr:uid="{00000000-0005-0000-0000-00009D290000}"/>
    <cellStyle name="Normal 11 3 6 3" xfId="8175" xr:uid="{00000000-0005-0000-0000-00009E290000}"/>
    <cellStyle name="Normal 11 3 7" xfId="4276" xr:uid="{00000000-0005-0000-0000-00009F290000}"/>
    <cellStyle name="Normal 11 3 7 2" xfId="9372" xr:uid="{00000000-0005-0000-0000-0000A0290000}"/>
    <cellStyle name="Normal 11 3 8" xfId="6913" xr:uid="{00000000-0005-0000-0000-0000A1290000}"/>
    <cellStyle name="Normal 11 4" xfId="1672" xr:uid="{00000000-0005-0000-0000-0000A2290000}"/>
    <cellStyle name="Normal 11 4 2" xfId="1673" xr:uid="{00000000-0005-0000-0000-0000A3290000}"/>
    <cellStyle name="Normal 11 4 2 2" xfId="1674" xr:uid="{00000000-0005-0000-0000-0000A4290000}"/>
    <cellStyle name="Normal 11 4 2 2 2" xfId="3084" xr:uid="{00000000-0005-0000-0000-0000A5290000}"/>
    <cellStyle name="Normal 11 4 2 2 2 2" xfId="5480" xr:uid="{00000000-0005-0000-0000-0000A6290000}"/>
    <cellStyle name="Normal 11 4 2 2 2 2 2" xfId="10576" xr:uid="{00000000-0005-0000-0000-0000A7290000}"/>
    <cellStyle name="Normal 11 4 2 2 2 3" xfId="8187" xr:uid="{00000000-0005-0000-0000-0000A8290000}"/>
    <cellStyle name="Normal 11 4 2 2 3" xfId="4288" xr:uid="{00000000-0005-0000-0000-0000A9290000}"/>
    <cellStyle name="Normal 11 4 2 2 3 2" xfId="9384" xr:uid="{00000000-0005-0000-0000-0000AA290000}"/>
    <cellStyle name="Normal 11 4 2 2 4" xfId="6925" xr:uid="{00000000-0005-0000-0000-0000AB290000}"/>
    <cellStyle name="Normal 11 4 2 3" xfId="3083" xr:uid="{00000000-0005-0000-0000-0000AC290000}"/>
    <cellStyle name="Normal 11 4 2 3 2" xfId="5479" xr:uid="{00000000-0005-0000-0000-0000AD290000}"/>
    <cellStyle name="Normal 11 4 2 3 2 2" xfId="10575" xr:uid="{00000000-0005-0000-0000-0000AE290000}"/>
    <cellStyle name="Normal 11 4 2 3 3" xfId="8186" xr:uid="{00000000-0005-0000-0000-0000AF290000}"/>
    <cellStyle name="Normal 11 4 2 4" xfId="4287" xr:uid="{00000000-0005-0000-0000-0000B0290000}"/>
    <cellStyle name="Normal 11 4 2 4 2" xfId="9383" xr:uid="{00000000-0005-0000-0000-0000B1290000}"/>
    <cellStyle name="Normal 11 4 2 5" xfId="6924" xr:uid="{00000000-0005-0000-0000-0000B2290000}"/>
    <cellStyle name="Normal 11 4 3" xfId="1675" xr:uid="{00000000-0005-0000-0000-0000B3290000}"/>
    <cellStyle name="Normal 11 4 3 2" xfId="3085" xr:uid="{00000000-0005-0000-0000-0000B4290000}"/>
    <cellStyle name="Normal 11 4 3 2 2" xfId="5481" xr:uid="{00000000-0005-0000-0000-0000B5290000}"/>
    <cellStyle name="Normal 11 4 3 2 2 2" xfId="10577" xr:uid="{00000000-0005-0000-0000-0000B6290000}"/>
    <cellStyle name="Normal 11 4 3 2 3" xfId="8188" xr:uid="{00000000-0005-0000-0000-0000B7290000}"/>
    <cellStyle name="Normal 11 4 3 3" xfId="4289" xr:uid="{00000000-0005-0000-0000-0000B8290000}"/>
    <cellStyle name="Normal 11 4 3 3 2" xfId="9385" xr:uid="{00000000-0005-0000-0000-0000B9290000}"/>
    <cellStyle name="Normal 11 4 3 4" xfId="6926" xr:uid="{00000000-0005-0000-0000-0000BA290000}"/>
    <cellStyle name="Normal 11 4 4" xfId="1676" xr:uid="{00000000-0005-0000-0000-0000BB290000}"/>
    <cellStyle name="Normal 11 4 4 2" xfId="3086" xr:uid="{00000000-0005-0000-0000-0000BC290000}"/>
    <cellStyle name="Normal 11 4 4 2 2" xfId="5482" xr:uid="{00000000-0005-0000-0000-0000BD290000}"/>
    <cellStyle name="Normal 11 4 4 2 2 2" xfId="10578" xr:uid="{00000000-0005-0000-0000-0000BE290000}"/>
    <cellStyle name="Normal 11 4 4 2 3" xfId="8189" xr:uid="{00000000-0005-0000-0000-0000BF290000}"/>
    <cellStyle name="Normal 11 4 4 3" xfId="4290" xr:uid="{00000000-0005-0000-0000-0000C0290000}"/>
    <cellStyle name="Normal 11 4 4 3 2" xfId="9386" xr:uid="{00000000-0005-0000-0000-0000C1290000}"/>
    <cellStyle name="Normal 11 4 4 4" xfId="6927" xr:uid="{00000000-0005-0000-0000-0000C2290000}"/>
    <cellStyle name="Normal 11 4 5" xfId="3082" xr:uid="{00000000-0005-0000-0000-0000C3290000}"/>
    <cellStyle name="Normal 11 4 5 2" xfId="5478" xr:uid="{00000000-0005-0000-0000-0000C4290000}"/>
    <cellStyle name="Normal 11 4 5 2 2" xfId="10574" xr:uid="{00000000-0005-0000-0000-0000C5290000}"/>
    <cellStyle name="Normal 11 4 5 3" xfId="8185" xr:uid="{00000000-0005-0000-0000-0000C6290000}"/>
    <cellStyle name="Normal 11 4 6" xfId="4286" xr:uid="{00000000-0005-0000-0000-0000C7290000}"/>
    <cellStyle name="Normal 11 4 6 2" xfId="9382" xr:uid="{00000000-0005-0000-0000-0000C8290000}"/>
    <cellStyle name="Normal 11 4 7" xfId="6923" xr:uid="{00000000-0005-0000-0000-0000C9290000}"/>
    <cellStyle name="Normal 11 5" xfId="1677" xr:uid="{00000000-0005-0000-0000-0000CA290000}"/>
    <cellStyle name="Normal 11 5 2" xfId="1678" xr:uid="{00000000-0005-0000-0000-0000CB290000}"/>
    <cellStyle name="Normal 11 5 2 2" xfId="1679" xr:uid="{00000000-0005-0000-0000-0000CC290000}"/>
    <cellStyle name="Normal 11 5 2 2 2" xfId="3089" xr:uid="{00000000-0005-0000-0000-0000CD290000}"/>
    <cellStyle name="Normal 11 5 2 2 2 2" xfId="5485" xr:uid="{00000000-0005-0000-0000-0000CE290000}"/>
    <cellStyle name="Normal 11 5 2 2 2 2 2" xfId="10581" xr:uid="{00000000-0005-0000-0000-0000CF290000}"/>
    <cellStyle name="Normal 11 5 2 2 2 3" xfId="8192" xr:uid="{00000000-0005-0000-0000-0000D0290000}"/>
    <cellStyle name="Normal 11 5 2 2 3" xfId="4293" xr:uid="{00000000-0005-0000-0000-0000D1290000}"/>
    <cellStyle name="Normal 11 5 2 2 3 2" xfId="9389" xr:uid="{00000000-0005-0000-0000-0000D2290000}"/>
    <cellStyle name="Normal 11 5 2 2 4" xfId="6930" xr:uid="{00000000-0005-0000-0000-0000D3290000}"/>
    <cellStyle name="Normal 11 5 2 3" xfId="3088" xr:uid="{00000000-0005-0000-0000-0000D4290000}"/>
    <cellStyle name="Normal 11 5 2 3 2" xfId="5484" xr:uid="{00000000-0005-0000-0000-0000D5290000}"/>
    <cellStyle name="Normal 11 5 2 3 2 2" xfId="10580" xr:uid="{00000000-0005-0000-0000-0000D6290000}"/>
    <cellStyle name="Normal 11 5 2 3 3" xfId="8191" xr:uid="{00000000-0005-0000-0000-0000D7290000}"/>
    <cellStyle name="Normal 11 5 2 4" xfId="4292" xr:uid="{00000000-0005-0000-0000-0000D8290000}"/>
    <cellStyle name="Normal 11 5 2 4 2" xfId="9388" xr:uid="{00000000-0005-0000-0000-0000D9290000}"/>
    <cellStyle name="Normal 11 5 2 5" xfId="6929" xr:uid="{00000000-0005-0000-0000-0000DA290000}"/>
    <cellStyle name="Normal 11 5 3" xfId="1680" xr:uid="{00000000-0005-0000-0000-0000DB290000}"/>
    <cellStyle name="Normal 11 5 3 2" xfId="3090" xr:uid="{00000000-0005-0000-0000-0000DC290000}"/>
    <cellStyle name="Normal 11 5 3 2 2" xfId="5486" xr:uid="{00000000-0005-0000-0000-0000DD290000}"/>
    <cellStyle name="Normal 11 5 3 2 2 2" xfId="10582" xr:uid="{00000000-0005-0000-0000-0000DE290000}"/>
    <cellStyle name="Normal 11 5 3 2 3" xfId="8193" xr:uid="{00000000-0005-0000-0000-0000DF290000}"/>
    <cellStyle name="Normal 11 5 3 3" xfId="4294" xr:uid="{00000000-0005-0000-0000-0000E0290000}"/>
    <cellStyle name="Normal 11 5 3 3 2" xfId="9390" xr:uid="{00000000-0005-0000-0000-0000E1290000}"/>
    <cellStyle name="Normal 11 5 3 4" xfId="6931" xr:uid="{00000000-0005-0000-0000-0000E2290000}"/>
    <cellStyle name="Normal 11 5 4" xfId="1681" xr:uid="{00000000-0005-0000-0000-0000E3290000}"/>
    <cellStyle name="Normal 11 5 4 2" xfId="3091" xr:uid="{00000000-0005-0000-0000-0000E4290000}"/>
    <cellStyle name="Normal 11 5 4 2 2" xfId="5487" xr:uid="{00000000-0005-0000-0000-0000E5290000}"/>
    <cellStyle name="Normal 11 5 4 2 2 2" xfId="10583" xr:uid="{00000000-0005-0000-0000-0000E6290000}"/>
    <cellStyle name="Normal 11 5 4 2 3" xfId="8194" xr:uid="{00000000-0005-0000-0000-0000E7290000}"/>
    <cellStyle name="Normal 11 5 4 3" xfId="4295" xr:uid="{00000000-0005-0000-0000-0000E8290000}"/>
    <cellStyle name="Normal 11 5 4 3 2" xfId="9391" xr:uid="{00000000-0005-0000-0000-0000E9290000}"/>
    <cellStyle name="Normal 11 5 4 4" xfId="6932" xr:uid="{00000000-0005-0000-0000-0000EA290000}"/>
    <cellStyle name="Normal 11 5 5" xfId="3087" xr:uid="{00000000-0005-0000-0000-0000EB290000}"/>
    <cellStyle name="Normal 11 5 5 2" xfId="5483" xr:uid="{00000000-0005-0000-0000-0000EC290000}"/>
    <cellStyle name="Normal 11 5 5 2 2" xfId="10579" xr:uid="{00000000-0005-0000-0000-0000ED290000}"/>
    <cellStyle name="Normal 11 5 5 3" xfId="8190" xr:uid="{00000000-0005-0000-0000-0000EE290000}"/>
    <cellStyle name="Normal 11 5 6" xfId="4291" xr:uid="{00000000-0005-0000-0000-0000EF290000}"/>
    <cellStyle name="Normal 11 5 6 2" xfId="9387" xr:uid="{00000000-0005-0000-0000-0000F0290000}"/>
    <cellStyle name="Normal 11 5 7" xfId="6928" xr:uid="{00000000-0005-0000-0000-0000F1290000}"/>
    <cellStyle name="Normal 11 6" xfId="1682" xr:uid="{00000000-0005-0000-0000-0000F2290000}"/>
    <cellStyle name="Normal 11 6 2" xfId="1683" xr:uid="{00000000-0005-0000-0000-0000F3290000}"/>
    <cellStyle name="Normal 11 6 2 2" xfId="1684" xr:uid="{00000000-0005-0000-0000-0000F4290000}"/>
    <cellStyle name="Normal 11 6 2 2 2" xfId="3094" xr:uid="{00000000-0005-0000-0000-0000F5290000}"/>
    <cellStyle name="Normal 11 6 2 2 2 2" xfId="5490" xr:uid="{00000000-0005-0000-0000-0000F6290000}"/>
    <cellStyle name="Normal 11 6 2 2 2 2 2" xfId="10586" xr:uid="{00000000-0005-0000-0000-0000F7290000}"/>
    <cellStyle name="Normal 11 6 2 2 2 3" xfId="8197" xr:uid="{00000000-0005-0000-0000-0000F8290000}"/>
    <cellStyle name="Normal 11 6 2 2 3" xfId="4298" xr:uid="{00000000-0005-0000-0000-0000F9290000}"/>
    <cellStyle name="Normal 11 6 2 2 3 2" xfId="9394" xr:uid="{00000000-0005-0000-0000-0000FA290000}"/>
    <cellStyle name="Normal 11 6 2 2 4" xfId="6935" xr:uid="{00000000-0005-0000-0000-0000FB290000}"/>
    <cellStyle name="Normal 11 6 2 3" xfId="3093" xr:uid="{00000000-0005-0000-0000-0000FC290000}"/>
    <cellStyle name="Normal 11 6 2 3 2" xfId="5489" xr:uid="{00000000-0005-0000-0000-0000FD290000}"/>
    <cellStyle name="Normal 11 6 2 3 2 2" xfId="10585" xr:uid="{00000000-0005-0000-0000-0000FE290000}"/>
    <cellStyle name="Normal 11 6 2 3 3" xfId="8196" xr:uid="{00000000-0005-0000-0000-0000FF290000}"/>
    <cellStyle name="Normal 11 6 2 4" xfId="4297" xr:uid="{00000000-0005-0000-0000-0000002A0000}"/>
    <cellStyle name="Normal 11 6 2 4 2" xfId="9393" xr:uid="{00000000-0005-0000-0000-0000012A0000}"/>
    <cellStyle name="Normal 11 6 2 5" xfId="6934" xr:uid="{00000000-0005-0000-0000-0000022A0000}"/>
    <cellStyle name="Normal 11 6 3" xfId="1685" xr:uid="{00000000-0005-0000-0000-0000032A0000}"/>
    <cellStyle name="Normal 11 6 3 2" xfId="3095" xr:uid="{00000000-0005-0000-0000-0000042A0000}"/>
    <cellStyle name="Normal 11 6 3 2 2" xfId="5491" xr:uid="{00000000-0005-0000-0000-0000052A0000}"/>
    <cellStyle name="Normal 11 6 3 2 2 2" xfId="10587" xr:uid="{00000000-0005-0000-0000-0000062A0000}"/>
    <cellStyle name="Normal 11 6 3 2 3" xfId="8198" xr:uid="{00000000-0005-0000-0000-0000072A0000}"/>
    <cellStyle name="Normal 11 6 3 3" xfId="4299" xr:uid="{00000000-0005-0000-0000-0000082A0000}"/>
    <cellStyle name="Normal 11 6 3 3 2" xfId="9395" xr:uid="{00000000-0005-0000-0000-0000092A0000}"/>
    <cellStyle name="Normal 11 6 3 4" xfId="6936" xr:uid="{00000000-0005-0000-0000-00000A2A0000}"/>
    <cellStyle name="Normal 11 6 4" xfId="1686" xr:uid="{00000000-0005-0000-0000-00000B2A0000}"/>
    <cellStyle name="Normal 11 6 4 2" xfId="3096" xr:uid="{00000000-0005-0000-0000-00000C2A0000}"/>
    <cellStyle name="Normal 11 6 4 2 2" xfId="5492" xr:uid="{00000000-0005-0000-0000-00000D2A0000}"/>
    <cellStyle name="Normal 11 6 4 2 2 2" xfId="10588" xr:uid="{00000000-0005-0000-0000-00000E2A0000}"/>
    <cellStyle name="Normal 11 6 4 2 3" xfId="8199" xr:uid="{00000000-0005-0000-0000-00000F2A0000}"/>
    <cellStyle name="Normal 11 6 4 3" xfId="4300" xr:uid="{00000000-0005-0000-0000-0000102A0000}"/>
    <cellStyle name="Normal 11 6 4 3 2" xfId="9396" xr:uid="{00000000-0005-0000-0000-0000112A0000}"/>
    <cellStyle name="Normal 11 6 4 4" xfId="6937" xr:uid="{00000000-0005-0000-0000-0000122A0000}"/>
    <cellStyle name="Normal 11 6 5" xfId="3092" xr:uid="{00000000-0005-0000-0000-0000132A0000}"/>
    <cellStyle name="Normal 11 6 5 2" xfId="5488" xr:uid="{00000000-0005-0000-0000-0000142A0000}"/>
    <cellStyle name="Normal 11 6 5 2 2" xfId="10584" xr:uid="{00000000-0005-0000-0000-0000152A0000}"/>
    <cellStyle name="Normal 11 6 5 3" xfId="8195" xr:uid="{00000000-0005-0000-0000-0000162A0000}"/>
    <cellStyle name="Normal 11 6 6" xfId="4296" xr:uid="{00000000-0005-0000-0000-0000172A0000}"/>
    <cellStyle name="Normal 11 6 6 2" xfId="9392" xr:uid="{00000000-0005-0000-0000-0000182A0000}"/>
    <cellStyle name="Normal 11 6 7" xfId="6933" xr:uid="{00000000-0005-0000-0000-0000192A0000}"/>
    <cellStyle name="Normal 11 7" xfId="1687" xr:uid="{00000000-0005-0000-0000-00001A2A0000}"/>
    <cellStyle name="Normal 11 7 2" xfId="1688" xr:uid="{00000000-0005-0000-0000-00001B2A0000}"/>
    <cellStyle name="Normal 11 7 2 2" xfId="3098" xr:uid="{00000000-0005-0000-0000-00001C2A0000}"/>
    <cellStyle name="Normal 11 7 2 2 2" xfId="5494" xr:uid="{00000000-0005-0000-0000-00001D2A0000}"/>
    <cellStyle name="Normal 11 7 2 2 2 2" xfId="10590" xr:uid="{00000000-0005-0000-0000-00001E2A0000}"/>
    <cellStyle name="Normal 11 7 2 2 3" xfId="8201" xr:uid="{00000000-0005-0000-0000-00001F2A0000}"/>
    <cellStyle name="Normal 11 7 2 3" xfId="4302" xr:uid="{00000000-0005-0000-0000-0000202A0000}"/>
    <cellStyle name="Normal 11 7 2 3 2" xfId="9398" xr:uid="{00000000-0005-0000-0000-0000212A0000}"/>
    <cellStyle name="Normal 11 7 2 4" xfId="6939" xr:uid="{00000000-0005-0000-0000-0000222A0000}"/>
    <cellStyle name="Normal 11 7 3" xfId="3097" xr:uid="{00000000-0005-0000-0000-0000232A0000}"/>
    <cellStyle name="Normal 11 7 3 2" xfId="5493" xr:uid="{00000000-0005-0000-0000-0000242A0000}"/>
    <cellStyle name="Normal 11 7 3 2 2" xfId="10589" xr:uid="{00000000-0005-0000-0000-0000252A0000}"/>
    <cellStyle name="Normal 11 7 3 3" xfId="8200" xr:uid="{00000000-0005-0000-0000-0000262A0000}"/>
    <cellStyle name="Normal 11 7 4" xfId="4301" xr:uid="{00000000-0005-0000-0000-0000272A0000}"/>
    <cellStyle name="Normal 11 7 4 2" xfId="9397" xr:uid="{00000000-0005-0000-0000-0000282A0000}"/>
    <cellStyle name="Normal 11 7 5" xfId="6938" xr:uid="{00000000-0005-0000-0000-0000292A0000}"/>
    <cellStyle name="Normal 11 8" xfId="1689" xr:uid="{00000000-0005-0000-0000-00002A2A0000}"/>
    <cellStyle name="Normal 11 8 2" xfId="3099" xr:uid="{00000000-0005-0000-0000-00002B2A0000}"/>
    <cellStyle name="Normal 11 8 2 2" xfId="5495" xr:uid="{00000000-0005-0000-0000-00002C2A0000}"/>
    <cellStyle name="Normal 11 8 2 2 2" xfId="10591" xr:uid="{00000000-0005-0000-0000-00002D2A0000}"/>
    <cellStyle name="Normal 11 8 2 3" xfId="8202" xr:uid="{00000000-0005-0000-0000-00002E2A0000}"/>
    <cellStyle name="Normal 11 8 3" xfId="4303" xr:uid="{00000000-0005-0000-0000-00002F2A0000}"/>
    <cellStyle name="Normal 11 8 3 2" xfId="9399" xr:uid="{00000000-0005-0000-0000-0000302A0000}"/>
    <cellStyle name="Normal 11 8 4" xfId="6940" xr:uid="{00000000-0005-0000-0000-0000312A0000}"/>
    <cellStyle name="Normal 11 9" xfId="1690" xr:uid="{00000000-0005-0000-0000-0000322A0000}"/>
    <cellStyle name="Normal 11 9 2" xfId="3100" xr:uid="{00000000-0005-0000-0000-0000332A0000}"/>
    <cellStyle name="Normal 11 9 2 2" xfId="5496" xr:uid="{00000000-0005-0000-0000-0000342A0000}"/>
    <cellStyle name="Normal 11 9 2 2 2" xfId="10592" xr:uid="{00000000-0005-0000-0000-0000352A0000}"/>
    <cellStyle name="Normal 11 9 2 3" xfId="8203" xr:uid="{00000000-0005-0000-0000-0000362A0000}"/>
    <cellStyle name="Normal 11 9 3" xfId="4304" xr:uid="{00000000-0005-0000-0000-0000372A0000}"/>
    <cellStyle name="Normal 11 9 3 2" xfId="9400" xr:uid="{00000000-0005-0000-0000-0000382A0000}"/>
    <cellStyle name="Normal 11 9 4" xfId="6941" xr:uid="{00000000-0005-0000-0000-0000392A0000}"/>
    <cellStyle name="Normal 110" xfId="2294" xr:uid="{00000000-0005-0000-0000-00003A2A0000}"/>
    <cellStyle name="Normal 110 2" xfId="3547" xr:uid="{00000000-0005-0000-0000-00003B2A0000}"/>
    <cellStyle name="Normal 110 2 2" xfId="5942" xr:uid="{00000000-0005-0000-0000-00003C2A0000}"/>
    <cellStyle name="Normal 110 2 2 2" xfId="11038" xr:uid="{00000000-0005-0000-0000-00003D2A0000}"/>
    <cellStyle name="Normal 110 2 3" xfId="8650" xr:uid="{00000000-0005-0000-0000-00003E2A0000}"/>
    <cellStyle name="Normal 110 3" xfId="4753" xr:uid="{00000000-0005-0000-0000-00003F2A0000}"/>
    <cellStyle name="Normal 110 3 2" xfId="9849" xr:uid="{00000000-0005-0000-0000-0000402A0000}"/>
    <cellStyle name="Normal 110 4" xfId="7403" xr:uid="{00000000-0005-0000-0000-0000412A0000}"/>
    <cellStyle name="Normal 111" xfId="2296" xr:uid="{00000000-0005-0000-0000-0000422A0000}"/>
    <cellStyle name="Normal 111 2" xfId="3549" xr:uid="{00000000-0005-0000-0000-0000432A0000}"/>
    <cellStyle name="Normal 111 2 2" xfId="5944" xr:uid="{00000000-0005-0000-0000-0000442A0000}"/>
    <cellStyle name="Normal 111 2 2 2" xfId="11040" xr:uid="{00000000-0005-0000-0000-0000452A0000}"/>
    <cellStyle name="Normal 111 2 3" xfId="8652" xr:uid="{00000000-0005-0000-0000-0000462A0000}"/>
    <cellStyle name="Normal 111 3" xfId="4755" xr:uid="{00000000-0005-0000-0000-0000472A0000}"/>
    <cellStyle name="Normal 111 3 2" xfId="9851" xr:uid="{00000000-0005-0000-0000-0000482A0000}"/>
    <cellStyle name="Normal 111 4" xfId="7405" xr:uid="{00000000-0005-0000-0000-0000492A0000}"/>
    <cellStyle name="Normal 112" xfId="2298" xr:uid="{00000000-0005-0000-0000-00004A2A0000}"/>
    <cellStyle name="Normal 112 2" xfId="3551" xr:uid="{00000000-0005-0000-0000-00004B2A0000}"/>
    <cellStyle name="Normal 112 2 2" xfId="5946" xr:uid="{00000000-0005-0000-0000-00004C2A0000}"/>
    <cellStyle name="Normal 112 2 2 2" xfId="11042" xr:uid="{00000000-0005-0000-0000-00004D2A0000}"/>
    <cellStyle name="Normal 112 2 3" xfId="8654" xr:uid="{00000000-0005-0000-0000-00004E2A0000}"/>
    <cellStyle name="Normal 112 3" xfId="4757" xr:uid="{00000000-0005-0000-0000-00004F2A0000}"/>
    <cellStyle name="Normal 112 3 2" xfId="9853" xr:uid="{00000000-0005-0000-0000-0000502A0000}"/>
    <cellStyle name="Normal 112 4" xfId="7407" xr:uid="{00000000-0005-0000-0000-0000512A0000}"/>
    <cellStyle name="Normal 113" xfId="2300" xr:uid="{00000000-0005-0000-0000-0000522A0000}"/>
    <cellStyle name="Normal 113 2" xfId="3553" xr:uid="{00000000-0005-0000-0000-0000532A0000}"/>
    <cellStyle name="Normal 113 2 2" xfId="5948" xr:uid="{00000000-0005-0000-0000-0000542A0000}"/>
    <cellStyle name="Normal 113 2 2 2" xfId="11044" xr:uid="{00000000-0005-0000-0000-0000552A0000}"/>
    <cellStyle name="Normal 113 2 3" xfId="8656" xr:uid="{00000000-0005-0000-0000-0000562A0000}"/>
    <cellStyle name="Normal 113 3" xfId="4759" xr:uid="{00000000-0005-0000-0000-0000572A0000}"/>
    <cellStyle name="Normal 113 3 2" xfId="9855" xr:uid="{00000000-0005-0000-0000-0000582A0000}"/>
    <cellStyle name="Normal 113 4" xfId="7409" xr:uid="{00000000-0005-0000-0000-0000592A0000}"/>
    <cellStyle name="Normal 114" xfId="2302" xr:uid="{00000000-0005-0000-0000-00005A2A0000}"/>
    <cellStyle name="Normal 114 2" xfId="3555" xr:uid="{00000000-0005-0000-0000-00005B2A0000}"/>
    <cellStyle name="Normal 114 2 2" xfId="5950" xr:uid="{00000000-0005-0000-0000-00005C2A0000}"/>
    <cellStyle name="Normal 114 2 2 2" xfId="11046" xr:uid="{00000000-0005-0000-0000-00005D2A0000}"/>
    <cellStyle name="Normal 114 2 3" xfId="8658" xr:uid="{00000000-0005-0000-0000-00005E2A0000}"/>
    <cellStyle name="Normal 114 3" xfId="4761" xr:uid="{00000000-0005-0000-0000-00005F2A0000}"/>
    <cellStyle name="Normal 114 3 2" xfId="9857" xr:uid="{00000000-0005-0000-0000-0000602A0000}"/>
    <cellStyle name="Normal 114 4" xfId="7411" xr:uid="{00000000-0005-0000-0000-0000612A0000}"/>
    <cellStyle name="Normal 115" xfId="2304" xr:uid="{00000000-0005-0000-0000-0000622A0000}"/>
    <cellStyle name="Normal 115 2" xfId="3557" xr:uid="{00000000-0005-0000-0000-0000632A0000}"/>
    <cellStyle name="Normal 115 2 2" xfId="5952" xr:uid="{00000000-0005-0000-0000-0000642A0000}"/>
    <cellStyle name="Normal 115 2 2 2" xfId="11048" xr:uid="{00000000-0005-0000-0000-0000652A0000}"/>
    <cellStyle name="Normal 115 2 3" xfId="8660" xr:uid="{00000000-0005-0000-0000-0000662A0000}"/>
    <cellStyle name="Normal 115 3" xfId="4763" xr:uid="{00000000-0005-0000-0000-0000672A0000}"/>
    <cellStyle name="Normal 115 3 2" xfId="9859" xr:uid="{00000000-0005-0000-0000-0000682A0000}"/>
    <cellStyle name="Normal 115 4" xfId="7413" xr:uid="{00000000-0005-0000-0000-0000692A0000}"/>
    <cellStyle name="Normal 116" xfId="2306" xr:uid="{00000000-0005-0000-0000-00006A2A0000}"/>
    <cellStyle name="Normal 116 2" xfId="3559" xr:uid="{00000000-0005-0000-0000-00006B2A0000}"/>
    <cellStyle name="Normal 116 2 2" xfId="5954" xr:uid="{00000000-0005-0000-0000-00006C2A0000}"/>
    <cellStyle name="Normal 116 2 2 2" xfId="11050" xr:uid="{00000000-0005-0000-0000-00006D2A0000}"/>
    <cellStyle name="Normal 116 2 3" xfId="8662" xr:uid="{00000000-0005-0000-0000-00006E2A0000}"/>
    <cellStyle name="Normal 116 3" xfId="4765" xr:uid="{00000000-0005-0000-0000-00006F2A0000}"/>
    <cellStyle name="Normal 116 3 2" xfId="9861" xr:uid="{00000000-0005-0000-0000-0000702A0000}"/>
    <cellStyle name="Normal 116 4" xfId="7415" xr:uid="{00000000-0005-0000-0000-0000712A0000}"/>
    <cellStyle name="Normal 117" xfId="2308" xr:uid="{00000000-0005-0000-0000-0000722A0000}"/>
    <cellStyle name="Normal 117 2" xfId="3561" xr:uid="{00000000-0005-0000-0000-0000732A0000}"/>
    <cellStyle name="Normal 117 2 2" xfId="5956" xr:uid="{00000000-0005-0000-0000-0000742A0000}"/>
    <cellStyle name="Normal 117 2 2 2" xfId="11052" xr:uid="{00000000-0005-0000-0000-0000752A0000}"/>
    <cellStyle name="Normal 117 2 3" xfId="8664" xr:uid="{00000000-0005-0000-0000-0000762A0000}"/>
    <cellStyle name="Normal 117 3" xfId="4767" xr:uid="{00000000-0005-0000-0000-0000772A0000}"/>
    <cellStyle name="Normal 117 3 2" xfId="9863" xr:uid="{00000000-0005-0000-0000-0000782A0000}"/>
    <cellStyle name="Normal 117 4" xfId="7417" xr:uid="{00000000-0005-0000-0000-0000792A0000}"/>
    <cellStyle name="Normal 118" xfId="2310" xr:uid="{00000000-0005-0000-0000-00007A2A0000}"/>
    <cellStyle name="Normal 118 2" xfId="3563" xr:uid="{00000000-0005-0000-0000-00007B2A0000}"/>
    <cellStyle name="Normal 118 2 2" xfId="5958" xr:uid="{00000000-0005-0000-0000-00007C2A0000}"/>
    <cellStyle name="Normal 118 2 2 2" xfId="11054" xr:uid="{00000000-0005-0000-0000-00007D2A0000}"/>
    <cellStyle name="Normal 118 2 3" xfId="8666" xr:uid="{00000000-0005-0000-0000-00007E2A0000}"/>
    <cellStyle name="Normal 118 3" xfId="4769" xr:uid="{00000000-0005-0000-0000-00007F2A0000}"/>
    <cellStyle name="Normal 118 3 2" xfId="9865" xr:uid="{00000000-0005-0000-0000-0000802A0000}"/>
    <cellStyle name="Normal 118 4" xfId="7419" xr:uid="{00000000-0005-0000-0000-0000812A0000}"/>
    <cellStyle name="Normal 119" xfId="2312" xr:uid="{00000000-0005-0000-0000-0000822A0000}"/>
    <cellStyle name="Normal 119 2" xfId="3565" xr:uid="{00000000-0005-0000-0000-0000832A0000}"/>
    <cellStyle name="Normal 119 2 2" xfId="5960" xr:uid="{00000000-0005-0000-0000-0000842A0000}"/>
    <cellStyle name="Normal 119 2 2 2" xfId="11056" xr:uid="{00000000-0005-0000-0000-0000852A0000}"/>
    <cellStyle name="Normal 119 2 3" xfId="8668" xr:uid="{00000000-0005-0000-0000-0000862A0000}"/>
    <cellStyle name="Normal 119 3" xfId="4771" xr:uid="{00000000-0005-0000-0000-0000872A0000}"/>
    <cellStyle name="Normal 119 3 2" xfId="9867" xr:uid="{00000000-0005-0000-0000-0000882A0000}"/>
    <cellStyle name="Normal 119 4" xfId="7421" xr:uid="{00000000-0005-0000-0000-0000892A0000}"/>
    <cellStyle name="Normal 12" xfId="74" xr:uid="{00000000-0005-0000-0000-00008A2A0000}"/>
    <cellStyle name="Normal 12 2" xfId="1692" xr:uid="{00000000-0005-0000-0000-00008B2A0000}"/>
    <cellStyle name="Normal 12 2 2" xfId="1693" xr:uid="{00000000-0005-0000-0000-00008C2A0000}"/>
    <cellStyle name="Normal 12 2 2 2" xfId="1694" xr:uid="{00000000-0005-0000-0000-00008D2A0000}"/>
    <cellStyle name="Normal 12 2 2 2 2" xfId="1695" xr:uid="{00000000-0005-0000-0000-00008E2A0000}"/>
    <cellStyle name="Normal 12 2 2 2 2 2" xfId="3105" xr:uid="{00000000-0005-0000-0000-00008F2A0000}"/>
    <cellStyle name="Normal 12 2 2 2 2 2 2" xfId="5501" xr:uid="{00000000-0005-0000-0000-0000902A0000}"/>
    <cellStyle name="Normal 12 2 2 2 2 2 2 2" xfId="10597" xr:uid="{00000000-0005-0000-0000-0000912A0000}"/>
    <cellStyle name="Normal 12 2 2 2 2 2 3" xfId="8208" xr:uid="{00000000-0005-0000-0000-0000922A0000}"/>
    <cellStyle name="Normal 12 2 2 2 2 3" xfId="4309" xr:uid="{00000000-0005-0000-0000-0000932A0000}"/>
    <cellStyle name="Normal 12 2 2 2 2 3 2" xfId="9405" xr:uid="{00000000-0005-0000-0000-0000942A0000}"/>
    <cellStyle name="Normal 12 2 2 2 2 4" xfId="6946" xr:uid="{00000000-0005-0000-0000-0000952A0000}"/>
    <cellStyle name="Normal 12 2 2 2 3" xfId="3104" xr:uid="{00000000-0005-0000-0000-0000962A0000}"/>
    <cellStyle name="Normal 12 2 2 2 3 2" xfId="5500" xr:uid="{00000000-0005-0000-0000-0000972A0000}"/>
    <cellStyle name="Normal 12 2 2 2 3 2 2" xfId="10596" xr:uid="{00000000-0005-0000-0000-0000982A0000}"/>
    <cellStyle name="Normal 12 2 2 2 3 3" xfId="8207" xr:uid="{00000000-0005-0000-0000-0000992A0000}"/>
    <cellStyle name="Normal 12 2 2 2 4" xfId="4308" xr:uid="{00000000-0005-0000-0000-00009A2A0000}"/>
    <cellStyle name="Normal 12 2 2 2 4 2" xfId="9404" xr:uid="{00000000-0005-0000-0000-00009B2A0000}"/>
    <cellStyle name="Normal 12 2 2 2 5" xfId="6945" xr:uid="{00000000-0005-0000-0000-00009C2A0000}"/>
    <cellStyle name="Normal 12 2 2 3" xfId="1696" xr:uid="{00000000-0005-0000-0000-00009D2A0000}"/>
    <cellStyle name="Normal 12 2 2 3 2" xfId="3106" xr:uid="{00000000-0005-0000-0000-00009E2A0000}"/>
    <cellStyle name="Normal 12 2 2 3 2 2" xfId="5502" xr:uid="{00000000-0005-0000-0000-00009F2A0000}"/>
    <cellStyle name="Normal 12 2 2 3 2 2 2" xfId="10598" xr:uid="{00000000-0005-0000-0000-0000A02A0000}"/>
    <cellStyle name="Normal 12 2 2 3 2 3" xfId="8209" xr:uid="{00000000-0005-0000-0000-0000A12A0000}"/>
    <cellStyle name="Normal 12 2 2 3 3" xfId="4310" xr:uid="{00000000-0005-0000-0000-0000A22A0000}"/>
    <cellStyle name="Normal 12 2 2 3 3 2" xfId="9406" xr:uid="{00000000-0005-0000-0000-0000A32A0000}"/>
    <cellStyle name="Normal 12 2 2 3 4" xfId="6947" xr:uid="{00000000-0005-0000-0000-0000A42A0000}"/>
    <cellStyle name="Normal 12 2 2 4" xfId="1697" xr:uid="{00000000-0005-0000-0000-0000A52A0000}"/>
    <cellStyle name="Normal 12 2 2 4 2" xfId="3107" xr:uid="{00000000-0005-0000-0000-0000A62A0000}"/>
    <cellStyle name="Normal 12 2 2 4 2 2" xfId="5503" xr:uid="{00000000-0005-0000-0000-0000A72A0000}"/>
    <cellStyle name="Normal 12 2 2 4 2 2 2" xfId="10599" xr:uid="{00000000-0005-0000-0000-0000A82A0000}"/>
    <cellStyle name="Normal 12 2 2 4 2 3" xfId="8210" xr:uid="{00000000-0005-0000-0000-0000A92A0000}"/>
    <cellStyle name="Normal 12 2 2 4 3" xfId="4311" xr:uid="{00000000-0005-0000-0000-0000AA2A0000}"/>
    <cellStyle name="Normal 12 2 2 4 3 2" xfId="9407" xr:uid="{00000000-0005-0000-0000-0000AB2A0000}"/>
    <cellStyle name="Normal 12 2 2 4 4" xfId="6948" xr:uid="{00000000-0005-0000-0000-0000AC2A0000}"/>
    <cellStyle name="Normal 12 2 2 5" xfId="3103" xr:uid="{00000000-0005-0000-0000-0000AD2A0000}"/>
    <cellStyle name="Normal 12 2 2 5 2" xfId="5499" xr:uid="{00000000-0005-0000-0000-0000AE2A0000}"/>
    <cellStyle name="Normal 12 2 2 5 2 2" xfId="10595" xr:uid="{00000000-0005-0000-0000-0000AF2A0000}"/>
    <cellStyle name="Normal 12 2 2 5 3" xfId="8206" xr:uid="{00000000-0005-0000-0000-0000B02A0000}"/>
    <cellStyle name="Normal 12 2 2 6" xfId="4307" xr:uid="{00000000-0005-0000-0000-0000B12A0000}"/>
    <cellStyle name="Normal 12 2 2 6 2" xfId="9403" xr:uid="{00000000-0005-0000-0000-0000B22A0000}"/>
    <cellStyle name="Normal 12 2 2 7" xfId="6944" xr:uid="{00000000-0005-0000-0000-0000B32A0000}"/>
    <cellStyle name="Normal 12 2 3" xfId="1698" xr:uid="{00000000-0005-0000-0000-0000B42A0000}"/>
    <cellStyle name="Normal 12 2 3 2" xfId="1699" xr:uid="{00000000-0005-0000-0000-0000B52A0000}"/>
    <cellStyle name="Normal 12 2 3 2 2" xfId="3109" xr:uid="{00000000-0005-0000-0000-0000B62A0000}"/>
    <cellStyle name="Normal 12 2 3 2 2 2" xfId="5505" xr:uid="{00000000-0005-0000-0000-0000B72A0000}"/>
    <cellStyle name="Normal 12 2 3 2 2 2 2" xfId="10601" xr:uid="{00000000-0005-0000-0000-0000B82A0000}"/>
    <cellStyle name="Normal 12 2 3 2 2 3" xfId="8212" xr:uid="{00000000-0005-0000-0000-0000B92A0000}"/>
    <cellStyle name="Normal 12 2 3 2 3" xfId="4313" xr:uid="{00000000-0005-0000-0000-0000BA2A0000}"/>
    <cellStyle name="Normal 12 2 3 2 3 2" xfId="9409" xr:uid="{00000000-0005-0000-0000-0000BB2A0000}"/>
    <cellStyle name="Normal 12 2 3 2 4" xfId="6950" xr:uid="{00000000-0005-0000-0000-0000BC2A0000}"/>
    <cellStyle name="Normal 12 2 3 3" xfId="3108" xr:uid="{00000000-0005-0000-0000-0000BD2A0000}"/>
    <cellStyle name="Normal 12 2 3 3 2" xfId="5504" xr:uid="{00000000-0005-0000-0000-0000BE2A0000}"/>
    <cellStyle name="Normal 12 2 3 3 2 2" xfId="10600" xr:uid="{00000000-0005-0000-0000-0000BF2A0000}"/>
    <cellStyle name="Normal 12 2 3 3 3" xfId="8211" xr:uid="{00000000-0005-0000-0000-0000C02A0000}"/>
    <cellStyle name="Normal 12 2 3 4" xfId="4312" xr:uid="{00000000-0005-0000-0000-0000C12A0000}"/>
    <cellStyle name="Normal 12 2 3 4 2" xfId="9408" xr:uid="{00000000-0005-0000-0000-0000C22A0000}"/>
    <cellStyle name="Normal 12 2 3 5" xfId="6949" xr:uid="{00000000-0005-0000-0000-0000C32A0000}"/>
    <cellStyle name="Normal 12 2 4" xfId="1700" xr:uid="{00000000-0005-0000-0000-0000C42A0000}"/>
    <cellStyle name="Normal 12 2 4 2" xfId="3110" xr:uid="{00000000-0005-0000-0000-0000C52A0000}"/>
    <cellStyle name="Normal 12 2 4 2 2" xfId="5506" xr:uid="{00000000-0005-0000-0000-0000C62A0000}"/>
    <cellStyle name="Normal 12 2 4 2 2 2" xfId="10602" xr:uid="{00000000-0005-0000-0000-0000C72A0000}"/>
    <cellStyle name="Normal 12 2 4 2 3" xfId="8213" xr:uid="{00000000-0005-0000-0000-0000C82A0000}"/>
    <cellStyle name="Normal 12 2 4 3" xfId="4314" xr:uid="{00000000-0005-0000-0000-0000C92A0000}"/>
    <cellStyle name="Normal 12 2 4 3 2" xfId="9410" xr:uid="{00000000-0005-0000-0000-0000CA2A0000}"/>
    <cellStyle name="Normal 12 2 4 4" xfId="6951" xr:uid="{00000000-0005-0000-0000-0000CB2A0000}"/>
    <cellStyle name="Normal 12 2 5" xfId="1701" xr:uid="{00000000-0005-0000-0000-0000CC2A0000}"/>
    <cellStyle name="Normal 12 2 5 2" xfId="3111" xr:uid="{00000000-0005-0000-0000-0000CD2A0000}"/>
    <cellStyle name="Normal 12 2 5 2 2" xfId="5507" xr:uid="{00000000-0005-0000-0000-0000CE2A0000}"/>
    <cellStyle name="Normal 12 2 5 2 2 2" xfId="10603" xr:uid="{00000000-0005-0000-0000-0000CF2A0000}"/>
    <cellStyle name="Normal 12 2 5 2 3" xfId="8214" xr:uid="{00000000-0005-0000-0000-0000D02A0000}"/>
    <cellStyle name="Normal 12 2 5 3" xfId="4315" xr:uid="{00000000-0005-0000-0000-0000D12A0000}"/>
    <cellStyle name="Normal 12 2 5 3 2" xfId="9411" xr:uid="{00000000-0005-0000-0000-0000D22A0000}"/>
    <cellStyle name="Normal 12 2 5 4" xfId="6952" xr:uid="{00000000-0005-0000-0000-0000D32A0000}"/>
    <cellStyle name="Normal 12 2 6" xfId="3102" xr:uid="{00000000-0005-0000-0000-0000D42A0000}"/>
    <cellStyle name="Normal 12 2 6 2" xfId="5498" xr:uid="{00000000-0005-0000-0000-0000D52A0000}"/>
    <cellStyle name="Normal 12 2 6 2 2" xfId="10594" xr:uid="{00000000-0005-0000-0000-0000D62A0000}"/>
    <cellStyle name="Normal 12 2 6 3" xfId="8205" xr:uid="{00000000-0005-0000-0000-0000D72A0000}"/>
    <cellStyle name="Normal 12 2 7" xfId="4306" xr:uid="{00000000-0005-0000-0000-0000D82A0000}"/>
    <cellStyle name="Normal 12 2 7 2" xfId="9402" xr:uid="{00000000-0005-0000-0000-0000D92A0000}"/>
    <cellStyle name="Normal 12 2 8" xfId="6943" xr:uid="{00000000-0005-0000-0000-0000DA2A0000}"/>
    <cellStyle name="Normal 12 3" xfId="1702" xr:uid="{00000000-0005-0000-0000-0000DB2A0000}"/>
    <cellStyle name="Normal 12 3 2" xfId="1703" xr:uid="{00000000-0005-0000-0000-0000DC2A0000}"/>
    <cellStyle name="Normal 12 3 2 2" xfId="1704" xr:uid="{00000000-0005-0000-0000-0000DD2A0000}"/>
    <cellStyle name="Normal 12 3 2 2 2" xfId="3114" xr:uid="{00000000-0005-0000-0000-0000DE2A0000}"/>
    <cellStyle name="Normal 12 3 2 2 2 2" xfId="5510" xr:uid="{00000000-0005-0000-0000-0000DF2A0000}"/>
    <cellStyle name="Normal 12 3 2 2 2 2 2" xfId="10606" xr:uid="{00000000-0005-0000-0000-0000E02A0000}"/>
    <cellStyle name="Normal 12 3 2 2 2 3" xfId="8217" xr:uid="{00000000-0005-0000-0000-0000E12A0000}"/>
    <cellStyle name="Normal 12 3 2 2 3" xfId="4318" xr:uid="{00000000-0005-0000-0000-0000E22A0000}"/>
    <cellStyle name="Normal 12 3 2 2 3 2" xfId="9414" xr:uid="{00000000-0005-0000-0000-0000E32A0000}"/>
    <cellStyle name="Normal 12 3 2 2 4" xfId="6955" xr:uid="{00000000-0005-0000-0000-0000E42A0000}"/>
    <cellStyle name="Normal 12 3 2 3" xfId="3113" xr:uid="{00000000-0005-0000-0000-0000E52A0000}"/>
    <cellStyle name="Normal 12 3 2 3 2" xfId="5509" xr:uid="{00000000-0005-0000-0000-0000E62A0000}"/>
    <cellStyle name="Normal 12 3 2 3 2 2" xfId="10605" xr:uid="{00000000-0005-0000-0000-0000E72A0000}"/>
    <cellStyle name="Normal 12 3 2 3 3" xfId="8216" xr:uid="{00000000-0005-0000-0000-0000E82A0000}"/>
    <cellStyle name="Normal 12 3 2 4" xfId="4317" xr:uid="{00000000-0005-0000-0000-0000E92A0000}"/>
    <cellStyle name="Normal 12 3 2 4 2" xfId="9413" xr:uid="{00000000-0005-0000-0000-0000EA2A0000}"/>
    <cellStyle name="Normal 12 3 2 5" xfId="6954" xr:uid="{00000000-0005-0000-0000-0000EB2A0000}"/>
    <cellStyle name="Normal 12 3 3" xfId="1705" xr:uid="{00000000-0005-0000-0000-0000EC2A0000}"/>
    <cellStyle name="Normal 12 3 3 2" xfId="3115" xr:uid="{00000000-0005-0000-0000-0000ED2A0000}"/>
    <cellStyle name="Normal 12 3 3 2 2" xfId="5511" xr:uid="{00000000-0005-0000-0000-0000EE2A0000}"/>
    <cellStyle name="Normal 12 3 3 2 2 2" xfId="10607" xr:uid="{00000000-0005-0000-0000-0000EF2A0000}"/>
    <cellStyle name="Normal 12 3 3 2 3" xfId="8218" xr:uid="{00000000-0005-0000-0000-0000F02A0000}"/>
    <cellStyle name="Normal 12 3 3 3" xfId="4319" xr:uid="{00000000-0005-0000-0000-0000F12A0000}"/>
    <cellStyle name="Normal 12 3 3 3 2" xfId="9415" xr:uid="{00000000-0005-0000-0000-0000F22A0000}"/>
    <cellStyle name="Normal 12 3 3 4" xfId="6956" xr:uid="{00000000-0005-0000-0000-0000F32A0000}"/>
    <cellStyle name="Normal 12 3 4" xfId="1706" xr:uid="{00000000-0005-0000-0000-0000F42A0000}"/>
    <cellStyle name="Normal 12 3 4 2" xfId="3116" xr:uid="{00000000-0005-0000-0000-0000F52A0000}"/>
    <cellStyle name="Normal 12 3 4 2 2" xfId="5512" xr:uid="{00000000-0005-0000-0000-0000F62A0000}"/>
    <cellStyle name="Normal 12 3 4 2 2 2" xfId="10608" xr:uid="{00000000-0005-0000-0000-0000F72A0000}"/>
    <cellStyle name="Normal 12 3 4 2 3" xfId="8219" xr:uid="{00000000-0005-0000-0000-0000F82A0000}"/>
    <cellStyle name="Normal 12 3 4 3" xfId="4320" xr:uid="{00000000-0005-0000-0000-0000F92A0000}"/>
    <cellStyle name="Normal 12 3 4 3 2" xfId="9416" xr:uid="{00000000-0005-0000-0000-0000FA2A0000}"/>
    <cellStyle name="Normal 12 3 4 4" xfId="6957" xr:uid="{00000000-0005-0000-0000-0000FB2A0000}"/>
    <cellStyle name="Normal 12 3 5" xfId="3112" xr:uid="{00000000-0005-0000-0000-0000FC2A0000}"/>
    <cellStyle name="Normal 12 3 5 2" xfId="5508" xr:uid="{00000000-0005-0000-0000-0000FD2A0000}"/>
    <cellStyle name="Normal 12 3 5 2 2" xfId="10604" xr:uid="{00000000-0005-0000-0000-0000FE2A0000}"/>
    <cellStyle name="Normal 12 3 5 3" xfId="8215" xr:uid="{00000000-0005-0000-0000-0000FF2A0000}"/>
    <cellStyle name="Normal 12 3 6" xfId="4316" xr:uid="{00000000-0005-0000-0000-0000002B0000}"/>
    <cellStyle name="Normal 12 3 6 2" xfId="9412" xr:uid="{00000000-0005-0000-0000-0000012B0000}"/>
    <cellStyle name="Normal 12 3 7" xfId="6953" xr:uid="{00000000-0005-0000-0000-0000022B0000}"/>
    <cellStyle name="Normal 12 4" xfId="1707" xr:uid="{00000000-0005-0000-0000-0000032B0000}"/>
    <cellStyle name="Normal 12 4 2" xfId="1708" xr:uid="{00000000-0005-0000-0000-0000042B0000}"/>
    <cellStyle name="Normal 12 4 2 2" xfId="1709" xr:uid="{00000000-0005-0000-0000-0000052B0000}"/>
    <cellStyle name="Normal 12 4 2 2 2" xfId="3119" xr:uid="{00000000-0005-0000-0000-0000062B0000}"/>
    <cellStyle name="Normal 12 4 2 2 2 2" xfId="5515" xr:uid="{00000000-0005-0000-0000-0000072B0000}"/>
    <cellStyle name="Normal 12 4 2 2 2 2 2" xfId="10611" xr:uid="{00000000-0005-0000-0000-0000082B0000}"/>
    <cellStyle name="Normal 12 4 2 2 2 3" xfId="8222" xr:uid="{00000000-0005-0000-0000-0000092B0000}"/>
    <cellStyle name="Normal 12 4 2 2 3" xfId="4323" xr:uid="{00000000-0005-0000-0000-00000A2B0000}"/>
    <cellStyle name="Normal 12 4 2 2 3 2" xfId="9419" xr:uid="{00000000-0005-0000-0000-00000B2B0000}"/>
    <cellStyle name="Normal 12 4 2 2 4" xfId="6960" xr:uid="{00000000-0005-0000-0000-00000C2B0000}"/>
    <cellStyle name="Normal 12 4 2 3" xfId="3118" xr:uid="{00000000-0005-0000-0000-00000D2B0000}"/>
    <cellStyle name="Normal 12 4 2 3 2" xfId="5514" xr:uid="{00000000-0005-0000-0000-00000E2B0000}"/>
    <cellStyle name="Normal 12 4 2 3 2 2" xfId="10610" xr:uid="{00000000-0005-0000-0000-00000F2B0000}"/>
    <cellStyle name="Normal 12 4 2 3 3" xfId="8221" xr:uid="{00000000-0005-0000-0000-0000102B0000}"/>
    <cellStyle name="Normal 12 4 2 4" xfId="4322" xr:uid="{00000000-0005-0000-0000-0000112B0000}"/>
    <cellStyle name="Normal 12 4 2 4 2" xfId="9418" xr:uid="{00000000-0005-0000-0000-0000122B0000}"/>
    <cellStyle name="Normal 12 4 2 5" xfId="6959" xr:uid="{00000000-0005-0000-0000-0000132B0000}"/>
    <cellStyle name="Normal 12 4 3" xfId="1710" xr:uid="{00000000-0005-0000-0000-0000142B0000}"/>
    <cellStyle name="Normal 12 4 3 2" xfId="3120" xr:uid="{00000000-0005-0000-0000-0000152B0000}"/>
    <cellStyle name="Normal 12 4 3 2 2" xfId="5516" xr:uid="{00000000-0005-0000-0000-0000162B0000}"/>
    <cellStyle name="Normal 12 4 3 2 2 2" xfId="10612" xr:uid="{00000000-0005-0000-0000-0000172B0000}"/>
    <cellStyle name="Normal 12 4 3 2 3" xfId="8223" xr:uid="{00000000-0005-0000-0000-0000182B0000}"/>
    <cellStyle name="Normal 12 4 3 3" xfId="4324" xr:uid="{00000000-0005-0000-0000-0000192B0000}"/>
    <cellStyle name="Normal 12 4 3 3 2" xfId="9420" xr:uid="{00000000-0005-0000-0000-00001A2B0000}"/>
    <cellStyle name="Normal 12 4 3 4" xfId="6961" xr:uid="{00000000-0005-0000-0000-00001B2B0000}"/>
    <cellStyle name="Normal 12 4 4" xfId="1711" xr:uid="{00000000-0005-0000-0000-00001C2B0000}"/>
    <cellStyle name="Normal 12 4 4 2" xfId="3121" xr:uid="{00000000-0005-0000-0000-00001D2B0000}"/>
    <cellStyle name="Normal 12 4 4 2 2" xfId="5517" xr:uid="{00000000-0005-0000-0000-00001E2B0000}"/>
    <cellStyle name="Normal 12 4 4 2 2 2" xfId="10613" xr:uid="{00000000-0005-0000-0000-00001F2B0000}"/>
    <cellStyle name="Normal 12 4 4 2 3" xfId="8224" xr:uid="{00000000-0005-0000-0000-0000202B0000}"/>
    <cellStyle name="Normal 12 4 4 3" xfId="4325" xr:uid="{00000000-0005-0000-0000-0000212B0000}"/>
    <cellStyle name="Normal 12 4 4 3 2" xfId="9421" xr:uid="{00000000-0005-0000-0000-0000222B0000}"/>
    <cellStyle name="Normal 12 4 4 4" xfId="6962" xr:uid="{00000000-0005-0000-0000-0000232B0000}"/>
    <cellStyle name="Normal 12 4 5" xfId="3117" xr:uid="{00000000-0005-0000-0000-0000242B0000}"/>
    <cellStyle name="Normal 12 4 5 2" xfId="5513" xr:uid="{00000000-0005-0000-0000-0000252B0000}"/>
    <cellStyle name="Normal 12 4 5 2 2" xfId="10609" xr:uid="{00000000-0005-0000-0000-0000262B0000}"/>
    <cellStyle name="Normal 12 4 5 3" xfId="8220" xr:uid="{00000000-0005-0000-0000-0000272B0000}"/>
    <cellStyle name="Normal 12 4 6" xfId="4321" xr:uid="{00000000-0005-0000-0000-0000282B0000}"/>
    <cellStyle name="Normal 12 4 6 2" xfId="9417" xr:uid="{00000000-0005-0000-0000-0000292B0000}"/>
    <cellStyle name="Normal 12 4 7" xfId="6958" xr:uid="{00000000-0005-0000-0000-00002A2B0000}"/>
    <cellStyle name="Normal 12 5" xfId="1712" xr:uid="{00000000-0005-0000-0000-00002B2B0000}"/>
    <cellStyle name="Normal 12 5 2" xfId="1713" xr:uid="{00000000-0005-0000-0000-00002C2B0000}"/>
    <cellStyle name="Normal 12 5 2 2" xfId="1714" xr:uid="{00000000-0005-0000-0000-00002D2B0000}"/>
    <cellStyle name="Normal 12 5 2 2 2" xfId="3124" xr:uid="{00000000-0005-0000-0000-00002E2B0000}"/>
    <cellStyle name="Normal 12 5 2 2 2 2" xfId="5520" xr:uid="{00000000-0005-0000-0000-00002F2B0000}"/>
    <cellStyle name="Normal 12 5 2 2 2 2 2" xfId="10616" xr:uid="{00000000-0005-0000-0000-0000302B0000}"/>
    <cellStyle name="Normal 12 5 2 2 2 3" xfId="8227" xr:uid="{00000000-0005-0000-0000-0000312B0000}"/>
    <cellStyle name="Normal 12 5 2 2 3" xfId="4328" xr:uid="{00000000-0005-0000-0000-0000322B0000}"/>
    <cellStyle name="Normal 12 5 2 2 3 2" xfId="9424" xr:uid="{00000000-0005-0000-0000-0000332B0000}"/>
    <cellStyle name="Normal 12 5 2 2 4" xfId="6965" xr:uid="{00000000-0005-0000-0000-0000342B0000}"/>
    <cellStyle name="Normal 12 5 2 3" xfId="3123" xr:uid="{00000000-0005-0000-0000-0000352B0000}"/>
    <cellStyle name="Normal 12 5 2 3 2" xfId="5519" xr:uid="{00000000-0005-0000-0000-0000362B0000}"/>
    <cellStyle name="Normal 12 5 2 3 2 2" xfId="10615" xr:uid="{00000000-0005-0000-0000-0000372B0000}"/>
    <cellStyle name="Normal 12 5 2 3 3" xfId="8226" xr:uid="{00000000-0005-0000-0000-0000382B0000}"/>
    <cellStyle name="Normal 12 5 2 4" xfId="4327" xr:uid="{00000000-0005-0000-0000-0000392B0000}"/>
    <cellStyle name="Normal 12 5 2 4 2" xfId="9423" xr:uid="{00000000-0005-0000-0000-00003A2B0000}"/>
    <cellStyle name="Normal 12 5 2 5" xfId="6964" xr:uid="{00000000-0005-0000-0000-00003B2B0000}"/>
    <cellStyle name="Normal 12 5 3" xfId="1715" xr:uid="{00000000-0005-0000-0000-00003C2B0000}"/>
    <cellStyle name="Normal 12 5 3 2" xfId="3125" xr:uid="{00000000-0005-0000-0000-00003D2B0000}"/>
    <cellStyle name="Normal 12 5 3 2 2" xfId="5521" xr:uid="{00000000-0005-0000-0000-00003E2B0000}"/>
    <cellStyle name="Normal 12 5 3 2 2 2" xfId="10617" xr:uid="{00000000-0005-0000-0000-00003F2B0000}"/>
    <cellStyle name="Normal 12 5 3 2 3" xfId="8228" xr:uid="{00000000-0005-0000-0000-0000402B0000}"/>
    <cellStyle name="Normal 12 5 3 3" xfId="4329" xr:uid="{00000000-0005-0000-0000-0000412B0000}"/>
    <cellStyle name="Normal 12 5 3 3 2" xfId="9425" xr:uid="{00000000-0005-0000-0000-0000422B0000}"/>
    <cellStyle name="Normal 12 5 3 4" xfId="6966" xr:uid="{00000000-0005-0000-0000-0000432B0000}"/>
    <cellStyle name="Normal 12 5 4" xfId="1716" xr:uid="{00000000-0005-0000-0000-0000442B0000}"/>
    <cellStyle name="Normal 12 5 4 2" xfId="3126" xr:uid="{00000000-0005-0000-0000-0000452B0000}"/>
    <cellStyle name="Normal 12 5 4 2 2" xfId="5522" xr:uid="{00000000-0005-0000-0000-0000462B0000}"/>
    <cellStyle name="Normal 12 5 4 2 2 2" xfId="10618" xr:uid="{00000000-0005-0000-0000-0000472B0000}"/>
    <cellStyle name="Normal 12 5 4 2 3" xfId="8229" xr:uid="{00000000-0005-0000-0000-0000482B0000}"/>
    <cellStyle name="Normal 12 5 4 3" xfId="4330" xr:uid="{00000000-0005-0000-0000-0000492B0000}"/>
    <cellStyle name="Normal 12 5 4 3 2" xfId="9426" xr:uid="{00000000-0005-0000-0000-00004A2B0000}"/>
    <cellStyle name="Normal 12 5 4 4" xfId="6967" xr:uid="{00000000-0005-0000-0000-00004B2B0000}"/>
    <cellStyle name="Normal 12 5 5" xfId="3122" xr:uid="{00000000-0005-0000-0000-00004C2B0000}"/>
    <cellStyle name="Normal 12 5 5 2" xfId="5518" xr:uid="{00000000-0005-0000-0000-00004D2B0000}"/>
    <cellStyle name="Normal 12 5 5 2 2" xfId="10614" xr:uid="{00000000-0005-0000-0000-00004E2B0000}"/>
    <cellStyle name="Normal 12 5 5 3" xfId="8225" xr:uid="{00000000-0005-0000-0000-00004F2B0000}"/>
    <cellStyle name="Normal 12 5 6" xfId="4326" xr:uid="{00000000-0005-0000-0000-0000502B0000}"/>
    <cellStyle name="Normal 12 5 6 2" xfId="9422" xr:uid="{00000000-0005-0000-0000-0000512B0000}"/>
    <cellStyle name="Normal 12 5 7" xfId="6963" xr:uid="{00000000-0005-0000-0000-0000522B0000}"/>
    <cellStyle name="Normal 12 6" xfId="1717" xr:uid="{00000000-0005-0000-0000-0000532B0000}"/>
    <cellStyle name="Normal 12 6 2" xfId="1718" xr:uid="{00000000-0005-0000-0000-0000542B0000}"/>
    <cellStyle name="Normal 12 6 2 2" xfId="3128" xr:uid="{00000000-0005-0000-0000-0000552B0000}"/>
    <cellStyle name="Normal 12 6 2 2 2" xfId="5524" xr:uid="{00000000-0005-0000-0000-0000562B0000}"/>
    <cellStyle name="Normal 12 6 2 2 2 2" xfId="10620" xr:uid="{00000000-0005-0000-0000-0000572B0000}"/>
    <cellStyle name="Normal 12 6 2 2 3" xfId="8231" xr:uid="{00000000-0005-0000-0000-0000582B0000}"/>
    <cellStyle name="Normal 12 6 2 3" xfId="4332" xr:uid="{00000000-0005-0000-0000-0000592B0000}"/>
    <cellStyle name="Normal 12 6 2 3 2" xfId="9428" xr:uid="{00000000-0005-0000-0000-00005A2B0000}"/>
    <cellStyle name="Normal 12 6 2 4" xfId="6969" xr:uid="{00000000-0005-0000-0000-00005B2B0000}"/>
    <cellStyle name="Normal 12 6 3" xfId="3127" xr:uid="{00000000-0005-0000-0000-00005C2B0000}"/>
    <cellStyle name="Normal 12 6 3 2" xfId="5523" xr:uid="{00000000-0005-0000-0000-00005D2B0000}"/>
    <cellStyle name="Normal 12 6 3 2 2" xfId="10619" xr:uid="{00000000-0005-0000-0000-00005E2B0000}"/>
    <cellStyle name="Normal 12 6 3 3" xfId="8230" xr:uid="{00000000-0005-0000-0000-00005F2B0000}"/>
    <cellStyle name="Normal 12 6 4" xfId="4331" xr:uid="{00000000-0005-0000-0000-0000602B0000}"/>
    <cellStyle name="Normal 12 6 4 2" xfId="9427" xr:uid="{00000000-0005-0000-0000-0000612B0000}"/>
    <cellStyle name="Normal 12 6 5" xfId="6968" xr:uid="{00000000-0005-0000-0000-0000622B0000}"/>
    <cellStyle name="Normal 12 7" xfId="1719" xr:uid="{00000000-0005-0000-0000-0000632B0000}"/>
    <cellStyle name="Normal 12 7 2" xfId="3129" xr:uid="{00000000-0005-0000-0000-0000642B0000}"/>
    <cellStyle name="Normal 12 7 2 2" xfId="5525" xr:uid="{00000000-0005-0000-0000-0000652B0000}"/>
    <cellStyle name="Normal 12 7 2 2 2" xfId="10621" xr:uid="{00000000-0005-0000-0000-0000662B0000}"/>
    <cellStyle name="Normal 12 7 2 3" xfId="8232" xr:uid="{00000000-0005-0000-0000-0000672B0000}"/>
    <cellStyle name="Normal 12 7 3" xfId="4333" xr:uid="{00000000-0005-0000-0000-0000682B0000}"/>
    <cellStyle name="Normal 12 7 3 2" xfId="9429" xr:uid="{00000000-0005-0000-0000-0000692B0000}"/>
    <cellStyle name="Normal 12 7 4" xfId="6970" xr:uid="{00000000-0005-0000-0000-00006A2B0000}"/>
    <cellStyle name="Normal 12 8" xfId="1720" xr:uid="{00000000-0005-0000-0000-00006B2B0000}"/>
    <cellStyle name="Normal 12 8 2" xfId="3130" xr:uid="{00000000-0005-0000-0000-00006C2B0000}"/>
    <cellStyle name="Normal 12 8 2 2" xfId="5526" xr:uid="{00000000-0005-0000-0000-00006D2B0000}"/>
    <cellStyle name="Normal 12 8 2 2 2" xfId="10622" xr:uid="{00000000-0005-0000-0000-00006E2B0000}"/>
    <cellStyle name="Normal 12 8 2 3" xfId="8233" xr:uid="{00000000-0005-0000-0000-00006F2B0000}"/>
    <cellStyle name="Normal 12 8 3" xfId="4334" xr:uid="{00000000-0005-0000-0000-0000702B0000}"/>
    <cellStyle name="Normal 12 8 3 2" xfId="9430" xr:uid="{00000000-0005-0000-0000-0000712B0000}"/>
    <cellStyle name="Normal 12 8 4" xfId="6971" xr:uid="{00000000-0005-0000-0000-0000722B0000}"/>
    <cellStyle name="Normal 12 9" xfId="1691" xr:uid="{00000000-0005-0000-0000-0000732B0000}"/>
    <cellStyle name="Normal 12 9 2" xfId="3101" xr:uid="{00000000-0005-0000-0000-0000742B0000}"/>
    <cellStyle name="Normal 12 9 2 2" xfId="5497" xr:uid="{00000000-0005-0000-0000-0000752B0000}"/>
    <cellStyle name="Normal 12 9 2 2 2" xfId="10593" xr:uid="{00000000-0005-0000-0000-0000762B0000}"/>
    <cellStyle name="Normal 12 9 2 3" xfId="8204" xr:uid="{00000000-0005-0000-0000-0000772B0000}"/>
    <cellStyle name="Normal 12 9 3" xfId="4305" xr:uid="{00000000-0005-0000-0000-0000782B0000}"/>
    <cellStyle name="Normal 12 9 3 2" xfId="9401" xr:uid="{00000000-0005-0000-0000-0000792B0000}"/>
    <cellStyle name="Normal 12 9 4" xfId="6942" xr:uid="{00000000-0005-0000-0000-00007A2B0000}"/>
    <cellStyle name="Normal 120" xfId="2314" xr:uid="{00000000-0005-0000-0000-00007B2B0000}"/>
    <cellStyle name="Normal 120 2" xfId="3567" xr:uid="{00000000-0005-0000-0000-00007C2B0000}"/>
    <cellStyle name="Normal 120 2 2" xfId="5962" xr:uid="{00000000-0005-0000-0000-00007D2B0000}"/>
    <cellStyle name="Normal 120 2 2 2" xfId="11058" xr:uid="{00000000-0005-0000-0000-00007E2B0000}"/>
    <cellStyle name="Normal 120 2 3" xfId="8670" xr:uid="{00000000-0005-0000-0000-00007F2B0000}"/>
    <cellStyle name="Normal 120 3" xfId="4773" xr:uid="{00000000-0005-0000-0000-0000802B0000}"/>
    <cellStyle name="Normal 120 3 2" xfId="9869" xr:uid="{00000000-0005-0000-0000-0000812B0000}"/>
    <cellStyle name="Normal 120 4" xfId="7423" xr:uid="{00000000-0005-0000-0000-0000822B0000}"/>
    <cellStyle name="Normal 121" xfId="2316" xr:uid="{00000000-0005-0000-0000-0000832B0000}"/>
    <cellStyle name="Normal 121 2" xfId="3569" xr:uid="{00000000-0005-0000-0000-0000842B0000}"/>
    <cellStyle name="Normal 121 2 2" xfId="5964" xr:uid="{00000000-0005-0000-0000-0000852B0000}"/>
    <cellStyle name="Normal 121 2 2 2" xfId="11060" xr:uid="{00000000-0005-0000-0000-0000862B0000}"/>
    <cellStyle name="Normal 121 2 3" xfId="8672" xr:uid="{00000000-0005-0000-0000-0000872B0000}"/>
    <cellStyle name="Normal 121 3" xfId="4775" xr:uid="{00000000-0005-0000-0000-0000882B0000}"/>
    <cellStyle name="Normal 121 3 2" xfId="9871" xr:uid="{00000000-0005-0000-0000-0000892B0000}"/>
    <cellStyle name="Normal 121 4" xfId="7425" xr:uid="{00000000-0005-0000-0000-00008A2B0000}"/>
    <cellStyle name="Normal 122" xfId="2318" xr:uid="{00000000-0005-0000-0000-00008B2B0000}"/>
    <cellStyle name="Normal 122 2" xfId="3571" xr:uid="{00000000-0005-0000-0000-00008C2B0000}"/>
    <cellStyle name="Normal 122 2 2" xfId="5966" xr:uid="{00000000-0005-0000-0000-00008D2B0000}"/>
    <cellStyle name="Normal 122 2 2 2" xfId="11062" xr:uid="{00000000-0005-0000-0000-00008E2B0000}"/>
    <cellStyle name="Normal 122 2 3" xfId="8674" xr:uid="{00000000-0005-0000-0000-00008F2B0000}"/>
    <cellStyle name="Normal 122 3" xfId="4777" xr:uid="{00000000-0005-0000-0000-0000902B0000}"/>
    <cellStyle name="Normal 122 3 2" xfId="9873" xr:uid="{00000000-0005-0000-0000-0000912B0000}"/>
    <cellStyle name="Normal 122 4" xfId="7427" xr:uid="{00000000-0005-0000-0000-0000922B0000}"/>
    <cellStyle name="Normal 123" xfId="2320" xr:uid="{00000000-0005-0000-0000-0000932B0000}"/>
    <cellStyle name="Normal 123 2" xfId="3573" xr:uid="{00000000-0005-0000-0000-0000942B0000}"/>
    <cellStyle name="Normal 123 2 2" xfId="5968" xr:uid="{00000000-0005-0000-0000-0000952B0000}"/>
    <cellStyle name="Normal 123 2 2 2" xfId="11064" xr:uid="{00000000-0005-0000-0000-0000962B0000}"/>
    <cellStyle name="Normal 123 2 3" xfId="8676" xr:uid="{00000000-0005-0000-0000-0000972B0000}"/>
    <cellStyle name="Normal 123 3" xfId="4779" xr:uid="{00000000-0005-0000-0000-0000982B0000}"/>
    <cellStyle name="Normal 123 3 2" xfId="9875" xr:uid="{00000000-0005-0000-0000-0000992B0000}"/>
    <cellStyle name="Normal 123 4" xfId="7429" xr:uid="{00000000-0005-0000-0000-00009A2B0000}"/>
    <cellStyle name="Normal 124" xfId="2322" xr:uid="{00000000-0005-0000-0000-00009B2B0000}"/>
    <cellStyle name="Normal 124 2" xfId="3575" xr:uid="{00000000-0005-0000-0000-00009C2B0000}"/>
    <cellStyle name="Normal 124 2 2" xfId="5970" xr:uid="{00000000-0005-0000-0000-00009D2B0000}"/>
    <cellStyle name="Normal 124 2 2 2" xfId="11066" xr:uid="{00000000-0005-0000-0000-00009E2B0000}"/>
    <cellStyle name="Normal 124 2 3" xfId="8678" xr:uid="{00000000-0005-0000-0000-00009F2B0000}"/>
    <cellStyle name="Normal 124 3" xfId="4781" xr:uid="{00000000-0005-0000-0000-0000A02B0000}"/>
    <cellStyle name="Normal 124 3 2" xfId="9877" xr:uid="{00000000-0005-0000-0000-0000A12B0000}"/>
    <cellStyle name="Normal 124 4" xfId="7431" xr:uid="{00000000-0005-0000-0000-0000A22B0000}"/>
    <cellStyle name="Normal 125" xfId="2324" xr:uid="{00000000-0005-0000-0000-0000A32B0000}"/>
    <cellStyle name="Normal 125 2" xfId="3577" xr:uid="{00000000-0005-0000-0000-0000A42B0000}"/>
    <cellStyle name="Normal 125 2 2" xfId="5972" xr:uid="{00000000-0005-0000-0000-0000A52B0000}"/>
    <cellStyle name="Normal 125 2 2 2" xfId="11068" xr:uid="{00000000-0005-0000-0000-0000A62B0000}"/>
    <cellStyle name="Normal 125 2 3" xfId="8680" xr:uid="{00000000-0005-0000-0000-0000A72B0000}"/>
    <cellStyle name="Normal 125 3" xfId="4783" xr:uid="{00000000-0005-0000-0000-0000A82B0000}"/>
    <cellStyle name="Normal 125 3 2" xfId="9879" xr:uid="{00000000-0005-0000-0000-0000A92B0000}"/>
    <cellStyle name="Normal 125 4" xfId="7433" xr:uid="{00000000-0005-0000-0000-0000AA2B0000}"/>
    <cellStyle name="Normal 126" xfId="2326" xr:uid="{00000000-0005-0000-0000-0000AB2B0000}"/>
    <cellStyle name="Normal 126 2" xfId="3579" xr:uid="{00000000-0005-0000-0000-0000AC2B0000}"/>
    <cellStyle name="Normal 126 2 2" xfId="5974" xr:uid="{00000000-0005-0000-0000-0000AD2B0000}"/>
    <cellStyle name="Normal 126 2 2 2" xfId="11070" xr:uid="{00000000-0005-0000-0000-0000AE2B0000}"/>
    <cellStyle name="Normal 126 2 3" xfId="8682" xr:uid="{00000000-0005-0000-0000-0000AF2B0000}"/>
    <cellStyle name="Normal 126 3" xfId="4785" xr:uid="{00000000-0005-0000-0000-0000B02B0000}"/>
    <cellStyle name="Normal 126 3 2" xfId="9881" xr:uid="{00000000-0005-0000-0000-0000B12B0000}"/>
    <cellStyle name="Normal 126 4" xfId="7435" xr:uid="{00000000-0005-0000-0000-0000B22B0000}"/>
    <cellStyle name="Normal 127" xfId="3599" xr:uid="{00000000-0005-0000-0000-0000B32B0000}"/>
    <cellStyle name="Normal 128" xfId="3946" xr:uid="{00000000-0005-0000-0000-0000B42B0000}"/>
    <cellStyle name="Normal 129" xfId="3584" xr:uid="{00000000-0005-0000-0000-0000B52B0000}"/>
    <cellStyle name="Normal 129 2" xfId="8687" xr:uid="{00000000-0005-0000-0000-0000B62B0000}"/>
    <cellStyle name="Normal 13" xfId="75" xr:uid="{00000000-0005-0000-0000-0000B72B0000}"/>
    <cellStyle name="Normal 13 2" xfId="1160" xr:uid="{00000000-0005-0000-0000-0000B82B0000}"/>
    <cellStyle name="Normal 13 2 2" xfId="1722" xr:uid="{00000000-0005-0000-0000-0000B92B0000}"/>
    <cellStyle name="Normal 13 2 3" xfId="1723" xr:uid="{00000000-0005-0000-0000-0000BA2B0000}"/>
    <cellStyle name="Normal 13 3" xfId="1721" xr:uid="{00000000-0005-0000-0000-0000BB2B0000}"/>
    <cellStyle name="Normal 130" xfId="4685" xr:uid="{00000000-0005-0000-0000-0000BC2B0000}"/>
    <cellStyle name="Normal 130 2" xfId="9781" xr:uid="{00000000-0005-0000-0000-0000BD2B0000}"/>
    <cellStyle name="Normal 131" xfId="20269" xr:uid="{00000000-0005-0000-0000-0000BE2B0000}"/>
    <cellStyle name="Normal 14" xfId="76" xr:uid="{00000000-0005-0000-0000-0000BF2B0000}"/>
    <cellStyle name="Normal 14 2" xfId="1725" xr:uid="{00000000-0005-0000-0000-0000C02B0000}"/>
    <cellStyle name="Normal 14 2 2" xfId="1726" xr:uid="{00000000-0005-0000-0000-0000C12B0000}"/>
    <cellStyle name="Normal 14 2 3" xfId="1727" xr:uid="{00000000-0005-0000-0000-0000C22B0000}"/>
    <cellStyle name="Normal 14 2 4" xfId="1728" xr:uid="{00000000-0005-0000-0000-0000C32B0000}"/>
    <cellStyle name="Normal 14 2 4 2" xfId="1729" xr:uid="{00000000-0005-0000-0000-0000C42B0000}"/>
    <cellStyle name="Normal 14 2 4 2 2" xfId="3133" xr:uid="{00000000-0005-0000-0000-0000C52B0000}"/>
    <cellStyle name="Normal 14 2 4 2 2 2" xfId="5529" xr:uid="{00000000-0005-0000-0000-0000C62B0000}"/>
    <cellStyle name="Normal 14 2 4 2 2 2 2" xfId="10625" xr:uid="{00000000-0005-0000-0000-0000C72B0000}"/>
    <cellStyle name="Normal 14 2 4 2 2 3" xfId="8236" xr:uid="{00000000-0005-0000-0000-0000C82B0000}"/>
    <cellStyle name="Normal 14 2 4 2 3" xfId="4337" xr:uid="{00000000-0005-0000-0000-0000C92B0000}"/>
    <cellStyle name="Normal 14 2 4 2 3 2" xfId="9433" xr:uid="{00000000-0005-0000-0000-0000CA2B0000}"/>
    <cellStyle name="Normal 14 2 4 2 4" xfId="6975" xr:uid="{00000000-0005-0000-0000-0000CB2B0000}"/>
    <cellStyle name="Normal 14 2 4 3" xfId="3132" xr:uid="{00000000-0005-0000-0000-0000CC2B0000}"/>
    <cellStyle name="Normal 14 2 4 3 2" xfId="5528" xr:uid="{00000000-0005-0000-0000-0000CD2B0000}"/>
    <cellStyle name="Normal 14 2 4 3 2 2" xfId="10624" xr:uid="{00000000-0005-0000-0000-0000CE2B0000}"/>
    <cellStyle name="Normal 14 2 4 3 3" xfId="8235" xr:uid="{00000000-0005-0000-0000-0000CF2B0000}"/>
    <cellStyle name="Normal 14 2 4 4" xfId="4336" xr:uid="{00000000-0005-0000-0000-0000D02B0000}"/>
    <cellStyle name="Normal 14 2 4 4 2" xfId="9432" xr:uid="{00000000-0005-0000-0000-0000D12B0000}"/>
    <cellStyle name="Normal 14 2 4 5" xfId="6974" xr:uid="{00000000-0005-0000-0000-0000D22B0000}"/>
    <cellStyle name="Normal 14 2 5" xfId="1730" xr:uid="{00000000-0005-0000-0000-0000D32B0000}"/>
    <cellStyle name="Normal 14 2 5 2" xfId="3134" xr:uid="{00000000-0005-0000-0000-0000D42B0000}"/>
    <cellStyle name="Normal 14 2 5 2 2" xfId="5530" xr:uid="{00000000-0005-0000-0000-0000D52B0000}"/>
    <cellStyle name="Normal 14 2 5 2 2 2" xfId="10626" xr:uid="{00000000-0005-0000-0000-0000D62B0000}"/>
    <cellStyle name="Normal 14 2 5 2 3" xfId="8237" xr:uid="{00000000-0005-0000-0000-0000D72B0000}"/>
    <cellStyle name="Normal 14 2 5 3" xfId="4338" xr:uid="{00000000-0005-0000-0000-0000D82B0000}"/>
    <cellStyle name="Normal 14 2 5 3 2" xfId="9434" xr:uid="{00000000-0005-0000-0000-0000D92B0000}"/>
    <cellStyle name="Normal 14 2 5 4" xfId="6976" xr:uid="{00000000-0005-0000-0000-0000DA2B0000}"/>
    <cellStyle name="Normal 14 2 6" xfId="1731" xr:uid="{00000000-0005-0000-0000-0000DB2B0000}"/>
    <cellStyle name="Normal 14 2 6 2" xfId="3135" xr:uid="{00000000-0005-0000-0000-0000DC2B0000}"/>
    <cellStyle name="Normal 14 2 6 2 2" xfId="5531" xr:uid="{00000000-0005-0000-0000-0000DD2B0000}"/>
    <cellStyle name="Normal 14 2 6 2 2 2" xfId="10627" xr:uid="{00000000-0005-0000-0000-0000DE2B0000}"/>
    <cellStyle name="Normal 14 2 6 2 3" xfId="8238" xr:uid="{00000000-0005-0000-0000-0000DF2B0000}"/>
    <cellStyle name="Normal 14 2 6 3" xfId="4339" xr:uid="{00000000-0005-0000-0000-0000E02B0000}"/>
    <cellStyle name="Normal 14 2 6 3 2" xfId="9435" xr:uid="{00000000-0005-0000-0000-0000E12B0000}"/>
    <cellStyle name="Normal 14 2 6 4" xfId="6977" xr:uid="{00000000-0005-0000-0000-0000E22B0000}"/>
    <cellStyle name="Normal 14 3" xfId="1732" xr:uid="{00000000-0005-0000-0000-0000E32B0000}"/>
    <cellStyle name="Normal 14 4" xfId="1733" xr:uid="{00000000-0005-0000-0000-0000E42B0000}"/>
    <cellStyle name="Normal 14 4 2" xfId="1734" xr:uid="{00000000-0005-0000-0000-0000E52B0000}"/>
    <cellStyle name="Normal 14 4 2 2" xfId="1735" xr:uid="{00000000-0005-0000-0000-0000E62B0000}"/>
    <cellStyle name="Normal 14 4 2 2 2" xfId="3138" xr:uid="{00000000-0005-0000-0000-0000E72B0000}"/>
    <cellStyle name="Normal 14 4 2 2 2 2" xfId="5534" xr:uid="{00000000-0005-0000-0000-0000E82B0000}"/>
    <cellStyle name="Normal 14 4 2 2 2 2 2" xfId="10630" xr:uid="{00000000-0005-0000-0000-0000E92B0000}"/>
    <cellStyle name="Normal 14 4 2 2 2 3" xfId="8241" xr:uid="{00000000-0005-0000-0000-0000EA2B0000}"/>
    <cellStyle name="Normal 14 4 2 2 3" xfId="4342" xr:uid="{00000000-0005-0000-0000-0000EB2B0000}"/>
    <cellStyle name="Normal 14 4 2 2 3 2" xfId="9438" xr:uid="{00000000-0005-0000-0000-0000EC2B0000}"/>
    <cellStyle name="Normal 14 4 2 2 4" xfId="6980" xr:uid="{00000000-0005-0000-0000-0000ED2B0000}"/>
    <cellStyle name="Normal 14 4 2 3" xfId="3137" xr:uid="{00000000-0005-0000-0000-0000EE2B0000}"/>
    <cellStyle name="Normal 14 4 2 3 2" xfId="5533" xr:uid="{00000000-0005-0000-0000-0000EF2B0000}"/>
    <cellStyle name="Normal 14 4 2 3 2 2" xfId="10629" xr:uid="{00000000-0005-0000-0000-0000F02B0000}"/>
    <cellStyle name="Normal 14 4 2 3 3" xfId="8240" xr:uid="{00000000-0005-0000-0000-0000F12B0000}"/>
    <cellStyle name="Normal 14 4 2 4" xfId="4341" xr:uid="{00000000-0005-0000-0000-0000F22B0000}"/>
    <cellStyle name="Normal 14 4 2 4 2" xfId="9437" xr:uid="{00000000-0005-0000-0000-0000F32B0000}"/>
    <cellStyle name="Normal 14 4 2 5" xfId="6979" xr:uid="{00000000-0005-0000-0000-0000F42B0000}"/>
    <cellStyle name="Normal 14 4 3" xfId="1736" xr:uid="{00000000-0005-0000-0000-0000F52B0000}"/>
    <cellStyle name="Normal 14 4 3 2" xfId="3139" xr:uid="{00000000-0005-0000-0000-0000F62B0000}"/>
    <cellStyle name="Normal 14 4 3 2 2" xfId="5535" xr:uid="{00000000-0005-0000-0000-0000F72B0000}"/>
    <cellStyle name="Normal 14 4 3 2 2 2" xfId="10631" xr:uid="{00000000-0005-0000-0000-0000F82B0000}"/>
    <cellStyle name="Normal 14 4 3 2 3" xfId="8242" xr:uid="{00000000-0005-0000-0000-0000F92B0000}"/>
    <cellStyle name="Normal 14 4 3 3" xfId="4343" xr:uid="{00000000-0005-0000-0000-0000FA2B0000}"/>
    <cellStyle name="Normal 14 4 3 3 2" xfId="9439" xr:uid="{00000000-0005-0000-0000-0000FB2B0000}"/>
    <cellStyle name="Normal 14 4 3 4" xfId="6981" xr:uid="{00000000-0005-0000-0000-0000FC2B0000}"/>
    <cellStyle name="Normal 14 4 4" xfId="1737" xr:uid="{00000000-0005-0000-0000-0000FD2B0000}"/>
    <cellStyle name="Normal 14 4 4 2" xfId="3140" xr:uid="{00000000-0005-0000-0000-0000FE2B0000}"/>
    <cellStyle name="Normal 14 4 4 2 2" xfId="5536" xr:uid="{00000000-0005-0000-0000-0000FF2B0000}"/>
    <cellStyle name="Normal 14 4 4 2 2 2" xfId="10632" xr:uid="{00000000-0005-0000-0000-0000002C0000}"/>
    <cellStyle name="Normal 14 4 4 2 3" xfId="8243" xr:uid="{00000000-0005-0000-0000-0000012C0000}"/>
    <cellStyle name="Normal 14 4 4 3" xfId="4344" xr:uid="{00000000-0005-0000-0000-0000022C0000}"/>
    <cellStyle name="Normal 14 4 4 3 2" xfId="9440" xr:uid="{00000000-0005-0000-0000-0000032C0000}"/>
    <cellStyle name="Normal 14 4 4 4" xfId="6982" xr:uid="{00000000-0005-0000-0000-0000042C0000}"/>
    <cellStyle name="Normal 14 4 5" xfId="3136" xr:uid="{00000000-0005-0000-0000-0000052C0000}"/>
    <cellStyle name="Normal 14 4 5 2" xfId="5532" xr:uid="{00000000-0005-0000-0000-0000062C0000}"/>
    <cellStyle name="Normal 14 4 5 2 2" xfId="10628" xr:uid="{00000000-0005-0000-0000-0000072C0000}"/>
    <cellStyle name="Normal 14 4 5 3" xfId="8239" xr:uid="{00000000-0005-0000-0000-0000082C0000}"/>
    <cellStyle name="Normal 14 4 6" xfId="4340" xr:uid="{00000000-0005-0000-0000-0000092C0000}"/>
    <cellStyle name="Normal 14 4 6 2" xfId="9436" xr:uid="{00000000-0005-0000-0000-00000A2C0000}"/>
    <cellStyle name="Normal 14 4 7" xfId="6978" xr:uid="{00000000-0005-0000-0000-00000B2C0000}"/>
    <cellStyle name="Normal 14 5" xfId="1738" xr:uid="{00000000-0005-0000-0000-00000C2C0000}"/>
    <cellStyle name="Normal 14 5 2" xfId="1739" xr:uid="{00000000-0005-0000-0000-00000D2C0000}"/>
    <cellStyle name="Normal 14 5 2 2" xfId="1740" xr:uid="{00000000-0005-0000-0000-00000E2C0000}"/>
    <cellStyle name="Normal 14 5 2 2 2" xfId="3143" xr:uid="{00000000-0005-0000-0000-00000F2C0000}"/>
    <cellStyle name="Normal 14 5 2 2 2 2" xfId="5539" xr:uid="{00000000-0005-0000-0000-0000102C0000}"/>
    <cellStyle name="Normal 14 5 2 2 2 2 2" xfId="10635" xr:uid="{00000000-0005-0000-0000-0000112C0000}"/>
    <cellStyle name="Normal 14 5 2 2 2 3" xfId="8246" xr:uid="{00000000-0005-0000-0000-0000122C0000}"/>
    <cellStyle name="Normal 14 5 2 2 3" xfId="4347" xr:uid="{00000000-0005-0000-0000-0000132C0000}"/>
    <cellStyle name="Normal 14 5 2 2 3 2" xfId="9443" xr:uid="{00000000-0005-0000-0000-0000142C0000}"/>
    <cellStyle name="Normal 14 5 2 2 4" xfId="6985" xr:uid="{00000000-0005-0000-0000-0000152C0000}"/>
    <cellStyle name="Normal 14 5 2 3" xfId="3142" xr:uid="{00000000-0005-0000-0000-0000162C0000}"/>
    <cellStyle name="Normal 14 5 2 3 2" xfId="5538" xr:uid="{00000000-0005-0000-0000-0000172C0000}"/>
    <cellStyle name="Normal 14 5 2 3 2 2" xfId="10634" xr:uid="{00000000-0005-0000-0000-0000182C0000}"/>
    <cellStyle name="Normal 14 5 2 3 3" xfId="8245" xr:uid="{00000000-0005-0000-0000-0000192C0000}"/>
    <cellStyle name="Normal 14 5 2 4" xfId="4346" xr:uid="{00000000-0005-0000-0000-00001A2C0000}"/>
    <cellStyle name="Normal 14 5 2 4 2" xfId="9442" xr:uid="{00000000-0005-0000-0000-00001B2C0000}"/>
    <cellStyle name="Normal 14 5 2 5" xfId="6984" xr:uid="{00000000-0005-0000-0000-00001C2C0000}"/>
    <cellStyle name="Normal 14 5 3" xfId="1741" xr:uid="{00000000-0005-0000-0000-00001D2C0000}"/>
    <cellStyle name="Normal 14 5 3 2" xfId="3144" xr:uid="{00000000-0005-0000-0000-00001E2C0000}"/>
    <cellStyle name="Normal 14 5 3 2 2" xfId="5540" xr:uid="{00000000-0005-0000-0000-00001F2C0000}"/>
    <cellStyle name="Normal 14 5 3 2 2 2" xfId="10636" xr:uid="{00000000-0005-0000-0000-0000202C0000}"/>
    <cellStyle name="Normal 14 5 3 2 3" xfId="8247" xr:uid="{00000000-0005-0000-0000-0000212C0000}"/>
    <cellStyle name="Normal 14 5 3 3" xfId="4348" xr:uid="{00000000-0005-0000-0000-0000222C0000}"/>
    <cellStyle name="Normal 14 5 3 3 2" xfId="9444" xr:uid="{00000000-0005-0000-0000-0000232C0000}"/>
    <cellStyle name="Normal 14 5 3 4" xfId="6986" xr:uid="{00000000-0005-0000-0000-0000242C0000}"/>
    <cellStyle name="Normal 14 5 4" xfId="1742" xr:uid="{00000000-0005-0000-0000-0000252C0000}"/>
    <cellStyle name="Normal 14 5 4 2" xfId="3145" xr:uid="{00000000-0005-0000-0000-0000262C0000}"/>
    <cellStyle name="Normal 14 5 4 2 2" xfId="5541" xr:uid="{00000000-0005-0000-0000-0000272C0000}"/>
    <cellStyle name="Normal 14 5 4 2 2 2" xfId="10637" xr:uid="{00000000-0005-0000-0000-0000282C0000}"/>
    <cellStyle name="Normal 14 5 4 2 3" xfId="8248" xr:uid="{00000000-0005-0000-0000-0000292C0000}"/>
    <cellStyle name="Normal 14 5 4 3" xfId="4349" xr:uid="{00000000-0005-0000-0000-00002A2C0000}"/>
    <cellStyle name="Normal 14 5 4 3 2" xfId="9445" xr:uid="{00000000-0005-0000-0000-00002B2C0000}"/>
    <cellStyle name="Normal 14 5 4 4" xfId="6987" xr:uid="{00000000-0005-0000-0000-00002C2C0000}"/>
    <cellStyle name="Normal 14 5 5" xfId="3141" xr:uid="{00000000-0005-0000-0000-00002D2C0000}"/>
    <cellStyle name="Normal 14 5 5 2" xfId="5537" xr:uid="{00000000-0005-0000-0000-00002E2C0000}"/>
    <cellStyle name="Normal 14 5 5 2 2" xfId="10633" xr:uid="{00000000-0005-0000-0000-00002F2C0000}"/>
    <cellStyle name="Normal 14 5 5 3" xfId="8244" xr:uid="{00000000-0005-0000-0000-0000302C0000}"/>
    <cellStyle name="Normal 14 5 6" xfId="4345" xr:uid="{00000000-0005-0000-0000-0000312C0000}"/>
    <cellStyle name="Normal 14 5 6 2" xfId="9441" xr:uid="{00000000-0005-0000-0000-0000322C0000}"/>
    <cellStyle name="Normal 14 5 7" xfId="6983" xr:uid="{00000000-0005-0000-0000-0000332C0000}"/>
    <cellStyle name="Normal 14 6" xfId="1724" xr:uid="{00000000-0005-0000-0000-0000342C0000}"/>
    <cellStyle name="Normal 14 6 2" xfId="3131" xr:uid="{00000000-0005-0000-0000-0000352C0000}"/>
    <cellStyle name="Normal 14 6 2 2" xfId="5527" xr:uid="{00000000-0005-0000-0000-0000362C0000}"/>
    <cellStyle name="Normal 14 6 2 2 2" xfId="10623" xr:uid="{00000000-0005-0000-0000-0000372C0000}"/>
    <cellStyle name="Normal 14 6 2 3" xfId="8234" xr:uid="{00000000-0005-0000-0000-0000382C0000}"/>
    <cellStyle name="Normal 14 6 3" xfId="4335" xr:uid="{00000000-0005-0000-0000-0000392C0000}"/>
    <cellStyle name="Normal 14 6 3 2" xfId="9431" xr:uid="{00000000-0005-0000-0000-00003A2C0000}"/>
    <cellStyle name="Normal 14 6 4" xfId="6973" xr:uid="{00000000-0005-0000-0000-00003B2C0000}"/>
    <cellStyle name="Normal 15" xfId="79" xr:uid="{00000000-0005-0000-0000-00003C2C0000}"/>
    <cellStyle name="Normal 15 2" xfId="1744" xr:uid="{00000000-0005-0000-0000-00003D2C0000}"/>
    <cellStyle name="Normal 15 2 2" xfId="1745" xr:uid="{00000000-0005-0000-0000-00003E2C0000}"/>
    <cellStyle name="Normal 15 2 2 2" xfId="1746" xr:uid="{00000000-0005-0000-0000-00003F2C0000}"/>
    <cellStyle name="Normal 15 2 2 2 2" xfId="1747" xr:uid="{00000000-0005-0000-0000-0000402C0000}"/>
    <cellStyle name="Normal 15 2 2 2 2 2" xfId="3150" xr:uid="{00000000-0005-0000-0000-0000412C0000}"/>
    <cellStyle name="Normal 15 2 2 2 2 2 2" xfId="5546" xr:uid="{00000000-0005-0000-0000-0000422C0000}"/>
    <cellStyle name="Normal 15 2 2 2 2 2 2 2" xfId="10642" xr:uid="{00000000-0005-0000-0000-0000432C0000}"/>
    <cellStyle name="Normal 15 2 2 2 2 2 3" xfId="8253" xr:uid="{00000000-0005-0000-0000-0000442C0000}"/>
    <cellStyle name="Normal 15 2 2 2 2 3" xfId="4354" xr:uid="{00000000-0005-0000-0000-0000452C0000}"/>
    <cellStyle name="Normal 15 2 2 2 2 3 2" xfId="9450" xr:uid="{00000000-0005-0000-0000-0000462C0000}"/>
    <cellStyle name="Normal 15 2 2 2 2 4" xfId="6992" xr:uid="{00000000-0005-0000-0000-0000472C0000}"/>
    <cellStyle name="Normal 15 2 2 2 3" xfId="3149" xr:uid="{00000000-0005-0000-0000-0000482C0000}"/>
    <cellStyle name="Normal 15 2 2 2 3 2" xfId="5545" xr:uid="{00000000-0005-0000-0000-0000492C0000}"/>
    <cellStyle name="Normal 15 2 2 2 3 2 2" xfId="10641" xr:uid="{00000000-0005-0000-0000-00004A2C0000}"/>
    <cellStyle name="Normal 15 2 2 2 3 3" xfId="8252" xr:uid="{00000000-0005-0000-0000-00004B2C0000}"/>
    <cellStyle name="Normal 15 2 2 2 4" xfId="4353" xr:uid="{00000000-0005-0000-0000-00004C2C0000}"/>
    <cellStyle name="Normal 15 2 2 2 4 2" xfId="9449" xr:uid="{00000000-0005-0000-0000-00004D2C0000}"/>
    <cellStyle name="Normal 15 2 2 2 5" xfId="6991" xr:uid="{00000000-0005-0000-0000-00004E2C0000}"/>
    <cellStyle name="Normal 15 2 2 3" xfId="1748" xr:uid="{00000000-0005-0000-0000-00004F2C0000}"/>
    <cellStyle name="Normal 15 2 2 3 2" xfId="3151" xr:uid="{00000000-0005-0000-0000-0000502C0000}"/>
    <cellStyle name="Normal 15 2 2 3 2 2" xfId="5547" xr:uid="{00000000-0005-0000-0000-0000512C0000}"/>
    <cellStyle name="Normal 15 2 2 3 2 2 2" xfId="10643" xr:uid="{00000000-0005-0000-0000-0000522C0000}"/>
    <cellStyle name="Normal 15 2 2 3 2 3" xfId="8254" xr:uid="{00000000-0005-0000-0000-0000532C0000}"/>
    <cellStyle name="Normal 15 2 2 3 3" xfId="4355" xr:uid="{00000000-0005-0000-0000-0000542C0000}"/>
    <cellStyle name="Normal 15 2 2 3 3 2" xfId="9451" xr:uid="{00000000-0005-0000-0000-0000552C0000}"/>
    <cellStyle name="Normal 15 2 2 3 4" xfId="6993" xr:uid="{00000000-0005-0000-0000-0000562C0000}"/>
    <cellStyle name="Normal 15 2 2 4" xfId="1749" xr:uid="{00000000-0005-0000-0000-0000572C0000}"/>
    <cellStyle name="Normal 15 2 2 4 2" xfId="3152" xr:uid="{00000000-0005-0000-0000-0000582C0000}"/>
    <cellStyle name="Normal 15 2 2 4 2 2" xfId="5548" xr:uid="{00000000-0005-0000-0000-0000592C0000}"/>
    <cellStyle name="Normal 15 2 2 4 2 2 2" xfId="10644" xr:uid="{00000000-0005-0000-0000-00005A2C0000}"/>
    <cellStyle name="Normal 15 2 2 4 2 3" xfId="8255" xr:uid="{00000000-0005-0000-0000-00005B2C0000}"/>
    <cellStyle name="Normal 15 2 2 4 3" xfId="4356" xr:uid="{00000000-0005-0000-0000-00005C2C0000}"/>
    <cellStyle name="Normal 15 2 2 4 3 2" xfId="9452" xr:uid="{00000000-0005-0000-0000-00005D2C0000}"/>
    <cellStyle name="Normal 15 2 2 4 4" xfId="6994" xr:uid="{00000000-0005-0000-0000-00005E2C0000}"/>
    <cellStyle name="Normal 15 2 2 5" xfId="3148" xr:uid="{00000000-0005-0000-0000-00005F2C0000}"/>
    <cellStyle name="Normal 15 2 2 5 2" xfId="5544" xr:uid="{00000000-0005-0000-0000-0000602C0000}"/>
    <cellStyle name="Normal 15 2 2 5 2 2" xfId="10640" xr:uid="{00000000-0005-0000-0000-0000612C0000}"/>
    <cellStyle name="Normal 15 2 2 5 3" xfId="8251" xr:uid="{00000000-0005-0000-0000-0000622C0000}"/>
    <cellStyle name="Normal 15 2 2 6" xfId="4352" xr:uid="{00000000-0005-0000-0000-0000632C0000}"/>
    <cellStyle name="Normal 15 2 2 6 2" xfId="9448" xr:uid="{00000000-0005-0000-0000-0000642C0000}"/>
    <cellStyle name="Normal 15 2 2 7" xfId="6990" xr:uid="{00000000-0005-0000-0000-0000652C0000}"/>
    <cellStyle name="Normal 15 2 3" xfId="1750" xr:uid="{00000000-0005-0000-0000-0000662C0000}"/>
    <cellStyle name="Normal 15 2 3 2" xfId="1751" xr:uid="{00000000-0005-0000-0000-0000672C0000}"/>
    <cellStyle name="Normal 15 2 3 2 2" xfId="3154" xr:uid="{00000000-0005-0000-0000-0000682C0000}"/>
    <cellStyle name="Normal 15 2 3 2 2 2" xfId="5550" xr:uid="{00000000-0005-0000-0000-0000692C0000}"/>
    <cellStyle name="Normal 15 2 3 2 2 2 2" xfId="10646" xr:uid="{00000000-0005-0000-0000-00006A2C0000}"/>
    <cellStyle name="Normal 15 2 3 2 2 3" xfId="8257" xr:uid="{00000000-0005-0000-0000-00006B2C0000}"/>
    <cellStyle name="Normal 15 2 3 2 3" xfId="4358" xr:uid="{00000000-0005-0000-0000-00006C2C0000}"/>
    <cellStyle name="Normal 15 2 3 2 3 2" xfId="9454" xr:uid="{00000000-0005-0000-0000-00006D2C0000}"/>
    <cellStyle name="Normal 15 2 3 2 4" xfId="6996" xr:uid="{00000000-0005-0000-0000-00006E2C0000}"/>
    <cellStyle name="Normal 15 2 3 3" xfId="3153" xr:uid="{00000000-0005-0000-0000-00006F2C0000}"/>
    <cellStyle name="Normal 15 2 3 3 2" xfId="5549" xr:uid="{00000000-0005-0000-0000-0000702C0000}"/>
    <cellStyle name="Normal 15 2 3 3 2 2" xfId="10645" xr:uid="{00000000-0005-0000-0000-0000712C0000}"/>
    <cellStyle name="Normal 15 2 3 3 3" xfId="8256" xr:uid="{00000000-0005-0000-0000-0000722C0000}"/>
    <cellStyle name="Normal 15 2 3 4" xfId="4357" xr:uid="{00000000-0005-0000-0000-0000732C0000}"/>
    <cellStyle name="Normal 15 2 3 4 2" xfId="9453" xr:uid="{00000000-0005-0000-0000-0000742C0000}"/>
    <cellStyle name="Normal 15 2 3 5" xfId="6995" xr:uid="{00000000-0005-0000-0000-0000752C0000}"/>
    <cellStyle name="Normal 15 2 4" xfId="1752" xr:uid="{00000000-0005-0000-0000-0000762C0000}"/>
    <cellStyle name="Normal 15 2 4 2" xfId="3155" xr:uid="{00000000-0005-0000-0000-0000772C0000}"/>
    <cellStyle name="Normal 15 2 4 2 2" xfId="5551" xr:uid="{00000000-0005-0000-0000-0000782C0000}"/>
    <cellStyle name="Normal 15 2 4 2 2 2" xfId="10647" xr:uid="{00000000-0005-0000-0000-0000792C0000}"/>
    <cellStyle name="Normal 15 2 4 2 3" xfId="8258" xr:uid="{00000000-0005-0000-0000-00007A2C0000}"/>
    <cellStyle name="Normal 15 2 4 3" xfId="4359" xr:uid="{00000000-0005-0000-0000-00007B2C0000}"/>
    <cellStyle name="Normal 15 2 4 3 2" xfId="9455" xr:uid="{00000000-0005-0000-0000-00007C2C0000}"/>
    <cellStyle name="Normal 15 2 4 4" xfId="6997" xr:uid="{00000000-0005-0000-0000-00007D2C0000}"/>
    <cellStyle name="Normal 15 2 5" xfId="1753" xr:uid="{00000000-0005-0000-0000-00007E2C0000}"/>
    <cellStyle name="Normal 15 2 5 2" xfId="3156" xr:uid="{00000000-0005-0000-0000-00007F2C0000}"/>
    <cellStyle name="Normal 15 2 5 2 2" xfId="5552" xr:uid="{00000000-0005-0000-0000-0000802C0000}"/>
    <cellStyle name="Normal 15 2 5 2 2 2" xfId="10648" xr:uid="{00000000-0005-0000-0000-0000812C0000}"/>
    <cellStyle name="Normal 15 2 5 2 3" xfId="8259" xr:uid="{00000000-0005-0000-0000-0000822C0000}"/>
    <cellStyle name="Normal 15 2 5 3" xfId="4360" xr:uid="{00000000-0005-0000-0000-0000832C0000}"/>
    <cellStyle name="Normal 15 2 5 3 2" xfId="9456" xr:uid="{00000000-0005-0000-0000-0000842C0000}"/>
    <cellStyle name="Normal 15 2 5 4" xfId="6998" xr:uid="{00000000-0005-0000-0000-0000852C0000}"/>
    <cellStyle name="Normal 15 2 6" xfId="3147" xr:uid="{00000000-0005-0000-0000-0000862C0000}"/>
    <cellStyle name="Normal 15 2 6 2" xfId="5543" xr:uid="{00000000-0005-0000-0000-0000872C0000}"/>
    <cellStyle name="Normal 15 2 6 2 2" xfId="10639" xr:uid="{00000000-0005-0000-0000-0000882C0000}"/>
    <cellStyle name="Normal 15 2 6 3" xfId="8250" xr:uid="{00000000-0005-0000-0000-0000892C0000}"/>
    <cellStyle name="Normal 15 2 7" xfId="4351" xr:uid="{00000000-0005-0000-0000-00008A2C0000}"/>
    <cellStyle name="Normal 15 2 7 2" xfId="9447" xr:uid="{00000000-0005-0000-0000-00008B2C0000}"/>
    <cellStyle name="Normal 15 2 8" xfId="6989" xr:uid="{00000000-0005-0000-0000-00008C2C0000}"/>
    <cellStyle name="Normal 15 3" xfId="1754" xr:uid="{00000000-0005-0000-0000-00008D2C0000}"/>
    <cellStyle name="Normal 15 3 2" xfId="1755" xr:uid="{00000000-0005-0000-0000-00008E2C0000}"/>
    <cellStyle name="Normal 15 3 2 2" xfId="1756" xr:uid="{00000000-0005-0000-0000-00008F2C0000}"/>
    <cellStyle name="Normal 15 3 2 2 2" xfId="3159" xr:uid="{00000000-0005-0000-0000-0000902C0000}"/>
    <cellStyle name="Normal 15 3 2 2 2 2" xfId="5555" xr:uid="{00000000-0005-0000-0000-0000912C0000}"/>
    <cellStyle name="Normal 15 3 2 2 2 2 2" xfId="10651" xr:uid="{00000000-0005-0000-0000-0000922C0000}"/>
    <cellStyle name="Normal 15 3 2 2 2 3" xfId="8262" xr:uid="{00000000-0005-0000-0000-0000932C0000}"/>
    <cellStyle name="Normal 15 3 2 2 3" xfId="4363" xr:uid="{00000000-0005-0000-0000-0000942C0000}"/>
    <cellStyle name="Normal 15 3 2 2 3 2" xfId="9459" xr:uid="{00000000-0005-0000-0000-0000952C0000}"/>
    <cellStyle name="Normal 15 3 2 2 4" xfId="7001" xr:uid="{00000000-0005-0000-0000-0000962C0000}"/>
    <cellStyle name="Normal 15 3 2 3" xfId="3158" xr:uid="{00000000-0005-0000-0000-0000972C0000}"/>
    <cellStyle name="Normal 15 3 2 3 2" xfId="5554" xr:uid="{00000000-0005-0000-0000-0000982C0000}"/>
    <cellStyle name="Normal 15 3 2 3 2 2" xfId="10650" xr:uid="{00000000-0005-0000-0000-0000992C0000}"/>
    <cellStyle name="Normal 15 3 2 3 3" xfId="8261" xr:uid="{00000000-0005-0000-0000-00009A2C0000}"/>
    <cellStyle name="Normal 15 3 2 4" xfId="4362" xr:uid="{00000000-0005-0000-0000-00009B2C0000}"/>
    <cellStyle name="Normal 15 3 2 4 2" xfId="9458" xr:uid="{00000000-0005-0000-0000-00009C2C0000}"/>
    <cellStyle name="Normal 15 3 2 5" xfId="7000" xr:uid="{00000000-0005-0000-0000-00009D2C0000}"/>
    <cellStyle name="Normal 15 3 3" xfId="1757" xr:uid="{00000000-0005-0000-0000-00009E2C0000}"/>
    <cellStyle name="Normal 15 3 3 2" xfId="3160" xr:uid="{00000000-0005-0000-0000-00009F2C0000}"/>
    <cellStyle name="Normal 15 3 3 2 2" xfId="5556" xr:uid="{00000000-0005-0000-0000-0000A02C0000}"/>
    <cellStyle name="Normal 15 3 3 2 2 2" xfId="10652" xr:uid="{00000000-0005-0000-0000-0000A12C0000}"/>
    <cellStyle name="Normal 15 3 3 2 3" xfId="8263" xr:uid="{00000000-0005-0000-0000-0000A22C0000}"/>
    <cellStyle name="Normal 15 3 3 3" xfId="4364" xr:uid="{00000000-0005-0000-0000-0000A32C0000}"/>
    <cellStyle name="Normal 15 3 3 3 2" xfId="9460" xr:uid="{00000000-0005-0000-0000-0000A42C0000}"/>
    <cellStyle name="Normal 15 3 3 4" xfId="7002" xr:uid="{00000000-0005-0000-0000-0000A52C0000}"/>
    <cellStyle name="Normal 15 3 4" xfId="1758" xr:uid="{00000000-0005-0000-0000-0000A62C0000}"/>
    <cellStyle name="Normal 15 3 4 2" xfId="3161" xr:uid="{00000000-0005-0000-0000-0000A72C0000}"/>
    <cellStyle name="Normal 15 3 4 2 2" xfId="5557" xr:uid="{00000000-0005-0000-0000-0000A82C0000}"/>
    <cellStyle name="Normal 15 3 4 2 2 2" xfId="10653" xr:uid="{00000000-0005-0000-0000-0000A92C0000}"/>
    <cellStyle name="Normal 15 3 4 2 3" xfId="8264" xr:uid="{00000000-0005-0000-0000-0000AA2C0000}"/>
    <cellStyle name="Normal 15 3 4 3" xfId="4365" xr:uid="{00000000-0005-0000-0000-0000AB2C0000}"/>
    <cellStyle name="Normal 15 3 4 3 2" xfId="9461" xr:uid="{00000000-0005-0000-0000-0000AC2C0000}"/>
    <cellStyle name="Normal 15 3 4 4" xfId="7003" xr:uid="{00000000-0005-0000-0000-0000AD2C0000}"/>
    <cellStyle name="Normal 15 3 5" xfId="3157" xr:uid="{00000000-0005-0000-0000-0000AE2C0000}"/>
    <cellStyle name="Normal 15 3 5 2" xfId="5553" xr:uid="{00000000-0005-0000-0000-0000AF2C0000}"/>
    <cellStyle name="Normal 15 3 5 2 2" xfId="10649" xr:uid="{00000000-0005-0000-0000-0000B02C0000}"/>
    <cellStyle name="Normal 15 3 5 3" xfId="8260" xr:uid="{00000000-0005-0000-0000-0000B12C0000}"/>
    <cellStyle name="Normal 15 3 6" xfId="4361" xr:uid="{00000000-0005-0000-0000-0000B22C0000}"/>
    <cellStyle name="Normal 15 3 6 2" xfId="9457" xr:uid="{00000000-0005-0000-0000-0000B32C0000}"/>
    <cellStyle name="Normal 15 3 7" xfId="6999" xr:uid="{00000000-0005-0000-0000-0000B42C0000}"/>
    <cellStyle name="Normal 15 4" xfId="1759" xr:uid="{00000000-0005-0000-0000-0000B52C0000}"/>
    <cellStyle name="Normal 15 4 2" xfId="1760" xr:uid="{00000000-0005-0000-0000-0000B62C0000}"/>
    <cellStyle name="Normal 15 4 2 2" xfId="1761" xr:uid="{00000000-0005-0000-0000-0000B72C0000}"/>
    <cellStyle name="Normal 15 4 2 2 2" xfId="3164" xr:uid="{00000000-0005-0000-0000-0000B82C0000}"/>
    <cellStyle name="Normal 15 4 2 2 2 2" xfId="5560" xr:uid="{00000000-0005-0000-0000-0000B92C0000}"/>
    <cellStyle name="Normal 15 4 2 2 2 2 2" xfId="10656" xr:uid="{00000000-0005-0000-0000-0000BA2C0000}"/>
    <cellStyle name="Normal 15 4 2 2 2 3" xfId="8267" xr:uid="{00000000-0005-0000-0000-0000BB2C0000}"/>
    <cellStyle name="Normal 15 4 2 2 3" xfId="4368" xr:uid="{00000000-0005-0000-0000-0000BC2C0000}"/>
    <cellStyle name="Normal 15 4 2 2 3 2" xfId="9464" xr:uid="{00000000-0005-0000-0000-0000BD2C0000}"/>
    <cellStyle name="Normal 15 4 2 2 4" xfId="7006" xr:uid="{00000000-0005-0000-0000-0000BE2C0000}"/>
    <cellStyle name="Normal 15 4 2 3" xfId="3163" xr:uid="{00000000-0005-0000-0000-0000BF2C0000}"/>
    <cellStyle name="Normal 15 4 2 3 2" xfId="5559" xr:uid="{00000000-0005-0000-0000-0000C02C0000}"/>
    <cellStyle name="Normal 15 4 2 3 2 2" xfId="10655" xr:uid="{00000000-0005-0000-0000-0000C12C0000}"/>
    <cellStyle name="Normal 15 4 2 3 3" xfId="8266" xr:uid="{00000000-0005-0000-0000-0000C22C0000}"/>
    <cellStyle name="Normal 15 4 2 4" xfId="4367" xr:uid="{00000000-0005-0000-0000-0000C32C0000}"/>
    <cellStyle name="Normal 15 4 2 4 2" xfId="9463" xr:uid="{00000000-0005-0000-0000-0000C42C0000}"/>
    <cellStyle name="Normal 15 4 2 5" xfId="7005" xr:uid="{00000000-0005-0000-0000-0000C52C0000}"/>
    <cellStyle name="Normal 15 4 3" xfId="1762" xr:uid="{00000000-0005-0000-0000-0000C62C0000}"/>
    <cellStyle name="Normal 15 4 3 2" xfId="3165" xr:uid="{00000000-0005-0000-0000-0000C72C0000}"/>
    <cellStyle name="Normal 15 4 3 2 2" xfId="5561" xr:uid="{00000000-0005-0000-0000-0000C82C0000}"/>
    <cellStyle name="Normal 15 4 3 2 2 2" xfId="10657" xr:uid="{00000000-0005-0000-0000-0000C92C0000}"/>
    <cellStyle name="Normal 15 4 3 2 3" xfId="8268" xr:uid="{00000000-0005-0000-0000-0000CA2C0000}"/>
    <cellStyle name="Normal 15 4 3 3" xfId="4369" xr:uid="{00000000-0005-0000-0000-0000CB2C0000}"/>
    <cellStyle name="Normal 15 4 3 3 2" xfId="9465" xr:uid="{00000000-0005-0000-0000-0000CC2C0000}"/>
    <cellStyle name="Normal 15 4 3 4" xfId="7007" xr:uid="{00000000-0005-0000-0000-0000CD2C0000}"/>
    <cellStyle name="Normal 15 4 4" xfId="1763" xr:uid="{00000000-0005-0000-0000-0000CE2C0000}"/>
    <cellStyle name="Normal 15 4 4 2" xfId="3166" xr:uid="{00000000-0005-0000-0000-0000CF2C0000}"/>
    <cellStyle name="Normal 15 4 4 2 2" xfId="5562" xr:uid="{00000000-0005-0000-0000-0000D02C0000}"/>
    <cellStyle name="Normal 15 4 4 2 2 2" xfId="10658" xr:uid="{00000000-0005-0000-0000-0000D12C0000}"/>
    <cellStyle name="Normal 15 4 4 2 3" xfId="8269" xr:uid="{00000000-0005-0000-0000-0000D22C0000}"/>
    <cellStyle name="Normal 15 4 4 3" xfId="4370" xr:uid="{00000000-0005-0000-0000-0000D32C0000}"/>
    <cellStyle name="Normal 15 4 4 3 2" xfId="9466" xr:uid="{00000000-0005-0000-0000-0000D42C0000}"/>
    <cellStyle name="Normal 15 4 4 4" xfId="7008" xr:uid="{00000000-0005-0000-0000-0000D52C0000}"/>
    <cellStyle name="Normal 15 4 5" xfId="3162" xr:uid="{00000000-0005-0000-0000-0000D62C0000}"/>
    <cellStyle name="Normal 15 4 5 2" xfId="5558" xr:uid="{00000000-0005-0000-0000-0000D72C0000}"/>
    <cellStyle name="Normal 15 4 5 2 2" xfId="10654" xr:uid="{00000000-0005-0000-0000-0000D82C0000}"/>
    <cellStyle name="Normal 15 4 5 3" xfId="8265" xr:uid="{00000000-0005-0000-0000-0000D92C0000}"/>
    <cellStyle name="Normal 15 4 6" xfId="4366" xr:uid="{00000000-0005-0000-0000-0000DA2C0000}"/>
    <cellStyle name="Normal 15 4 6 2" xfId="9462" xr:uid="{00000000-0005-0000-0000-0000DB2C0000}"/>
    <cellStyle name="Normal 15 4 7" xfId="7004" xr:uid="{00000000-0005-0000-0000-0000DC2C0000}"/>
    <cellStyle name="Normal 15 5" xfId="1764" xr:uid="{00000000-0005-0000-0000-0000DD2C0000}"/>
    <cellStyle name="Normal 15 5 2" xfId="1765" xr:uid="{00000000-0005-0000-0000-0000DE2C0000}"/>
    <cellStyle name="Normal 15 5 2 2" xfId="1766" xr:uid="{00000000-0005-0000-0000-0000DF2C0000}"/>
    <cellStyle name="Normal 15 5 2 2 2" xfId="3169" xr:uid="{00000000-0005-0000-0000-0000E02C0000}"/>
    <cellStyle name="Normal 15 5 2 2 2 2" xfId="5565" xr:uid="{00000000-0005-0000-0000-0000E12C0000}"/>
    <cellStyle name="Normal 15 5 2 2 2 2 2" xfId="10661" xr:uid="{00000000-0005-0000-0000-0000E22C0000}"/>
    <cellStyle name="Normal 15 5 2 2 2 3" xfId="8272" xr:uid="{00000000-0005-0000-0000-0000E32C0000}"/>
    <cellStyle name="Normal 15 5 2 2 3" xfId="4373" xr:uid="{00000000-0005-0000-0000-0000E42C0000}"/>
    <cellStyle name="Normal 15 5 2 2 3 2" xfId="9469" xr:uid="{00000000-0005-0000-0000-0000E52C0000}"/>
    <cellStyle name="Normal 15 5 2 2 4" xfId="7011" xr:uid="{00000000-0005-0000-0000-0000E62C0000}"/>
    <cellStyle name="Normal 15 5 2 3" xfId="3168" xr:uid="{00000000-0005-0000-0000-0000E72C0000}"/>
    <cellStyle name="Normal 15 5 2 3 2" xfId="5564" xr:uid="{00000000-0005-0000-0000-0000E82C0000}"/>
    <cellStyle name="Normal 15 5 2 3 2 2" xfId="10660" xr:uid="{00000000-0005-0000-0000-0000E92C0000}"/>
    <cellStyle name="Normal 15 5 2 3 3" xfId="8271" xr:uid="{00000000-0005-0000-0000-0000EA2C0000}"/>
    <cellStyle name="Normal 15 5 2 4" xfId="4372" xr:uid="{00000000-0005-0000-0000-0000EB2C0000}"/>
    <cellStyle name="Normal 15 5 2 4 2" xfId="9468" xr:uid="{00000000-0005-0000-0000-0000EC2C0000}"/>
    <cellStyle name="Normal 15 5 2 5" xfId="7010" xr:uid="{00000000-0005-0000-0000-0000ED2C0000}"/>
    <cellStyle name="Normal 15 5 3" xfId="1767" xr:uid="{00000000-0005-0000-0000-0000EE2C0000}"/>
    <cellStyle name="Normal 15 5 3 2" xfId="3170" xr:uid="{00000000-0005-0000-0000-0000EF2C0000}"/>
    <cellStyle name="Normal 15 5 3 2 2" xfId="5566" xr:uid="{00000000-0005-0000-0000-0000F02C0000}"/>
    <cellStyle name="Normal 15 5 3 2 2 2" xfId="10662" xr:uid="{00000000-0005-0000-0000-0000F12C0000}"/>
    <cellStyle name="Normal 15 5 3 2 3" xfId="8273" xr:uid="{00000000-0005-0000-0000-0000F22C0000}"/>
    <cellStyle name="Normal 15 5 3 3" xfId="4374" xr:uid="{00000000-0005-0000-0000-0000F32C0000}"/>
    <cellStyle name="Normal 15 5 3 3 2" xfId="9470" xr:uid="{00000000-0005-0000-0000-0000F42C0000}"/>
    <cellStyle name="Normal 15 5 3 4" xfId="7012" xr:uid="{00000000-0005-0000-0000-0000F52C0000}"/>
    <cellStyle name="Normal 15 5 4" xfId="1768" xr:uid="{00000000-0005-0000-0000-0000F62C0000}"/>
    <cellStyle name="Normal 15 5 4 2" xfId="3171" xr:uid="{00000000-0005-0000-0000-0000F72C0000}"/>
    <cellStyle name="Normal 15 5 4 2 2" xfId="5567" xr:uid="{00000000-0005-0000-0000-0000F82C0000}"/>
    <cellStyle name="Normal 15 5 4 2 2 2" xfId="10663" xr:uid="{00000000-0005-0000-0000-0000F92C0000}"/>
    <cellStyle name="Normal 15 5 4 2 3" xfId="8274" xr:uid="{00000000-0005-0000-0000-0000FA2C0000}"/>
    <cellStyle name="Normal 15 5 4 3" xfId="4375" xr:uid="{00000000-0005-0000-0000-0000FB2C0000}"/>
    <cellStyle name="Normal 15 5 4 3 2" xfId="9471" xr:uid="{00000000-0005-0000-0000-0000FC2C0000}"/>
    <cellStyle name="Normal 15 5 4 4" xfId="7013" xr:uid="{00000000-0005-0000-0000-0000FD2C0000}"/>
    <cellStyle name="Normal 15 5 5" xfId="3167" xr:uid="{00000000-0005-0000-0000-0000FE2C0000}"/>
    <cellStyle name="Normal 15 5 5 2" xfId="5563" xr:uid="{00000000-0005-0000-0000-0000FF2C0000}"/>
    <cellStyle name="Normal 15 5 5 2 2" xfId="10659" xr:uid="{00000000-0005-0000-0000-0000002D0000}"/>
    <cellStyle name="Normal 15 5 5 3" xfId="8270" xr:uid="{00000000-0005-0000-0000-0000012D0000}"/>
    <cellStyle name="Normal 15 5 6" xfId="4371" xr:uid="{00000000-0005-0000-0000-0000022D0000}"/>
    <cellStyle name="Normal 15 5 6 2" xfId="9467" xr:uid="{00000000-0005-0000-0000-0000032D0000}"/>
    <cellStyle name="Normal 15 5 7" xfId="7009" xr:uid="{00000000-0005-0000-0000-0000042D0000}"/>
    <cellStyle name="Normal 15 6" xfId="1769" xr:uid="{00000000-0005-0000-0000-0000052D0000}"/>
    <cellStyle name="Normal 15 6 2" xfId="1770" xr:uid="{00000000-0005-0000-0000-0000062D0000}"/>
    <cellStyle name="Normal 15 6 2 2" xfId="3173" xr:uid="{00000000-0005-0000-0000-0000072D0000}"/>
    <cellStyle name="Normal 15 6 2 2 2" xfId="5569" xr:uid="{00000000-0005-0000-0000-0000082D0000}"/>
    <cellStyle name="Normal 15 6 2 2 2 2" xfId="10665" xr:uid="{00000000-0005-0000-0000-0000092D0000}"/>
    <cellStyle name="Normal 15 6 2 2 3" xfId="8276" xr:uid="{00000000-0005-0000-0000-00000A2D0000}"/>
    <cellStyle name="Normal 15 6 2 3" xfId="4377" xr:uid="{00000000-0005-0000-0000-00000B2D0000}"/>
    <cellStyle name="Normal 15 6 2 3 2" xfId="9473" xr:uid="{00000000-0005-0000-0000-00000C2D0000}"/>
    <cellStyle name="Normal 15 6 2 4" xfId="7015" xr:uid="{00000000-0005-0000-0000-00000D2D0000}"/>
    <cellStyle name="Normal 15 6 3" xfId="3172" xr:uid="{00000000-0005-0000-0000-00000E2D0000}"/>
    <cellStyle name="Normal 15 6 3 2" xfId="5568" xr:uid="{00000000-0005-0000-0000-00000F2D0000}"/>
    <cellStyle name="Normal 15 6 3 2 2" xfId="10664" xr:uid="{00000000-0005-0000-0000-0000102D0000}"/>
    <cellStyle name="Normal 15 6 3 3" xfId="8275" xr:uid="{00000000-0005-0000-0000-0000112D0000}"/>
    <cellStyle name="Normal 15 6 4" xfId="4376" xr:uid="{00000000-0005-0000-0000-0000122D0000}"/>
    <cellStyle name="Normal 15 6 4 2" xfId="9472" xr:uid="{00000000-0005-0000-0000-0000132D0000}"/>
    <cellStyle name="Normal 15 6 5" xfId="7014" xr:uid="{00000000-0005-0000-0000-0000142D0000}"/>
    <cellStyle name="Normal 15 7" xfId="1771" xr:uid="{00000000-0005-0000-0000-0000152D0000}"/>
    <cellStyle name="Normal 15 7 2" xfId="3174" xr:uid="{00000000-0005-0000-0000-0000162D0000}"/>
    <cellStyle name="Normal 15 7 2 2" xfId="5570" xr:uid="{00000000-0005-0000-0000-0000172D0000}"/>
    <cellStyle name="Normal 15 7 2 2 2" xfId="10666" xr:uid="{00000000-0005-0000-0000-0000182D0000}"/>
    <cellStyle name="Normal 15 7 2 3" xfId="8277" xr:uid="{00000000-0005-0000-0000-0000192D0000}"/>
    <cellStyle name="Normal 15 7 3" xfId="4378" xr:uid="{00000000-0005-0000-0000-00001A2D0000}"/>
    <cellStyle name="Normal 15 7 3 2" xfId="9474" xr:uid="{00000000-0005-0000-0000-00001B2D0000}"/>
    <cellStyle name="Normal 15 7 4" xfId="7016" xr:uid="{00000000-0005-0000-0000-00001C2D0000}"/>
    <cellStyle name="Normal 15 8" xfId="1772" xr:uid="{00000000-0005-0000-0000-00001D2D0000}"/>
    <cellStyle name="Normal 15 8 2" xfId="3175" xr:uid="{00000000-0005-0000-0000-00001E2D0000}"/>
    <cellStyle name="Normal 15 8 2 2" xfId="5571" xr:uid="{00000000-0005-0000-0000-00001F2D0000}"/>
    <cellStyle name="Normal 15 8 2 2 2" xfId="10667" xr:uid="{00000000-0005-0000-0000-0000202D0000}"/>
    <cellStyle name="Normal 15 8 2 3" xfId="8278" xr:uid="{00000000-0005-0000-0000-0000212D0000}"/>
    <cellStyle name="Normal 15 8 3" xfId="4379" xr:uid="{00000000-0005-0000-0000-0000222D0000}"/>
    <cellStyle name="Normal 15 8 3 2" xfId="9475" xr:uid="{00000000-0005-0000-0000-0000232D0000}"/>
    <cellStyle name="Normal 15 8 4" xfId="7017" xr:uid="{00000000-0005-0000-0000-0000242D0000}"/>
    <cellStyle name="Normal 15 9" xfId="1743" xr:uid="{00000000-0005-0000-0000-0000252D0000}"/>
    <cellStyle name="Normal 15 9 2" xfId="3146" xr:uid="{00000000-0005-0000-0000-0000262D0000}"/>
    <cellStyle name="Normal 15 9 2 2" xfId="5542" xr:uid="{00000000-0005-0000-0000-0000272D0000}"/>
    <cellStyle name="Normal 15 9 2 2 2" xfId="10638" xr:uid="{00000000-0005-0000-0000-0000282D0000}"/>
    <cellStyle name="Normal 15 9 2 3" xfId="8249" xr:uid="{00000000-0005-0000-0000-0000292D0000}"/>
    <cellStyle name="Normal 15 9 3" xfId="4350" xr:uid="{00000000-0005-0000-0000-00002A2D0000}"/>
    <cellStyle name="Normal 15 9 3 2" xfId="9446" xr:uid="{00000000-0005-0000-0000-00002B2D0000}"/>
    <cellStyle name="Normal 15 9 4" xfId="6988" xr:uid="{00000000-0005-0000-0000-00002C2D0000}"/>
    <cellStyle name="Normal 150" xfId="1773" xr:uid="{00000000-0005-0000-0000-00002D2D0000}"/>
    <cellStyle name="Normal 16" xfId="80" xr:uid="{00000000-0005-0000-0000-00002E2D0000}"/>
    <cellStyle name="Normal 16 2" xfId="1775" xr:uid="{00000000-0005-0000-0000-00002F2D0000}"/>
    <cellStyle name="Normal 16 2 2" xfId="1776" xr:uid="{00000000-0005-0000-0000-0000302D0000}"/>
    <cellStyle name="Normal 16 2 2 2" xfId="1777" xr:uid="{00000000-0005-0000-0000-0000312D0000}"/>
    <cellStyle name="Normal 16 2 2 2 2" xfId="3179" xr:uid="{00000000-0005-0000-0000-0000322D0000}"/>
    <cellStyle name="Normal 16 2 2 2 2 2" xfId="5575" xr:uid="{00000000-0005-0000-0000-0000332D0000}"/>
    <cellStyle name="Normal 16 2 2 2 2 2 2" xfId="10671" xr:uid="{00000000-0005-0000-0000-0000342D0000}"/>
    <cellStyle name="Normal 16 2 2 2 2 3" xfId="8282" xr:uid="{00000000-0005-0000-0000-0000352D0000}"/>
    <cellStyle name="Normal 16 2 2 2 3" xfId="4383" xr:uid="{00000000-0005-0000-0000-0000362D0000}"/>
    <cellStyle name="Normal 16 2 2 2 3 2" xfId="9479" xr:uid="{00000000-0005-0000-0000-0000372D0000}"/>
    <cellStyle name="Normal 16 2 2 2 4" xfId="7021" xr:uid="{00000000-0005-0000-0000-0000382D0000}"/>
    <cellStyle name="Normal 16 2 2 3" xfId="1778" xr:uid="{00000000-0005-0000-0000-0000392D0000}"/>
    <cellStyle name="Normal 16 2 2 3 2" xfId="3180" xr:uid="{00000000-0005-0000-0000-00003A2D0000}"/>
    <cellStyle name="Normal 16 2 2 3 2 2" xfId="5576" xr:uid="{00000000-0005-0000-0000-00003B2D0000}"/>
    <cellStyle name="Normal 16 2 2 3 2 2 2" xfId="10672" xr:uid="{00000000-0005-0000-0000-00003C2D0000}"/>
    <cellStyle name="Normal 16 2 2 3 2 3" xfId="8283" xr:uid="{00000000-0005-0000-0000-00003D2D0000}"/>
    <cellStyle name="Normal 16 2 2 3 3" xfId="4384" xr:uid="{00000000-0005-0000-0000-00003E2D0000}"/>
    <cellStyle name="Normal 16 2 2 3 3 2" xfId="9480" xr:uid="{00000000-0005-0000-0000-00003F2D0000}"/>
    <cellStyle name="Normal 16 2 2 3 4" xfId="7022" xr:uid="{00000000-0005-0000-0000-0000402D0000}"/>
    <cellStyle name="Normal 16 2 2 4" xfId="3178" xr:uid="{00000000-0005-0000-0000-0000412D0000}"/>
    <cellStyle name="Normal 16 2 2 4 2" xfId="5574" xr:uid="{00000000-0005-0000-0000-0000422D0000}"/>
    <cellStyle name="Normal 16 2 2 4 2 2" xfId="10670" xr:uid="{00000000-0005-0000-0000-0000432D0000}"/>
    <cellStyle name="Normal 16 2 2 4 3" xfId="8281" xr:uid="{00000000-0005-0000-0000-0000442D0000}"/>
    <cellStyle name="Normal 16 2 2 5" xfId="4382" xr:uid="{00000000-0005-0000-0000-0000452D0000}"/>
    <cellStyle name="Normal 16 2 2 5 2" xfId="9478" xr:uid="{00000000-0005-0000-0000-0000462D0000}"/>
    <cellStyle name="Normal 16 2 2 6" xfId="7020" xr:uid="{00000000-0005-0000-0000-0000472D0000}"/>
    <cellStyle name="Normal 16 2 3" xfId="1779" xr:uid="{00000000-0005-0000-0000-0000482D0000}"/>
    <cellStyle name="Normal 16 2 3 2" xfId="3181" xr:uid="{00000000-0005-0000-0000-0000492D0000}"/>
    <cellStyle name="Normal 16 2 3 2 2" xfId="5577" xr:uid="{00000000-0005-0000-0000-00004A2D0000}"/>
    <cellStyle name="Normal 16 2 3 2 2 2" xfId="10673" xr:uid="{00000000-0005-0000-0000-00004B2D0000}"/>
    <cellStyle name="Normal 16 2 3 2 3" xfId="8284" xr:uid="{00000000-0005-0000-0000-00004C2D0000}"/>
    <cellStyle name="Normal 16 2 3 3" xfId="4385" xr:uid="{00000000-0005-0000-0000-00004D2D0000}"/>
    <cellStyle name="Normal 16 2 3 3 2" xfId="9481" xr:uid="{00000000-0005-0000-0000-00004E2D0000}"/>
    <cellStyle name="Normal 16 2 3 4" xfId="7023" xr:uid="{00000000-0005-0000-0000-00004F2D0000}"/>
    <cellStyle name="Normal 16 2 4" xfId="1780" xr:uid="{00000000-0005-0000-0000-0000502D0000}"/>
    <cellStyle name="Normal 16 2 4 2" xfId="3182" xr:uid="{00000000-0005-0000-0000-0000512D0000}"/>
    <cellStyle name="Normal 16 2 4 2 2" xfId="5578" xr:uid="{00000000-0005-0000-0000-0000522D0000}"/>
    <cellStyle name="Normal 16 2 4 2 2 2" xfId="10674" xr:uid="{00000000-0005-0000-0000-0000532D0000}"/>
    <cellStyle name="Normal 16 2 4 2 3" xfId="8285" xr:uid="{00000000-0005-0000-0000-0000542D0000}"/>
    <cellStyle name="Normal 16 2 4 3" xfId="4386" xr:uid="{00000000-0005-0000-0000-0000552D0000}"/>
    <cellStyle name="Normal 16 2 4 3 2" xfId="9482" xr:uid="{00000000-0005-0000-0000-0000562D0000}"/>
    <cellStyle name="Normal 16 2 4 4" xfId="7024" xr:uid="{00000000-0005-0000-0000-0000572D0000}"/>
    <cellStyle name="Normal 16 2 5" xfId="3177" xr:uid="{00000000-0005-0000-0000-0000582D0000}"/>
    <cellStyle name="Normal 16 2 5 2" xfId="5573" xr:uid="{00000000-0005-0000-0000-0000592D0000}"/>
    <cellStyle name="Normal 16 2 5 2 2" xfId="10669" xr:uid="{00000000-0005-0000-0000-00005A2D0000}"/>
    <cellStyle name="Normal 16 2 5 3" xfId="8280" xr:uid="{00000000-0005-0000-0000-00005B2D0000}"/>
    <cellStyle name="Normal 16 2 6" xfId="4381" xr:uid="{00000000-0005-0000-0000-00005C2D0000}"/>
    <cellStyle name="Normal 16 2 6 2" xfId="9477" xr:uid="{00000000-0005-0000-0000-00005D2D0000}"/>
    <cellStyle name="Normal 16 2 7" xfId="7019" xr:uid="{00000000-0005-0000-0000-00005E2D0000}"/>
    <cellStyle name="Normal 16 3" xfId="1781" xr:uid="{00000000-0005-0000-0000-00005F2D0000}"/>
    <cellStyle name="Normal 16 3 2" xfId="1782" xr:uid="{00000000-0005-0000-0000-0000602D0000}"/>
    <cellStyle name="Normal 16 3 2 2" xfId="1783" xr:uid="{00000000-0005-0000-0000-0000612D0000}"/>
    <cellStyle name="Normal 16 3 2 2 2" xfId="3185" xr:uid="{00000000-0005-0000-0000-0000622D0000}"/>
    <cellStyle name="Normal 16 3 2 2 2 2" xfId="5581" xr:uid="{00000000-0005-0000-0000-0000632D0000}"/>
    <cellStyle name="Normal 16 3 2 2 2 2 2" xfId="10677" xr:uid="{00000000-0005-0000-0000-0000642D0000}"/>
    <cellStyle name="Normal 16 3 2 2 2 3" xfId="8288" xr:uid="{00000000-0005-0000-0000-0000652D0000}"/>
    <cellStyle name="Normal 16 3 2 2 3" xfId="4389" xr:uid="{00000000-0005-0000-0000-0000662D0000}"/>
    <cellStyle name="Normal 16 3 2 2 3 2" xfId="9485" xr:uid="{00000000-0005-0000-0000-0000672D0000}"/>
    <cellStyle name="Normal 16 3 2 2 4" xfId="7027" xr:uid="{00000000-0005-0000-0000-0000682D0000}"/>
    <cellStyle name="Normal 16 3 2 3" xfId="1784" xr:uid="{00000000-0005-0000-0000-0000692D0000}"/>
    <cellStyle name="Normal 16 3 2 3 2" xfId="3186" xr:uid="{00000000-0005-0000-0000-00006A2D0000}"/>
    <cellStyle name="Normal 16 3 2 3 2 2" xfId="5582" xr:uid="{00000000-0005-0000-0000-00006B2D0000}"/>
    <cellStyle name="Normal 16 3 2 3 2 2 2" xfId="10678" xr:uid="{00000000-0005-0000-0000-00006C2D0000}"/>
    <cellStyle name="Normal 16 3 2 3 2 3" xfId="8289" xr:uid="{00000000-0005-0000-0000-00006D2D0000}"/>
    <cellStyle name="Normal 16 3 2 3 3" xfId="4390" xr:uid="{00000000-0005-0000-0000-00006E2D0000}"/>
    <cellStyle name="Normal 16 3 2 3 3 2" xfId="9486" xr:uid="{00000000-0005-0000-0000-00006F2D0000}"/>
    <cellStyle name="Normal 16 3 2 3 4" xfId="7028" xr:uid="{00000000-0005-0000-0000-0000702D0000}"/>
    <cellStyle name="Normal 16 3 2 4" xfId="3184" xr:uid="{00000000-0005-0000-0000-0000712D0000}"/>
    <cellStyle name="Normal 16 3 2 4 2" xfId="5580" xr:uid="{00000000-0005-0000-0000-0000722D0000}"/>
    <cellStyle name="Normal 16 3 2 4 2 2" xfId="10676" xr:uid="{00000000-0005-0000-0000-0000732D0000}"/>
    <cellStyle name="Normal 16 3 2 4 3" xfId="8287" xr:uid="{00000000-0005-0000-0000-0000742D0000}"/>
    <cellStyle name="Normal 16 3 2 5" xfId="4388" xr:uid="{00000000-0005-0000-0000-0000752D0000}"/>
    <cellStyle name="Normal 16 3 2 5 2" xfId="9484" xr:uid="{00000000-0005-0000-0000-0000762D0000}"/>
    <cellStyle name="Normal 16 3 2 6" xfId="7026" xr:uid="{00000000-0005-0000-0000-0000772D0000}"/>
    <cellStyle name="Normal 16 3 3" xfId="1785" xr:uid="{00000000-0005-0000-0000-0000782D0000}"/>
    <cellStyle name="Normal 16 3 4" xfId="3183" xr:uid="{00000000-0005-0000-0000-0000792D0000}"/>
    <cellStyle name="Normal 16 3 4 2" xfId="5579" xr:uid="{00000000-0005-0000-0000-00007A2D0000}"/>
    <cellStyle name="Normal 16 3 4 2 2" xfId="10675" xr:uid="{00000000-0005-0000-0000-00007B2D0000}"/>
    <cellStyle name="Normal 16 3 4 3" xfId="8286" xr:uid="{00000000-0005-0000-0000-00007C2D0000}"/>
    <cellStyle name="Normal 16 3 5" xfId="4387" xr:uid="{00000000-0005-0000-0000-00007D2D0000}"/>
    <cellStyle name="Normal 16 3 5 2" xfId="9483" xr:uid="{00000000-0005-0000-0000-00007E2D0000}"/>
    <cellStyle name="Normal 16 3 6" xfId="7025" xr:uid="{00000000-0005-0000-0000-00007F2D0000}"/>
    <cellStyle name="Normal 16 4" xfId="1786" xr:uid="{00000000-0005-0000-0000-0000802D0000}"/>
    <cellStyle name="Normal 16 4 2" xfId="1787" xr:uid="{00000000-0005-0000-0000-0000812D0000}"/>
    <cellStyle name="Normal 16 4 2 2" xfId="1788" xr:uid="{00000000-0005-0000-0000-0000822D0000}"/>
    <cellStyle name="Normal 16 4 2 2 2" xfId="3189" xr:uid="{00000000-0005-0000-0000-0000832D0000}"/>
    <cellStyle name="Normal 16 4 2 2 2 2" xfId="5585" xr:uid="{00000000-0005-0000-0000-0000842D0000}"/>
    <cellStyle name="Normal 16 4 2 2 2 2 2" xfId="10681" xr:uid="{00000000-0005-0000-0000-0000852D0000}"/>
    <cellStyle name="Normal 16 4 2 2 2 3" xfId="8292" xr:uid="{00000000-0005-0000-0000-0000862D0000}"/>
    <cellStyle name="Normal 16 4 2 2 3" xfId="4393" xr:uid="{00000000-0005-0000-0000-0000872D0000}"/>
    <cellStyle name="Normal 16 4 2 2 3 2" xfId="9489" xr:uid="{00000000-0005-0000-0000-0000882D0000}"/>
    <cellStyle name="Normal 16 4 2 2 4" xfId="7031" xr:uid="{00000000-0005-0000-0000-0000892D0000}"/>
    <cellStyle name="Normal 16 4 2 3" xfId="3188" xr:uid="{00000000-0005-0000-0000-00008A2D0000}"/>
    <cellStyle name="Normal 16 4 2 3 2" xfId="5584" xr:uid="{00000000-0005-0000-0000-00008B2D0000}"/>
    <cellStyle name="Normal 16 4 2 3 2 2" xfId="10680" xr:uid="{00000000-0005-0000-0000-00008C2D0000}"/>
    <cellStyle name="Normal 16 4 2 3 3" xfId="8291" xr:uid="{00000000-0005-0000-0000-00008D2D0000}"/>
    <cellStyle name="Normal 16 4 2 4" xfId="4392" xr:uid="{00000000-0005-0000-0000-00008E2D0000}"/>
    <cellStyle name="Normal 16 4 2 4 2" xfId="9488" xr:uid="{00000000-0005-0000-0000-00008F2D0000}"/>
    <cellStyle name="Normal 16 4 2 5" xfId="7030" xr:uid="{00000000-0005-0000-0000-0000902D0000}"/>
    <cellStyle name="Normal 16 4 3" xfId="1789" xr:uid="{00000000-0005-0000-0000-0000912D0000}"/>
    <cellStyle name="Normal 16 4 3 2" xfId="3190" xr:uid="{00000000-0005-0000-0000-0000922D0000}"/>
    <cellStyle name="Normal 16 4 3 2 2" xfId="5586" xr:uid="{00000000-0005-0000-0000-0000932D0000}"/>
    <cellStyle name="Normal 16 4 3 2 2 2" xfId="10682" xr:uid="{00000000-0005-0000-0000-0000942D0000}"/>
    <cellStyle name="Normal 16 4 3 2 3" xfId="8293" xr:uid="{00000000-0005-0000-0000-0000952D0000}"/>
    <cellStyle name="Normal 16 4 3 3" xfId="4394" xr:uid="{00000000-0005-0000-0000-0000962D0000}"/>
    <cellStyle name="Normal 16 4 3 3 2" xfId="9490" xr:uid="{00000000-0005-0000-0000-0000972D0000}"/>
    <cellStyle name="Normal 16 4 3 4" xfId="7032" xr:uid="{00000000-0005-0000-0000-0000982D0000}"/>
    <cellStyle name="Normal 16 4 4" xfId="1790" xr:uid="{00000000-0005-0000-0000-0000992D0000}"/>
    <cellStyle name="Normal 16 4 4 2" xfId="3191" xr:uid="{00000000-0005-0000-0000-00009A2D0000}"/>
    <cellStyle name="Normal 16 4 4 2 2" xfId="5587" xr:uid="{00000000-0005-0000-0000-00009B2D0000}"/>
    <cellStyle name="Normal 16 4 4 2 2 2" xfId="10683" xr:uid="{00000000-0005-0000-0000-00009C2D0000}"/>
    <cellStyle name="Normal 16 4 4 2 3" xfId="8294" xr:uid="{00000000-0005-0000-0000-00009D2D0000}"/>
    <cellStyle name="Normal 16 4 4 3" xfId="4395" xr:uid="{00000000-0005-0000-0000-00009E2D0000}"/>
    <cellStyle name="Normal 16 4 4 3 2" xfId="9491" xr:uid="{00000000-0005-0000-0000-00009F2D0000}"/>
    <cellStyle name="Normal 16 4 4 4" xfId="7033" xr:uid="{00000000-0005-0000-0000-0000A02D0000}"/>
    <cellStyle name="Normal 16 4 5" xfId="3187" xr:uid="{00000000-0005-0000-0000-0000A12D0000}"/>
    <cellStyle name="Normal 16 4 5 2" xfId="5583" xr:uid="{00000000-0005-0000-0000-0000A22D0000}"/>
    <cellStyle name="Normal 16 4 5 2 2" xfId="10679" xr:uid="{00000000-0005-0000-0000-0000A32D0000}"/>
    <cellStyle name="Normal 16 4 5 3" xfId="8290" xr:uid="{00000000-0005-0000-0000-0000A42D0000}"/>
    <cellStyle name="Normal 16 4 6" xfId="4391" xr:uid="{00000000-0005-0000-0000-0000A52D0000}"/>
    <cellStyle name="Normal 16 4 6 2" xfId="9487" xr:uid="{00000000-0005-0000-0000-0000A62D0000}"/>
    <cellStyle name="Normal 16 4 7" xfId="7029" xr:uid="{00000000-0005-0000-0000-0000A72D0000}"/>
    <cellStyle name="Normal 16 5" xfId="1791" xr:uid="{00000000-0005-0000-0000-0000A82D0000}"/>
    <cellStyle name="Normal 16 6" xfId="1774" xr:uid="{00000000-0005-0000-0000-0000A92D0000}"/>
    <cellStyle name="Normal 16 6 2" xfId="3176" xr:uid="{00000000-0005-0000-0000-0000AA2D0000}"/>
    <cellStyle name="Normal 16 6 2 2" xfId="5572" xr:uid="{00000000-0005-0000-0000-0000AB2D0000}"/>
    <cellStyle name="Normal 16 6 2 2 2" xfId="10668" xr:uid="{00000000-0005-0000-0000-0000AC2D0000}"/>
    <cellStyle name="Normal 16 6 2 3" xfId="8279" xr:uid="{00000000-0005-0000-0000-0000AD2D0000}"/>
    <cellStyle name="Normal 16 6 3" xfId="4380" xr:uid="{00000000-0005-0000-0000-0000AE2D0000}"/>
    <cellStyle name="Normal 16 6 3 2" xfId="9476" xr:uid="{00000000-0005-0000-0000-0000AF2D0000}"/>
    <cellStyle name="Normal 16 6 4" xfId="7018" xr:uid="{00000000-0005-0000-0000-0000B02D0000}"/>
    <cellStyle name="Normal 17" xfId="81" xr:uid="{00000000-0005-0000-0000-0000B12D0000}"/>
    <cellStyle name="Normal 17 2" xfId="1793" xr:uid="{00000000-0005-0000-0000-0000B22D0000}"/>
    <cellStyle name="Normal 17 2 2" xfId="1794" xr:uid="{00000000-0005-0000-0000-0000B32D0000}"/>
    <cellStyle name="Normal 17 2 2 2" xfId="1795" xr:uid="{00000000-0005-0000-0000-0000B42D0000}"/>
    <cellStyle name="Normal 17 2 2 2 2" xfId="3195" xr:uid="{00000000-0005-0000-0000-0000B52D0000}"/>
    <cellStyle name="Normal 17 2 2 2 2 2" xfId="5591" xr:uid="{00000000-0005-0000-0000-0000B62D0000}"/>
    <cellStyle name="Normal 17 2 2 2 2 2 2" xfId="10687" xr:uid="{00000000-0005-0000-0000-0000B72D0000}"/>
    <cellStyle name="Normal 17 2 2 2 2 3" xfId="8298" xr:uid="{00000000-0005-0000-0000-0000B82D0000}"/>
    <cellStyle name="Normal 17 2 2 2 3" xfId="4399" xr:uid="{00000000-0005-0000-0000-0000B92D0000}"/>
    <cellStyle name="Normal 17 2 2 2 3 2" xfId="9495" xr:uid="{00000000-0005-0000-0000-0000BA2D0000}"/>
    <cellStyle name="Normal 17 2 2 2 4" xfId="7037" xr:uid="{00000000-0005-0000-0000-0000BB2D0000}"/>
    <cellStyle name="Normal 17 2 2 3" xfId="1796" xr:uid="{00000000-0005-0000-0000-0000BC2D0000}"/>
    <cellStyle name="Normal 17 2 2 3 2" xfId="3196" xr:uid="{00000000-0005-0000-0000-0000BD2D0000}"/>
    <cellStyle name="Normal 17 2 2 3 2 2" xfId="5592" xr:uid="{00000000-0005-0000-0000-0000BE2D0000}"/>
    <cellStyle name="Normal 17 2 2 3 2 2 2" xfId="10688" xr:uid="{00000000-0005-0000-0000-0000BF2D0000}"/>
    <cellStyle name="Normal 17 2 2 3 2 3" xfId="8299" xr:uid="{00000000-0005-0000-0000-0000C02D0000}"/>
    <cellStyle name="Normal 17 2 2 3 3" xfId="4400" xr:uid="{00000000-0005-0000-0000-0000C12D0000}"/>
    <cellStyle name="Normal 17 2 2 3 3 2" xfId="9496" xr:uid="{00000000-0005-0000-0000-0000C22D0000}"/>
    <cellStyle name="Normal 17 2 2 3 4" xfId="7038" xr:uid="{00000000-0005-0000-0000-0000C32D0000}"/>
    <cellStyle name="Normal 17 2 2 4" xfId="3194" xr:uid="{00000000-0005-0000-0000-0000C42D0000}"/>
    <cellStyle name="Normal 17 2 2 4 2" xfId="5590" xr:uid="{00000000-0005-0000-0000-0000C52D0000}"/>
    <cellStyle name="Normal 17 2 2 4 2 2" xfId="10686" xr:uid="{00000000-0005-0000-0000-0000C62D0000}"/>
    <cellStyle name="Normal 17 2 2 4 3" xfId="8297" xr:uid="{00000000-0005-0000-0000-0000C72D0000}"/>
    <cellStyle name="Normal 17 2 2 5" xfId="4398" xr:uid="{00000000-0005-0000-0000-0000C82D0000}"/>
    <cellStyle name="Normal 17 2 2 5 2" xfId="9494" xr:uid="{00000000-0005-0000-0000-0000C92D0000}"/>
    <cellStyle name="Normal 17 2 2 6" xfId="7036" xr:uid="{00000000-0005-0000-0000-0000CA2D0000}"/>
    <cellStyle name="Normal 17 2 3" xfId="1797" xr:uid="{00000000-0005-0000-0000-0000CB2D0000}"/>
    <cellStyle name="Normal 17 2 4" xfId="3193" xr:uid="{00000000-0005-0000-0000-0000CC2D0000}"/>
    <cellStyle name="Normal 17 2 4 2" xfId="5589" xr:uid="{00000000-0005-0000-0000-0000CD2D0000}"/>
    <cellStyle name="Normal 17 2 4 2 2" xfId="10685" xr:uid="{00000000-0005-0000-0000-0000CE2D0000}"/>
    <cellStyle name="Normal 17 2 4 3" xfId="8296" xr:uid="{00000000-0005-0000-0000-0000CF2D0000}"/>
    <cellStyle name="Normal 17 2 5" xfId="4397" xr:uid="{00000000-0005-0000-0000-0000D02D0000}"/>
    <cellStyle name="Normal 17 2 5 2" xfId="9493" xr:uid="{00000000-0005-0000-0000-0000D12D0000}"/>
    <cellStyle name="Normal 17 2 6" xfId="7035" xr:uid="{00000000-0005-0000-0000-0000D22D0000}"/>
    <cellStyle name="Normal 17 3" xfId="1798" xr:uid="{00000000-0005-0000-0000-0000D32D0000}"/>
    <cellStyle name="Normal 17 3 2" xfId="1799" xr:uid="{00000000-0005-0000-0000-0000D42D0000}"/>
    <cellStyle name="Normal 17 3 2 2" xfId="3198" xr:uid="{00000000-0005-0000-0000-0000D52D0000}"/>
    <cellStyle name="Normal 17 3 2 2 2" xfId="5594" xr:uid="{00000000-0005-0000-0000-0000D62D0000}"/>
    <cellStyle name="Normal 17 3 2 2 2 2" xfId="10690" xr:uid="{00000000-0005-0000-0000-0000D72D0000}"/>
    <cellStyle name="Normal 17 3 2 2 3" xfId="8301" xr:uid="{00000000-0005-0000-0000-0000D82D0000}"/>
    <cellStyle name="Normal 17 3 2 3" xfId="4402" xr:uid="{00000000-0005-0000-0000-0000D92D0000}"/>
    <cellStyle name="Normal 17 3 2 3 2" xfId="9498" xr:uid="{00000000-0005-0000-0000-0000DA2D0000}"/>
    <cellStyle name="Normal 17 3 2 4" xfId="7040" xr:uid="{00000000-0005-0000-0000-0000DB2D0000}"/>
    <cellStyle name="Normal 17 3 3" xfId="3197" xr:uid="{00000000-0005-0000-0000-0000DC2D0000}"/>
    <cellStyle name="Normal 17 3 3 2" xfId="5593" xr:uid="{00000000-0005-0000-0000-0000DD2D0000}"/>
    <cellStyle name="Normal 17 3 3 2 2" xfId="10689" xr:uid="{00000000-0005-0000-0000-0000DE2D0000}"/>
    <cellStyle name="Normal 17 3 3 3" xfId="8300" xr:uid="{00000000-0005-0000-0000-0000DF2D0000}"/>
    <cellStyle name="Normal 17 3 4" xfId="4401" xr:uid="{00000000-0005-0000-0000-0000E02D0000}"/>
    <cellStyle name="Normal 17 3 4 2" xfId="9497" xr:uid="{00000000-0005-0000-0000-0000E12D0000}"/>
    <cellStyle name="Normal 17 3 5" xfId="7039" xr:uid="{00000000-0005-0000-0000-0000E22D0000}"/>
    <cellStyle name="Normal 17 4" xfId="1800" xr:uid="{00000000-0005-0000-0000-0000E32D0000}"/>
    <cellStyle name="Normal 17 5" xfId="1801" xr:uid="{00000000-0005-0000-0000-0000E42D0000}"/>
    <cellStyle name="Normal 17 5 2" xfId="3199" xr:uid="{00000000-0005-0000-0000-0000E52D0000}"/>
    <cellStyle name="Normal 17 5 2 2" xfId="5595" xr:uid="{00000000-0005-0000-0000-0000E62D0000}"/>
    <cellStyle name="Normal 17 5 2 2 2" xfId="10691" xr:uid="{00000000-0005-0000-0000-0000E72D0000}"/>
    <cellStyle name="Normal 17 5 2 3" xfId="8302" xr:uid="{00000000-0005-0000-0000-0000E82D0000}"/>
    <cellStyle name="Normal 17 5 3" xfId="4403" xr:uid="{00000000-0005-0000-0000-0000E92D0000}"/>
    <cellStyle name="Normal 17 5 3 2" xfId="9499" xr:uid="{00000000-0005-0000-0000-0000EA2D0000}"/>
    <cellStyle name="Normal 17 5 4" xfId="7041" xr:uid="{00000000-0005-0000-0000-0000EB2D0000}"/>
    <cellStyle name="Normal 17 6" xfId="1159" xr:uid="{00000000-0005-0000-0000-0000EC2D0000}"/>
    <cellStyle name="Normal 17 6 2" xfId="2744" xr:uid="{00000000-0005-0000-0000-0000ED2D0000}"/>
    <cellStyle name="Normal 17 6 2 2" xfId="5146" xr:uid="{00000000-0005-0000-0000-0000EE2D0000}"/>
    <cellStyle name="Normal 17 6 2 2 2" xfId="10242" xr:uid="{00000000-0005-0000-0000-0000EF2D0000}"/>
    <cellStyle name="Normal 17 6 2 3" xfId="7847" xr:uid="{00000000-0005-0000-0000-0000F02D0000}"/>
    <cellStyle name="Normal 17 6 3" xfId="3954" xr:uid="{00000000-0005-0000-0000-0000F12D0000}"/>
    <cellStyle name="Normal 17 6 3 2" xfId="9050" xr:uid="{00000000-0005-0000-0000-0000F22D0000}"/>
    <cellStyle name="Normal 17 6 4" xfId="6559" xr:uid="{00000000-0005-0000-0000-0000F32D0000}"/>
    <cellStyle name="Normal 17 7" xfId="1792" xr:uid="{00000000-0005-0000-0000-0000F42D0000}"/>
    <cellStyle name="Normal 17 7 2" xfId="3192" xr:uid="{00000000-0005-0000-0000-0000F52D0000}"/>
    <cellStyle name="Normal 17 7 2 2" xfId="5588" xr:uid="{00000000-0005-0000-0000-0000F62D0000}"/>
    <cellStyle name="Normal 17 7 2 2 2" xfId="10684" xr:uid="{00000000-0005-0000-0000-0000F72D0000}"/>
    <cellStyle name="Normal 17 7 2 3" xfId="8295" xr:uid="{00000000-0005-0000-0000-0000F82D0000}"/>
    <cellStyle name="Normal 17 7 3" xfId="4396" xr:uid="{00000000-0005-0000-0000-0000F92D0000}"/>
    <cellStyle name="Normal 17 7 3 2" xfId="9492" xr:uid="{00000000-0005-0000-0000-0000FA2D0000}"/>
    <cellStyle name="Normal 17 7 4" xfId="7034" xr:uid="{00000000-0005-0000-0000-0000FB2D0000}"/>
    <cellStyle name="Normal 18" xfId="82" xr:uid="{00000000-0005-0000-0000-0000FC2D0000}"/>
    <cellStyle name="Normal 18 2" xfId="1802" xr:uid="{00000000-0005-0000-0000-0000FD2D0000}"/>
    <cellStyle name="Normal 19" xfId="83" xr:uid="{00000000-0005-0000-0000-0000FE2D0000}"/>
    <cellStyle name="Normal 19 2" xfId="1803" xr:uid="{00000000-0005-0000-0000-0000FF2D0000}"/>
    <cellStyle name="Normal 2" xfId="3" xr:uid="{00000000-0005-0000-0000-0000002E0000}"/>
    <cellStyle name="Normal 2 10" xfId="400" xr:uid="{00000000-0005-0000-0000-0000012E0000}"/>
    <cellStyle name="Normal 2 11" xfId="504" xr:uid="{00000000-0005-0000-0000-0000022E0000}"/>
    <cellStyle name="Normal 2 12" xfId="938" xr:uid="{00000000-0005-0000-0000-0000032E0000}"/>
    <cellStyle name="Normal 2 2" xfId="66" xr:uid="{00000000-0005-0000-0000-0000042E0000}"/>
    <cellStyle name="Normal 2 2 10" xfId="526" xr:uid="{00000000-0005-0000-0000-0000052E0000}"/>
    <cellStyle name="Normal 2 2 11" xfId="680" xr:uid="{00000000-0005-0000-0000-0000062E0000}"/>
    <cellStyle name="Normal 2 2 11 2" xfId="2482" xr:uid="{00000000-0005-0000-0000-0000072E0000}"/>
    <cellStyle name="Normal 2 2 11 2 2" xfId="4929" xr:uid="{00000000-0005-0000-0000-0000082E0000}"/>
    <cellStyle name="Normal 2 2 11 2 2 2" xfId="10025" xr:uid="{00000000-0005-0000-0000-0000092E0000}"/>
    <cellStyle name="Normal 2 2 11 2 3" xfId="7586" xr:uid="{00000000-0005-0000-0000-00000A2E0000}"/>
    <cellStyle name="Normal 2 2 11 3" xfId="3746" xr:uid="{00000000-0005-0000-0000-00000B2E0000}"/>
    <cellStyle name="Normal 2 2 11 3 2" xfId="8845" xr:uid="{00000000-0005-0000-0000-00000C2E0000}"/>
    <cellStyle name="Normal 2 2 11 4" xfId="6326" xr:uid="{00000000-0005-0000-0000-00000D2E0000}"/>
    <cellStyle name="Normal 2 2 2" xfId="401" xr:uid="{00000000-0005-0000-0000-00000E2E0000}"/>
    <cellStyle name="Normal 2 2 2 2" xfId="588" xr:uid="{00000000-0005-0000-0000-00000F2E0000}"/>
    <cellStyle name="Normal 2 2 2 2 2" xfId="2394" xr:uid="{00000000-0005-0000-0000-0000102E0000}"/>
    <cellStyle name="Normal 2 2 2 2 2 2" xfId="4841" xr:uid="{00000000-0005-0000-0000-0000112E0000}"/>
    <cellStyle name="Normal 2 2 2 2 2 2 2" xfId="9937" xr:uid="{00000000-0005-0000-0000-0000122E0000}"/>
    <cellStyle name="Normal 2 2 2 2 2 3" xfId="7498" xr:uid="{00000000-0005-0000-0000-0000132E0000}"/>
    <cellStyle name="Normal 2 2 2 2 3" xfId="3658" xr:uid="{00000000-0005-0000-0000-0000142E0000}"/>
    <cellStyle name="Normal 2 2 2 2 3 2" xfId="8757" xr:uid="{00000000-0005-0000-0000-0000152E0000}"/>
    <cellStyle name="Normal 2 2 2 2 4" xfId="6238" xr:uid="{00000000-0005-0000-0000-0000162E0000}"/>
    <cellStyle name="Normal 2 2 2 3" xfId="1804" xr:uid="{00000000-0005-0000-0000-0000172E0000}"/>
    <cellStyle name="Normal 2 2 3" xfId="402" xr:uid="{00000000-0005-0000-0000-0000182E0000}"/>
    <cellStyle name="Normal 2 2 3 2" xfId="617" xr:uid="{00000000-0005-0000-0000-0000192E0000}"/>
    <cellStyle name="Normal 2 2 3 2 2" xfId="2423" xr:uid="{00000000-0005-0000-0000-00001A2E0000}"/>
    <cellStyle name="Normal 2 2 3 2 2 2" xfId="4870" xr:uid="{00000000-0005-0000-0000-00001B2E0000}"/>
    <cellStyle name="Normal 2 2 3 2 2 2 2" xfId="9966" xr:uid="{00000000-0005-0000-0000-00001C2E0000}"/>
    <cellStyle name="Normal 2 2 3 2 2 3" xfId="7527" xr:uid="{00000000-0005-0000-0000-00001D2E0000}"/>
    <cellStyle name="Normal 2 2 3 2 3" xfId="3687" xr:uid="{00000000-0005-0000-0000-00001E2E0000}"/>
    <cellStyle name="Normal 2 2 3 2 3 2" xfId="8786" xr:uid="{00000000-0005-0000-0000-00001F2E0000}"/>
    <cellStyle name="Normal 2 2 3 2 4" xfId="6267" xr:uid="{00000000-0005-0000-0000-0000202E0000}"/>
    <cellStyle name="Normal 2 2 4" xfId="403" xr:uid="{00000000-0005-0000-0000-0000212E0000}"/>
    <cellStyle name="Normal 2 2 4 2" xfId="554" xr:uid="{00000000-0005-0000-0000-0000222E0000}"/>
    <cellStyle name="Normal 2 2 4 2 2" xfId="2360" xr:uid="{00000000-0005-0000-0000-0000232E0000}"/>
    <cellStyle name="Normal 2 2 4 2 2 2" xfId="4807" xr:uid="{00000000-0005-0000-0000-0000242E0000}"/>
    <cellStyle name="Normal 2 2 4 2 2 2 2" xfId="9903" xr:uid="{00000000-0005-0000-0000-0000252E0000}"/>
    <cellStyle name="Normal 2 2 4 2 2 3" xfId="7464" xr:uid="{00000000-0005-0000-0000-0000262E0000}"/>
    <cellStyle name="Normal 2 2 4 2 3" xfId="3624" xr:uid="{00000000-0005-0000-0000-0000272E0000}"/>
    <cellStyle name="Normal 2 2 4 2 3 2" xfId="8723" xr:uid="{00000000-0005-0000-0000-0000282E0000}"/>
    <cellStyle name="Normal 2 2 4 2 4" xfId="6204" xr:uid="{00000000-0005-0000-0000-0000292E0000}"/>
    <cellStyle name="Normal 2 2 5" xfId="404" xr:uid="{00000000-0005-0000-0000-00002A2E0000}"/>
    <cellStyle name="Normal 2 2 6" xfId="405" xr:uid="{00000000-0005-0000-0000-00002B2E0000}"/>
    <cellStyle name="Normal 2 2 7" xfId="406" xr:uid="{00000000-0005-0000-0000-00002C2E0000}"/>
    <cellStyle name="Normal 2 2 8" xfId="407" xr:uid="{00000000-0005-0000-0000-00002D2E0000}"/>
    <cellStyle name="Normal 2 2 9" xfId="505" xr:uid="{00000000-0005-0000-0000-00002E2E0000}"/>
    <cellStyle name="Normal 2 3" xfId="67" xr:uid="{00000000-0005-0000-0000-00002F2E0000}"/>
    <cellStyle name="Normal 2 3 2" xfId="506" xr:uid="{00000000-0005-0000-0000-0000302E0000}"/>
    <cellStyle name="Normal 2 3 3" xfId="939" xr:uid="{00000000-0005-0000-0000-0000312E0000}"/>
    <cellStyle name="Normal 2 4" xfId="94" xr:uid="{00000000-0005-0000-0000-0000322E0000}"/>
    <cellStyle name="Normal 2 4 2" xfId="733" xr:uid="{00000000-0005-0000-0000-0000332E0000}"/>
    <cellStyle name="Normal 2 4 2 2" xfId="986" xr:uid="{00000000-0005-0000-0000-0000342E0000}"/>
    <cellStyle name="Normal 2 4 2 2 2" xfId="1808" xr:uid="{00000000-0005-0000-0000-0000352E0000}"/>
    <cellStyle name="Normal 2 4 2 2 2 2" xfId="1809" xr:uid="{00000000-0005-0000-0000-0000362E0000}"/>
    <cellStyle name="Normal 2 4 2 2 2 2 2" xfId="3204" xr:uid="{00000000-0005-0000-0000-0000372E0000}"/>
    <cellStyle name="Normal 2 4 2 2 2 2 2 2" xfId="5600" xr:uid="{00000000-0005-0000-0000-0000382E0000}"/>
    <cellStyle name="Normal 2 4 2 2 2 2 2 2 2" xfId="10696" xr:uid="{00000000-0005-0000-0000-0000392E0000}"/>
    <cellStyle name="Normal 2 4 2 2 2 2 2 3" xfId="8307" xr:uid="{00000000-0005-0000-0000-00003A2E0000}"/>
    <cellStyle name="Normal 2 4 2 2 2 2 3" xfId="4408" xr:uid="{00000000-0005-0000-0000-00003B2E0000}"/>
    <cellStyle name="Normal 2 4 2 2 2 2 3 2" xfId="9504" xr:uid="{00000000-0005-0000-0000-00003C2E0000}"/>
    <cellStyle name="Normal 2 4 2 2 2 2 4" xfId="7046" xr:uid="{00000000-0005-0000-0000-00003D2E0000}"/>
    <cellStyle name="Normal 2 4 2 2 2 3" xfId="3203" xr:uid="{00000000-0005-0000-0000-00003E2E0000}"/>
    <cellStyle name="Normal 2 4 2 2 2 3 2" xfId="5599" xr:uid="{00000000-0005-0000-0000-00003F2E0000}"/>
    <cellStyle name="Normal 2 4 2 2 2 3 2 2" xfId="10695" xr:uid="{00000000-0005-0000-0000-0000402E0000}"/>
    <cellStyle name="Normal 2 4 2 2 2 3 3" xfId="8306" xr:uid="{00000000-0005-0000-0000-0000412E0000}"/>
    <cellStyle name="Normal 2 4 2 2 2 4" xfId="4407" xr:uid="{00000000-0005-0000-0000-0000422E0000}"/>
    <cellStyle name="Normal 2 4 2 2 2 4 2" xfId="9503" xr:uid="{00000000-0005-0000-0000-0000432E0000}"/>
    <cellStyle name="Normal 2 4 2 2 2 5" xfId="7045" xr:uid="{00000000-0005-0000-0000-0000442E0000}"/>
    <cellStyle name="Normal 2 4 2 2 3" xfId="1810" xr:uid="{00000000-0005-0000-0000-0000452E0000}"/>
    <cellStyle name="Normal 2 4 2 2 3 2" xfId="3205" xr:uid="{00000000-0005-0000-0000-0000462E0000}"/>
    <cellStyle name="Normal 2 4 2 2 3 2 2" xfId="5601" xr:uid="{00000000-0005-0000-0000-0000472E0000}"/>
    <cellStyle name="Normal 2 4 2 2 3 2 2 2" xfId="10697" xr:uid="{00000000-0005-0000-0000-0000482E0000}"/>
    <cellStyle name="Normal 2 4 2 2 3 2 3" xfId="8308" xr:uid="{00000000-0005-0000-0000-0000492E0000}"/>
    <cellStyle name="Normal 2 4 2 2 3 3" xfId="4409" xr:uid="{00000000-0005-0000-0000-00004A2E0000}"/>
    <cellStyle name="Normal 2 4 2 2 3 3 2" xfId="9505" xr:uid="{00000000-0005-0000-0000-00004B2E0000}"/>
    <cellStyle name="Normal 2 4 2 2 3 4" xfId="7047" xr:uid="{00000000-0005-0000-0000-00004C2E0000}"/>
    <cellStyle name="Normal 2 4 2 2 4" xfId="1811" xr:uid="{00000000-0005-0000-0000-00004D2E0000}"/>
    <cellStyle name="Normal 2 4 2 2 4 2" xfId="3206" xr:uid="{00000000-0005-0000-0000-00004E2E0000}"/>
    <cellStyle name="Normal 2 4 2 2 4 2 2" xfId="5602" xr:uid="{00000000-0005-0000-0000-00004F2E0000}"/>
    <cellStyle name="Normal 2 4 2 2 4 2 2 2" xfId="10698" xr:uid="{00000000-0005-0000-0000-0000502E0000}"/>
    <cellStyle name="Normal 2 4 2 2 4 2 3" xfId="8309" xr:uid="{00000000-0005-0000-0000-0000512E0000}"/>
    <cellStyle name="Normal 2 4 2 2 4 3" xfId="4410" xr:uid="{00000000-0005-0000-0000-0000522E0000}"/>
    <cellStyle name="Normal 2 4 2 2 4 3 2" xfId="9506" xr:uid="{00000000-0005-0000-0000-0000532E0000}"/>
    <cellStyle name="Normal 2 4 2 2 4 4" xfId="7048" xr:uid="{00000000-0005-0000-0000-0000542E0000}"/>
    <cellStyle name="Normal 2 4 2 2 5" xfId="1807" xr:uid="{00000000-0005-0000-0000-0000552E0000}"/>
    <cellStyle name="Normal 2 4 2 2 5 2" xfId="3202" xr:uid="{00000000-0005-0000-0000-0000562E0000}"/>
    <cellStyle name="Normal 2 4 2 2 5 2 2" xfId="5598" xr:uid="{00000000-0005-0000-0000-0000572E0000}"/>
    <cellStyle name="Normal 2 4 2 2 5 2 2 2" xfId="10694" xr:uid="{00000000-0005-0000-0000-0000582E0000}"/>
    <cellStyle name="Normal 2 4 2 2 5 2 3" xfId="8305" xr:uid="{00000000-0005-0000-0000-0000592E0000}"/>
    <cellStyle name="Normal 2 4 2 2 5 3" xfId="4406" xr:uid="{00000000-0005-0000-0000-00005A2E0000}"/>
    <cellStyle name="Normal 2 4 2 2 5 3 2" xfId="9502" xr:uid="{00000000-0005-0000-0000-00005B2E0000}"/>
    <cellStyle name="Normal 2 4 2 2 5 4" xfId="7044" xr:uid="{00000000-0005-0000-0000-00005C2E0000}"/>
    <cellStyle name="Normal 2 4 2 3" xfId="1812" xr:uid="{00000000-0005-0000-0000-00005D2E0000}"/>
    <cellStyle name="Normal 2 4 2 3 2" xfId="1813" xr:uid="{00000000-0005-0000-0000-00005E2E0000}"/>
    <cellStyle name="Normal 2 4 2 3 2 2" xfId="3208" xr:uid="{00000000-0005-0000-0000-00005F2E0000}"/>
    <cellStyle name="Normal 2 4 2 3 2 2 2" xfId="5604" xr:uid="{00000000-0005-0000-0000-0000602E0000}"/>
    <cellStyle name="Normal 2 4 2 3 2 2 2 2" xfId="10700" xr:uid="{00000000-0005-0000-0000-0000612E0000}"/>
    <cellStyle name="Normal 2 4 2 3 2 2 3" xfId="8311" xr:uid="{00000000-0005-0000-0000-0000622E0000}"/>
    <cellStyle name="Normal 2 4 2 3 2 3" xfId="4412" xr:uid="{00000000-0005-0000-0000-0000632E0000}"/>
    <cellStyle name="Normal 2 4 2 3 2 3 2" xfId="9508" xr:uid="{00000000-0005-0000-0000-0000642E0000}"/>
    <cellStyle name="Normal 2 4 2 3 2 4" xfId="7050" xr:uid="{00000000-0005-0000-0000-0000652E0000}"/>
    <cellStyle name="Normal 2 4 2 3 3" xfId="3207" xr:uid="{00000000-0005-0000-0000-0000662E0000}"/>
    <cellStyle name="Normal 2 4 2 3 3 2" xfId="5603" xr:uid="{00000000-0005-0000-0000-0000672E0000}"/>
    <cellStyle name="Normal 2 4 2 3 3 2 2" xfId="10699" xr:uid="{00000000-0005-0000-0000-0000682E0000}"/>
    <cellStyle name="Normal 2 4 2 3 3 3" xfId="8310" xr:uid="{00000000-0005-0000-0000-0000692E0000}"/>
    <cellStyle name="Normal 2 4 2 3 4" xfId="4411" xr:uid="{00000000-0005-0000-0000-00006A2E0000}"/>
    <cellStyle name="Normal 2 4 2 3 4 2" xfId="9507" xr:uid="{00000000-0005-0000-0000-00006B2E0000}"/>
    <cellStyle name="Normal 2 4 2 3 5" xfId="7049" xr:uid="{00000000-0005-0000-0000-00006C2E0000}"/>
    <cellStyle name="Normal 2 4 2 4" xfId="1814" xr:uid="{00000000-0005-0000-0000-00006D2E0000}"/>
    <cellStyle name="Normal 2 4 2 4 2" xfId="3209" xr:uid="{00000000-0005-0000-0000-00006E2E0000}"/>
    <cellStyle name="Normal 2 4 2 4 2 2" xfId="5605" xr:uid="{00000000-0005-0000-0000-00006F2E0000}"/>
    <cellStyle name="Normal 2 4 2 4 2 2 2" xfId="10701" xr:uid="{00000000-0005-0000-0000-0000702E0000}"/>
    <cellStyle name="Normal 2 4 2 4 2 3" xfId="8312" xr:uid="{00000000-0005-0000-0000-0000712E0000}"/>
    <cellStyle name="Normal 2 4 2 4 3" xfId="4413" xr:uid="{00000000-0005-0000-0000-0000722E0000}"/>
    <cellStyle name="Normal 2 4 2 4 3 2" xfId="9509" xr:uid="{00000000-0005-0000-0000-0000732E0000}"/>
    <cellStyle name="Normal 2 4 2 4 4" xfId="7051" xr:uid="{00000000-0005-0000-0000-0000742E0000}"/>
    <cellStyle name="Normal 2 4 2 5" xfId="1815" xr:uid="{00000000-0005-0000-0000-0000752E0000}"/>
    <cellStyle name="Normal 2 4 2 5 2" xfId="3210" xr:uid="{00000000-0005-0000-0000-0000762E0000}"/>
    <cellStyle name="Normal 2 4 2 5 2 2" xfId="5606" xr:uid="{00000000-0005-0000-0000-0000772E0000}"/>
    <cellStyle name="Normal 2 4 2 5 2 2 2" xfId="10702" xr:uid="{00000000-0005-0000-0000-0000782E0000}"/>
    <cellStyle name="Normal 2 4 2 5 2 3" xfId="8313" xr:uid="{00000000-0005-0000-0000-0000792E0000}"/>
    <cellStyle name="Normal 2 4 2 5 3" xfId="4414" xr:uid="{00000000-0005-0000-0000-00007A2E0000}"/>
    <cellStyle name="Normal 2 4 2 5 3 2" xfId="9510" xr:uid="{00000000-0005-0000-0000-00007B2E0000}"/>
    <cellStyle name="Normal 2 4 2 5 4" xfId="7052" xr:uid="{00000000-0005-0000-0000-00007C2E0000}"/>
    <cellStyle name="Normal 2 4 2 6" xfId="1806" xr:uid="{00000000-0005-0000-0000-00007D2E0000}"/>
    <cellStyle name="Normal 2 4 2 6 2" xfId="3201" xr:uid="{00000000-0005-0000-0000-00007E2E0000}"/>
    <cellStyle name="Normal 2 4 2 6 2 2" xfId="5597" xr:uid="{00000000-0005-0000-0000-00007F2E0000}"/>
    <cellStyle name="Normal 2 4 2 6 2 2 2" xfId="10693" xr:uid="{00000000-0005-0000-0000-0000802E0000}"/>
    <cellStyle name="Normal 2 4 2 6 2 3" xfId="8304" xr:uid="{00000000-0005-0000-0000-0000812E0000}"/>
    <cellStyle name="Normal 2 4 2 6 3" xfId="4405" xr:uid="{00000000-0005-0000-0000-0000822E0000}"/>
    <cellStyle name="Normal 2 4 2 6 3 2" xfId="9501" xr:uid="{00000000-0005-0000-0000-0000832E0000}"/>
    <cellStyle name="Normal 2 4 2 6 4" xfId="7043" xr:uid="{00000000-0005-0000-0000-0000842E0000}"/>
    <cellStyle name="Normal 2 4 2 7" xfId="2519" xr:uid="{00000000-0005-0000-0000-0000852E0000}"/>
    <cellStyle name="Normal 2 4 2 7 2" xfId="4966" xr:uid="{00000000-0005-0000-0000-0000862E0000}"/>
    <cellStyle name="Normal 2 4 2 7 2 2" xfId="10062" xr:uid="{00000000-0005-0000-0000-0000872E0000}"/>
    <cellStyle name="Normal 2 4 2 7 3" xfId="7623" xr:uid="{00000000-0005-0000-0000-0000882E0000}"/>
    <cellStyle name="Normal 2 4 2 8" xfId="3783" xr:uid="{00000000-0005-0000-0000-0000892E0000}"/>
    <cellStyle name="Normal 2 4 2 8 2" xfId="8882" xr:uid="{00000000-0005-0000-0000-00008A2E0000}"/>
    <cellStyle name="Normal 2 4 2 9" xfId="6363" xr:uid="{00000000-0005-0000-0000-00008B2E0000}"/>
    <cellStyle name="Normal 2 4 3" xfId="609" xr:uid="{00000000-0005-0000-0000-00008C2E0000}"/>
    <cellStyle name="Normal 2 4 3 2" xfId="992" xr:uid="{00000000-0005-0000-0000-00008D2E0000}"/>
    <cellStyle name="Normal 2 4 3 2 2" xfId="1818" xr:uid="{00000000-0005-0000-0000-00008E2E0000}"/>
    <cellStyle name="Normal 2 4 3 2 2 2" xfId="3213" xr:uid="{00000000-0005-0000-0000-00008F2E0000}"/>
    <cellStyle name="Normal 2 4 3 2 2 2 2" xfId="5609" xr:uid="{00000000-0005-0000-0000-0000902E0000}"/>
    <cellStyle name="Normal 2 4 3 2 2 2 2 2" xfId="10705" xr:uid="{00000000-0005-0000-0000-0000912E0000}"/>
    <cellStyle name="Normal 2 4 3 2 2 2 3" xfId="8316" xr:uid="{00000000-0005-0000-0000-0000922E0000}"/>
    <cellStyle name="Normal 2 4 3 2 2 3" xfId="4417" xr:uid="{00000000-0005-0000-0000-0000932E0000}"/>
    <cellStyle name="Normal 2 4 3 2 2 3 2" xfId="9513" xr:uid="{00000000-0005-0000-0000-0000942E0000}"/>
    <cellStyle name="Normal 2 4 3 2 2 4" xfId="7055" xr:uid="{00000000-0005-0000-0000-0000952E0000}"/>
    <cellStyle name="Normal 2 4 3 2 3" xfId="1817" xr:uid="{00000000-0005-0000-0000-0000962E0000}"/>
    <cellStyle name="Normal 2 4 3 2 3 2" xfId="3212" xr:uid="{00000000-0005-0000-0000-0000972E0000}"/>
    <cellStyle name="Normal 2 4 3 2 3 2 2" xfId="5608" xr:uid="{00000000-0005-0000-0000-0000982E0000}"/>
    <cellStyle name="Normal 2 4 3 2 3 2 2 2" xfId="10704" xr:uid="{00000000-0005-0000-0000-0000992E0000}"/>
    <cellStyle name="Normal 2 4 3 2 3 2 3" xfId="8315" xr:uid="{00000000-0005-0000-0000-00009A2E0000}"/>
    <cellStyle name="Normal 2 4 3 2 3 3" xfId="4416" xr:uid="{00000000-0005-0000-0000-00009B2E0000}"/>
    <cellStyle name="Normal 2 4 3 2 3 3 2" xfId="9512" xr:uid="{00000000-0005-0000-0000-00009C2E0000}"/>
    <cellStyle name="Normal 2 4 3 2 3 4" xfId="7054" xr:uid="{00000000-0005-0000-0000-00009D2E0000}"/>
    <cellStyle name="Normal 2 4 3 3" xfId="1819" xr:uid="{00000000-0005-0000-0000-00009E2E0000}"/>
    <cellStyle name="Normal 2 4 3 3 2" xfId="3214" xr:uid="{00000000-0005-0000-0000-00009F2E0000}"/>
    <cellStyle name="Normal 2 4 3 3 2 2" xfId="5610" xr:uid="{00000000-0005-0000-0000-0000A02E0000}"/>
    <cellStyle name="Normal 2 4 3 3 2 2 2" xfId="10706" xr:uid="{00000000-0005-0000-0000-0000A12E0000}"/>
    <cellStyle name="Normal 2 4 3 3 2 3" xfId="8317" xr:uid="{00000000-0005-0000-0000-0000A22E0000}"/>
    <cellStyle name="Normal 2 4 3 3 3" xfId="4418" xr:uid="{00000000-0005-0000-0000-0000A32E0000}"/>
    <cellStyle name="Normal 2 4 3 3 3 2" xfId="9514" xr:uid="{00000000-0005-0000-0000-0000A42E0000}"/>
    <cellStyle name="Normal 2 4 3 3 4" xfId="7056" xr:uid="{00000000-0005-0000-0000-0000A52E0000}"/>
    <cellStyle name="Normal 2 4 3 4" xfId="1820" xr:uid="{00000000-0005-0000-0000-0000A62E0000}"/>
    <cellStyle name="Normal 2 4 3 4 2" xfId="3215" xr:uid="{00000000-0005-0000-0000-0000A72E0000}"/>
    <cellStyle name="Normal 2 4 3 4 2 2" xfId="5611" xr:uid="{00000000-0005-0000-0000-0000A82E0000}"/>
    <cellStyle name="Normal 2 4 3 4 2 2 2" xfId="10707" xr:uid="{00000000-0005-0000-0000-0000A92E0000}"/>
    <cellStyle name="Normal 2 4 3 4 2 3" xfId="8318" xr:uid="{00000000-0005-0000-0000-0000AA2E0000}"/>
    <cellStyle name="Normal 2 4 3 4 3" xfId="4419" xr:uid="{00000000-0005-0000-0000-0000AB2E0000}"/>
    <cellStyle name="Normal 2 4 3 4 3 2" xfId="9515" xr:uid="{00000000-0005-0000-0000-0000AC2E0000}"/>
    <cellStyle name="Normal 2 4 3 4 4" xfId="7057" xr:uid="{00000000-0005-0000-0000-0000AD2E0000}"/>
    <cellStyle name="Normal 2 4 3 5" xfId="1816" xr:uid="{00000000-0005-0000-0000-0000AE2E0000}"/>
    <cellStyle name="Normal 2 4 3 5 2" xfId="3211" xr:uid="{00000000-0005-0000-0000-0000AF2E0000}"/>
    <cellStyle name="Normal 2 4 3 5 2 2" xfId="5607" xr:uid="{00000000-0005-0000-0000-0000B02E0000}"/>
    <cellStyle name="Normal 2 4 3 5 2 2 2" xfId="10703" xr:uid="{00000000-0005-0000-0000-0000B12E0000}"/>
    <cellStyle name="Normal 2 4 3 5 2 3" xfId="8314" xr:uid="{00000000-0005-0000-0000-0000B22E0000}"/>
    <cellStyle name="Normal 2 4 3 5 3" xfId="4415" xr:uid="{00000000-0005-0000-0000-0000B32E0000}"/>
    <cellStyle name="Normal 2 4 3 5 3 2" xfId="9511" xr:uid="{00000000-0005-0000-0000-0000B42E0000}"/>
    <cellStyle name="Normal 2 4 3 5 4" xfId="7053" xr:uid="{00000000-0005-0000-0000-0000B52E0000}"/>
    <cellStyle name="Normal 2 4 3 6" xfId="2415" xr:uid="{00000000-0005-0000-0000-0000B62E0000}"/>
    <cellStyle name="Normal 2 4 3 6 2" xfId="4862" xr:uid="{00000000-0005-0000-0000-0000B72E0000}"/>
    <cellStyle name="Normal 2 4 3 6 2 2" xfId="9958" xr:uid="{00000000-0005-0000-0000-0000B82E0000}"/>
    <cellStyle name="Normal 2 4 3 6 3" xfId="7519" xr:uid="{00000000-0005-0000-0000-0000B92E0000}"/>
    <cellStyle name="Normal 2 4 3 7" xfId="3679" xr:uid="{00000000-0005-0000-0000-0000BA2E0000}"/>
    <cellStyle name="Normal 2 4 3 7 2" xfId="8778" xr:uid="{00000000-0005-0000-0000-0000BB2E0000}"/>
    <cellStyle name="Normal 2 4 3 8" xfId="6259" xr:uid="{00000000-0005-0000-0000-0000BC2E0000}"/>
    <cellStyle name="Normal 2 4 4" xfId="637" xr:uid="{00000000-0005-0000-0000-0000BD2E0000}"/>
    <cellStyle name="Normal 2 4 4 2" xfId="1822" xr:uid="{00000000-0005-0000-0000-0000BE2E0000}"/>
    <cellStyle name="Normal 2 4 4 2 2" xfId="1823" xr:uid="{00000000-0005-0000-0000-0000BF2E0000}"/>
    <cellStyle name="Normal 2 4 4 2 2 2" xfId="3218" xr:uid="{00000000-0005-0000-0000-0000C02E0000}"/>
    <cellStyle name="Normal 2 4 4 2 2 2 2" xfId="5614" xr:uid="{00000000-0005-0000-0000-0000C12E0000}"/>
    <cellStyle name="Normal 2 4 4 2 2 2 2 2" xfId="10710" xr:uid="{00000000-0005-0000-0000-0000C22E0000}"/>
    <cellStyle name="Normal 2 4 4 2 2 2 3" xfId="8321" xr:uid="{00000000-0005-0000-0000-0000C32E0000}"/>
    <cellStyle name="Normal 2 4 4 2 2 3" xfId="4422" xr:uid="{00000000-0005-0000-0000-0000C42E0000}"/>
    <cellStyle name="Normal 2 4 4 2 2 3 2" xfId="9518" xr:uid="{00000000-0005-0000-0000-0000C52E0000}"/>
    <cellStyle name="Normal 2 4 4 2 2 4" xfId="7060" xr:uid="{00000000-0005-0000-0000-0000C62E0000}"/>
    <cellStyle name="Normal 2 4 4 2 3" xfId="3217" xr:uid="{00000000-0005-0000-0000-0000C72E0000}"/>
    <cellStyle name="Normal 2 4 4 2 3 2" xfId="5613" xr:uid="{00000000-0005-0000-0000-0000C82E0000}"/>
    <cellStyle name="Normal 2 4 4 2 3 2 2" xfId="10709" xr:uid="{00000000-0005-0000-0000-0000C92E0000}"/>
    <cellStyle name="Normal 2 4 4 2 3 3" xfId="8320" xr:uid="{00000000-0005-0000-0000-0000CA2E0000}"/>
    <cellStyle name="Normal 2 4 4 2 4" xfId="4421" xr:uid="{00000000-0005-0000-0000-0000CB2E0000}"/>
    <cellStyle name="Normal 2 4 4 2 4 2" xfId="9517" xr:uid="{00000000-0005-0000-0000-0000CC2E0000}"/>
    <cellStyle name="Normal 2 4 4 2 5" xfId="7059" xr:uid="{00000000-0005-0000-0000-0000CD2E0000}"/>
    <cellStyle name="Normal 2 4 4 3" xfId="1824" xr:uid="{00000000-0005-0000-0000-0000CE2E0000}"/>
    <cellStyle name="Normal 2 4 4 3 2" xfId="3219" xr:uid="{00000000-0005-0000-0000-0000CF2E0000}"/>
    <cellStyle name="Normal 2 4 4 3 2 2" xfId="5615" xr:uid="{00000000-0005-0000-0000-0000D02E0000}"/>
    <cellStyle name="Normal 2 4 4 3 2 2 2" xfId="10711" xr:uid="{00000000-0005-0000-0000-0000D12E0000}"/>
    <cellStyle name="Normal 2 4 4 3 2 3" xfId="8322" xr:uid="{00000000-0005-0000-0000-0000D22E0000}"/>
    <cellStyle name="Normal 2 4 4 3 3" xfId="4423" xr:uid="{00000000-0005-0000-0000-0000D32E0000}"/>
    <cellStyle name="Normal 2 4 4 3 3 2" xfId="9519" xr:uid="{00000000-0005-0000-0000-0000D42E0000}"/>
    <cellStyle name="Normal 2 4 4 3 4" xfId="7061" xr:uid="{00000000-0005-0000-0000-0000D52E0000}"/>
    <cellStyle name="Normal 2 4 4 4" xfId="1825" xr:uid="{00000000-0005-0000-0000-0000D62E0000}"/>
    <cellStyle name="Normal 2 4 4 4 2" xfId="3220" xr:uid="{00000000-0005-0000-0000-0000D72E0000}"/>
    <cellStyle name="Normal 2 4 4 4 2 2" xfId="5616" xr:uid="{00000000-0005-0000-0000-0000D82E0000}"/>
    <cellStyle name="Normal 2 4 4 4 2 2 2" xfId="10712" xr:uid="{00000000-0005-0000-0000-0000D92E0000}"/>
    <cellStyle name="Normal 2 4 4 4 2 3" xfId="8323" xr:uid="{00000000-0005-0000-0000-0000DA2E0000}"/>
    <cellStyle name="Normal 2 4 4 4 3" xfId="4424" xr:uid="{00000000-0005-0000-0000-0000DB2E0000}"/>
    <cellStyle name="Normal 2 4 4 4 3 2" xfId="9520" xr:uid="{00000000-0005-0000-0000-0000DC2E0000}"/>
    <cellStyle name="Normal 2 4 4 4 4" xfId="7062" xr:uid="{00000000-0005-0000-0000-0000DD2E0000}"/>
    <cellStyle name="Normal 2 4 4 5" xfId="1821" xr:uid="{00000000-0005-0000-0000-0000DE2E0000}"/>
    <cellStyle name="Normal 2 4 4 5 2" xfId="3216" xr:uid="{00000000-0005-0000-0000-0000DF2E0000}"/>
    <cellStyle name="Normal 2 4 4 5 2 2" xfId="5612" xr:uid="{00000000-0005-0000-0000-0000E02E0000}"/>
    <cellStyle name="Normal 2 4 4 5 2 2 2" xfId="10708" xr:uid="{00000000-0005-0000-0000-0000E12E0000}"/>
    <cellStyle name="Normal 2 4 4 5 2 3" xfId="8319" xr:uid="{00000000-0005-0000-0000-0000E22E0000}"/>
    <cellStyle name="Normal 2 4 4 5 3" xfId="4420" xr:uid="{00000000-0005-0000-0000-0000E32E0000}"/>
    <cellStyle name="Normal 2 4 4 5 3 2" xfId="9516" xr:uid="{00000000-0005-0000-0000-0000E42E0000}"/>
    <cellStyle name="Normal 2 4 4 5 4" xfId="7058" xr:uid="{00000000-0005-0000-0000-0000E52E0000}"/>
    <cellStyle name="Normal 2 4 4 6" xfId="2442" xr:uid="{00000000-0005-0000-0000-0000E62E0000}"/>
    <cellStyle name="Normal 2 4 4 6 2" xfId="4889" xr:uid="{00000000-0005-0000-0000-0000E72E0000}"/>
    <cellStyle name="Normal 2 4 4 6 2 2" xfId="9985" xr:uid="{00000000-0005-0000-0000-0000E82E0000}"/>
    <cellStyle name="Normal 2 4 4 6 3" xfId="7546" xr:uid="{00000000-0005-0000-0000-0000E92E0000}"/>
    <cellStyle name="Normal 2 4 4 7" xfId="3706" xr:uid="{00000000-0005-0000-0000-0000EA2E0000}"/>
    <cellStyle name="Normal 2 4 4 7 2" xfId="8805" xr:uid="{00000000-0005-0000-0000-0000EB2E0000}"/>
    <cellStyle name="Normal 2 4 4 8" xfId="6286" xr:uid="{00000000-0005-0000-0000-0000EC2E0000}"/>
    <cellStyle name="Normal 2 4 5" xfId="701" xr:uid="{00000000-0005-0000-0000-0000ED2E0000}"/>
    <cellStyle name="Normal 2 4 5 2" xfId="1827" xr:uid="{00000000-0005-0000-0000-0000EE2E0000}"/>
    <cellStyle name="Normal 2 4 5 2 2" xfId="1828" xr:uid="{00000000-0005-0000-0000-0000EF2E0000}"/>
    <cellStyle name="Normal 2 4 5 2 2 2" xfId="3223" xr:uid="{00000000-0005-0000-0000-0000F02E0000}"/>
    <cellStyle name="Normal 2 4 5 2 2 2 2" xfId="5619" xr:uid="{00000000-0005-0000-0000-0000F12E0000}"/>
    <cellStyle name="Normal 2 4 5 2 2 2 2 2" xfId="10715" xr:uid="{00000000-0005-0000-0000-0000F22E0000}"/>
    <cellStyle name="Normal 2 4 5 2 2 2 3" xfId="8326" xr:uid="{00000000-0005-0000-0000-0000F32E0000}"/>
    <cellStyle name="Normal 2 4 5 2 2 3" xfId="4427" xr:uid="{00000000-0005-0000-0000-0000F42E0000}"/>
    <cellStyle name="Normal 2 4 5 2 2 3 2" xfId="9523" xr:uid="{00000000-0005-0000-0000-0000F52E0000}"/>
    <cellStyle name="Normal 2 4 5 2 2 4" xfId="7065" xr:uid="{00000000-0005-0000-0000-0000F62E0000}"/>
    <cellStyle name="Normal 2 4 5 2 3" xfId="3222" xr:uid="{00000000-0005-0000-0000-0000F72E0000}"/>
    <cellStyle name="Normal 2 4 5 2 3 2" xfId="5618" xr:uid="{00000000-0005-0000-0000-0000F82E0000}"/>
    <cellStyle name="Normal 2 4 5 2 3 2 2" xfId="10714" xr:uid="{00000000-0005-0000-0000-0000F92E0000}"/>
    <cellStyle name="Normal 2 4 5 2 3 3" xfId="8325" xr:uid="{00000000-0005-0000-0000-0000FA2E0000}"/>
    <cellStyle name="Normal 2 4 5 2 4" xfId="4426" xr:uid="{00000000-0005-0000-0000-0000FB2E0000}"/>
    <cellStyle name="Normal 2 4 5 2 4 2" xfId="9522" xr:uid="{00000000-0005-0000-0000-0000FC2E0000}"/>
    <cellStyle name="Normal 2 4 5 2 5" xfId="7064" xr:uid="{00000000-0005-0000-0000-0000FD2E0000}"/>
    <cellStyle name="Normal 2 4 5 3" xfId="1829" xr:uid="{00000000-0005-0000-0000-0000FE2E0000}"/>
    <cellStyle name="Normal 2 4 5 3 2" xfId="3224" xr:uid="{00000000-0005-0000-0000-0000FF2E0000}"/>
    <cellStyle name="Normal 2 4 5 3 2 2" xfId="5620" xr:uid="{00000000-0005-0000-0000-0000002F0000}"/>
    <cellStyle name="Normal 2 4 5 3 2 2 2" xfId="10716" xr:uid="{00000000-0005-0000-0000-0000012F0000}"/>
    <cellStyle name="Normal 2 4 5 3 2 3" xfId="8327" xr:uid="{00000000-0005-0000-0000-0000022F0000}"/>
    <cellStyle name="Normal 2 4 5 3 3" xfId="4428" xr:uid="{00000000-0005-0000-0000-0000032F0000}"/>
    <cellStyle name="Normal 2 4 5 3 3 2" xfId="9524" xr:uid="{00000000-0005-0000-0000-0000042F0000}"/>
    <cellStyle name="Normal 2 4 5 3 4" xfId="7066" xr:uid="{00000000-0005-0000-0000-0000052F0000}"/>
    <cellStyle name="Normal 2 4 5 4" xfId="1830" xr:uid="{00000000-0005-0000-0000-0000062F0000}"/>
    <cellStyle name="Normal 2 4 5 4 2" xfId="3225" xr:uid="{00000000-0005-0000-0000-0000072F0000}"/>
    <cellStyle name="Normal 2 4 5 4 2 2" xfId="5621" xr:uid="{00000000-0005-0000-0000-0000082F0000}"/>
    <cellStyle name="Normal 2 4 5 4 2 2 2" xfId="10717" xr:uid="{00000000-0005-0000-0000-0000092F0000}"/>
    <cellStyle name="Normal 2 4 5 4 2 3" xfId="8328" xr:uid="{00000000-0005-0000-0000-00000A2F0000}"/>
    <cellStyle name="Normal 2 4 5 4 3" xfId="4429" xr:uid="{00000000-0005-0000-0000-00000B2F0000}"/>
    <cellStyle name="Normal 2 4 5 4 3 2" xfId="9525" xr:uid="{00000000-0005-0000-0000-00000C2F0000}"/>
    <cellStyle name="Normal 2 4 5 4 4" xfId="7067" xr:uid="{00000000-0005-0000-0000-00000D2F0000}"/>
    <cellStyle name="Normal 2 4 5 5" xfId="1826" xr:uid="{00000000-0005-0000-0000-00000E2F0000}"/>
    <cellStyle name="Normal 2 4 5 5 2" xfId="3221" xr:uid="{00000000-0005-0000-0000-00000F2F0000}"/>
    <cellStyle name="Normal 2 4 5 5 2 2" xfId="5617" xr:uid="{00000000-0005-0000-0000-0000102F0000}"/>
    <cellStyle name="Normal 2 4 5 5 2 2 2" xfId="10713" xr:uid="{00000000-0005-0000-0000-0000112F0000}"/>
    <cellStyle name="Normal 2 4 5 5 2 3" xfId="8324" xr:uid="{00000000-0005-0000-0000-0000122F0000}"/>
    <cellStyle name="Normal 2 4 5 5 3" xfId="4425" xr:uid="{00000000-0005-0000-0000-0000132F0000}"/>
    <cellStyle name="Normal 2 4 5 5 3 2" xfId="9521" xr:uid="{00000000-0005-0000-0000-0000142F0000}"/>
    <cellStyle name="Normal 2 4 5 5 4" xfId="7063" xr:uid="{00000000-0005-0000-0000-0000152F0000}"/>
    <cellStyle name="Normal 2 4 5 6" xfId="2503" xr:uid="{00000000-0005-0000-0000-0000162F0000}"/>
    <cellStyle name="Normal 2 4 5 6 2" xfId="4950" xr:uid="{00000000-0005-0000-0000-0000172F0000}"/>
    <cellStyle name="Normal 2 4 5 6 2 2" xfId="10046" xr:uid="{00000000-0005-0000-0000-0000182F0000}"/>
    <cellStyle name="Normal 2 4 5 6 3" xfId="7607" xr:uid="{00000000-0005-0000-0000-0000192F0000}"/>
    <cellStyle name="Normal 2 4 5 7" xfId="3767" xr:uid="{00000000-0005-0000-0000-00001A2F0000}"/>
    <cellStyle name="Normal 2 4 5 7 2" xfId="8866" xr:uid="{00000000-0005-0000-0000-00001B2F0000}"/>
    <cellStyle name="Normal 2 4 5 8" xfId="6347" xr:uid="{00000000-0005-0000-0000-00001C2F0000}"/>
    <cellStyle name="Normal 2 4 6" xfId="1831" xr:uid="{00000000-0005-0000-0000-00001D2F0000}"/>
    <cellStyle name="Normal 2 4 6 2" xfId="1832" xr:uid="{00000000-0005-0000-0000-00001E2F0000}"/>
    <cellStyle name="Normal 2 4 6 2 2" xfId="3227" xr:uid="{00000000-0005-0000-0000-00001F2F0000}"/>
    <cellStyle name="Normal 2 4 6 2 2 2" xfId="5623" xr:uid="{00000000-0005-0000-0000-0000202F0000}"/>
    <cellStyle name="Normal 2 4 6 2 2 2 2" xfId="10719" xr:uid="{00000000-0005-0000-0000-0000212F0000}"/>
    <cellStyle name="Normal 2 4 6 2 2 3" xfId="8330" xr:uid="{00000000-0005-0000-0000-0000222F0000}"/>
    <cellStyle name="Normal 2 4 6 2 3" xfId="4431" xr:uid="{00000000-0005-0000-0000-0000232F0000}"/>
    <cellStyle name="Normal 2 4 6 2 3 2" xfId="9527" xr:uid="{00000000-0005-0000-0000-0000242F0000}"/>
    <cellStyle name="Normal 2 4 6 2 4" xfId="7069" xr:uid="{00000000-0005-0000-0000-0000252F0000}"/>
    <cellStyle name="Normal 2 4 6 3" xfId="3226" xr:uid="{00000000-0005-0000-0000-0000262F0000}"/>
    <cellStyle name="Normal 2 4 6 3 2" xfId="5622" xr:uid="{00000000-0005-0000-0000-0000272F0000}"/>
    <cellStyle name="Normal 2 4 6 3 2 2" xfId="10718" xr:uid="{00000000-0005-0000-0000-0000282F0000}"/>
    <cellStyle name="Normal 2 4 6 3 3" xfId="8329" xr:uid="{00000000-0005-0000-0000-0000292F0000}"/>
    <cellStyle name="Normal 2 4 6 4" xfId="4430" xr:uid="{00000000-0005-0000-0000-00002A2F0000}"/>
    <cellStyle name="Normal 2 4 6 4 2" xfId="9526" xr:uid="{00000000-0005-0000-0000-00002B2F0000}"/>
    <cellStyle name="Normal 2 4 6 5" xfId="7068" xr:uid="{00000000-0005-0000-0000-00002C2F0000}"/>
    <cellStyle name="Normal 2 4 7" xfId="1833" xr:uid="{00000000-0005-0000-0000-00002D2F0000}"/>
    <cellStyle name="Normal 2 4 7 2" xfId="3228" xr:uid="{00000000-0005-0000-0000-00002E2F0000}"/>
    <cellStyle name="Normal 2 4 7 2 2" xfId="5624" xr:uid="{00000000-0005-0000-0000-00002F2F0000}"/>
    <cellStyle name="Normal 2 4 7 2 2 2" xfId="10720" xr:uid="{00000000-0005-0000-0000-0000302F0000}"/>
    <cellStyle name="Normal 2 4 7 2 3" xfId="8331" xr:uid="{00000000-0005-0000-0000-0000312F0000}"/>
    <cellStyle name="Normal 2 4 7 3" xfId="4432" xr:uid="{00000000-0005-0000-0000-0000322F0000}"/>
    <cellStyle name="Normal 2 4 7 3 2" xfId="9528" xr:uid="{00000000-0005-0000-0000-0000332F0000}"/>
    <cellStyle name="Normal 2 4 7 4" xfId="7070" xr:uid="{00000000-0005-0000-0000-0000342F0000}"/>
    <cellStyle name="Normal 2 4 8" xfId="1834" xr:uid="{00000000-0005-0000-0000-0000352F0000}"/>
    <cellStyle name="Normal 2 4 8 2" xfId="3229" xr:uid="{00000000-0005-0000-0000-0000362F0000}"/>
    <cellStyle name="Normal 2 4 8 2 2" xfId="5625" xr:uid="{00000000-0005-0000-0000-0000372F0000}"/>
    <cellStyle name="Normal 2 4 8 2 2 2" xfId="10721" xr:uid="{00000000-0005-0000-0000-0000382F0000}"/>
    <cellStyle name="Normal 2 4 8 2 3" xfId="8332" xr:uid="{00000000-0005-0000-0000-0000392F0000}"/>
    <cellStyle name="Normal 2 4 8 3" xfId="4433" xr:uid="{00000000-0005-0000-0000-00003A2F0000}"/>
    <cellStyle name="Normal 2 4 8 3 2" xfId="9529" xr:uid="{00000000-0005-0000-0000-00003B2F0000}"/>
    <cellStyle name="Normal 2 4 8 4" xfId="7071" xr:uid="{00000000-0005-0000-0000-00003C2F0000}"/>
    <cellStyle name="Normal 2 4 9" xfId="1805" xr:uid="{00000000-0005-0000-0000-00003D2F0000}"/>
    <cellStyle name="Normal 2 4 9 2" xfId="3200" xr:uid="{00000000-0005-0000-0000-00003E2F0000}"/>
    <cellStyle name="Normal 2 4 9 2 2" xfId="5596" xr:uid="{00000000-0005-0000-0000-00003F2F0000}"/>
    <cellStyle name="Normal 2 4 9 2 2 2" xfId="10692" xr:uid="{00000000-0005-0000-0000-0000402F0000}"/>
    <cellStyle name="Normal 2 4 9 2 3" xfId="8303" xr:uid="{00000000-0005-0000-0000-0000412F0000}"/>
    <cellStyle name="Normal 2 4 9 3" xfId="4404" xr:uid="{00000000-0005-0000-0000-0000422F0000}"/>
    <cellStyle name="Normal 2 4 9 3 2" xfId="9500" xr:uid="{00000000-0005-0000-0000-0000432F0000}"/>
    <cellStyle name="Normal 2 4 9 4" xfId="7042" xr:uid="{00000000-0005-0000-0000-0000442F0000}"/>
    <cellStyle name="Normal 2 5" xfId="62" xr:uid="{00000000-0005-0000-0000-0000452F0000}"/>
    <cellStyle name="Normal 2 5 2" xfId="606" xr:uid="{00000000-0005-0000-0000-0000462F0000}"/>
    <cellStyle name="Normal 2 5 2 2" xfId="2412" xr:uid="{00000000-0005-0000-0000-0000472F0000}"/>
    <cellStyle name="Normal 2 5 2 2 2" xfId="4859" xr:uid="{00000000-0005-0000-0000-0000482F0000}"/>
    <cellStyle name="Normal 2 5 2 2 2 2" xfId="9955" xr:uid="{00000000-0005-0000-0000-0000492F0000}"/>
    <cellStyle name="Normal 2 5 2 2 3" xfId="7516" xr:uid="{00000000-0005-0000-0000-00004A2F0000}"/>
    <cellStyle name="Normal 2 5 2 3" xfId="3676" xr:uid="{00000000-0005-0000-0000-00004B2F0000}"/>
    <cellStyle name="Normal 2 5 2 3 2" xfId="8775" xr:uid="{00000000-0005-0000-0000-00004C2F0000}"/>
    <cellStyle name="Normal 2 5 2 4" xfId="6256" xr:uid="{00000000-0005-0000-0000-00004D2F0000}"/>
    <cellStyle name="Normal 2 5 3" xfId="771" xr:uid="{00000000-0005-0000-0000-00004E2F0000}"/>
    <cellStyle name="Normal 2 5 3 2" xfId="2552" xr:uid="{00000000-0005-0000-0000-00004F2F0000}"/>
    <cellStyle name="Normal 2 5 3 2 2" xfId="4999" xr:uid="{00000000-0005-0000-0000-0000502F0000}"/>
    <cellStyle name="Normal 2 5 3 2 2 2" xfId="10095" xr:uid="{00000000-0005-0000-0000-0000512F0000}"/>
    <cellStyle name="Normal 2 5 3 2 3" xfId="7656" xr:uid="{00000000-0005-0000-0000-0000522F0000}"/>
    <cellStyle name="Normal 2 5 3 3" xfId="3816" xr:uid="{00000000-0005-0000-0000-0000532F0000}"/>
    <cellStyle name="Normal 2 5 3 3 2" xfId="8915" xr:uid="{00000000-0005-0000-0000-0000542F0000}"/>
    <cellStyle name="Normal 2 5 3 4" xfId="6396" xr:uid="{00000000-0005-0000-0000-0000552F0000}"/>
    <cellStyle name="Normal 2 5 4" xfId="651" xr:uid="{00000000-0005-0000-0000-0000562F0000}"/>
    <cellStyle name="Normal 2 5 4 2" xfId="2455" xr:uid="{00000000-0005-0000-0000-0000572F0000}"/>
    <cellStyle name="Normal 2 5 4 2 2" xfId="4902" xr:uid="{00000000-0005-0000-0000-0000582F0000}"/>
    <cellStyle name="Normal 2 5 4 2 2 2" xfId="9998" xr:uid="{00000000-0005-0000-0000-0000592F0000}"/>
    <cellStyle name="Normal 2 5 4 2 3" xfId="7559" xr:uid="{00000000-0005-0000-0000-00005A2F0000}"/>
    <cellStyle name="Normal 2 5 4 3" xfId="3719" xr:uid="{00000000-0005-0000-0000-00005B2F0000}"/>
    <cellStyle name="Normal 2 5 4 3 2" xfId="8818" xr:uid="{00000000-0005-0000-0000-00005C2F0000}"/>
    <cellStyle name="Normal 2 5 4 4" xfId="6299" xr:uid="{00000000-0005-0000-0000-00005D2F0000}"/>
    <cellStyle name="Normal 2 6" xfId="408" xr:uid="{00000000-0005-0000-0000-00005E2F0000}"/>
    <cellStyle name="Normal 2 6 2" xfId="927" xr:uid="{00000000-0005-0000-0000-00005F2F0000}"/>
    <cellStyle name="Normal 2 7" xfId="409" xr:uid="{00000000-0005-0000-0000-0000602F0000}"/>
    <cellStyle name="Normal 2 7 2" xfId="608" xr:uid="{00000000-0005-0000-0000-0000612F0000}"/>
    <cellStyle name="Normal 2 7 2 2" xfId="2414" xr:uid="{00000000-0005-0000-0000-0000622F0000}"/>
    <cellStyle name="Normal 2 7 2 2 2" xfId="4861" xr:uid="{00000000-0005-0000-0000-0000632F0000}"/>
    <cellStyle name="Normal 2 7 2 2 2 2" xfId="9957" xr:uid="{00000000-0005-0000-0000-0000642F0000}"/>
    <cellStyle name="Normal 2 7 2 2 3" xfId="7518" xr:uid="{00000000-0005-0000-0000-0000652F0000}"/>
    <cellStyle name="Normal 2 7 2 3" xfId="3678" xr:uid="{00000000-0005-0000-0000-0000662F0000}"/>
    <cellStyle name="Normal 2 7 2 3 2" xfId="8777" xr:uid="{00000000-0005-0000-0000-0000672F0000}"/>
    <cellStyle name="Normal 2 7 2 4" xfId="6258" xr:uid="{00000000-0005-0000-0000-0000682F0000}"/>
    <cellStyle name="Normal 2 8" xfId="410" xr:uid="{00000000-0005-0000-0000-0000692F0000}"/>
    <cellStyle name="Normal 2 8 2" xfId="636" xr:uid="{00000000-0005-0000-0000-00006A2F0000}"/>
    <cellStyle name="Normal 2 9" xfId="411" xr:uid="{00000000-0005-0000-0000-00006B2F0000}"/>
    <cellStyle name="Normal 2 9 2" xfId="656" xr:uid="{00000000-0005-0000-0000-00006C2F0000}"/>
    <cellStyle name="Normal 2 9 2 2" xfId="2460" xr:uid="{00000000-0005-0000-0000-00006D2F0000}"/>
    <cellStyle name="Normal 2 9 2 2 2" xfId="4907" xr:uid="{00000000-0005-0000-0000-00006E2F0000}"/>
    <cellStyle name="Normal 2 9 2 2 2 2" xfId="10003" xr:uid="{00000000-0005-0000-0000-00006F2F0000}"/>
    <cellStyle name="Normal 2 9 2 2 3" xfId="7564" xr:uid="{00000000-0005-0000-0000-0000702F0000}"/>
    <cellStyle name="Normal 2 9 2 3" xfId="3724" xr:uid="{00000000-0005-0000-0000-0000712F0000}"/>
    <cellStyle name="Normal 2 9 2 3 2" xfId="8823" xr:uid="{00000000-0005-0000-0000-0000722F0000}"/>
    <cellStyle name="Normal 2 9 2 4" xfId="6304" xr:uid="{00000000-0005-0000-0000-0000732F0000}"/>
    <cellStyle name="Normal 20" xfId="84" xr:uid="{00000000-0005-0000-0000-0000742F0000}"/>
    <cellStyle name="Normal 20 2" xfId="1835" xr:uid="{00000000-0005-0000-0000-0000752F0000}"/>
    <cellStyle name="Normal 21" xfId="85" xr:uid="{00000000-0005-0000-0000-0000762F0000}"/>
    <cellStyle name="Normal 21 2" xfId="1836" xr:uid="{00000000-0005-0000-0000-0000772F0000}"/>
    <cellStyle name="Normal 22" xfId="89" xr:uid="{00000000-0005-0000-0000-0000782F0000}"/>
    <cellStyle name="Normal 22 2" xfId="1837" xr:uid="{00000000-0005-0000-0000-0000792F0000}"/>
    <cellStyle name="Normal 23" xfId="86" xr:uid="{00000000-0005-0000-0000-00007A2F0000}"/>
    <cellStyle name="Normal 23 2" xfId="1838" xr:uid="{00000000-0005-0000-0000-00007B2F0000}"/>
    <cellStyle name="Normal 23 3" xfId="1839" xr:uid="{00000000-0005-0000-0000-00007C2F0000}"/>
    <cellStyle name="Normal 23 4" xfId="1840" xr:uid="{00000000-0005-0000-0000-00007D2F0000}"/>
    <cellStyle name="Normal 23 4 2" xfId="3230" xr:uid="{00000000-0005-0000-0000-00007E2F0000}"/>
    <cellStyle name="Normal 23 4 2 2" xfId="5626" xr:uid="{00000000-0005-0000-0000-00007F2F0000}"/>
    <cellStyle name="Normal 23 4 2 2 2" xfId="10722" xr:uid="{00000000-0005-0000-0000-0000802F0000}"/>
    <cellStyle name="Normal 23 4 2 3" xfId="8333" xr:uid="{00000000-0005-0000-0000-0000812F0000}"/>
    <cellStyle name="Normal 23 4 3" xfId="4434" xr:uid="{00000000-0005-0000-0000-0000822F0000}"/>
    <cellStyle name="Normal 23 4 3 2" xfId="9530" xr:uid="{00000000-0005-0000-0000-0000832F0000}"/>
    <cellStyle name="Normal 23 4 4" xfId="7072" xr:uid="{00000000-0005-0000-0000-0000842F0000}"/>
    <cellStyle name="Normal 23 5" xfId="1841" xr:uid="{00000000-0005-0000-0000-0000852F0000}"/>
    <cellStyle name="Normal 23 5 2" xfId="3231" xr:uid="{00000000-0005-0000-0000-0000862F0000}"/>
    <cellStyle name="Normal 23 5 2 2" xfId="5627" xr:uid="{00000000-0005-0000-0000-0000872F0000}"/>
    <cellStyle name="Normal 23 5 2 2 2" xfId="10723" xr:uid="{00000000-0005-0000-0000-0000882F0000}"/>
    <cellStyle name="Normal 23 5 2 3" xfId="8334" xr:uid="{00000000-0005-0000-0000-0000892F0000}"/>
    <cellStyle name="Normal 23 5 3" xfId="4435" xr:uid="{00000000-0005-0000-0000-00008A2F0000}"/>
    <cellStyle name="Normal 23 5 3 2" xfId="9531" xr:uid="{00000000-0005-0000-0000-00008B2F0000}"/>
    <cellStyle name="Normal 23 5 4" xfId="7073" xr:uid="{00000000-0005-0000-0000-00008C2F0000}"/>
    <cellStyle name="Normal 24" xfId="87" xr:uid="{00000000-0005-0000-0000-00008D2F0000}"/>
    <cellStyle name="Normal 24 2" xfId="1843" xr:uid="{00000000-0005-0000-0000-00008E2F0000}"/>
    <cellStyle name="Normal 25" xfId="88" xr:uid="{00000000-0005-0000-0000-00008F2F0000}"/>
    <cellStyle name="Normal 25 2" xfId="1845" xr:uid="{00000000-0005-0000-0000-0000902F0000}"/>
    <cellStyle name="Normal 25 2 2" xfId="1846" xr:uid="{00000000-0005-0000-0000-0000912F0000}"/>
    <cellStyle name="Normal 25 2 2 2" xfId="1847" xr:uid="{00000000-0005-0000-0000-0000922F0000}"/>
    <cellStyle name="Normal 25 2 2 2 2" xfId="3236" xr:uid="{00000000-0005-0000-0000-0000932F0000}"/>
    <cellStyle name="Normal 25 2 2 2 2 2" xfId="5632" xr:uid="{00000000-0005-0000-0000-0000942F0000}"/>
    <cellStyle name="Normal 25 2 2 2 2 2 2" xfId="10728" xr:uid="{00000000-0005-0000-0000-0000952F0000}"/>
    <cellStyle name="Normal 25 2 2 2 2 3" xfId="8339" xr:uid="{00000000-0005-0000-0000-0000962F0000}"/>
    <cellStyle name="Normal 25 2 2 2 3" xfId="4440" xr:uid="{00000000-0005-0000-0000-0000972F0000}"/>
    <cellStyle name="Normal 25 2 2 2 3 2" xfId="9536" xr:uid="{00000000-0005-0000-0000-0000982F0000}"/>
    <cellStyle name="Normal 25 2 2 2 4" xfId="7078" xr:uid="{00000000-0005-0000-0000-0000992F0000}"/>
    <cellStyle name="Normal 25 2 2 3" xfId="1848" xr:uid="{00000000-0005-0000-0000-00009A2F0000}"/>
    <cellStyle name="Normal 25 2 2 3 2" xfId="3237" xr:uid="{00000000-0005-0000-0000-00009B2F0000}"/>
    <cellStyle name="Normal 25 2 2 3 2 2" xfId="5633" xr:uid="{00000000-0005-0000-0000-00009C2F0000}"/>
    <cellStyle name="Normal 25 2 2 3 2 2 2" xfId="10729" xr:uid="{00000000-0005-0000-0000-00009D2F0000}"/>
    <cellStyle name="Normal 25 2 2 3 2 3" xfId="8340" xr:uid="{00000000-0005-0000-0000-00009E2F0000}"/>
    <cellStyle name="Normal 25 2 2 3 3" xfId="4441" xr:uid="{00000000-0005-0000-0000-00009F2F0000}"/>
    <cellStyle name="Normal 25 2 2 3 3 2" xfId="9537" xr:uid="{00000000-0005-0000-0000-0000A02F0000}"/>
    <cellStyle name="Normal 25 2 2 3 4" xfId="7079" xr:uid="{00000000-0005-0000-0000-0000A12F0000}"/>
    <cellStyle name="Normal 25 2 2 4" xfId="3235" xr:uid="{00000000-0005-0000-0000-0000A22F0000}"/>
    <cellStyle name="Normal 25 2 2 4 2" xfId="5631" xr:uid="{00000000-0005-0000-0000-0000A32F0000}"/>
    <cellStyle name="Normal 25 2 2 4 2 2" xfId="10727" xr:uid="{00000000-0005-0000-0000-0000A42F0000}"/>
    <cellStyle name="Normal 25 2 2 4 3" xfId="8338" xr:uid="{00000000-0005-0000-0000-0000A52F0000}"/>
    <cellStyle name="Normal 25 2 2 5" xfId="4439" xr:uid="{00000000-0005-0000-0000-0000A62F0000}"/>
    <cellStyle name="Normal 25 2 2 5 2" xfId="9535" xr:uid="{00000000-0005-0000-0000-0000A72F0000}"/>
    <cellStyle name="Normal 25 2 2 6" xfId="7077" xr:uid="{00000000-0005-0000-0000-0000A82F0000}"/>
    <cellStyle name="Normal 25 2 3" xfId="1849" xr:uid="{00000000-0005-0000-0000-0000A92F0000}"/>
    <cellStyle name="Normal 25 2 4" xfId="3234" xr:uid="{00000000-0005-0000-0000-0000AA2F0000}"/>
    <cellStyle name="Normal 25 2 4 2" xfId="5630" xr:uid="{00000000-0005-0000-0000-0000AB2F0000}"/>
    <cellStyle name="Normal 25 2 4 2 2" xfId="10726" xr:uid="{00000000-0005-0000-0000-0000AC2F0000}"/>
    <cellStyle name="Normal 25 2 4 3" xfId="8337" xr:uid="{00000000-0005-0000-0000-0000AD2F0000}"/>
    <cellStyle name="Normal 25 2 5" xfId="4438" xr:uid="{00000000-0005-0000-0000-0000AE2F0000}"/>
    <cellStyle name="Normal 25 2 5 2" xfId="9534" xr:uid="{00000000-0005-0000-0000-0000AF2F0000}"/>
    <cellStyle name="Normal 25 2 6" xfId="7076" xr:uid="{00000000-0005-0000-0000-0000B02F0000}"/>
    <cellStyle name="Normal 25 3" xfId="1850" xr:uid="{00000000-0005-0000-0000-0000B12F0000}"/>
    <cellStyle name="Normal 25 3 2" xfId="1851" xr:uid="{00000000-0005-0000-0000-0000B22F0000}"/>
    <cellStyle name="Normal 25 3 2 2" xfId="3239" xr:uid="{00000000-0005-0000-0000-0000B32F0000}"/>
    <cellStyle name="Normal 25 3 2 2 2" xfId="5635" xr:uid="{00000000-0005-0000-0000-0000B42F0000}"/>
    <cellStyle name="Normal 25 3 2 2 2 2" xfId="10731" xr:uid="{00000000-0005-0000-0000-0000B52F0000}"/>
    <cellStyle name="Normal 25 3 2 2 3" xfId="8342" xr:uid="{00000000-0005-0000-0000-0000B62F0000}"/>
    <cellStyle name="Normal 25 3 2 3" xfId="4443" xr:uid="{00000000-0005-0000-0000-0000B72F0000}"/>
    <cellStyle name="Normal 25 3 2 3 2" xfId="9539" xr:uid="{00000000-0005-0000-0000-0000B82F0000}"/>
    <cellStyle name="Normal 25 3 2 4" xfId="7081" xr:uid="{00000000-0005-0000-0000-0000B92F0000}"/>
    <cellStyle name="Normal 25 3 3" xfId="3238" xr:uid="{00000000-0005-0000-0000-0000BA2F0000}"/>
    <cellStyle name="Normal 25 3 3 2" xfId="5634" xr:uid="{00000000-0005-0000-0000-0000BB2F0000}"/>
    <cellStyle name="Normal 25 3 3 2 2" xfId="10730" xr:uid="{00000000-0005-0000-0000-0000BC2F0000}"/>
    <cellStyle name="Normal 25 3 3 3" xfId="8341" xr:uid="{00000000-0005-0000-0000-0000BD2F0000}"/>
    <cellStyle name="Normal 25 3 4" xfId="4442" xr:uid="{00000000-0005-0000-0000-0000BE2F0000}"/>
    <cellStyle name="Normal 25 3 4 2" xfId="9538" xr:uid="{00000000-0005-0000-0000-0000BF2F0000}"/>
    <cellStyle name="Normal 25 3 5" xfId="7080" xr:uid="{00000000-0005-0000-0000-0000C02F0000}"/>
    <cellStyle name="Normal 25 4" xfId="1852" xr:uid="{00000000-0005-0000-0000-0000C12F0000}"/>
    <cellStyle name="Normal 25 5" xfId="1844" xr:uid="{00000000-0005-0000-0000-0000C22F0000}"/>
    <cellStyle name="Normal 25 5 2" xfId="3233" xr:uid="{00000000-0005-0000-0000-0000C32F0000}"/>
    <cellStyle name="Normal 25 5 2 2" xfId="5629" xr:uid="{00000000-0005-0000-0000-0000C42F0000}"/>
    <cellStyle name="Normal 25 5 2 2 2" xfId="10725" xr:uid="{00000000-0005-0000-0000-0000C52F0000}"/>
    <cellStyle name="Normal 25 5 2 3" xfId="8336" xr:uid="{00000000-0005-0000-0000-0000C62F0000}"/>
    <cellStyle name="Normal 25 5 3" xfId="4437" xr:uid="{00000000-0005-0000-0000-0000C72F0000}"/>
    <cellStyle name="Normal 25 5 3 2" xfId="9533" xr:uid="{00000000-0005-0000-0000-0000C82F0000}"/>
    <cellStyle name="Normal 25 5 4" xfId="7075" xr:uid="{00000000-0005-0000-0000-0000C92F0000}"/>
    <cellStyle name="Normal 26" xfId="93" xr:uid="{00000000-0005-0000-0000-0000CA2F0000}"/>
    <cellStyle name="Normal 26 2" xfId="104" xr:uid="{00000000-0005-0000-0000-0000CB2F0000}"/>
    <cellStyle name="Normal 26 2 2" xfId="1855" xr:uid="{00000000-0005-0000-0000-0000CC2F0000}"/>
    <cellStyle name="Normal 26 2 2 2" xfId="1856" xr:uid="{00000000-0005-0000-0000-0000CD2F0000}"/>
    <cellStyle name="Normal 26 2 2 2 2" xfId="3243" xr:uid="{00000000-0005-0000-0000-0000CE2F0000}"/>
    <cellStyle name="Normal 26 2 2 2 2 2" xfId="5639" xr:uid="{00000000-0005-0000-0000-0000CF2F0000}"/>
    <cellStyle name="Normal 26 2 2 2 2 2 2" xfId="10735" xr:uid="{00000000-0005-0000-0000-0000D02F0000}"/>
    <cellStyle name="Normal 26 2 2 2 2 3" xfId="8346" xr:uid="{00000000-0005-0000-0000-0000D12F0000}"/>
    <cellStyle name="Normal 26 2 2 2 3" xfId="4447" xr:uid="{00000000-0005-0000-0000-0000D22F0000}"/>
    <cellStyle name="Normal 26 2 2 2 3 2" xfId="9543" xr:uid="{00000000-0005-0000-0000-0000D32F0000}"/>
    <cellStyle name="Normal 26 2 2 2 4" xfId="7085" xr:uid="{00000000-0005-0000-0000-0000D42F0000}"/>
    <cellStyle name="Normal 26 2 2 3" xfId="1857" xr:uid="{00000000-0005-0000-0000-0000D52F0000}"/>
    <cellStyle name="Normal 26 2 2 3 2" xfId="3244" xr:uid="{00000000-0005-0000-0000-0000D62F0000}"/>
    <cellStyle name="Normal 26 2 2 3 2 2" xfId="5640" xr:uid="{00000000-0005-0000-0000-0000D72F0000}"/>
    <cellStyle name="Normal 26 2 2 3 2 2 2" xfId="10736" xr:uid="{00000000-0005-0000-0000-0000D82F0000}"/>
    <cellStyle name="Normal 26 2 2 3 2 3" xfId="8347" xr:uid="{00000000-0005-0000-0000-0000D92F0000}"/>
    <cellStyle name="Normal 26 2 2 3 3" xfId="4448" xr:uid="{00000000-0005-0000-0000-0000DA2F0000}"/>
    <cellStyle name="Normal 26 2 2 3 3 2" xfId="9544" xr:uid="{00000000-0005-0000-0000-0000DB2F0000}"/>
    <cellStyle name="Normal 26 2 2 3 4" xfId="7086" xr:uid="{00000000-0005-0000-0000-0000DC2F0000}"/>
    <cellStyle name="Normal 26 2 2 4" xfId="3242" xr:uid="{00000000-0005-0000-0000-0000DD2F0000}"/>
    <cellStyle name="Normal 26 2 2 4 2" xfId="5638" xr:uid="{00000000-0005-0000-0000-0000DE2F0000}"/>
    <cellStyle name="Normal 26 2 2 4 2 2" xfId="10734" xr:uid="{00000000-0005-0000-0000-0000DF2F0000}"/>
    <cellStyle name="Normal 26 2 2 4 3" xfId="8345" xr:uid="{00000000-0005-0000-0000-0000E02F0000}"/>
    <cellStyle name="Normal 26 2 2 5" xfId="4446" xr:uid="{00000000-0005-0000-0000-0000E12F0000}"/>
    <cellStyle name="Normal 26 2 2 5 2" xfId="9542" xr:uid="{00000000-0005-0000-0000-0000E22F0000}"/>
    <cellStyle name="Normal 26 2 2 6" xfId="7084" xr:uid="{00000000-0005-0000-0000-0000E32F0000}"/>
    <cellStyle name="Normal 26 2 3" xfId="1858" xr:uid="{00000000-0005-0000-0000-0000E42F0000}"/>
    <cellStyle name="Normal 26 2 4" xfId="1854" xr:uid="{00000000-0005-0000-0000-0000E52F0000}"/>
    <cellStyle name="Normal 26 2 4 2" xfId="3241" xr:uid="{00000000-0005-0000-0000-0000E62F0000}"/>
    <cellStyle name="Normal 26 2 4 2 2" xfId="5637" xr:uid="{00000000-0005-0000-0000-0000E72F0000}"/>
    <cellStyle name="Normal 26 2 4 2 2 2" xfId="10733" xr:uid="{00000000-0005-0000-0000-0000E82F0000}"/>
    <cellStyle name="Normal 26 2 4 2 3" xfId="8344" xr:uid="{00000000-0005-0000-0000-0000E92F0000}"/>
    <cellStyle name="Normal 26 2 4 3" xfId="4445" xr:uid="{00000000-0005-0000-0000-0000EA2F0000}"/>
    <cellStyle name="Normal 26 2 4 3 2" xfId="9541" xr:uid="{00000000-0005-0000-0000-0000EB2F0000}"/>
    <cellStyle name="Normal 26 2 4 4" xfId="7083" xr:uid="{00000000-0005-0000-0000-0000EC2F0000}"/>
    <cellStyle name="Normal 26 3" xfId="1859" xr:uid="{00000000-0005-0000-0000-0000ED2F0000}"/>
    <cellStyle name="Normal 26 3 2" xfId="1860" xr:uid="{00000000-0005-0000-0000-0000EE2F0000}"/>
    <cellStyle name="Normal 26 3 2 2" xfId="3246" xr:uid="{00000000-0005-0000-0000-0000EF2F0000}"/>
    <cellStyle name="Normal 26 3 2 2 2" xfId="5642" xr:uid="{00000000-0005-0000-0000-0000F02F0000}"/>
    <cellStyle name="Normal 26 3 2 2 2 2" xfId="10738" xr:uid="{00000000-0005-0000-0000-0000F12F0000}"/>
    <cellStyle name="Normal 26 3 2 2 3" xfId="8349" xr:uid="{00000000-0005-0000-0000-0000F22F0000}"/>
    <cellStyle name="Normal 26 3 2 3" xfId="4450" xr:uid="{00000000-0005-0000-0000-0000F32F0000}"/>
    <cellStyle name="Normal 26 3 2 3 2" xfId="9546" xr:uid="{00000000-0005-0000-0000-0000F42F0000}"/>
    <cellStyle name="Normal 26 3 2 4" xfId="7088" xr:uid="{00000000-0005-0000-0000-0000F52F0000}"/>
    <cellStyle name="Normal 26 3 3" xfId="3245" xr:uid="{00000000-0005-0000-0000-0000F62F0000}"/>
    <cellStyle name="Normal 26 3 3 2" xfId="5641" xr:uid="{00000000-0005-0000-0000-0000F72F0000}"/>
    <cellStyle name="Normal 26 3 3 2 2" xfId="10737" xr:uid="{00000000-0005-0000-0000-0000F82F0000}"/>
    <cellStyle name="Normal 26 3 3 3" xfId="8348" xr:uid="{00000000-0005-0000-0000-0000F92F0000}"/>
    <cellStyle name="Normal 26 3 4" xfId="4449" xr:uid="{00000000-0005-0000-0000-0000FA2F0000}"/>
    <cellStyle name="Normal 26 3 4 2" xfId="9545" xr:uid="{00000000-0005-0000-0000-0000FB2F0000}"/>
    <cellStyle name="Normal 26 3 5" xfId="7087" xr:uid="{00000000-0005-0000-0000-0000FC2F0000}"/>
    <cellStyle name="Normal 26 4" xfId="1861" xr:uid="{00000000-0005-0000-0000-0000FD2F0000}"/>
    <cellStyle name="Normal 26 5" xfId="1853" xr:uid="{00000000-0005-0000-0000-0000FE2F0000}"/>
    <cellStyle name="Normal 26 5 2" xfId="3240" xr:uid="{00000000-0005-0000-0000-0000FF2F0000}"/>
    <cellStyle name="Normal 26 5 2 2" xfId="5636" xr:uid="{00000000-0005-0000-0000-000000300000}"/>
    <cellStyle name="Normal 26 5 2 2 2" xfId="10732" xr:uid="{00000000-0005-0000-0000-000001300000}"/>
    <cellStyle name="Normal 26 5 2 3" xfId="8343" xr:uid="{00000000-0005-0000-0000-000002300000}"/>
    <cellStyle name="Normal 26 5 3" xfId="4444" xr:uid="{00000000-0005-0000-0000-000003300000}"/>
    <cellStyle name="Normal 26 5 3 2" xfId="9540" xr:uid="{00000000-0005-0000-0000-000004300000}"/>
    <cellStyle name="Normal 26 5 4" xfId="7082" xr:uid="{00000000-0005-0000-0000-000005300000}"/>
    <cellStyle name="Normal 27" xfId="90" xr:uid="{00000000-0005-0000-0000-000006300000}"/>
    <cellStyle name="Normal 27 2" xfId="1863" xr:uid="{00000000-0005-0000-0000-000007300000}"/>
    <cellStyle name="Normal 27 2 2" xfId="1864" xr:uid="{00000000-0005-0000-0000-000008300000}"/>
    <cellStyle name="Normal 27 2 2 2" xfId="1865" xr:uid="{00000000-0005-0000-0000-000009300000}"/>
    <cellStyle name="Normal 27 2 2 2 2" xfId="3250" xr:uid="{00000000-0005-0000-0000-00000A300000}"/>
    <cellStyle name="Normal 27 2 2 2 2 2" xfId="5646" xr:uid="{00000000-0005-0000-0000-00000B300000}"/>
    <cellStyle name="Normal 27 2 2 2 2 2 2" xfId="10742" xr:uid="{00000000-0005-0000-0000-00000C300000}"/>
    <cellStyle name="Normal 27 2 2 2 2 3" xfId="8353" xr:uid="{00000000-0005-0000-0000-00000D300000}"/>
    <cellStyle name="Normal 27 2 2 2 3" xfId="4454" xr:uid="{00000000-0005-0000-0000-00000E300000}"/>
    <cellStyle name="Normal 27 2 2 2 3 2" xfId="9550" xr:uid="{00000000-0005-0000-0000-00000F300000}"/>
    <cellStyle name="Normal 27 2 2 2 4" xfId="7092" xr:uid="{00000000-0005-0000-0000-000010300000}"/>
    <cellStyle name="Normal 27 2 2 3" xfId="1866" xr:uid="{00000000-0005-0000-0000-000011300000}"/>
    <cellStyle name="Normal 27 2 2 3 2" xfId="3251" xr:uid="{00000000-0005-0000-0000-000012300000}"/>
    <cellStyle name="Normal 27 2 2 3 2 2" xfId="5647" xr:uid="{00000000-0005-0000-0000-000013300000}"/>
    <cellStyle name="Normal 27 2 2 3 2 2 2" xfId="10743" xr:uid="{00000000-0005-0000-0000-000014300000}"/>
    <cellStyle name="Normal 27 2 2 3 2 3" xfId="8354" xr:uid="{00000000-0005-0000-0000-000015300000}"/>
    <cellStyle name="Normal 27 2 2 3 3" xfId="4455" xr:uid="{00000000-0005-0000-0000-000016300000}"/>
    <cellStyle name="Normal 27 2 2 3 3 2" xfId="9551" xr:uid="{00000000-0005-0000-0000-000017300000}"/>
    <cellStyle name="Normal 27 2 2 3 4" xfId="7093" xr:uid="{00000000-0005-0000-0000-000018300000}"/>
    <cellStyle name="Normal 27 2 2 4" xfId="3249" xr:uid="{00000000-0005-0000-0000-000019300000}"/>
    <cellStyle name="Normal 27 2 2 4 2" xfId="5645" xr:uid="{00000000-0005-0000-0000-00001A300000}"/>
    <cellStyle name="Normal 27 2 2 4 2 2" xfId="10741" xr:uid="{00000000-0005-0000-0000-00001B300000}"/>
    <cellStyle name="Normal 27 2 2 4 3" xfId="8352" xr:uid="{00000000-0005-0000-0000-00001C300000}"/>
    <cellStyle name="Normal 27 2 2 5" xfId="4453" xr:uid="{00000000-0005-0000-0000-00001D300000}"/>
    <cellStyle name="Normal 27 2 2 5 2" xfId="9549" xr:uid="{00000000-0005-0000-0000-00001E300000}"/>
    <cellStyle name="Normal 27 2 2 6" xfId="7091" xr:uid="{00000000-0005-0000-0000-00001F300000}"/>
    <cellStyle name="Normal 27 2 3" xfId="1867" xr:uid="{00000000-0005-0000-0000-000020300000}"/>
    <cellStyle name="Normal 27 2 4" xfId="3248" xr:uid="{00000000-0005-0000-0000-000021300000}"/>
    <cellStyle name="Normal 27 2 4 2" xfId="5644" xr:uid="{00000000-0005-0000-0000-000022300000}"/>
    <cellStyle name="Normal 27 2 4 2 2" xfId="10740" xr:uid="{00000000-0005-0000-0000-000023300000}"/>
    <cellStyle name="Normal 27 2 4 3" xfId="8351" xr:uid="{00000000-0005-0000-0000-000024300000}"/>
    <cellStyle name="Normal 27 2 5" xfId="4452" xr:uid="{00000000-0005-0000-0000-000025300000}"/>
    <cellStyle name="Normal 27 2 5 2" xfId="9548" xr:uid="{00000000-0005-0000-0000-000026300000}"/>
    <cellStyle name="Normal 27 2 6" xfId="7090" xr:uid="{00000000-0005-0000-0000-000027300000}"/>
    <cellStyle name="Normal 27 3" xfId="1868" xr:uid="{00000000-0005-0000-0000-000028300000}"/>
    <cellStyle name="Normal 27 3 2" xfId="1869" xr:uid="{00000000-0005-0000-0000-000029300000}"/>
    <cellStyle name="Normal 27 3 2 2" xfId="3253" xr:uid="{00000000-0005-0000-0000-00002A300000}"/>
    <cellStyle name="Normal 27 3 2 2 2" xfId="5649" xr:uid="{00000000-0005-0000-0000-00002B300000}"/>
    <cellStyle name="Normal 27 3 2 2 2 2" xfId="10745" xr:uid="{00000000-0005-0000-0000-00002C300000}"/>
    <cellStyle name="Normal 27 3 2 2 3" xfId="8356" xr:uid="{00000000-0005-0000-0000-00002D300000}"/>
    <cellStyle name="Normal 27 3 2 3" xfId="4457" xr:uid="{00000000-0005-0000-0000-00002E300000}"/>
    <cellStyle name="Normal 27 3 2 3 2" xfId="9553" xr:uid="{00000000-0005-0000-0000-00002F300000}"/>
    <cellStyle name="Normal 27 3 2 4" xfId="7095" xr:uid="{00000000-0005-0000-0000-000030300000}"/>
    <cellStyle name="Normal 27 3 3" xfId="3252" xr:uid="{00000000-0005-0000-0000-000031300000}"/>
    <cellStyle name="Normal 27 3 3 2" xfId="5648" xr:uid="{00000000-0005-0000-0000-000032300000}"/>
    <cellStyle name="Normal 27 3 3 2 2" xfId="10744" xr:uid="{00000000-0005-0000-0000-000033300000}"/>
    <cellStyle name="Normal 27 3 3 3" xfId="8355" xr:uid="{00000000-0005-0000-0000-000034300000}"/>
    <cellStyle name="Normal 27 3 4" xfId="4456" xr:uid="{00000000-0005-0000-0000-000035300000}"/>
    <cellStyle name="Normal 27 3 4 2" xfId="9552" xr:uid="{00000000-0005-0000-0000-000036300000}"/>
    <cellStyle name="Normal 27 3 5" xfId="7094" xr:uid="{00000000-0005-0000-0000-000037300000}"/>
    <cellStyle name="Normal 27 4" xfId="1870" xr:uid="{00000000-0005-0000-0000-000038300000}"/>
    <cellStyle name="Normal 27 5" xfId="1862" xr:uid="{00000000-0005-0000-0000-000039300000}"/>
    <cellStyle name="Normal 27 5 2" xfId="3247" xr:uid="{00000000-0005-0000-0000-00003A300000}"/>
    <cellStyle name="Normal 27 5 2 2" xfId="5643" xr:uid="{00000000-0005-0000-0000-00003B300000}"/>
    <cellStyle name="Normal 27 5 2 2 2" xfId="10739" xr:uid="{00000000-0005-0000-0000-00003C300000}"/>
    <cellStyle name="Normal 27 5 2 3" xfId="8350" xr:uid="{00000000-0005-0000-0000-00003D300000}"/>
    <cellStyle name="Normal 27 5 3" xfId="4451" xr:uid="{00000000-0005-0000-0000-00003E300000}"/>
    <cellStyle name="Normal 27 5 3 2" xfId="9547" xr:uid="{00000000-0005-0000-0000-00003F300000}"/>
    <cellStyle name="Normal 27 5 4" xfId="7089" xr:uid="{00000000-0005-0000-0000-000040300000}"/>
    <cellStyle name="Normal 28" xfId="91" xr:uid="{00000000-0005-0000-0000-000041300000}"/>
    <cellStyle name="Normal 28 2" xfId="1872" xr:uid="{00000000-0005-0000-0000-000042300000}"/>
    <cellStyle name="Normal 29" xfId="92" xr:uid="{00000000-0005-0000-0000-000043300000}"/>
    <cellStyle name="Normal 29 2" xfId="1873" xr:uid="{00000000-0005-0000-0000-000044300000}"/>
    <cellStyle name="Normal 3" xfId="77" xr:uid="{00000000-0005-0000-0000-000045300000}"/>
    <cellStyle name="Normal 3 10" xfId="412" xr:uid="{00000000-0005-0000-0000-000046300000}"/>
    <cellStyle name="Normal 3 11" xfId="413" xr:uid="{00000000-0005-0000-0000-000047300000}"/>
    <cellStyle name="Normal 3 12" xfId="507" xr:uid="{00000000-0005-0000-0000-000048300000}"/>
    <cellStyle name="Normal 3 13" xfId="703" xr:uid="{00000000-0005-0000-0000-000049300000}"/>
    <cellStyle name="Normal 3 13 2" xfId="963" xr:uid="{00000000-0005-0000-0000-00004A300000}"/>
    <cellStyle name="Normal 3 13 3" xfId="2505" xr:uid="{00000000-0005-0000-0000-00004B300000}"/>
    <cellStyle name="Normal 3 13 3 2" xfId="4952" xr:uid="{00000000-0005-0000-0000-00004C300000}"/>
    <cellStyle name="Normal 3 13 3 2 2" xfId="10048" xr:uid="{00000000-0005-0000-0000-00004D300000}"/>
    <cellStyle name="Normal 3 13 3 3" xfId="7609" xr:uid="{00000000-0005-0000-0000-00004E300000}"/>
    <cellStyle name="Normal 3 13 4" xfId="3769" xr:uid="{00000000-0005-0000-0000-00004F300000}"/>
    <cellStyle name="Normal 3 13 4 2" xfId="8868" xr:uid="{00000000-0005-0000-0000-000050300000}"/>
    <cellStyle name="Normal 3 13 5" xfId="6349" xr:uid="{00000000-0005-0000-0000-000051300000}"/>
    <cellStyle name="Normal 3 14" xfId="940" xr:uid="{00000000-0005-0000-0000-000052300000}"/>
    <cellStyle name="Normal 3 15" xfId="1073" xr:uid="{00000000-0005-0000-0000-000053300000}"/>
    <cellStyle name="Normal 3 16" xfId="1080" xr:uid="{00000000-0005-0000-0000-000054300000}"/>
    <cellStyle name="Normal 3 2" xfId="102" xr:uid="{00000000-0005-0000-0000-000055300000}"/>
    <cellStyle name="Normal 3 2 10" xfId="678" xr:uid="{00000000-0005-0000-0000-000056300000}"/>
    <cellStyle name="Normal 3 2 10 2" xfId="965" xr:uid="{00000000-0005-0000-0000-000057300000}"/>
    <cellStyle name="Normal 3 2 11" xfId="941" xr:uid="{00000000-0005-0000-0000-000058300000}"/>
    <cellStyle name="Normal 3 2 12" xfId="1057" xr:uid="{00000000-0005-0000-0000-000059300000}"/>
    <cellStyle name="Normal 3 2 13" xfId="1082" xr:uid="{00000000-0005-0000-0000-00005A300000}"/>
    <cellStyle name="Normal 3 2 2" xfId="177" xr:uid="{00000000-0005-0000-0000-00005B300000}"/>
    <cellStyle name="Normal 3 2 2 2" xfId="527" xr:uid="{00000000-0005-0000-0000-00005C300000}"/>
    <cellStyle name="Normal 3 2 2 2 2" xfId="988" xr:uid="{00000000-0005-0000-0000-00005D300000}"/>
    <cellStyle name="Normal 3 2 2 3" xfId="942" xr:uid="{00000000-0005-0000-0000-00005E300000}"/>
    <cellStyle name="Normal 3 2 2 4" xfId="1060" xr:uid="{00000000-0005-0000-0000-00005F300000}"/>
    <cellStyle name="Normal 3 2 2 5" xfId="1092" xr:uid="{00000000-0005-0000-0000-000060300000}"/>
    <cellStyle name="Normal 3 2 3" xfId="414" xr:uid="{00000000-0005-0000-0000-000061300000}"/>
    <cellStyle name="Normal 3 2 3 2" xfId="943" xr:uid="{00000000-0005-0000-0000-000062300000}"/>
    <cellStyle name="Normal 3 2 3 2 2" xfId="977" xr:uid="{00000000-0005-0000-0000-000063300000}"/>
    <cellStyle name="Normal 3 2 3 3" xfId="1067" xr:uid="{00000000-0005-0000-0000-000064300000}"/>
    <cellStyle name="Normal 3 2 3 4" xfId="1874" xr:uid="{00000000-0005-0000-0000-000065300000}"/>
    <cellStyle name="Normal 3 2 4" xfId="415" xr:uid="{00000000-0005-0000-0000-000066300000}"/>
    <cellStyle name="Normal 3 2 5" xfId="416" xr:uid="{00000000-0005-0000-0000-000067300000}"/>
    <cellStyle name="Normal 3 2 6" xfId="417" xr:uid="{00000000-0005-0000-0000-000068300000}"/>
    <cellStyle name="Normal 3 2 7" xfId="418" xr:uid="{00000000-0005-0000-0000-000069300000}"/>
    <cellStyle name="Normal 3 2 8" xfId="419" xr:uid="{00000000-0005-0000-0000-00006A300000}"/>
    <cellStyle name="Normal 3 2 9" xfId="508" xr:uid="{00000000-0005-0000-0000-00006B300000}"/>
    <cellStyle name="Normal 3 3" xfId="176" xr:uid="{00000000-0005-0000-0000-00006C300000}"/>
    <cellStyle name="Normal 3 3 2" xfId="509" xr:uid="{00000000-0005-0000-0000-00006D300000}"/>
    <cellStyle name="Normal 3 3 2 2" xfId="600" xr:uid="{00000000-0005-0000-0000-00006E300000}"/>
    <cellStyle name="Normal 3 3 2 2 2" xfId="990" xr:uid="{00000000-0005-0000-0000-00006F300000}"/>
    <cellStyle name="Normal 3 3 2 2 3" xfId="2406" xr:uid="{00000000-0005-0000-0000-000070300000}"/>
    <cellStyle name="Normal 3 3 2 2 3 2" xfId="4853" xr:uid="{00000000-0005-0000-0000-000071300000}"/>
    <cellStyle name="Normal 3 3 2 2 3 2 2" xfId="9949" xr:uid="{00000000-0005-0000-0000-000072300000}"/>
    <cellStyle name="Normal 3 3 2 2 3 3" xfId="7510" xr:uid="{00000000-0005-0000-0000-000073300000}"/>
    <cellStyle name="Normal 3 3 2 2 4" xfId="3670" xr:uid="{00000000-0005-0000-0000-000074300000}"/>
    <cellStyle name="Normal 3 3 2 2 4 2" xfId="8769" xr:uid="{00000000-0005-0000-0000-000075300000}"/>
    <cellStyle name="Normal 3 3 2 2 5" xfId="6250" xr:uid="{00000000-0005-0000-0000-000076300000}"/>
    <cellStyle name="Normal 3 3 2 3" xfId="944" xr:uid="{00000000-0005-0000-0000-000077300000}"/>
    <cellStyle name="Normal 3 3 2 4" xfId="1056" xr:uid="{00000000-0005-0000-0000-000078300000}"/>
    <cellStyle name="Normal 3 3 2 5" xfId="1094" xr:uid="{00000000-0005-0000-0000-000079300000}"/>
    <cellStyle name="Normal 3 3 3" xfId="518" xr:uid="{00000000-0005-0000-0000-00007A300000}"/>
    <cellStyle name="Normal 3 3 3 2" xfId="877" xr:uid="{00000000-0005-0000-0000-00007B300000}"/>
    <cellStyle name="Normal 3 3 3 2 2" xfId="1078" xr:uid="{00000000-0005-0000-0000-00007C300000}"/>
    <cellStyle name="Normal 3 3 3 2 3" xfId="2582" xr:uid="{00000000-0005-0000-0000-00007D300000}"/>
    <cellStyle name="Normal 3 3 3 2 3 2" xfId="5026" xr:uid="{00000000-0005-0000-0000-00007E300000}"/>
    <cellStyle name="Normal 3 3 3 2 3 2 2" xfId="10122" xr:uid="{00000000-0005-0000-0000-00007F300000}"/>
    <cellStyle name="Normal 3 3 3 2 3 3" xfId="7685" xr:uid="{00000000-0005-0000-0000-000080300000}"/>
    <cellStyle name="Normal 3 3 3 2 4" xfId="3843" xr:uid="{00000000-0005-0000-0000-000081300000}"/>
    <cellStyle name="Normal 3 3 3 2 4 2" xfId="8942" xr:uid="{00000000-0005-0000-0000-000082300000}"/>
    <cellStyle name="Normal 3 3 3 2 5" xfId="6428" xr:uid="{00000000-0005-0000-0000-000083300000}"/>
    <cellStyle name="Normal 3 3 3 3" xfId="979" xr:uid="{00000000-0005-0000-0000-000084300000}"/>
    <cellStyle name="Normal 3 3 4" xfId="917" xr:uid="{00000000-0005-0000-0000-000085300000}"/>
    <cellStyle name="Normal 3 3 4 2" xfId="967" xr:uid="{00000000-0005-0000-0000-000086300000}"/>
    <cellStyle name="Normal 3 3 4 3" xfId="2618" xr:uid="{00000000-0005-0000-0000-000087300000}"/>
    <cellStyle name="Normal 3 3 4 3 2" xfId="5062" xr:uid="{00000000-0005-0000-0000-000088300000}"/>
    <cellStyle name="Normal 3 3 4 3 2 2" xfId="10158" xr:uid="{00000000-0005-0000-0000-000089300000}"/>
    <cellStyle name="Normal 3 3 4 3 3" xfId="7721" xr:uid="{00000000-0005-0000-0000-00008A300000}"/>
    <cellStyle name="Normal 3 3 4 4" xfId="3879" xr:uid="{00000000-0005-0000-0000-00008B300000}"/>
    <cellStyle name="Normal 3 3 4 4 2" xfId="8978" xr:uid="{00000000-0005-0000-0000-00008C300000}"/>
    <cellStyle name="Normal 3 3 4 5" xfId="6464" xr:uid="{00000000-0005-0000-0000-00008D300000}"/>
    <cellStyle name="Normal 3 3 5" xfId="690" xr:uid="{00000000-0005-0000-0000-00008E300000}"/>
    <cellStyle name="Normal 3 3 5 2" xfId="993" xr:uid="{00000000-0005-0000-0000-00008F300000}"/>
    <cellStyle name="Normal 3 3 5 3" xfId="2492" xr:uid="{00000000-0005-0000-0000-000090300000}"/>
    <cellStyle name="Normal 3 3 5 3 2" xfId="4939" xr:uid="{00000000-0005-0000-0000-000091300000}"/>
    <cellStyle name="Normal 3 3 5 3 2 2" xfId="10035" xr:uid="{00000000-0005-0000-0000-000092300000}"/>
    <cellStyle name="Normal 3 3 5 3 3" xfId="7596" xr:uid="{00000000-0005-0000-0000-000093300000}"/>
    <cellStyle name="Normal 3 3 5 4" xfId="3756" xr:uid="{00000000-0005-0000-0000-000094300000}"/>
    <cellStyle name="Normal 3 3 5 4 2" xfId="8855" xr:uid="{00000000-0005-0000-0000-000095300000}"/>
    <cellStyle name="Normal 3 3 5 5" xfId="6336" xr:uid="{00000000-0005-0000-0000-000096300000}"/>
    <cellStyle name="Normal 3 3 6" xfId="1070" xr:uid="{00000000-0005-0000-0000-000097300000}"/>
    <cellStyle name="Normal 3 3 7" xfId="1084" xr:uid="{00000000-0005-0000-0000-000098300000}"/>
    <cellStyle name="Normal 3 3 8" xfId="1875" xr:uid="{00000000-0005-0000-0000-000099300000}"/>
    <cellStyle name="Normal 3 4" xfId="420" xr:uid="{00000000-0005-0000-0000-00009A300000}"/>
    <cellStyle name="Normal 3 4 2" xfId="757" xr:uid="{00000000-0005-0000-0000-00009B300000}"/>
    <cellStyle name="Normal 3 4 2 2" xfId="991" xr:uid="{00000000-0005-0000-0000-00009C300000}"/>
    <cellStyle name="Normal 3 4 2 3" xfId="1095" xr:uid="{00000000-0005-0000-0000-00009D300000}"/>
    <cellStyle name="Normal 3 4 3" xfId="945" xr:uid="{00000000-0005-0000-0000-00009E300000}"/>
    <cellStyle name="Normal 3 4 3 2" xfId="981" xr:uid="{00000000-0005-0000-0000-00009F300000}"/>
    <cellStyle name="Normal 3 4 3 3" xfId="1130" xr:uid="{00000000-0005-0000-0000-0000A0300000}"/>
    <cellStyle name="Normal 3 4 4" xfId="946" xr:uid="{00000000-0005-0000-0000-0000A1300000}"/>
    <cellStyle name="Normal 3 4 4 2" xfId="969" xr:uid="{00000000-0005-0000-0000-0000A2300000}"/>
    <cellStyle name="Normal 3 4 5" xfId="947" xr:uid="{00000000-0005-0000-0000-0000A3300000}"/>
    <cellStyle name="Normal 3 4 6" xfId="1068" xr:uid="{00000000-0005-0000-0000-0000A4300000}"/>
    <cellStyle name="Normal 3 4 7" xfId="1086" xr:uid="{00000000-0005-0000-0000-0000A5300000}"/>
    <cellStyle name="Normal 3 4 8" xfId="1876" xr:uid="{00000000-0005-0000-0000-0000A6300000}"/>
    <cellStyle name="Normal 3 5" xfId="421" xr:uid="{00000000-0005-0000-0000-0000A7300000}"/>
    <cellStyle name="Normal 3 5 2" xfId="741" xr:uid="{00000000-0005-0000-0000-0000A8300000}"/>
    <cellStyle name="Normal 3 5 2 2" xfId="983" xr:uid="{00000000-0005-0000-0000-0000A9300000}"/>
    <cellStyle name="Normal 3 5 2 3" xfId="1131" xr:uid="{00000000-0005-0000-0000-0000AA300000}"/>
    <cellStyle name="Normal 3 5 3" xfId="948" xr:uid="{00000000-0005-0000-0000-0000AB300000}"/>
    <cellStyle name="Normal 3 5 3 2" xfId="971" xr:uid="{00000000-0005-0000-0000-0000AC300000}"/>
    <cellStyle name="Normal 3 5 4" xfId="949" xr:uid="{00000000-0005-0000-0000-0000AD300000}"/>
    <cellStyle name="Normal 3 5 5" xfId="1065" xr:uid="{00000000-0005-0000-0000-0000AE300000}"/>
    <cellStyle name="Normal 3 5 6" xfId="1088" xr:uid="{00000000-0005-0000-0000-0000AF300000}"/>
    <cellStyle name="Normal 3 6" xfId="422" xr:uid="{00000000-0005-0000-0000-0000B0300000}"/>
    <cellStyle name="Normal 3 6 2" xfId="767" xr:uid="{00000000-0005-0000-0000-0000B1300000}"/>
    <cellStyle name="Normal 3 6 2 2" xfId="985" xr:uid="{00000000-0005-0000-0000-0000B2300000}"/>
    <cellStyle name="Normal 3 6 2 3" xfId="1132" xr:uid="{00000000-0005-0000-0000-0000B3300000}"/>
    <cellStyle name="Normal 3 6 2 4" xfId="2548" xr:uid="{00000000-0005-0000-0000-0000B4300000}"/>
    <cellStyle name="Normal 3 6 2 4 2" xfId="4995" xr:uid="{00000000-0005-0000-0000-0000B5300000}"/>
    <cellStyle name="Normal 3 6 2 4 2 2" xfId="10091" xr:uid="{00000000-0005-0000-0000-0000B6300000}"/>
    <cellStyle name="Normal 3 6 2 4 3" xfId="7652" xr:uid="{00000000-0005-0000-0000-0000B7300000}"/>
    <cellStyle name="Normal 3 6 2 5" xfId="3812" xr:uid="{00000000-0005-0000-0000-0000B8300000}"/>
    <cellStyle name="Normal 3 6 2 5 2" xfId="8911" xr:uid="{00000000-0005-0000-0000-0000B9300000}"/>
    <cellStyle name="Normal 3 6 2 6" xfId="6392" xr:uid="{00000000-0005-0000-0000-0000BA300000}"/>
    <cellStyle name="Normal 3 6 3" xfId="950" xr:uid="{00000000-0005-0000-0000-0000BB300000}"/>
    <cellStyle name="Normal 3 6 3 2" xfId="973" xr:uid="{00000000-0005-0000-0000-0000BC300000}"/>
    <cellStyle name="Normal 3 6 4" xfId="951" xr:uid="{00000000-0005-0000-0000-0000BD300000}"/>
    <cellStyle name="Normal 3 6 5" xfId="1075" xr:uid="{00000000-0005-0000-0000-0000BE300000}"/>
    <cellStyle name="Normal 3 6 6" xfId="1090" xr:uid="{00000000-0005-0000-0000-0000BF300000}"/>
    <cellStyle name="Normal 3 7" xfId="423" xr:uid="{00000000-0005-0000-0000-0000C0300000}"/>
    <cellStyle name="Normal 3 7 2" xfId="931" xr:uid="{00000000-0005-0000-0000-0000C1300000}"/>
    <cellStyle name="Normal 3 7 2 2" xfId="975" xr:uid="{00000000-0005-0000-0000-0000C2300000}"/>
    <cellStyle name="Normal 3 7 2 3" xfId="2631" xr:uid="{00000000-0005-0000-0000-0000C3300000}"/>
    <cellStyle name="Normal 3 7 2 3 2" xfId="5075" xr:uid="{00000000-0005-0000-0000-0000C4300000}"/>
    <cellStyle name="Normal 3 7 2 3 2 2" xfId="10171" xr:uid="{00000000-0005-0000-0000-0000C5300000}"/>
    <cellStyle name="Normal 3 7 2 3 3" xfId="7734" xr:uid="{00000000-0005-0000-0000-0000C6300000}"/>
    <cellStyle name="Normal 3 7 2 4" xfId="3892" xr:uid="{00000000-0005-0000-0000-0000C7300000}"/>
    <cellStyle name="Normal 3 7 2 4 2" xfId="8991" xr:uid="{00000000-0005-0000-0000-0000C8300000}"/>
    <cellStyle name="Normal 3 7 2 5" xfId="6477" xr:uid="{00000000-0005-0000-0000-0000C9300000}"/>
    <cellStyle name="Normal 3 7 3" xfId="1072" xr:uid="{00000000-0005-0000-0000-0000CA300000}"/>
    <cellStyle name="Normal 3 8" xfId="424" xr:uid="{00000000-0005-0000-0000-0000CB300000}"/>
    <cellStyle name="Normal 3 9" xfId="425" xr:uid="{00000000-0005-0000-0000-0000CC300000}"/>
    <cellStyle name="Normal 30" xfId="97" xr:uid="{00000000-0005-0000-0000-0000CD300000}"/>
    <cellStyle name="Normal 30 2" xfId="1878" xr:uid="{00000000-0005-0000-0000-0000CE300000}"/>
    <cellStyle name="Normal 30 3" xfId="1877" xr:uid="{00000000-0005-0000-0000-0000CF300000}"/>
    <cellStyle name="Normal 31" xfId="98" xr:uid="{00000000-0005-0000-0000-0000D0300000}"/>
    <cellStyle name="Normal 31 2" xfId="1880" xr:uid="{00000000-0005-0000-0000-0000D1300000}"/>
    <cellStyle name="Normal 31 3" xfId="1879" xr:uid="{00000000-0005-0000-0000-0000D2300000}"/>
    <cellStyle name="Normal 32" xfId="105" xr:uid="{00000000-0005-0000-0000-0000D3300000}"/>
    <cellStyle name="Normal 32 2" xfId="524" xr:uid="{00000000-0005-0000-0000-0000D4300000}"/>
    <cellStyle name="Normal 32 2 2" xfId="1882" xr:uid="{00000000-0005-0000-0000-0000D5300000}"/>
    <cellStyle name="Normal 32 3" xfId="1881" xr:uid="{00000000-0005-0000-0000-0000D6300000}"/>
    <cellStyle name="Normal 32 4" xfId="2330" xr:uid="{00000000-0005-0000-0000-0000D7300000}"/>
    <cellStyle name="Normal 32 4 2" xfId="4786" xr:uid="{00000000-0005-0000-0000-0000D8300000}"/>
    <cellStyle name="Normal 32 4 2 2" xfId="9882" xr:uid="{00000000-0005-0000-0000-0000D9300000}"/>
    <cellStyle name="Normal 32 4 3" xfId="7439" xr:uid="{00000000-0005-0000-0000-0000DA300000}"/>
    <cellStyle name="Normal 32 5" xfId="3603" xr:uid="{00000000-0005-0000-0000-0000DB300000}"/>
    <cellStyle name="Normal 32 5 2" xfId="8702" xr:uid="{00000000-0005-0000-0000-0000DC300000}"/>
    <cellStyle name="Normal 32 6" xfId="6146" xr:uid="{00000000-0005-0000-0000-0000DD300000}"/>
    <cellStyle name="Normal 32 7" xfId="174" xr:uid="{00000000-0005-0000-0000-0000DE300000}"/>
    <cellStyle name="Normal 33" xfId="426" xr:uid="{00000000-0005-0000-0000-0000DF300000}"/>
    <cellStyle name="Normal 33 2" xfId="1884" xr:uid="{00000000-0005-0000-0000-0000E0300000}"/>
    <cellStyle name="Normal 33 3" xfId="1883" xr:uid="{00000000-0005-0000-0000-0000E1300000}"/>
    <cellStyle name="Normal 34" xfId="427" xr:uid="{00000000-0005-0000-0000-0000E2300000}"/>
    <cellStyle name="Normal 34 2" xfId="1886" xr:uid="{00000000-0005-0000-0000-0000E3300000}"/>
    <cellStyle name="Normal 34 3" xfId="1885" xr:uid="{00000000-0005-0000-0000-0000E4300000}"/>
    <cellStyle name="Normal 35" xfId="428" xr:uid="{00000000-0005-0000-0000-0000E5300000}"/>
    <cellStyle name="Normal 35 2" xfId="1888" xr:uid="{00000000-0005-0000-0000-0000E6300000}"/>
    <cellStyle name="Normal 35 3" xfId="1889" xr:uid="{00000000-0005-0000-0000-0000E7300000}"/>
    <cellStyle name="Normal 35 4" xfId="1887" xr:uid="{00000000-0005-0000-0000-0000E8300000}"/>
    <cellStyle name="Normal 36" xfId="429" xr:uid="{00000000-0005-0000-0000-0000E9300000}"/>
    <cellStyle name="Normal 36 2" xfId="1891" xr:uid="{00000000-0005-0000-0000-0000EA300000}"/>
    <cellStyle name="Normal 36 3" xfId="1890" xr:uid="{00000000-0005-0000-0000-0000EB300000}"/>
    <cellStyle name="Normal 37" xfId="430" xr:uid="{00000000-0005-0000-0000-0000EC300000}"/>
    <cellStyle name="Normal 37 2" xfId="1893" xr:uid="{00000000-0005-0000-0000-0000ED300000}"/>
    <cellStyle name="Normal 37 3" xfId="1892" xr:uid="{00000000-0005-0000-0000-0000EE300000}"/>
    <cellStyle name="Normal 38" xfId="175" xr:uid="{00000000-0005-0000-0000-0000EF300000}"/>
    <cellStyle name="Normal 38 2" xfId="1894" xr:uid="{00000000-0005-0000-0000-0000F0300000}"/>
    <cellStyle name="Normal 39" xfId="431" xr:uid="{00000000-0005-0000-0000-0000F1300000}"/>
    <cellStyle name="Normal 39 2" xfId="1895" xr:uid="{00000000-0005-0000-0000-0000F2300000}"/>
    <cellStyle name="Normal 4" xfId="78" xr:uid="{00000000-0005-0000-0000-0000F3300000}"/>
    <cellStyle name="Normal 4 10" xfId="516" xr:uid="{00000000-0005-0000-0000-0000F4300000}"/>
    <cellStyle name="Normal 4 10 2" xfId="964" xr:uid="{00000000-0005-0000-0000-0000F5300000}"/>
    <cellStyle name="Normal 4 11" xfId="952" xr:uid="{00000000-0005-0000-0000-0000F6300000}"/>
    <cellStyle name="Normal 4 12" xfId="1058" xr:uid="{00000000-0005-0000-0000-0000F7300000}"/>
    <cellStyle name="Normal 4 13" xfId="1081" xr:uid="{00000000-0005-0000-0000-0000F8300000}"/>
    <cellStyle name="Normal 4 14" xfId="1896" xr:uid="{00000000-0005-0000-0000-0000F9300000}"/>
    <cellStyle name="Normal 4 14 2" xfId="3255" xr:uid="{00000000-0005-0000-0000-0000FA300000}"/>
    <cellStyle name="Normal 4 14 2 2" xfId="5651" xr:uid="{00000000-0005-0000-0000-0000FB300000}"/>
    <cellStyle name="Normal 4 14 2 2 2" xfId="10747" xr:uid="{00000000-0005-0000-0000-0000FC300000}"/>
    <cellStyle name="Normal 4 14 2 3" xfId="8358" xr:uid="{00000000-0005-0000-0000-0000FD300000}"/>
    <cellStyle name="Normal 4 14 3" xfId="4459" xr:uid="{00000000-0005-0000-0000-0000FE300000}"/>
    <cellStyle name="Normal 4 14 3 2" xfId="9555" xr:uid="{00000000-0005-0000-0000-0000FF300000}"/>
    <cellStyle name="Normal 4 14 4" xfId="7097" xr:uid="{00000000-0005-0000-0000-000000310000}"/>
    <cellStyle name="Normal 4 2" xfId="103" xr:uid="{00000000-0005-0000-0000-000001310000}"/>
    <cellStyle name="Normal 4 2 2" xfId="668" xr:uid="{00000000-0005-0000-0000-000002310000}"/>
    <cellStyle name="Normal 4 2 2 2" xfId="987" xr:uid="{00000000-0005-0000-0000-000003310000}"/>
    <cellStyle name="Normal 4 2 2 2 2" xfId="1898" xr:uid="{00000000-0005-0000-0000-000004310000}"/>
    <cellStyle name="Normal 4 2 2 3" xfId="1899" xr:uid="{00000000-0005-0000-0000-000005310000}"/>
    <cellStyle name="Normal 4 2 2 4" xfId="1897" xr:uid="{00000000-0005-0000-0000-000006310000}"/>
    <cellStyle name="Normal 4 2 3" xfId="953" xr:uid="{00000000-0005-0000-0000-000007310000}"/>
    <cellStyle name="Normal 4 2 4" xfId="1077" xr:uid="{00000000-0005-0000-0000-000008310000}"/>
    <cellStyle name="Normal 4 2 5" xfId="1091" xr:uid="{00000000-0005-0000-0000-000009310000}"/>
    <cellStyle name="Normal 4 3" xfId="432" xr:uid="{00000000-0005-0000-0000-00000A310000}"/>
    <cellStyle name="Normal 4 3 2" xfId="587" xr:uid="{00000000-0005-0000-0000-00000B310000}"/>
    <cellStyle name="Normal 4 3 2 2" xfId="976" xr:uid="{00000000-0005-0000-0000-00000C310000}"/>
    <cellStyle name="Normal 4 3 2 2 2" xfId="1902" xr:uid="{00000000-0005-0000-0000-00000D310000}"/>
    <cellStyle name="Normal 4 3 2 2 2 2" xfId="3258" xr:uid="{00000000-0005-0000-0000-00000E310000}"/>
    <cellStyle name="Normal 4 3 2 2 2 2 2" xfId="5654" xr:uid="{00000000-0005-0000-0000-00000F310000}"/>
    <cellStyle name="Normal 4 3 2 2 2 2 2 2" xfId="10750" xr:uid="{00000000-0005-0000-0000-000010310000}"/>
    <cellStyle name="Normal 4 3 2 2 2 2 3" xfId="8361" xr:uid="{00000000-0005-0000-0000-000011310000}"/>
    <cellStyle name="Normal 4 3 2 2 2 3" xfId="4462" xr:uid="{00000000-0005-0000-0000-000012310000}"/>
    <cellStyle name="Normal 4 3 2 2 2 3 2" xfId="9558" xr:uid="{00000000-0005-0000-0000-000013310000}"/>
    <cellStyle name="Normal 4 3 2 2 2 4" xfId="7100" xr:uid="{00000000-0005-0000-0000-000014310000}"/>
    <cellStyle name="Normal 4 3 2 3" xfId="1903" xr:uid="{00000000-0005-0000-0000-000015310000}"/>
    <cellStyle name="Normal 4 3 2 3 2" xfId="3259" xr:uid="{00000000-0005-0000-0000-000016310000}"/>
    <cellStyle name="Normal 4 3 2 3 2 2" xfId="5655" xr:uid="{00000000-0005-0000-0000-000017310000}"/>
    <cellStyle name="Normal 4 3 2 3 2 2 2" xfId="10751" xr:uid="{00000000-0005-0000-0000-000018310000}"/>
    <cellStyle name="Normal 4 3 2 3 2 3" xfId="8362" xr:uid="{00000000-0005-0000-0000-000019310000}"/>
    <cellStyle name="Normal 4 3 2 3 3" xfId="4463" xr:uid="{00000000-0005-0000-0000-00001A310000}"/>
    <cellStyle name="Normal 4 3 2 3 3 2" xfId="9559" xr:uid="{00000000-0005-0000-0000-00001B310000}"/>
    <cellStyle name="Normal 4 3 2 3 4" xfId="7101" xr:uid="{00000000-0005-0000-0000-00001C310000}"/>
    <cellStyle name="Normal 4 3 2 4" xfId="1901" xr:uid="{00000000-0005-0000-0000-00001D310000}"/>
    <cellStyle name="Normal 4 3 2 4 2" xfId="3257" xr:uid="{00000000-0005-0000-0000-00001E310000}"/>
    <cellStyle name="Normal 4 3 2 4 2 2" xfId="5653" xr:uid="{00000000-0005-0000-0000-00001F310000}"/>
    <cellStyle name="Normal 4 3 2 4 2 2 2" xfId="10749" xr:uid="{00000000-0005-0000-0000-000020310000}"/>
    <cellStyle name="Normal 4 3 2 4 2 3" xfId="8360" xr:uid="{00000000-0005-0000-0000-000021310000}"/>
    <cellStyle name="Normal 4 3 2 4 3" xfId="4461" xr:uid="{00000000-0005-0000-0000-000022310000}"/>
    <cellStyle name="Normal 4 3 2 4 3 2" xfId="9557" xr:uid="{00000000-0005-0000-0000-000023310000}"/>
    <cellStyle name="Normal 4 3 2 4 4" xfId="7099" xr:uid="{00000000-0005-0000-0000-000024310000}"/>
    <cellStyle name="Normal 4 3 2 5" xfId="2393" xr:uid="{00000000-0005-0000-0000-000025310000}"/>
    <cellStyle name="Normal 4 3 2 5 2" xfId="4840" xr:uid="{00000000-0005-0000-0000-000026310000}"/>
    <cellStyle name="Normal 4 3 2 5 2 2" xfId="9936" xr:uid="{00000000-0005-0000-0000-000027310000}"/>
    <cellStyle name="Normal 4 3 2 5 3" xfId="7497" xr:uid="{00000000-0005-0000-0000-000028310000}"/>
    <cellStyle name="Normal 4 3 2 6" xfId="3657" xr:uid="{00000000-0005-0000-0000-000029310000}"/>
    <cellStyle name="Normal 4 3 2 6 2" xfId="8756" xr:uid="{00000000-0005-0000-0000-00002A310000}"/>
    <cellStyle name="Normal 4 3 2 7" xfId="6237" xr:uid="{00000000-0005-0000-0000-00002B310000}"/>
    <cellStyle name="Normal 4 3 3" xfId="924" xr:uid="{00000000-0005-0000-0000-00002C310000}"/>
    <cellStyle name="Normal 4 3 3 2" xfId="1069" xr:uid="{00000000-0005-0000-0000-00002D310000}"/>
    <cellStyle name="Normal 4 3 3 3" xfId="1904" xr:uid="{00000000-0005-0000-0000-00002E310000}"/>
    <cellStyle name="Normal 4 3 3 4" xfId="2625" xr:uid="{00000000-0005-0000-0000-00002F310000}"/>
    <cellStyle name="Normal 4 3 3 4 2" xfId="5069" xr:uid="{00000000-0005-0000-0000-000030310000}"/>
    <cellStyle name="Normal 4 3 3 4 2 2" xfId="10165" xr:uid="{00000000-0005-0000-0000-000031310000}"/>
    <cellStyle name="Normal 4 3 3 4 3" xfId="7728" xr:uid="{00000000-0005-0000-0000-000032310000}"/>
    <cellStyle name="Normal 4 3 3 5" xfId="3886" xr:uid="{00000000-0005-0000-0000-000033310000}"/>
    <cellStyle name="Normal 4 3 3 5 2" xfId="8985" xr:uid="{00000000-0005-0000-0000-000034310000}"/>
    <cellStyle name="Normal 4 3 3 6" xfId="6471" xr:uid="{00000000-0005-0000-0000-000035310000}"/>
    <cellStyle name="Normal 4 3 4" xfId="642" xr:uid="{00000000-0005-0000-0000-000036310000}"/>
    <cellStyle name="Normal 4 3 4 2" xfId="2447" xr:uid="{00000000-0005-0000-0000-000037310000}"/>
    <cellStyle name="Normal 4 3 4 2 2" xfId="4894" xr:uid="{00000000-0005-0000-0000-000038310000}"/>
    <cellStyle name="Normal 4 3 4 2 2 2" xfId="9990" xr:uid="{00000000-0005-0000-0000-000039310000}"/>
    <cellStyle name="Normal 4 3 4 2 3" xfId="7551" xr:uid="{00000000-0005-0000-0000-00003A310000}"/>
    <cellStyle name="Normal 4 3 4 3" xfId="3711" xr:uid="{00000000-0005-0000-0000-00003B310000}"/>
    <cellStyle name="Normal 4 3 4 3 2" xfId="8810" xr:uid="{00000000-0005-0000-0000-00003C310000}"/>
    <cellStyle name="Normal 4 3 4 4" xfId="6291" xr:uid="{00000000-0005-0000-0000-00003D310000}"/>
    <cellStyle name="Normal 4 3 5" xfId="670" xr:uid="{00000000-0005-0000-0000-00003E310000}"/>
    <cellStyle name="Normal 4 3 5 2" xfId="2473" xr:uid="{00000000-0005-0000-0000-00003F310000}"/>
    <cellStyle name="Normal 4 3 5 2 2" xfId="4920" xr:uid="{00000000-0005-0000-0000-000040310000}"/>
    <cellStyle name="Normal 4 3 5 2 2 2" xfId="10016" xr:uid="{00000000-0005-0000-0000-000041310000}"/>
    <cellStyle name="Normal 4 3 5 2 3" xfId="7577" xr:uid="{00000000-0005-0000-0000-000042310000}"/>
    <cellStyle name="Normal 4 3 5 3" xfId="3737" xr:uid="{00000000-0005-0000-0000-000043310000}"/>
    <cellStyle name="Normal 4 3 5 3 2" xfId="8836" xr:uid="{00000000-0005-0000-0000-000044310000}"/>
    <cellStyle name="Normal 4 3 5 4" xfId="6317" xr:uid="{00000000-0005-0000-0000-000045310000}"/>
    <cellStyle name="Normal 4 3 6" xfId="1900" xr:uid="{00000000-0005-0000-0000-000046310000}"/>
    <cellStyle name="Normal 4 3 6 2" xfId="3256" xr:uid="{00000000-0005-0000-0000-000047310000}"/>
    <cellStyle name="Normal 4 3 6 2 2" xfId="5652" xr:uid="{00000000-0005-0000-0000-000048310000}"/>
    <cellStyle name="Normal 4 3 6 2 2 2" xfId="10748" xr:uid="{00000000-0005-0000-0000-000049310000}"/>
    <cellStyle name="Normal 4 3 6 2 3" xfId="8359" xr:uid="{00000000-0005-0000-0000-00004A310000}"/>
    <cellStyle name="Normal 4 3 6 3" xfId="4460" xr:uid="{00000000-0005-0000-0000-00004B310000}"/>
    <cellStyle name="Normal 4 3 6 3 2" xfId="9556" xr:uid="{00000000-0005-0000-0000-00004C310000}"/>
    <cellStyle name="Normal 4 3 6 4" xfId="7098" xr:uid="{00000000-0005-0000-0000-00004D310000}"/>
    <cellStyle name="Normal 4 4" xfId="433" xr:uid="{00000000-0005-0000-0000-00004E310000}"/>
    <cellStyle name="Normal 4 4 2" xfId="644" xr:uid="{00000000-0005-0000-0000-00004F310000}"/>
    <cellStyle name="Normal 4 4 2 2" xfId="1907" xr:uid="{00000000-0005-0000-0000-000050310000}"/>
    <cellStyle name="Normal 4 4 2 2 2" xfId="3262" xr:uid="{00000000-0005-0000-0000-000051310000}"/>
    <cellStyle name="Normal 4 4 2 2 2 2" xfId="5658" xr:uid="{00000000-0005-0000-0000-000052310000}"/>
    <cellStyle name="Normal 4 4 2 2 2 2 2" xfId="10754" xr:uid="{00000000-0005-0000-0000-000053310000}"/>
    <cellStyle name="Normal 4 4 2 2 2 3" xfId="8365" xr:uid="{00000000-0005-0000-0000-000054310000}"/>
    <cellStyle name="Normal 4 4 2 2 3" xfId="4466" xr:uid="{00000000-0005-0000-0000-000055310000}"/>
    <cellStyle name="Normal 4 4 2 2 3 2" xfId="9562" xr:uid="{00000000-0005-0000-0000-000056310000}"/>
    <cellStyle name="Normal 4 4 2 2 4" xfId="7104" xr:uid="{00000000-0005-0000-0000-000057310000}"/>
    <cellStyle name="Normal 4 4 2 3" xfId="1906" xr:uid="{00000000-0005-0000-0000-000058310000}"/>
    <cellStyle name="Normal 4 4 2 3 2" xfId="3261" xr:uid="{00000000-0005-0000-0000-000059310000}"/>
    <cellStyle name="Normal 4 4 2 3 2 2" xfId="5657" xr:uid="{00000000-0005-0000-0000-00005A310000}"/>
    <cellStyle name="Normal 4 4 2 3 2 2 2" xfId="10753" xr:uid="{00000000-0005-0000-0000-00005B310000}"/>
    <cellStyle name="Normal 4 4 2 3 2 3" xfId="8364" xr:uid="{00000000-0005-0000-0000-00005C310000}"/>
    <cellStyle name="Normal 4 4 2 3 3" xfId="4465" xr:uid="{00000000-0005-0000-0000-00005D310000}"/>
    <cellStyle name="Normal 4 4 2 3 3 2" xfId="9561" xr:uid="{00000000-0005-0000-0000-00005E310000}"/>
    <cellStyle name="Normal 4 4 2 3 4" xfId="7103" xr:uid="{00000000-0005-0000-0000-00005F310000}"/>
    <cellStyle name="Normal 4 4 3" xfId="1908" xr:uid="{00000000-0005-0000-0000-000060310000}"/>
    <cellStyle name="Normal 4 4 3 2" xfId="3263" xr:uid="{00000000-0005-0000-0000-000061310000}"/>
    <cellStyle name="Normal 4 4 3 2 2" xfId="5659" xr:uid="{00000000-0005-0000-0000-000062310000}"/>
    <cellStyle name="Normal 4 4 3 2 2 2" xfId="10755" xr:uid="{00000000-0005-0000-0000-000063310000}"/>
    <cellStyle name="Normal 4 4 3 2 3" xfId="8366" xr:uid="{00000000-0005-0000-0000-000064310000}"/>
    <cellStyle name="Normal 4 4 3 3" xfId="4467" xr:uid="{00000000-0005-0000-0000-000065310000}"/>
    <cellStyle name="Normal 4 4 3 3 2" xfId="9563" xr:uid="{00000000-0005-0000-0000-000066310000}"/>
    <cellStyle name="Normal 4 4 3 4" xfId="7105" xr:uid="{00000000-0005-0000-0000-000067310000}"/>
    <cellStyle name="Normal 4 4 4" xfId="1909" xr:uid="{00000000-0005-0000-0000-000068310000}"/>
    <cellStyle name="Normal 4 4 4 2" xfId="3264" xr:uid="{00000000-0005-0000-0000-000069310000}"/>
    <cellStyle name="Normal 4 4 4 2 2" xfId="5660" xr:uid="{00000000-0005-0000-0000-00006A310000}"/>
    <cellStyle name="Normal 4 4 4 2 2 2" xfId="10756" xr:uid="{00000000-0005-0000-0000-00006B310000}"/>
    <cellStyle name="Normal 4 4 4 2 3" xfId="8367" xr:uid="{00000000-0005-0000-0000-00006C310000}"/>
    <cellStyle name="Normal 4 4 4 3" xfId="4468" xr:uid="{00000000-0005-0000-0000-00006D310000}"/>
    <cellStyle name="Normal 4 4 4 3 2" xfId="9564" xr:uid="{00000000-0005-0000-0000-00006E310000}"/>
    <cellStyle name="Normal 4 4 4 4" xfId="7106" xr:uid="{00000000-0005-0000-0000-00006F310000}"/>
    <cellStyle name="Normal 4 4 5" xfId="1905" xr:uid="{00000000-0005-0000-0000-000070310000}"/>
    <cellStyle name="Normal 4 4 5 2" xfId="3260" xr:uid="{00000000-0005-0000-0000-000071310000}"/>
    <cellStyle name="Normal 4 4 5 2 2" xfId="5656" xr:uid="{00000000-0005-0000-0000-000072310000}"/>
    <cellStyle name="Normal 4 4 5 2 2 2" xfId="10752" xr:uid="{00000000-0005-0000-0000-000073310000}"/>
    <cellStyle name="Normal 4 4 5 2 3" xfId="8363" xr:uid="{00000000-0005-0000-0000-000074310000}"/>
    <cellStyle name="Normal 4 4 5 3" xfId="4464" xr:uid="{00000000-0005-0000-0000-000075310000}"/>
    <cellStyle name="Normal 4 4 5 3 2" xfId="9560" xr:uid="{00000000-0005-0000-0000-000076310000}"/>
    <cellStyle name="Normal 4 4 5 4" xfId="7102" xr:uid="{00000000-0005-0000-0000-000077310000}"/>
    <cellStyle name="Normal 4 5" xfId="434" xr:uid="{00000000-0005-0000-0000-000078310000}"/>
    <cellStyle name="Normal 4 5 2" xfId="655" xr:uid="{00000000-0005-0000-0000-000079310000}"/>
    <cellStyle name="Normal 4 5 2 2" xfId="1912" xr:uid="{00000000-0005-0000-0000-00007A310000}"/>
    <cellStyle name="Normal 4 5 2 2 2" xfId="3267" xr:uid="{00000000-0005-0000-0000-00007B310000}"/>
    <cellStyle name="Normal 4 5 2 2 2 2" xfId="5663" xr:uid="{00000000-0005-0000-0000-00007C310000}"/>
    <cellStyle name="Normal 4 5 2 2 2 2 2" xfId="10759" xr:uid="{00000000-0005-0000-0000-00007D310000}"/>
    <cellStyle name="Normal 4 5 2 2 2 3" xfId="8370" xr:uid="{00000000-0005-0000-0000-00007E310000}"/>
    <cellStyle name="Normal 4 5 2 2 3" xfId="4471" xr:uid="{00000000-0005-0000-0000-00007F310000}"/>
    <cellStyle name="Normal 4 5 2 2 3 2" xfId="9567" xr:uid="{00000000-0005-0000-0000-000080310000}"/>
    <cellStyle name="Normal 4 5 2 2 4" xfId="7109" xr:uid="{00000000-0005-0000-0000-000081310000}"/>
    <cellStyle name="Normal 4 5 2 3" xfId="1911" xr:uid="{00000000-0005-0000-0000-000082310000}"/>
    <cellStyle name="Normal 4 5 2 3 2" xfId="3266" xr:uid="{00000000-0005-0000-0000-000083310000}"/>
    <cellStyle name="Normal 4 5 2 3 2 2" xfId="5662" xr:uid="{00000000-0005-0000-0000-000084310000}"/>
    <cellStyle name="Normal 4 5 2 3 2 2 2" xfId="10758" xr:uid="{00000000-0005-0000-0000-000085310000}"/>
    <cellStyle name="Normal 4 5 2 3 2 3" xfId="8369" xr:uid="{00000000-0005-0000-0000-000086310000}"/>
    <cellStyle name="Normal 4 5 2 3 3" xfId="4470" xr:uid="{00000000-0005-0000-0000-000087310000}"/>
    <cellStyle name="Normal 4 5 2 3 3 2" xfId="9566" xr:uid="{00000000-0005-0000-0000-000088310000}"/>
    <cellStyle name="Normal 4 5 2 3 4" xfId="7108" xr:uid="{00000000-0005-0000-0000-000089310000}"/>
    <cellStyle name="Normal 4 5 2 4" xfId="2459" xr:uid="{00000000-0005-0000-0000-00008A310000}"/>
    <cellStyle name="Normal 4 5 2 4 2" xfId="4906" xr:uid="{00000000-0005-0000-0000-00008B310000}"/>
    <cellStyle name="Normal 4 5 2 4 2 2" xfId="10002" xr:uid="{00000000-0005-0000-0000-00008C310000}"/>
    <cellStyle name="Normal 4 5 2 4 3" xfId="7563" xr:uid="{00000000-0005-0000-0000-00008D310000}"/>
    <cellStyle name="Normal 4 5 2 5" xfId="3723" xr:uid="{00000000-0005-0000-0000-00008E310000}"/>
    <cellStyle name="Normal 4 5 2 5 2" xfId="8822" xr:uid="{00000000-0005-0000-0000-00008F310000}"/>
    <cellStyle name="Normal 4 5 2 6" xfId="6303" xr:uid="{00000000-0005-0000-0000-000090310000}"/>
    <cellStyle name="Normal 4 5 3" xfId="1913" xr:uid="{00000000-0005-0000-0000-000091310000}"/>
    <cellStyle name="Normal 4 5 3 2" xfId="3268" xr:uid="{00000000-0005-0000-0000-000092310000}"/>
    <cellStyle name="Normal 4 5 3 2 2" xfId="5664" xr:uid="{00000000-0005-0000-0000-000093310000}"/>
    <cellStyle name="Normal 4 5 3 2 2 2" xfId="10760" xr:uid="{00000000-0005-0000-0000-000094310000}"/>
    <cellStyle name="Normal 4 5 3 2 3" xfId="8371" xr:uid="{00000000-0005-0000-0000-000095310000}"/>
    <cellStyle name="Normal 4 5 3 3" xfId="4472" xr:uid="{00000000-0005-0000-0000-000096310000}"/>
    <cellStyle name="Normal 4 5 3 3 2" xfId="9568" xr:uid="{00000000-0005-0000-0000-000097310000}"/>
    <cellStyle name="Normal 4 5 3 4" xfId="7110" xr:uid="{00000000-0005-0000-0000-000098310000}"/>
    <cellStyle name="Normal 4 5 4" xfId="1914" xr:uid="{00000000-0005-0000-0000-000099310000}"/>
    <cellStyle name="Normal 4 5 4 2" xfId="3269" xr:uid="{00000000-0005-0000-0000-00009A310000}"/>
    <cellStyle name="Normal 4 5 4 2 2" xfId="5665" xr:uid="{00000000-0005-0000-0000-00009B310000}"/>
    <cellStyle name="Normal 4 5 4 2 2 2" xfId="10761" xr:uid="{00000000-0005-0000-0000-00009C310000}"/>
    <cellStyle name="Normal 4 5 4 2 3" xfId="8372" xr:uid="{00000000-0005-0000-0000-00009D310000}"/>
    <cellStyle name="Normal 4 5 4 3" xfId="4473" xr:uid="{00000000-0005-0000-0000-00009E310000}"/>
    <cellStyle name="Normal 4 5 4 3 2" xfId="9569" xr:uid="{00000000-0005-0000-0000-00009F310000}"/>
    <cellStyle name="Normal 4 5 4 4" xfId="7111" xr:uid="{00000000-0005-0000-0000-0000A0310000}"/>
    <cellStyle name="Normal 4 5 5" xfId="1910" xr:uid="{00000000-0005-0000-0000-0000A1310000}"/>
    <cellStyle name="Normal 4 5 5 2" xfId="3265" xr:uid="{00000000-0005-0000-0000-0000A2310000}"/>
    <cellStyle name="Normal 4 5 5 2 2" xfId="5661" xr:uid="{00000000-0005-0000-0000-0000A3310000}"/>
    <cellStyle name="Normal 4 5 5 2 2 2" xfId="10757" xr:uid="{00000000-0005-0000-0000-0000A4310000}"/>
    <cellStyle name="Normal 4 5 5 2 3" xfId="8368" xr:uid="{00000000-0005-0000-0000-0000A5310000}"/>
    <cellStyle name="Normal 4 5 5 3" xfId="4469" xr:uid="{00000000-0005-0000-0000-0000A6310000}"/>
    <cellStyle name="Normal 4 5 5 3 2" xfId="9565" xr:uid="{00000000-0005-0000-0000-0000A7310000}"/>
    <cellStyle name="Normal 4 5 5 4" xfId="7107" xr:uid="{00000000-0005-0000-0000-0000A8310000}"/>
    <cellStyle name="Normal 4 6" xfId="435" xr:uid="{00000000-0005-0000-0000-0000A9310000}"/>
    <cellStyle name="Normal 4 7" xfId="436" xr:uid="{00000000-0005-0000-0000-0000AA310000}"/>
    <cellStyle name="Normal 4 8" xfId="437" xr:uid="{00000000-0005-0000-0000-0000AB310000}"/>
    <cellStyle name="Normal 4 9" xfId="510" xr:uid="{00000000-0005-0000-0000-0000AC310000}"/>
    <cellStyle name="Normal 40" xfId="528" xr:uid="{00000000-0005-0000-0000-0000AD310000}"/>
    <cellStyle name="Normal 40 2" xfId="532" xr:uid="{00000000-0005-0000-0000-0000AE310000}"/>
    <cellStyle name="Normal 40 2 2" xfId="2342" xr:uid="{00000000-0005-0000-0000-0000AF310000}"/>
    <cellStyle name="Normal 40 3" xfId="867" xr:uid="{00000000-0005-0000-0000-0000B0310000}"/>
    <cellStyle name="Normal 40 3 2" xfId="2572" xr:uid="{00000000-0005-0000-0000-0000B1310000}"/>
    <cellStyle name="Normal 40 3 2 2" xfId="5016" xr:uid="{00000000-0005-0000-0000-0000B2310000}"/>
    <cellStyle name="Normal 40 3 2 2 2" xfId="10112" xr:uid="{00000000-0005-0000-0000-0000B3310000}"/>
    <cellStyle name="Normal 40 3 2 3" xfId="7675" xr:uid="{00000000-0005-0000-0000-0000B4310000}"/>
    <cellStyle name="Normal 40 3 3" xfId="3833" xr:uid="{00000000-0005-0000-0000-0000B5310000}"/>
    <cellStyle name="Normal 40 3 3 2" xfId="8932" xr:uid="{00000000-0005-0000-0000-0000B6310000}"/>
    <cellStyle name="Normal 40 3 4" xfId="6418" xr:uid="{00000000-0005-0000-0000-0000B7310000}"/>
    <cellStyle name="Normal 40 4" xfId="1039" xr:uid="{00000000-0005-0000-0000-0000B8310000}"/>
    <cellStyle name="Normal 40 4 2" xfId="2669" xr:uid="{00000000-0005-0000-0000-0000B9310000}"/>
    <cellStyle name="Normal 40 4 2 2" xfId="5078" xr:uid="{00000000-0005-0000-0000-0000BA310000}"/>
    <cellStyle name="Normal 40 4 2 2 2" xfId="10174" xr:uid="{00000000-0005-0000-0000-0000BB310000}"/>
    <cellStyle name="Normal 40 4 2 3" xfId="7772" xr:uid="{00000000-0005-0000-0000-0000BC310000}"/>
    <cellStyle name="Normal 40 4 3" xfId="3895" xr:uid="{00000000-0005-0000-0000-0000BD310000}"/>
    <cellStyle name="Normal 40 4 3 2" xfId="8994" xr:uid="{00000000-0005-0000-0000-0000BE310000}"/>
    <cellStyle name="Normal 40 4 4" xfId="6516" xr:uid="{00000000-0005-0000-0000-0000BF310000}"/>
    <cellStyle name="Normal 40 5" xfId="1915" xr:uid="{00000000-0005-0000-0000-0000C0310000}"/>
    <cellStyle name="Normal 40 6" xfId="2339" xr:uid="{00000000-0005-0000-0000-0000C1310000}"/>
    <cellStyle name="Normal 41" xfId="530" xr:uid="{00000000-0005-0000-0000-0000C2310000}"/>
    <cellStyle name="Normal 41 2" xfId="935" xr:uid="{00000000-0005-0000-0000-0000C3310000}"/>
    <cellStyle name="Normal 41 3" xfId="1916" xr:uid="{00000000-0005-0000-0000-0000C4310000}"/>
    <cellStyle name="Normal 41 4" xfId="2340" xr:uid="{00000000-0005-0000-0000-0000C5310000}"/>
    <cellStyle name="Normal 42" xfId="534" xr:uid="{00000000-0005-0000-0000-0000C6310000}"/>
    <cellStyle name="Normal 42 2" xfId="1001" xr:uid="{00000000-0005-0000-0000-0000C7310000}"/>
    <cellStyle name="Normal 42 3" xfId="1917" xr:uid="{00000000-0005-0000-0000-0000C8310000}"/>
    <cellStyle name="Normal 43" xfId="936" xr:uid="{00000000-0005-0000-0000-0000C9310000}"/>
    <cellStyle name="Normal 43 2" xfId="1079" xr:uid="{00000000-0005-0000-0000-0000CA310000}"/>
    <cellStyle name="Normal 43 3" xfId="1918" xr:uid="{00000000-0005-0000-0000-0000CB310000}"/>
    <cellStyle name="Normal 44" xfId="958" xr:uid="{00000000-0005-0000-0000-0000CC310000}"/>
    <cellStyle name="Normal 44 2" xfId="1919" xr:uid="{00000000-0005-0000-0000-0000CD310000}"/>
    <cellStyle name="Normal 45" xfId="1003" xr:uid="{00000000-0005-0000-0000-0000CE310000}"/>
    <cellStyle name="Normal 45 2" xfId="1920" xr:uid="{00000000-0005-0000-0000-0000CF310000}"/>
    <cellStyle name="Normal 46" xfId="1921" xr:uid="{00000000-0005-0000-0000-0000D0310000}"/>
    <cellStyle name="Normal 47" xfId="1922" xr:uid="{00000000-0005-0000-0000-0000D1310000}"/>
    <cellStyle name="Normal 48" xfId="1923" xr:uid="{00000000-0005-0000-0000-0000D2310000}"/>
    <cellStyle name="Normal 48 2" xfId="1924" xr:uid="{00000000-0005-0000-0000-0000D3310000}"/>
    <cellStyle name="Normal 49" xfId="1925" xr:uid="{00000000-0005-0000-0000-0000D4310000}"/>
    <cellStyle name="Normal 5" xfId="68" xr:uid="{00000000-0005-0000-0000-0000D5310000}"/>
    <cellStyle name="Normal 5 10" xfId="517" xr:uid="{00000000-0005-0000-0000-0000D6310000}"/>
    <cellStyle name="Normal 5 10 2" xfId="966" xr:uid="{00000000-0005-0000-0000-0000D7310000}"/>
    <cellStyle name="Normal 5 11" xfId="689" xr:uid="{00000000-0005-0000-0000-0000D8310000}"/>
    <cellStyle name="Normal 5 11 2" xfId="994" xr:uid="{00000000-0005-0000-0000-0000D9310000}"/>
    <cellStyle name="Normal 5 11 3" xfId="2491" xr:uid="{00000000-0005-0000-0000-0000DA310000}"/>
    <cellStyle name="Normal 5 11 3 2" xfId="4938" xr:uid="{00000000-0005-0000-0000-0000DB310000}"/>
    <cellStyle name="Normal 5 11 3 2 2" xfId="10034" xr:uid="{00000000-0005-0000-0000-0000DC310000}"/>
    <cellStyle name="Normal 5 11 3 3" xfId="7595" xr:uid="{00000000-0005-0000-0000-0000DD310000}"/>
    <cellStyle name="Normal 5 11 4" xfId="3755" xr:uid="{00000000-0005-0000-0000-0000DE310000}"/>
    <cellStyle name="Normal 5 11 4 2" xfId="8854" xr:uid="{00000000-0005-0000-0000-0000DF310000}"/>
    <cellStyle name="Normal 5 11 5" xfId="6335" xr:uid="{00000000-0005-0000-0000-0000E0310000}"/>
    <cellStyle name="Normal 5 12" xfId="1064" xr:uid="{00000000-0005-0000-0000-0000E1310000}"/>
    <cellStyle name="Normal 5 13" xfId="1083" xr:uid="{00000000-0005-0000-0000-0000E2310000}"/>
    <cellStyle name="Normal 5 14" xfId="1926" xr:uid="{00000000-0005-0000-0000-0000E3310000}"/>
    <cellStyle name="Normal 5 14 2" xfId="3270" xr:uid="{00000000-0005-0000-0000-0000E4310000}"/>
    <cellStyle name="Normal 5 14 2 2" xfId="5666" xr:uid="{00000000-0005-0000-0000-0000E5310000}"/>
    <cellStyle name="Normal 5 14 2 2 2" xfId="10762" xr:uid="{00000000-0005-0000-0000-0000E6310000}"/>
    <cellStyle name="Normal 5 14 2 3" xfId="8373" xr:uid="{00000000-0005-0000-0000-0000E7310000}"/>
    <cellStyle name="Normal 5 14 3" xfId="4474" xr:uid="{00000000-0005-0000-0000-0000E8310000}"/>
    <cellStyle name="Normal 5 14 3 2" xfId="9570" xr:uid="{00000000-0005-0000-0000-0000E9310000}"/>
    <cellStyle name="Normal 5 14 4" xfId="7112" xr:uid="{00000000-0005-0000-0000-0000EA310000}"/>
    <cellStyle name="Normal 5 2" xfId="438" xr:uid="{00000000-0005-0000-0000-0000EB310000}"/>
    <cellStyle name="Normal 5 2 2" xfId="598" xr:uid="{00000000-0005-0000-0000-0000EC310000}"/>
    <cellStyle name="Normal 5 2 2 2" xfId="989" xr:uid="{00000000-0005-0000-0000-0000ED310000}"/>
    <cellStyle name="Normal 5 2 2 2 2" xfId="1930" xr:uid="{00000000-0005-0000-0000-0000EE310000}"/>
    <cellStyle name="Normal 5 2 2 2 2 2" xfId="3274" xr:uid="{00000000-0005-0000-0000-0000EF310000}"/>
    <cellStyle name="Normal 5 2 2 2 2 2 2" xfId="5670" xr:uid="{00000000-0005-0000-0000-0000F0310000}"/>
    <cellStyle name="Normal 5 2 2 2 2 2 2 2" xfId="10766" xr:uid="{00000000-0005-0000-0000-0000F1310000}"/>
    <cellStyle name="Normal 5 2 2 2 2 2 3" xfId="8377" xr:uid="{00000000-0005-0000-0000-0000F2310000}"/>
    <cellStyle name="Normal 5 2 2 2 2 3" xfId="4478" xr:uid="{00000000-0005-0000-0000-0000F3310000}"/>
    <cellStyle name="Normal 5 2 2 2 2 3 2" xfId="9574" xr:uid="{00000000-0005-0000-0000-0000F4310000}"/>
    <cellStyle name="Normal 5 2 2 2 2 4" xfId="7116" xr:uid="{00000000-0005-0000-0000-0000F5310000}"/>
    <cellStyle name="Normal 5 2 2 2 3" xfId="1929" xr:uid="{00000000-0005-0000-0000-0000F6310000}"/>
    <cellStyle name="Normal 5 2 2 2 3 2" xfId="3273" xr:uid="{00000000-0005-0000-0000-0000F7310000}"/>
    <cellStyle name="Normal 5 2 2 2 3 2 2" xfId="5669" xr:uid="{00000000-0005-0000-0000-0000F8310000}"/>
    <cellStyle name="Normal 5 2 2 2 3 2 2 2" xfId="10765" xr:uid="{00000000-0005-0000-0000-0000F9310000}"/>
    <cellStyle name="Normal 5 2 2 2 3 2 3" xfId="8376" xr:uid="{00000000-0005-0000-0000-0000FA310000}"/>
    <cellStyle name="Normal 5 2 2 2 3 3" xfId="4477" xr:uid="{00000000-0005-0000-0000-0000FB310000}"/>
    <cellStyle name="Normal 5 2 2 2 3 3 2" xfId="9573" xr:uid="{00000000-0005-0000-0000-0000FC310000}"/>
    <cellStyle name="Normal 5 2 2 2 3 4" xfId="7115" xr:uid="{00000000-0005-0000-0000-0000FD310000}"/>
    <cellStyle name="Normal 5 2 2 3" xfId="1931" xr:uid="{00000000-0005-0000-0000-0000FE310000}"/>
    <cellStyle name="Normal 5 2 2 3 2" xfId="3275" xr:uid="{00000000-0005-0000-0000-0000FF310000}"/>
    <cellStyle name="Normal 5 2 2 3 2 2" xfId="5671" xr:uid="{00000000-0005-0000-0000-000000320000}"/>
    <cellStyle name="Normal 5 2 2 3 2 2 2" xfId="10767" xr:uid="{00000000-0005-0000-0000-000001320000}"/>
    <cellStyle name="Normal 5 2 2 3 2 3" xfId="8378" xr:uid="{00000000-0005-0000-0000-000002320000}"/>
    <cellStyle name="Normal 5 2 2 3 3" xfId="4479" xr:uid="{00000000-0005-0000-0000-000003320000}"/>
    <cellStyle name="Normal 5 2 2 3 3 2" xfId="9575" xr:uid="{00000000-0005-0000-0000-000004320000}"/>
    <cellStyle name="Normal 5 2 2 3 4" xfId="7117" xr:uid="{00000000-0005-0000-0000-000005320000}"/>
    <cellStyle name="Normal 5 2 2 4" xfId="1932" xr:uid="{00000000-0005-0000-0000-000006320000}"/>
    <cellStyle name="Normal 5 2 2 4 2" xfId="3276" xr:uid="{00000000-0005-0000-0000-000007320000}"/>
    <cellStyle name="Normal 5 2 2 4 2 2" xfId="5672" xr:uid="{00000000-0005-0000-0000-000008320000}"/>
    <cellStyle name="Normal 5 2 2 4 2 2 2" xfId="10768" xr:uid="{00000000-0005-0000-0000-000009320000}"/>
    <cellStyle name="Normal 5 2 2 4 2 3" xfId="8379" xr:uid="{00000000-0005-0000-0000-00000A320000}"/>
    <cellStyle name="Normal 5 2 2 4 3" xfId="4480" xr:uid="{00000000-0005-0000-0000-00000B320000}"/>
    <cellStyle name="Normal 5 2 2 4 3 2" xfId="9576" xr:uid="{00000000-0005-0000-0000-00000C320000}"/>
    <cellStyle name="Normal 5 2 2 4 4" xfId="7118" xr:uid="{00000000-0005-0000-0000-00000D320000}"/>
    <cellStyle name="Normal 5 2 2 5" xfId="1928" xr:uid="{00000000-0005-0000-0000-00000E320000}"/>
    <cellStyle name="Normal 5 2 2 5 2" xfId="3272" xr:uid="{00000000-0005-0000-0000-00000F320000}"/>
    <cellStyle name="Normal 5 2 2 5 2 2" xfId="5668" xr:uid="{00000000-0005-0000-0000-000010320000}"/>
    <cellStyle name="Normal 5 2 2 5 2 2 2" xfId="10764" xr:uid="{00000000-0005-0000-0000-000011320000}"/>
    <cellStyle name="Normal 5 2 2 5 2 3" xfId="8375" xr:uid="{00000000-0005-0000-0000-000012320000}"/>
    <cellStyle name="Normal 5 2 2 5 3" xfId="4476" xr:uid="{00000000-0005-0000-0000-000013320000}"/>
    <cellStyle name="Normal 5 2 2 5 3 2" xfId="9572" xr:uid="{00000000-0005-0000-0000-000014320000}"/>
    <cellStyle name="Normal 5 2 2 5 4" xfId="7114" xr:uid="{00000000-0005-0000-0000-000015320000}"/>
    <cellStyle name="Normal 5 2 2 6" xfId="2404" xr:uid="{00000000-0005-0000-0000-000016320000}"/>
    <cellStyle name="Normal 5 2 2 6 2" xfId="4851" xr:uid="{00000000-0005-0000-0000-000017320000}"/>
    <cellStyle name="Normal 5 2 2 6 2 2" xfId="9947" xr:uid="{00000000-0005-0000-0000-000018320000}"/>
    <cellStyle name="Normal 5 2 2 6 3" xfId="7508" xr:uid="{00000000-0005-0000-0000-000019320000}"/>
    <cellStyle name="Normal 5 2 2 7" xfId="3668" xr:uid="{00000000-0005-0000-0000-00001A320000}"/>
    <cellStyle name="Normal 5 2 2 7 2" xfId="8767" xr:uid="{00000000-0005-0000-0000-00001B320000}"/>
    <cellStyle name="Normal 5 2 2 8" xfId="6248" xr:uid="{00000000-0005-0000-0000-00001C320000}"/>
    <cellStyle name="Normal 5 2 3" xfId="954" xr:uid="{00000000-0005-0000-0000-00001D320000}"/>
    <cellStyle name="Normal 5 2 3 2" xfId="1934" xr:uid="{00000000-0005-0000-0000-00001E320000}"/>
    <cellStyle name="Normal 5 2 3 2 2" xfId="3278" xr:uid="{00000000-0005-0000-0000-00001F320000}"/>
    <cellStyle name="Normal 5 2 3 2 2 2" xfId="5674" xr:uid="{00000000-0005-0000-0000-000020320000}"/>
    <cellStyle name="Normal 5 2 3 2 2 2 2" xfId="10770" xr:uid="{00000000-0005-0000-0000-000021320000}"/>
    <cellStyle name="Normal 5 2 3 2 2 3" xfId="8381" xr:uid="{00000000-0005-0000-0000-000022320000}"/>
    <cellStyle name="Normal 5 2 3 2 3" xfId="4482" xr:uid="{00000000-0005-0000-0000-000023320000}"/>
    <cellStyle name="Normal 5 2 3 2 3 2" xfId="9578" xr:uid="{00000000-0005-0000-0000-000024320000}"/>
    <cellStyle name="Normal 5 2 3 2 4" xfId="7120" xr:uid="{00000000-0005-0000-0000-000025320000}"/>
    <cellStyle name="Normal 5 2 3 3" xfId="1933" xr:uid="{00000000-0005-0000-0000-000026320000}"/>
    <cellStyle name="Normal 5 2 3 3 2" xfId="3277" xr:uid="{00000000-0005-0000-0000-000027320000}"/>
    <cellStyle name="Normal 5 2 3 3 2 2" xfId="5673" xr:uid="{00000000-0005-0000-0000-000028320000}"/>
    <cellStyle name="Normal 5 2 3 3 2 2 2" xfId="10769" xr:uid="{00000000-0005-0000-0000-000029320000}"/>
    <cellStyle name="Normal 5 2 3 3 2 3" xfId="8380" xr:uid="{00000000-0005-0000-0000-00002A320000}"/>
    <cellStyle name="Normal 5 2 3 3 3" xfId="4481" xr:uid="{00000000-0005-0000-0000-00002B320000}"/>
    <cellStyle name="Normal 5 2 3 3 3 2" xfId="9577" xr:uid="{00000000-0005-0000-0000-00002C320000}"/>
    <cellStyle name="Normal 5 2 3 3 4" xfId="7119" xr:uid="{00000000-0005-0000-0000-00002D320000}"/>
    <cellStyle name="Normal 5 2 4" xfId="1061" xr:uid="{00000000-0005-0000-0000-00002E320000}"/>
    <cellStyle name="Normal 5 2 4 2" xfId="1935" xr:uid="{00000000-0005-0000-0000-00002F320000}"/>
    <cellStyle name="Normal 5 2 5" xfId="1093" xr:uid="{00000000-0005-0000-0000-000030320000}"/>
    <cellStyle name="Normal 5 2 6" xfId="1927" xr:uid="{00000000-0005-0000-0000-000031320000}"/>
    <cellStyle name="Normal 5 2 6 2" xfId="3271" xr:uid="{00000000-0005-0000-0000-000032320000}"/>
    <cellStyle name="Normal 5 2 6 2 2" xfId="5667" xr:uid="{00000000-0005-0000-0000-000033320000}"/>
    <cellStyle name="Normal 5 2 6 2 2 2" xfId="10763" xr:uid="{00000000-0005-0000-0000-000034320000}"/>
    <cellStyle name="Normal 5 2 6 2 3" xfId="8374" xr:uid="{00000000-0005-0000-0000-000035320000}"/>
    <cellStyle name="Normal 5 2 6 3" xfId="4475" xr:uid="{00000000-0005-0000-0000-000036320000}"/>
    <cellStyle name="Normal 5 2 6 3 2" xfId="9571" xr:uid="{00000000-0005-0000-0000-000037320000}"/>
    <cellStyle name="Normal 5 2 6 4" xfId="7113" xr:uid="{00000000-0005-0000-0000-000038320000}"/>
    <cellStyle name="Normal 5 3" xfId="439" xr:uid="{00000000-0005-0000-0000-000039320000}"/>
    <cellStyle name="Normal 5 3 2" xfId="923" xr:uid="{00000000-0005-0000-0000-00003A320000}"/>
    <cellStyle name="Normal 5 3 2 2" xfId="978" xr:uid="{00000000-0005-0000-0000-00003B320000}"/>
    <cellStyle name="Normal 5 3 2 2 2" xfId="1938" xr:uid="{00000000-0005-0000-0000-00003C320000}"/>
    <cellStyle name="Normal 5 3 2 2 2 2" xfId="3281" xr:uid="{00000000-0005-0000-0000-00003D320000}"/>
    <cellStyle name="Normal 5 3 2 2 2 2 2" xfId="5677" xr:uid="{00000000-0005-0000-0000-00003E320000}"/>
    <cellStyle name="Normal 5 3 2 2 2 2 2 2" xfId="10773" xr:uid="{00000000-0005-0000-0000-00003F320000}"/>
    <cellStyle name="Normal 5 3 2 2 2 2 3" xfId="8384" xr:uid="{00000000-0005-0000-0000-000040320000}"/>
    <cellStyle name="Normal 5 3 2 2 2 3" xfId="4485" xr:uid="{00000000-0005-0000-0000-000041320000}"/>
    <cellStyle name="Normal 5 3 2 2 2 3 2" xfId="9581" xr:uid="{00000000-0005-0000-0000-000042320000}"/>
    <cellStyle name="Normal 5 3 2 2 2 4" xfId="7123" xr:uid="{00000000-0005-0000-0000-000043320000}"/>
    <cellStyle name="Normal 5 3 2 3" xfId="1937" xr:uid="{00000000-0005-0000-0000-000044320000}"/>
    <cellStyle name="Normal 5 3 2 3 2" xfId="3280" xr:uid="{00000000-0005-0000-0000-000045320000}"/>
    <cellStyle name="Normal 5 3 2 3 2 2" xfId="5676" xr:uid="{00000000-0005-0000-0000-000046320000}"/>
    <cellStyle name="Normal 5 3 2 3 2 2 2" xfId="10772" xr:uid="{00000000-0005-0000-0000-000047320000}"/>
    <cellStyle name="Normal 5 3 2 3 2 3" xfId="8383" xr:uid="{00000000-0005-0000-0000-000048320000}"/>
    <cellStyle name="Normal 5 3 2 3 3" xfId="4484" xr:uid="{00000000-0005-0000-0000-000049320000}"/>
    <cellStyle name="Normal 5 3 2 3 3 2" xfId="9580" xr:uid="{00000000-0005-0000-0000-00004A320000}"/>
    <cellStyle name="Normal 5 3 2 3 4" xfId="7122" xr:uid="{00000000-0005-0000-0000-00004B320000}"/>
    <cellStyle name="Normal 5 3 2 4" xfId="2624" xr:uid="{00000000-0005-0000-0000-00004C320000}"/>
    <cellStyle name="Normal 5 3 2 4 2" xfId="5068" xr:uid="{00000000-0005-0000-0000-00004D320000}"/>
    <cellStyle name="Normal 5 3 2 4 2 2" xfId="10164" xr:uid="{00000000-0005-0000-0000-00004E320000}"/>
    <cellStyle name="Normal 5 3 2 4 3" xfId="7727" xr:uid="{00000000-0005-0000-0000-00004F320000}"/>
    <cellStyle name="Normal 5 3 2 5" xfId="3885" xr:uid="{00000000-0005-0000-0000-000050320000}"/>
    <cellStyle name="Normal 5 3 2 5 2" xfId="8984" xr:uid="{00000000-0005-0000-0000-000051320000}"/>
    <cellStyle name="Normal 5 3 2 6" xfId="6470" xr:uid="{00000000-0005-0000-0000-000052320000}"/>
    <cellStyle name="Normal 5 3 3" xfId="1055" xr:uid="{00000000-0005-0000-0000-000053320000}"/>
    <cellStyle name="Normal 5 3 3 2" xfId="1939" xr:uid="{00000000-0005-0000-0000-000054320000}"/>
    <cellStyle name="Normal 5 3 3 2 2" xfId="3282" xr:uid="{00000000-0005-0000-0000-000055320000}"/>
    <cellStyle name="Normal 5 3 3 2 2 2" xfId="5678" xr:uid="{00000000-0005-0000-0000-000056320000}"/>
    <cellStyle name="Normal 5 3 3 2 2 2 2" xfId="10774" xr:uid="{00000000-0005-0000-0000-000057320000}"/>
    <cellStyle name="Normal 5 3 3 2 2 3" xfId="8385" xr:uid="{00000000-0005-0000-0000-000058320000}"/>
    <cellStyle name="Normal 5 3 3 2 3" xfId="4486" xr:uid="{00000000-0005-0000-0000-000059320000}"/>
    <cellStyle name="Normal 5 3 3 2 3 2" xfId="9582" xr:uid="{00000000-0005-0000-0000-00005A320000}"/>
    <cellStyle name="Normal 5 3 3 2 4" xfId="7124" xr:uid="{00000000-0005-0000-0000-00005B320000}"/>
    <cellStyle name="Normal 5 3 4" xfId="1940" xr:uid="{00000000-0005-0000-0000-00005C320000}"/>
    <cellStyle name="Normal 5 3 4 2" xfId="3283" xr:uid="{00000000-0005-0000-0000-00005D320000}"/>
    <cellStyle name="Normal 5 3 4 2 2" xfId="5679" xr:uid="{00000000-0005-0000-0000-00005E320000}"/>
    <cellStyle name="Normal 5 3 4 2 2 2" xfId="10775" xr:uid="{00000000-0005-0000-0000-00005F320000}"/>
    <cellStyle name="Normal 5 3 4 2 3" xfId="8386" xr:uid="{00000000-0005-0000-0000-000060320000}"/>
    <cellStyle name="Normal 5 3 4 3" xfId="4487" xr:uid="{00000000-0005-0000-0000-000061320000}"/>
    <cellStyle name="Normal 5 3 4 3 2" xfId="9583" xr:uid="{00000000-0005-0000-0000-000062320000}"/>
    <cellStyle name="Normal 5 3 4 4" xfId="7125" xr:uid="{00000000-0005-0000-0000-000063320000}"/>
    <cellStyle name="Normal 5 3 5" xfId="1936" xr:uid="{00000000-0005-0000-0000-000064320000}"/>
    <cellStyle name="Normal 5 3 5 2" xfId="3279" xr:uid="{00000000-0005-0000-0000-000065320000}"/>
    <cellStyle name="Normal 5 3 5 2 2" xfId="5675" xr:uid="{00000000-0005-0000-0000-000066320000}"/>
    <cellStyle name="Normal 5 3 5 2 2 2" xfId="10771" xr:uid="{00000000-0005-0000-0000-000067320000}"/>
    <cellStyle name="Normal 5 3 5 2 3" xfId="8382" xr:uid="{00000000-0005-0000-0000-000068320000}"/>
    <cellStyle name="Normal 5 3 5 3" xfId="4483" xr:uid="{00000000-0005-0000-0000-000069320000}"/>
    <cellStyle name="Normal 5 3 5 3 2" xfId="9579" xr:uid="{00000000-0005-0000-0000-00006A320000}"/>
    <cellStyle name="Normal 5 3 5 4" xfId="7121" xr:uid="{00000000-0005-0000-0000-00006B320000}"/>
    <cellStyle name="Normal 5 4" xfId="440" xr:uid="{00000000-0005-0000-0000-00006C320000}"/>
    <cellStyle name="Normal 5 4 2" xfId="643" xr:uid="{00000000-0005-0000-0000-00006D320000}"/>
    <cellStyle name="Normal 5 4 2 2" xfId="1943" xr:uid="{00000000-0005-0000-0000-00006E320000}"/>
    <cellStyle name="Normal 5 4 2 2 2" xfId="3286" xr:uid="{00000000-0005-0000-0000-00006F320000}"/>
    <cellStyle name="Normal 5 4 2 2 2 2" xfId="5682" xr:uid="{00000000-0005-0000-0000-000070320000}"/>
    <cellStyle name="Normal 5 4 2 2 2 2 2" xfId="10778" xr:uid="{00000000-0005-0000-0000-000071320000}"/>
    <cellStyle name="Normal 5 4 2 2 2 3" xfId="8389" xr:uid="{00000000-0005-0000-0000-000072320000}"/>
    <cellStyle name="Normal 5 4 2 2 3" xfId="4490" xr:uid="{00000000-0005-0000-0000-000073320000}"/>
    <cellStyle name="Normal 5 4 2 2 3 2" xfId="9586" xr:uid="{00000000-0005-0000-0000-000074320000}"/>
    <cellStyle name="Normal 5 4 2 2 4" xfId="7128" xr:uid="{00000000-0005-0000-0000-000075320000}"/>
    <cellStyle name="Normal 5 4 2 3" xfId="1942" xr:uid="{00000000-0005-0000-0000-000076320000}"/>
    <cellStyle name="Normal 5 4 2 3 2" xfId="3285" xr:uid="{00000000-0005-0000-0000-000077320000}"/>
    <cellStyle name="Normal 5 4 2 3 2 2" xfId="5681" xr:uid="{00000000-0005-0000-0000-000078320000}"/>
    <cellStyle name="Normal 5 4 2 3 2 2 2" xfId="10777" xr:uid="{00000000-0005-0000-0000-000079320000}"/>
    <cellStyle name="Normal 5 4 2 3 2 3" xfId="8388" xr:uid="{00000000-0005-0000-0000-00007A320000}"/>
    <cellStyle name="Normal 5 4 2 3 3" xfId="4489" xr:uid="{00000000-0005-0000-0000-00007B320000}"/>
    <cellStyle name="Normal 5 4 2 3 3 2" xfId="9585" xr:uid="{00000000-0005-0000-0000-00007C320000}"/>
    <cellStyle name="Normal 5 4 2 3 4" xfId="7127" xr:uid="{00000000-0005-0000-0000-00007D320000}"/>
    <cellStyle name="Normal 5 4 2 4" xfId="2448" xr:uid="{00000000-0005-0000-0000-00007E320000}"/>
    <cellStyle name="Normal 5 4 2 4 2" xfId="4895" xr:uid="{00000000-0005-0000-0000-00007F320000}"/>
    <cellStyle name="Normal 5 4 2 4 2 2" xfId="9991" xr:uid="{00000000-0005-0000-0000-000080320000}"/>
    <cellStyle name="Normal 5 4 2 4 3" xfId="7552" xr:uid="{00000000-0005-0000-0000-000081320000}"/>
    <cellStyle name="Normal 5 4 2 5" xfId="3712" xr:uid="{00000000-0005-0000-0000-000082320000}"/>
    <cellStyle name="Normal 5 4 2 5 2" xfId="8811" xr:uid="{00000000-0005-0000-0000-000083320000}"/>
    <cellStyle name="Normal 5 4 2 6" xfId="6292" xr:uid="{00000000-0005-0000-0000-000084320000}"/>
    <cellStyle name="Normal 5 4 3" xfId="1944" xr:uid="{00000000-0005-0000-0000-000085320000}"/>
    <cellStyle name="Normal 5 4 3 2" xfId="3287" xr:uid="{00000000-0005-0000-0000-000086320000}"/>
    <cellStyle name="Normal 5 4 3 2 2" xfId="5683" xr:uid="{00000000-0005-0000-0000-000087320000}"/>
    <cellStyle name="Normal 5 4 3 2 2 2" xfId="10779" xr:uid="{00000000-0005-0000-0000-000088320000}"/>
    <cellStyle name="Normal 5 4 3 2 3" xfId="8390" xr:uid="{00000000-0005-0000-0000-000089320000}"/>
    <cellStyle name="Normal 5 4 3 3" xfId="4491" xr:uid="{00000000-0005-0000-0000-00008A320000}"/>
    <cellStyle name="Normal 5 4 3 3 2" xfId="9587" xr:uid="{00000000-0005-0000-0000-00008B320000}"/>
    <cellStyle name="Normal 5 4 3 4" xfId="7129" xr:uid="{00000000-0005-0000-0000-00008C320000}"/>
    <cellStyle name="Normal 5 4 4" xfId="1945" xr:uid="{00000000-0005-0000-0000-00008D320000}"/>
    <cellStyle name="Normal 5 4 4 2" xfId="3288" xr:uid="{00000000-0005-0000-0000-00008E320000}"/>
    <cellStyle name="Normal 5 4 4 2 2" xfId="5684" xr:uid="{00000000-0005-0000-0000-00008F320000}"/>
    <cellStyle name="Normal 5 4 4 2 2 2" xfId="10780" xr:uid="{00000000-0005-0000-0000-000090320000}"/>
    <cellStyle name="Normal 5 4 4 2 3" xfId="8391" xr:uid="{00000000-0005-0000-0000-000091320000}"/>
    <cellStyle name="Normal 5 4 4 3" xfId="4492" xr:uid="{00000000-0005-0000-0000-000092320000}"/>
    <cellStyle name="Normal 5 4 4 3 2" xfId="9588" xr:uid="{00000000-0005-0000-0000-000093320000}"/>
    <cellStyle name="Normal 5 4 4 4" xfId="7130" xr:uid="{00000000-0005-0000-0000-000094320000}"/>
    <cellStyle name="Normal 5 4 5" xfId="1941" xr:uid="{00000000-0005-0000-0000-000095320000}"/>
    <cellStyle name="Normal 5 4 5 2" xfId="3284" xr:uid="{00000000-0005-0000-0000-000096320000}"/>
    <cellStyle name="Normal 5 4 5 2 2" xfId="5680" xr:uid="{00000000-0005-0000-0000-000097320000}"/>
    <cellStyle name="Normal 5 4 5 2 2 2" xfId="10776" xr:uid="{00000000-0005-0000-0000-000098320000}"/>
    <cellStyle name="Normal 5 4 5 2 3" xfId="8387" xr:uid="{00000000-0005-0000-0000-000099320000}"/>
    <cellStyle name="Normal 5 4 5 3" xfId="4488" xr:uid="{00000000-0005-0000-0000-00009A320000}"/>
    <cellStyle name="Normal 5 4 5 3 2" xfId="9584" xr:uid="{00000000-0005-0000-0000-00009B320000}"/>
    <cellStyle name="Normal 5 4 5 4" xfId="7126" xr:uid="{00000000-0005-0000-0000-00009C320000}"/>
    <cellStyle name="Normal 5 5" xfId="441" xr:uid="{00000000-0005-0000-0000-00009D320000}"/>
    <cellStyle name="Normal 5 5 2" xfId="1947" xr:uid="{00000000-0005-0000-0000-00009E320000}"/>
    <cellStyle name="Normal 5 5 2 2" xfId="1948" xr:uid="{00000000-0005-0000-0000-00009F320000}"/>
    <cellStyle name="Normal 5 5 2 2 2" xfId="3291" xr:uid="{00000000-0005-0000-0000-0000A0320000}"/>
    <cellStyle name="Normal 5 5 2 2 2 2" xfId="5687" xr:uid="{00000000-0005-0000-0000-0000A1320000}"/>
    <cellStyle name="Normal 5 5 2 2 2 2 2" xfId="10783" xr:uid="{00000000-0005-0000-0000-0000A2320000}"/>
    <cellStyle name="Normal 5 5 2 2 2 3" xfId="8394" xr:uid="{00000000-0005-0000-0000-0000A3320000}"/>
    <cellStyle name="Normal 5 5 2 2 3" xfId="4495" xr:uid="{00000000-0005-0000-0000-0000A4320000}"/>
    <cellStyle name="Normal 5 5 2 2 3 2" xfId="9591" xr:uid="{00000000-0005-0000-0000-0000A5320000}"/>
    <cellStyle name="Normal 5 5 2 2 4" xfId="7133" xr:uid="{00000000-0005-0000-0000-0000A6320000}"/>
    <cellStyle name="Normal 5 5 2 3" xfId="3290" xr:uid="{00000000-0005-0000-0000-0000A7320000}"/>
    <cellStyle name="Normal 5 5 2 3 2" xfId="5686" xr:uid="{00000000-0005-0000-0000-0000A8320000}"/>
    <cellStyle name="Normal 5 5 2 3 2 2" xfId="10782" xr:uid="{00000000-0005-0000-0000-0000A9320000}"/>
    <cellStyle name="Normal 5 5 2 3 3" xfId="8393" xr:uid="{00000000-0005-0000-0000-0000AA320000}"/>
    <cellStyle name="Normal 5 5 2 4" xfId="4494" xr:uid="{00000000-0005-0000-0000-0000AB320000}"/>
    <cellStyle name="Normal 5 5 2 4 2" xfId="9590" xr:uid="{00000000-0005-0000-0000-0000AC320000}"/>
    <cellStyle name="Normal 5 5 2 5" xfId="7132" xr:uid="{00000000-0005-0000-0000-0000AD320000}"/>
    <cellStyle name="Normal 5 5 3" xfId="1949" xr:uid="{00000000-0005-0000-0000-0000AE320000}"/>
    <cellStyle name="Normal 5 5 3 2" xfId="3292" xr:uid="{00000000-0005-0000-0000-0000AF320000}"/>
    <cellStyle name="Normal 5 5 3 2 2" xfId="5688" xr:uid="{00000000-0005-0000-0000-0000B0320000}"/>
    <cellStyle name="Normal 5 5 3 2 2 2" xfId="10784" xr:uid="{00000000-0005-0000-0000-0000B1320000}"/>
    <cellStyle name="Normal 5 5 3 2 3" xfId="8395" xr:uid="{00000000-0005-0000-0000-0000B2320000}"/>
    <cellStyle name="Normal 5 5 3 3" xfId="4496" xr:uid="{00000000-0005-0000-0000-0000B3320000}"/>
    <cellStyle name="Normal 5 5 3 3 2" xfId="9592" xr:uid="{00000000-0005-0000-0000-0000B4320000}"/>
    <cellStyle name="Normal 5 5 3 4" xfId="7134" xr:uid="{00000000-0005-0000-0000-0000B5320000}"/>
    <cellStyle name="Normal 5 5 4" xfId="1950" xr:uid="{00000000-0005-0000-0000-0000B6320000}"/>
    <cellStyle name="Normal 5 5 4 2" xfId="3293" xr:uid="{00000000-0005-0000-0000-0000B7320000}"/>
    <cellStyle name="Normal 5 5 4 2 2" xfId="5689" xr:uid="{00000000-0005-0000-0000-0000B8320000}"/>
    <cellStyle name="Normal 5 5 4 2 2 2" xfId="10785" xr:uid="{00000000-0005-0000-0000-0000B9320000}"/>
    <cellStyle name="Normal 5 5 4 2 3" xfId="8396" xr:uid="{00000000-0005-0000-0000-0000BA320000}"/>
    <cellStyle name="Normal 5 5 4 3" xfId="4497" xr:uid="{00000000-0005-0000-0000-0000BB320000}"/>
    <cellStyle name="Normal 5 5 4 3 2" xfId="9593" xr:uid="{00000000-0005-0000-0000-0000BC320000}"/>
    <cellStyle name="Normal 5 5 4 4" xfId="7135" xr:uid="{00000000-0005-0000-0000-0000BD320000}"/>
    <cellStyle name="Normal 5 5 5" xfId="1946" xr:uid="{00000000-0005-0000-0000-0000BE320000}"/>
    <cellStyle name="Normal 5 5 5 2" xfId="3289" xr:uid="{00000000-0005-0000-0000-0000BF320000}"/>
    <cellStyle name="Normal 5 5 5 2 2" xfId="5685" xr:uid="{00000000-0005-0000-0000-0000C0320000}"/>
    <cellStyle name="Normal 5 5 5 2 2 2" xfId="10781" xr:uid="{00000000-0005-0000-0000-0000C1320000}"/>
    <cellStyle name="Normal 5 5 5 2 3" xfId="8392" xr:uid="{00000000-0005-0000-0000-0000C2320000}"/>
    <cellStyle name="Normal 5 5 5 3" xfId="4493" xr:uid="{00000000-0005-0000-0000-0000C3320000}"/>
    <cellStyle name="Normal 5 5 5 3 2" xfId="9589" xr:uid="{00000000-0005-0000-0000-0000C4320000}"/>
    <cellStyle name="Normal 5 5 5 4" xfId="7131" xr:uid="{00000000-0005-0000-0000-0000C5320000}"/>
    <cellStyle name="Normal 5 6" xfId="442" xr:uid="{00000000-0005-0000-0000-0000C6320000}"/>
    <cellStyle name="Normal 5 6 2" xfId="1952" xr:uid="{00000000-0005-0000-0000-0000C7320000}"/>
    <cellStyle name="Normal 5 6 2 2" xfId="3295" xr:uid="{00000000-0005-0000-0000-0000C8320000}"/>
    <cellStyle name="Normal 5 6 2 2 2" xfId="5691" xr:uid="{00000000-0005-0000-0000-0000C9320000}"/>
    <cellStyle name="Normal 5 6 2 2 2 2" xfId="10787" xr:uid="{00000000-0005-0000-0000-0000CA320000}"/>
    <cellStyle name="Normal 5 6 2 2 3" xfId="8398" xr:uid="{00000000-0005-0000-0000-0000CB320000}"/>
    <cellStyle name="Normal 5 6 2 3" xfId="4499" xr:uid="{00000000-0005-0000-0000-0000CC320000}"/>
    <cellStyle name="Normal 5 6 2 3 2" xfId="9595" xr:uid="{00000000-0005-0000-0000-0000CD320000}"/>
    <cellStyle name="Normal 5 6 2 4" xfId="7137" xr:uid="{00000000-0005-0000-0000-0000CE320000}"/>
    <cellStyle name="Normal 5 6 3" xfId="1951" xr:uid="{00000000-0005-0000-0000-0000CF320000}"/>
    <cellStyle name="Normal 5 6 3 2" xfId="3294" xr:uid="{00000000-0005-0000-0000-0000D0320000}"/>
    <cellStyle name="Normal 5 6 3 2 2" xfId="5690" xr:uid="{00000000-0005-0000-0000-0000D1320000}"/>
    <cellStyle name="Normal 5 6 3 2 2 2" xfId="10786" xr:uid="{00000000-0005-0000-0000-0000D2320000}"/>
    <cellStyle name="Normal 5 6 3 2 3" xfId="8397" xr:uid="{00000000-0005-0000-0000-0000D3320000}"/>
    <cellStyle name="Normal 5 6 3 3" xfId="4498" xr:uid="{00000000-0005-0000-0000-0000D4320000}"/>
    <cellStyle name="Normal 5 6 3 3 2" xfId="9594" xr:uid="{00000000-0005-0000-0000-0000D5320000}"/>
    <cellStyle name="Normal 5 6 3 4" xfId="7136" xr:uid="{00000000-0005-0000-0000-0000D6320000}"/>
    <cellStyle name="Normal 5 7" xfId="443" xr:uid="{00000000-0005-0000-0000-0000D7320000}"/>
    <cellStyle name="Normal 5 8" xfId="444" xr:uid="{00000000-0005-0000-0000-0000D8320000}"/>
    <cellStyle name="Normal 5 9" xfId="511" xr:uid="{00000000-0005-0000-0000-0000D9320000}"/>
    <cellStyle name="Normal 50" xfId="1953" xr:uid="{00000000-0005-0000-0000-0000DA320000}"/>
    <cellStyle name="Normal 51" xfId="1954" xr:uid="{00000000-0005-0000-0000-0000DB320000}"/>
    <cellStyle name="Normal 52" xfId="1955" xr:uid="{00000000-0005-0000-0000-0000DC320000}"/>
    <cellStyle name="Normal 52 2" xfId="1956" xr:uid="{00000000-0005-0000-0000-0000DD320000}"/>
    <cellStyle name="Normal 52 2 2" xfId="1957" xr:uid="{00000000-0005-0000-0000-0000DE320000}"/>
    <cellStyle name="Normal 52 2 2 2" xfId="3298" xr:uid="{00000000-0005-0000-0000-0000DF320000}"/>
    <cellStyle name="Normal 52 2 2 2 2" xfId="5694" xr:uid="{00000000-0005-0000-0000-0000E0320000}"/>
    <cellStyle name="Normal 52 2 2 2 2 2" xfId="10790" xr:uid="{00000000-0005-0000-0000-0000E1320000}"/>
    <cellStyle name="Normal 52 2 2 2 3" xfId="8401" xr:uid="{00000000-0005-0000-0000-0000E2320000}"/>
    <cellStyle name="Normal 52 2 2 3" xfId="4502" xr:uid="{00000000-0005-0000-0000-0000E3320000}"/>
    <cellStyle name="Normal 52 2 2 3 2" xfId="9598" xr:uid="{00000000-0005-0000-0000-0000E4320000}"/>
    <cellStyle name="Normal 52 2 2 4" xfId="7142" xr:uid="{00000000-0005-0000-0000-0000E5320000}"/>
    <cellStyle name="Normal 52 2 3" xfId="3297" xr:uid="{00000000-0005-0000-0000-0000E6320000}"/>
    <cellStyle name="Normal 52 2 3 2" xfId="5693" xr:uid="{00000000-0005-0000-0000-0000E7320000}"/>
    <cellStyle name="Normal 52 2 3 2 2" xfId="10789" xr:uid="{00000000-0005-0000-0000-0000E8320000}"/>
    <cellStyle name="Normal 52 2 3 3" xfId="8400" xr:uid="{00000000-0005-0000-0000-0000E9320000}"/>
    <cellStyle name="Normal 52 2 4" xfId="4501" xr:uid="{00000000-0005-0000-0000-0000EA320000}"/>
    <cellStyle name="Normal 52 2 4 2" xfId="9597" xr:uid="{00000000-0005-0000-0000-0000EB320000}"/>
    <cellStyle name="Normal 52 2 5" xfId="7141" xr:uid="{00000000-0005-0000-0000-0000EC320000}"/>
    <cellStyle name="Normal 52 3" xfId="1958" xr:uid="{00000000-0005-0000-0000-0000ED320000}"/>
    <cellStyle name="Normal 52 3 2" xfId="3299" xr:uid="{00000000-0005-0000-0000-0000EE320000}"/>
    <cellStyle name="Normal 52 3 2 2" xfId="5695" xr:uid="{00000000-0005-0000-0000-0000EF320000}"/>
    <cellStyle name="Normal 52 3 2 2 2" xfId="10791" xr:uid="{00000000-0005-0000-0000-0000F0320000}"/>
    <cellStyle name="Normal 52 3 2 3" xfId="8402" xr:uid="{00000000-0005-0000-0000-0000F1320000}"/>
    <cellStyle name="Normal 52 3 3" xfId="4503" xr:uid="{00000000-0005-0000-0000-0000F2320000}"/>
    <cellStyle name="Normal 52 3 3 2" xfId="9599" xr:uid="{00000000-0005-0000-0000-0000F3320000}"/>
    <cellStyle name="Normal 52 3 4" xfId="7143" xr:uid="{00000000-0005-0000-0000-0000F4320000}"/>
    <cellStyle name="Normal 52 4" xfId="1959" xr:uid="{00000000-0005-0000-0000-0000F5320000}"/>
    <cellStyle name="Normal 52 4 2" xfId="3300" xr:uid="{00000000-0005-0000-0000-0000F6320000}"/>
    <cellStyle name="Normal 52 4 2 2" xfId="5696" xr:uid="{00000000-0005-0000-0000-0000F7320000}"/>
    <cellStyle name="Normal 52 4 2 2 2" xfId="10792" xr:uid="{00000000-0005-0000-0000-0000F8320000}"/>
    <cellStyle name="Normal 52 4 2 3" xfId="8403" xr:uid="{00000000-0005-0000-0000-0000F9320000}"/>
    <cellStyle name="Normal 52 4 3" xfId="4504" xr:uid="{00000000-0005-0000-0000-0000FA320000}"/>
    <cellStyle name="Normal 52 4 3 2" xfId="9600" xr:uid="{00000000-0005-0000-0000-0000FB320000}"/>
    <cellStyle name="Normal 52 4 4" xfId="7144" xr:uid="{00000000-0005-0000-0000-0000FC320000}"/>
    <cellStyle name="Normal 52 5" xfId="3296" xr:uid="{00000000-0005-0000-0000-0000FD320000}"/>
    <cellStyle name="Normal 52 5 2" xfId="5692" xr:uid="{00000000-0005-0000-0000-0000FE320000}"/>
    <cellStyle name="Normal 52 5 2 2" xfId="10788" xr:uid="{00000000-0005-0000-0000-0000FF320000}"/>
    <cellStyle name="Normal 52 5 3" xfId="8399" xr:uid="{00000000-0005-0000-0000-000000330000}"/>
    <cellStyle name="Normal 52 6" xfId="4500" xr:uid="{00000000-0005-0000-0000-000001330000}"/>
    <cellStyle name="Normal 52 6 2" xfId="9596" xr:uid="{00000000-0005-0000-0000-000002330000}"/>
    <cellStyle name="Normal 52 7" xfId="7140" xr:uid="{00000000-0005-0000-0000-000003330000}"/>
    <cellStyle name="Normal 53" xfId="1960" xr:uid="{00000000-0005-0000-0000-000004330000}"/>
    <cellStyle name="Normal 53 2" xfId="1961" xr:uid="{00000000-0005-0000-0000-000005330000}"/>
    <cellStyle name="Normal 53 2 2" xfId="1962" xr:uid="{00000000-0005-0000-0000-000006330000}"/>
    <cellStyle name="Normal 53 2 2 2" xfId="3303" xr:uid="{00000000-0005-0000-0000-000007330000}"/>
    <cellStyle name="Normal 53 2 2 2 2" xfId="5699" xr:uid="{00000000-0005-0000-0000-000008330000}"/>
    <cellStyle name="Normal 53 2 2 2 2 2" xfId="10795" xr:uid="{00000000-0005-0000-0000-000009330000}"/>
    <cellStyle name="Normal 53 2 2 2 3" xfId="8406" xr:uid="{00000000-0005-0000-0000-00000A330000}"/>
    <cellStyle name="Normal 53 2 2 3" xfId="4507" xr:uid="{00000000-0005-0000-0000-00000B330000}"/>
    <cellStyle name="Normal 53 2 2 3 2" xfId="9603" xr:uid="{00000000-0005-0000-0000-00000C330000}"/>
    <cellStyle name="Normal 53 2 2 4" xfId="7147" xr:uid="{00000000-0005-0000-0000-00000D330000}"/>
    <cellStyle name="Normal 53 2 3" xfId="3302" xr:uid="{00000000-0005-0000-0000-00000E330000}"/>
    <cellStyle name="Normal 53 2 3 2" xfId="5698" xr:uid="{00000000-0005-0000-0000-00000F330000}"/>
    <cellStyle name="Normal 53 2 3 2 2" xfId="10794" xr:uid="{00000000-0005-0000-0000-000010330000}"/>
    <cellStyle name="Normal 53 2 3 3" xfId="8405" xr:uid="{00000000-0005-0000-0000-000011330000}"/>
    <cellStyle name="Normal 53 2 4" xfId="4506" xr:uid="{00000000-0005-0000-0000-000012330000}"/>
    <cellStyle name="Normal 53 2 4 2" xfId="9602" xr:uid="{00000000-0005-0000-0000-000013330000}"/>
    <cellStyle name="Normal 53 2 5" xfId="7146" xr:uid="{00000000-0005-0000-0000-000014330000}"/>
    <cellStyle name="Normal 53 3" xfId="1963" xr:uid="{00000000-0005-0000-0000-000015330000}"/>
    <cellStyle name="Normal 53 3 2" xfId="3304" xr:uid="{00000000-0005-0000-0000-000016330000}"/>
    <cellStyle name="Normal 53 3 2 2" xfId="5700" xr:uid="{00000000-0005-0000-0000-000017330000}"/>
    <cellStyle name="Normal 53 3 2 2 2" xfId="10796" xr:uid="{00000000-0005-0000-0000-000018330000}"/>
    <cellStyle name="Normal 53 3 2 3" xfId="8407" xr:uid="{00000000-0005-0000-0000-000019330000}"/>
    <cellStyle name="Normal 53 3 3" xfId="4508" xr:uid="{00000000-0005-0000-0000-00001A330000}"/>
    <cellStyle name="Normal 53 3 3 2" xfId="9604" xr:uid="{00000000-0005-0000-0000-00001B330000}"/>
    <cellStyle name="Normal 53 3 4" xfId="7148" xr:uid="{00000000-0005-0000-0000-00001C330000}"/>
    <cellStyle name="Normal 53 4" xfId="1964" xr:uid="{00000000-0005-0000-0000-00001D330000}"/>
    <cellStyle name="Normal 53 4 2" xfId="3305" xr:uid="{00000000-0005-0000-0000-00001E330000}"/>
    <cellStyle name="Normal 53 4 2 2" xfId="5701" xr:uid="{00000000-0005-0000-0000-00001F330000}"/>
    <cellStyle name="Normal 53 4 2 2 2" xfId="10797" xr:uid="{00000000-0005-0000-0000-000020330000}"/>
    <cellStyle name="Normal 53 4 2 3" xfId="8408" xr:uid="{00000000-0005-0000-0000-000021330000}"/>
    <cellStyle name="Normal 53 4 3" xfId="4509" xr:uid="{00000000-0005-0000-0000-000022330000}"/>
    <cellStyle name="Normal 53 4 3 2" xfId="9605" xr:uid="{00000000-0005-0000-0000-000023330000}"/>
    <cellStyle name="Normal 53 4 4" xfId="7149" xr:uid="{00000000-0005-0000-0000-000024330000}"/>
    <cellStyle name="Normal 53 5" xfId="3301" xr:uid="{00000000-0005-0000-0000-000025330000}"/>
    <cellStyle name="Normal 53 5 2" xfId="5697" xr:uid="{00000000-0005-0000-0000-000026330000}"/>
    <cellStyle name="Normal 53 5 2 2" xfId="10793" xr:uid="{00000000-0005-0000-0000-000027330000}"/>
    <cellStyle name="Normal 53 5 3" xfId="8404" xr:uid="{00000000-0005-0000-0000-000028330000}"/>
    <cellStyle name="Normal 53 6" xfId="4505" xr:uid="{00000000-0005-0000-0000-000029330000}"/>
    <cellStyle name="Normal 53 6 2" xfId="9601" xr:uid="{00000000-0005-0000-0000-00002A330000}"/>
    <cellStyle name="Normal 53 7" xfId="7145" xr:uid="{00000000-0005-0000-0000-00002B330000}"/>
    <cellStyle name="Normal 54" xfId="1965" xr:uid="{00000000-0005-0000-0000-00002C330000}"/>
    <cellStyle name="Normal 54 2" xfId="1966" xr:uid="{00000000-0005-0000-0000-00002D330000}"/>
    <cellStyle name="Normal 54 2 2" xfId="1967" xr:uid="{00000000-0005-0000-0000-00002E330000}"/>
    <cellStyle name="Normal 54 2 2 2" xfId="3308" xr:uid="{00000000-0005-0000-0000-00002F330000}"/>
    <cellStyle name="Normal 54 2 2 2 2" xfId="5704" xr:uid="{00000000-0005-0000-0000-000030330000}"/>
    <cellStyle name="Normal 54 2 2 2 2 2" xfId="10800" xr:uid="{00000000-0005-0000-0000-000031330000}"/>
    <cellStyle name="Normal 54 2 2 2 3" xfId="8411" xr:uid="{00000000-0005-0000-0000-000032330000}"/>
    <cellStyle name="Normal 54 2 2 3" xfId="4512" xr:uid="{00000000-0005-0000-0000-000033330000}"/>
    <cellStyle name="Normal 54 2 2 3 2" xfId="9608" xr:uid="{00000000-0005-0000-0000-000034330000}"/>
    <cellStyle name="Normal 54 2 2 4" xfId="7152" xr:uid="{00000000-0005-0000-0000-000035330000}"/>
    <cellStyle name="Normal 54 2 3" xfId="3307" xr:uid="{00000000-0005-0000-0000-000036330000}"/>
    <cellStyle name="Normal 54 2 3 2" xfId="5703" xr:uid="{00000000-0005-0000-0000-000037330000}"/>
    <cellStyle name="Normal 54 2 3 2 2" xfId="10799" xr:uid="{00000000-0005-0000-0000-000038330000}"/>
    <cellStyle name="Normal 54 2 3 3" xfId="8410" xr:uid="{00000000-0005-0000-0000-000039330000}"/>
    <cellStyle name="Normal 54 2 4" xfId="4511" xr:uid="{00000000-0005-0000-0000-00003A330000}"/>
    <cellStyle name="Normal 54 2 4 2" xfId="9607" xr:uid="{00000000-0005-0000-0000-00003B330000}"/>
    <cellStyle name="Normal 54 2 5" xfId="7151" xr:uid="{00000000-0005-0000-0000-00003C330000}"/>
    <cellStyle name="Normal 54 3" xfId="1968" xr:uid="{00000000-0005-0000-0000-00003D330000}"/>
    <cellStyle name="Normal 54 3 2" xfId="3309" xr:uid="{00000000-0005-0000-0000-00003E330000}"/>
    <cellStyle name="Normal 54 3 2 2" xfId="5705" xr:uid="{00000000-0005-0000-0000-00003F330000}"/>
    <cellStyle name="Normal 54 3 2 2 2" xfId="10801" xr:uid="{00000000-0005-0000-0000-000040330000}"/>
    <cellStyle name="Normal 54 3 2 3" xfId="8412" xr:uid="{00000000-0005-0000-0000-000041330000}"/>
    <cellStyle name="Normal 54 3 3" xfId="4513" xr:uid="{00000000-0005-0000-0000-000042330000}"/>
    <cellStyle name="Normal 54 3 3 2" xfId="9609" xr:uid="{00000000-0005-0000-0000-000043330000}"/>
    <cellStyle name="Normal 54 3 4" xfId="7153" xr:uid="{00000000-0005-0000-0000-000044330000}"/>
    <cellStyle name="Normal 54 4" xfId="1969" xr:uid="{00000000-0005-0000-0000-000045330000}"/>
    <cellStyle name="Normal 54 4 2" xfId="3310" xr:uid="{00000000-0005-0000-0000-000046330000}"/>
    <cellStyle name="Normal 54 4 2 2" xfId="5706" xr:uid="{00000000-0005-0000-0000-000047330000}"/>
    <cellStyle name="Normal 54 4 2 2 2" xfId="10802" xr:uid="{00000000-0005-0000-0000-000048330000}"/>
    <cellStyle name="Normal 54 4 2 3" xfId="8413" xr:uid="{00000000-0005-0000-0000-000049330000}"/>
    <cellStyle name="Normal 54 4 3" xfId="4514" xr:uid="{00000000-0005-0000-0000-00004A330000}"/>
    <cellStyle name="Normal 54 4 3 2" xfId="9610" xr:uid="{00000000-0005-0000-0000-00004B330000}"/>
    <cellStyle name="Normal 54 4 4" xfId="7154" xr:uid="{00000000-0005-0000-0000-00004C330000}"/>
    <cellStyle name="Normal 54 5" xfId="3306" xr:uid="{00000000-0005-0000-0000-00004D330000}"/>
    <cellStyle name="Normal 54 5 2" xfId="5702" xr:uid="{00000000-0005-0000-0000-00004E330000}"/>
    <cellStyle name="Normal 54 5 2 2" xfId="10798" xr:uid="{00000000-0005-0000-0000-00004F330000}"/>
    <cellStyle name="Normal 54 5 3" xfId="8409" xr:uid="{00000000-0005-0000-0000-000050330000}"/>
    <cellStyle name="Normal 54 6" xfId="4510" xr:uid="{00000000-0005-0000-0000-000051330000}"/>
    <cellStyle name="Normal 54 6 2" xfId="9606" xr:uid="{00000000-0005-0000-0000-000052330000}"/>
    <cellStyle name="Normal 54 7" xfId="7150" xr:uid="{00000000-0005-0000-0000-000053330000}"/>
    <cellStyle name="Normal 55" xfId="1970" xr:uid="{00000000-0005-0000-0000-000054330000}"/>
    <cellStyle name="Normal 55 2" xfId="1971" xr:uid="{00000000-0005-0000-0000-000055330000}"/>
    <cellStyle name="Normal 56" xfId="1972" xr:uid="{00000000-0005-0000-0000-000056330000}"/>
    <cellStyle name="Normal 56 2" xfId="1973" xr:uid="{00000000-0005-0000-0000-000057330000}"/>
    <cellStyle name="Normal 57" xfId="1974" xr:uid="{00000000-0005-0000-0000-000058330000}"/>
    <cellStyle name="Normal 57 2" xfId="1975" xr:uid="{00000000-0005-0000-0000-000059330000}"/>
    <cellStyle name="Normal 58" xfId="1976" xr:uid="{00000000-0005-0000-0000-00005A330000}"/>
    <cellStyle name="Normal 58 2" xfId="1977" xr:uid="{00000000-0005-0000-0000-00005B330000}"/>
    <cellStyle name="Normal 59" xfId="1978" xr:uid="{00000000-0005-0000-0000-00005C330000}"/>
    <cellStyle name="Normal 59 2" xfId="1979" xr:uid="{00000000-0005-0000-0000-00005D330000}"/>
    <cellStyle name="Normal 59 3" xfId="1980" xr:uid="{00000000-0005-0000-0000-00005E330000}"/>
    <cellStyle name="Normal 59 3 2" xfId="3312" xr:uid="{00000000-0005-0000-0000-00005F330000}"/>
    <cellStyle name="Normal 59 3 2 2" xfId="5708" xr:uid="{00000000-0005-0000-0000-000060330000}"/>
    <cellStyle name="Normal 59 3 2 2 2" xfId="10804" xr:uid="{00000000-0005-0000-0000-000061330000}"/>
    <cellStyle name="Normal 59 3 2 3" xfId="8415" xr:uid="{00000000-0005-0000-0000-000062330000}"/>
    <cellStyle name="Normal 59 3 3" xfId="4516" xr:uid="{00000000-0005-0000-0000-000063330000}"/>
    <cellStyle name="Normal 59 3 3 2" xfId="9612" xr:uid="{00000000-0005-0000-0000-000064330000}"/>
    <cellStyle name="Normal 59 3 4" xfId="7165" xr:uid="{00000000-0005-0000-0000-000065330000}"/>
    <cellStyle name="Normal 59 4" xfId="3311" xr:uid="{00000000-0005-0000-0000-000066330000}"/>
    <cellStyle name="Normal 59 4 2" xfId="5707" xr:uid="{00000000-0005-0000-0000-000067330000}"/>
    <cellStyle name="Normal 59 4 2 2" xfId="10803" xr:uid="{00000000-0005-0000-0000-000068330000}"/>
    <cellStyle name="Normal 59 4 3" xfId="8414" xr:uid="{00000000-0005-0000-0000-000069330000}"/>
    <cellStyle name="Normal 59 5" xfId="4515" xr:uid="{00000000-0005-0000-0000-00006A330000}"/>
    <cellStyle name="Normal 59 5 2" xfId="9611" xr:uid="{00000000-0005-0000-0000-00006B330000}"/>
    <cellStyle name="Normal 59 6" xfId="7163" xr:uid="{00000000-0005-0000-0000-00006C330000}"/>
    <cellStyle name="Normal 6" xfId="69" xr:uid="{00000000-0005-0000-0000-00006D330000}"/>
    <cellStyle name="Normal 6 10" xfId="519" xr:uid="{00000000-0005-0000-0000-00006E330000}"/>
    <cellStyle name="Normal 6 10 2" xfId="968" xr:uid="{00000000-0005-0000-0000-00006F330000}"/>
    <cellStyle name="Normal 6 11" xfId="677" xr:uid="{00000000-0005-0000-0000-000070330000}"/>
    <cellStyle name="Normal 6 11 2" xfId="995" xr:uid="{00000000-0005-0000-0000-000071330000}"/>
    <cellStyle name="Normal 6 11 3" xfId="2480" xr:uid="{00000000-0005-0000-0000-000072330000}"/>
    <cellStyle name="Normal 6 11 3 2" xfId="4927" xr:uid="{00000000-0005-0000-0000-000073330000}"/>
    <cellStyle name="Normal 6 11 3 2 2" xfId="10023" xr:uid="{00000000-0005-0000-0000-000074330000}"/>
    <cellStyle name="Normal 6 11 3 3" xfId="7584" xr:uid="{00000000-0005-0000-0000-000075330000}"/>
    <cellStyle name="Normal 6 11 4" xfId="3744" xr:uid="{00000000-0005-0000-0000-000076330000}"/>
    <cellStyle name="Normal 6 11 4 2" xfId="8843" xr:uid="{00000000-0005-0000-0000-000077330000}"/>
    <cellStyle name="Normal 6 11 5" xfId="6324" xr:uid="{00000000-0005-0000-0000-000078330000}"/>
    <cellStyle name="Normal 6 12" xfId="1071" xr:uid="{00000000-0005-0000-0000-000079330000}"/>
    <cellStyle name="Normal 6 13" xfId="1085" xr:uid="{00000000-0005-0000-0000-00007A330000}"/>
    <cellStyle name="Normal 6 14" xfId="1981" xr:uid="{00000000-0005-0000-0000-00007B330000}"/>
    <cellStyle name="Normal 6 14 2" xfId="3313" xr:uid="{00000000-0005-0000-0000-00007C330000}"/>
    <cellStyle name="Normal 6 14 2 2" xfId="5709" xr:uid="{00000000-0005-0000-0000-00007D330000}"/>
    <cellStyle name="Normal 6 14 2 2 2" xfId="10805" xr:uid="{00000000-0005-0000-0000-00007E330000}"/>
    <cellStyle name="Normal 6 14 2 3" xfId="8416" xr:uid="{00000000-0005-0000-0000-00007F330000}"/>
    <cellStyle name="Normal 6 14 3" xfId="4517" xr:uid="{00000000-0005-0000-0000-000080330000}"/>
    <cellStyle name="Normal 6 14 3 2" xfId="9613" xr:uid="{00000000-0005-0000-0000-000081330000}"/>
    <cellStyle name="Normal 6 14 4" xfId="7166" xr:uid="{00000000-0005-0000-0000-000082330000}"/>
    <cellStyle name="Normal 6 2" xfId="445" xr:uid="{00000000-0005-0000-0000-000083330000}"/>
    <cellStyle name="Normal 6 2 2" xfId="586" xr:uid="{00000000-0005-0000-0000-000084330000}"/>
    <cellStyle name="Normal 6 2 2 2" xfId="980" xr:uid="{00000000-0005-0000-0000-000085330000}"/>
    <cellStyle name="Normal 6 2 2 2 2" xfId="1985" xr:uid="{00000000-0005-0000-0000-000086330000}"/>
    <cellStyle name="Normal 6 2 2 2 2 2" xfId="1986" xr:uid="{00000000-0005-0000-0000-000087330000}"/>
    <cellStyle name="Normal 6 2 2 2 2 2 2" xfId="3318" xr:uid="{00000000-0005-0000-0000-000088330000}"/>
    <cellStyle name="Normal 6 2 2 2 2 2 2 2" xfId="5714" xr:uid="{00000000-0005-0000-0000-000089330000}"/>
    <cellStyle name="Normal 6 2 2 2 2 2 2 2 2" xfId="10810" xr:uid="{00000000-0005-0000-0000-00008A330000}"/>
    <cellStyle name="Normal 6 2 2 2 2 2 2 3" xfId="8421" xr:uid="{00000000-0005-0000-0000-00008B330000}"/>
    <cellStyle name="Normal 6 2 2 2 2 2 3" xfId="4522" xr:uid="{00000000-0005-0000-0000-00008C330000}"/>
    <cellStyle name="Normal 6 2 2 2 2 2 3 2" xfId="9618" xr:uid="{00000000-0005-0000-0000-00008D330000}"/>
    <cellStyle name="Normal 6 2 2 2 2 2 4" xfId="7171" xr:uid="{00000000-0005-0000-0000-00008E330000}"/>
    <cellStyle name="Normal 6 2 2 2 2 3" xfId="3317" xr:uid="{00000000-0005-0000-0000-00008F330000}"/>
    <cellStyle name="Normal 6 2 2 2 2 3 2" xfId="5713" xr:uid="{00000000-0005-0000-0000-000090330000}"/>
    <cellStyle name="Normal 6 2 2 2 2 3 2 2" xfId="10809" xr:uid="{00000000-0005-0000-0000-000091330000}"/>
    <cellStyle name="Normal 6 2 2 2 2 3 3" xfId="8420" xr:uid="{00000000-0005-0000-0000-000092330000}"/>
    <cellStyle name="Normal 6 2 2 2 2 4" xfId="4521" xr:uid="{00000000-0005-0000-0000-000093330000}"/>
    <cellStyle name="Normal 6 2 2 2 2 4 2" xfId="9617" xr:uid="{00000000-0005-0000-0000-000094330000}"/>
    <cellStyle name="Normal 6 2 2 2 2 5" xfId="7170" xr:uid="{00000000-0005-0000-0000-000095330000}"/>
    <cellStyle name="Normal 6 2 2 2 3" xfId="1987" xr:uid="{00000000-0005-0000-0000-000096330000}"/>
    <cellStyle name="Normal 6 2 2 2 3 2" xfId="3319" xr:uid="{00000000-0005-0000-0000-000097330000}"/>
    <cellStyle name="Normal 6 2 2 2 3 2 2" xfId="5715" xr:uid="{00000000-0005-0000-0000-000098330000}"/>
    <cellStyle name="Normal 6 2 2 2 3 2 2 2" xfId="10811" xr:uid="{00000000-0005-0000-0000-000099330000}"/>
    <cellStyle name="Normal 6 2 2 2 3 2 3" xfId="8422" xr:uid="{00000000-0005-0000-0000-00009A330000}"/>
    <cellStyle name="Normal 6 2 2 2 3 3" xfId="4523" xr:uid="{00000000-0005-0000-0000-00009B330000}"/>
    <cellStyle name="Normal 6 2 2 2 3 3 2" xfId="9619" xr:uid="{00000000-0005-0000-0000-00009C330000}"/>
    <cellStyle name="Normal 6 2 2 2 3 4" xfId="7172" xr:uid="{00000000-0005-0000-0000-00009D330000}"/>
    <cellStyle name="Normal 6 2 2 2 4" xfId="1988" xr:uid="{00000000-0005-0000-0000-00009E330000}"/>
    <cellStyle name="Normal 6 2 2 2 4 2" xfId="3320" xr:uid="{00000000-0005-0000-0000-00009F330000}"/>
    <cellStyle name="Normal 6 2 2 2 4 2 2" xfId="5716" xr:uid="{00000000-0005-0000-0000-0000A0330000}"/>
    <cellStyle name="Normal 6 2 2 2 4 2 2 2" xfId="10812" xr:uid="{00000000-0005-0000-0000-0000A1330000}"/>
    <cellStyle name="Normal 6 2 2 2 4 2 3" xfId="8423" xr:uid="{00000000-0005-0000-0000-0000A2330000}"/>
    <cellStyle name="Normal 6 2 2 2 4 3" xfId="4524" xr:uid="{00000000-0005-0000-0000-0000A3330000}"/>
    <cellStyle name="Normal 6 2 2 2 4 3 2" xfId="9620" xr:uid="{00000000-0005-0000-0000-0000A4330000}"/>
    <cellStyle name="Normal 6 2 2 2 4 4" xfId="7173" xr:uid="{00000000-0005-0000-0000-0000A5330000}"/>
    <cellStyle name="Normal 6 2 2 2 5" xfId="1984" xr:uid="{00000000-0005-0000-0000-0000A6330000}"/>
    <cellStyle name="Normal 6 2 2 2 5 2" xfId="3316" xr:uid="{00000000-0005-0000-0000-0000A7330000}"/>
    <cellStyle name="Normal 6 2 2 2 5 2 2" xfId="5712" xr:uid="{00000000-0005-0000-0000-0000A8330000}"/>
    <cellStyle name="Normal 6 2 2 2 5 2 2 2" xfId="10808" xr:uid="{00000000-0005-0000-0000-0000A9330000}"/>
    <cellStyle name="Normal 6 2 2 2 5 2 3" xfId="8419" xr:uid="{00000000-0005-0000-0000-0000AA330000}"/>
    <cellStyle name="Normal 6 2 2 2 5 3" xfId="4520" xr:uid="{00000000-0005-0000-0000-0000AB330000}"/>
    <cellStyle name="Normal 6 2 2 2 5 3 2" xfId="9616" xr:uid="{00000000-0005-0000-0000-0000AC330000}"/>
    <cellStyle name="Normal 6 2 2 2 5 4" xfId="7169" xr:uid="{00000000-0005-0000-0000-0000AD330000}"/>
    <cellStyle name="Normal 6 2 2 3" xfId="1989" xr:uid="{00000000-0005-0000-0000-0000AE330000}"/>
    <cellStyle name="Normal 6 2 2 3 2" xfId="1990" xr:uid="{00000000-0005-0000-0000-0000AF330000}"/>
    <cellStyle name="Normal 6 2 2 3 2 2" xfId="3322" xr:uid="{00000000-0005-0000-0000-0000B0330000}"/>
    <cellStyle name="Normal 6 2 2 3 2 2 2" xfId="5718" xr:uid="{00000000-0005-0000-0000-0000B1330000}"/>
    <cellStyle name="Normal 6 2 2 3 2 2 2 2" xfId="10814" xr:uid="{00000000-0005-0000-0000-0000B2330000}"/>
    <cellStyle name="Normal 6 2 2 3 2 2 3" xfId="8425" xr:uid="{00000000-0005-0000-0000-0000B3330000}"/>
    <cellStyle name="Normal 6 2 2 3 2 3" xfId="4526" xr:uid="{00000000-0005-0000-0000-0000B4330000}"/>
    <cellStyle name="Normal 6 2 2 3 2 3 2" xfId="9622" xr:uid="{00000000-0005-0000-0000-0000B5330000}"/>
    <cellStyle name="Normal 6 2 2 3 2 4" xfId="7175" xr:uid="{00000000-0005-0000-0000-0000B6330000}"/>
    <cellStyle name="Normal 6 2 2 3 3" xfId="3321" xr:uid="{00000000-0005-0000-0000-0000B7330000}"/>
    <cellStyle name="Normal 6 2 2 3 3 2" xfId="5717" xr:uid="{00000000-0005-0000-0000-0000B8330000}"/>
    <cellStyle name="Normal 6 2 2 3 3 2 2" xfId="10813" xr:uid="{00000000-0005-0000-0000-0000B9330000}"/>
    <cellStyle name="Normal 6 2 2 3 3 3" xfId="8424" xr:uid="{00000000-0005-0000-0000-0000BA330000}"/>
    <cellStyle name="Normal 6 2 2 3 4" xfId="4525" xr:uid="{00000000-0005-0000-0000-0000BB330000}"/>
    <cellStyle name="Normal 6 2 2 3 4 2" xfId="9621" xr:uid="{00000000-0005-0000-0000-0000BC330000}"/>
    <cellStyle name="Normal 6 2 2 3 5" xfId="7174" xr:uid="{00000000-0005-0000-0000-0000BD330000}"/>
    <cellStyle name="Normal 6 2 2 4" xfId="1991" xr:uid="{00000000-0005-0000-0000-0000BE330000}"/>
    <cellStyle name="Normal 6 2 2 4 2" xfId="3323" xr:uid="{00000000-0005-0000-0000-0000BF330000}"/>
    <cellStyle name="Normal 6 2 2 4 2 2" xfId="5719" xr:uid="{00000000-0005-0000-0000-0000C0330000}"/>
    <cellStyle name="Normal 6 2 2 4 2 2 2" xfId="10815" xr:uid="{00000000-0005-0000-0000-0000C1330000}"/>
    <cellStyle name="Normal 6 2 2 4 2 3" xfId="8426" xr:uid="{00000000-0005-0000-0000-0000C2330000}"/>
    <cellStyle name="Normal 6 2 2 4 3" xfId="4527" xr:uid="{00000000-0005-0000-0000-0000C3330000}"/>
    <cellStyle name="Normal 6 2 2 4 3 2" xfId="9623" xr:uid="{00000000-0005-0000-0000-0000C4330000}"/>
    <cellStyle name="Normal 6 2 2 4 4" xfId="7176" xr:uid="{00000000-0005-0000-0000-0000C5330000}"/>
    <cellStyle name="Normal 6 2 2 5" xfId="1992" xr:uid="{00000000-0005-0000-0000-0000C6330000}"/>
    <cellStyle name="Normal 6 2 2 5 2" xfId="3324" xr:uid="{00000000-0005-0000-0000-0000C7330000}"/>
    <cellStyle name="Normal 6 2 2 5 2 2" xfId="5720" xr:uid="{00000000-0005-0000-0000-0000C8330000}"/>
    <cellStyle name="Normal 6 2 2 5 2 2 2" xfId="10816" xr:uid="{00000000-0005-0000-0000-0000C9330000}"/>
    <cellStyle name="Normal 6 2 2 5 2 3" xfId="8427" xr:uid="{00000000-0005-0000-0000-0000CA330000}"/>
    <cellStyle name="Normal 6 2 2 5 3" xfId="4528" xr:uid="{00000000-0005-0000-0000-0000CB330000}"/>
    <cellStyle name="Normal 6 2 2 5 3 2" xfId="9624" xr:uid="{00000000-0005-0000-0000-0000CC330000}"/>
    <cellStyle name="Normal 6 2 2 5 4" xfId="7177" xr:uid="{00000000-0005-0000-0000-0000CD330000}"/>
    <cellStyle name="Normal 6 2 2 6" xfId="1983" xr:uid="{00000000-0005-0000-0000-0000CE330000}"/>
    <cellStyle name="Normal 6 2 2 6 2" xfId="3315" xr:uid="{00000000-0005-0000-0000-0000CF330000}"/>
    <cellStyle name="Normal 6 2 2 6 2 2" xfId="5711" xr:uid="{00000000-0005-0000-0000-0000D0330000}"/>
    <cellStyle name="Normal 6 2 2 6 2 2 2" xfId="10807" xr:uid="{00000000-0005-0000-0000-0000D1330000}"/>
    <cellStyle name="Normal 6 2 2 6 2 3" xfId="8418" xr:uid="{00000000-0005-0000-0000-0000D2330000}"/>
    <cellStyle name="Normal 6 2 2 6 3" xfId="4519" xr:uid="{00000000-0005-0000-0000-0000D3330000}"/>
    <cellStyle name="Normal 6 2 2 6 3 2" xfId="9615" xr:uid="{00000000-0005-0000-0000-0000D4330000}"/>
    <cellStyle name="Normal 6 2 2 6 4" xfId="7168" xr:uid="{00000000-0005-0000-0000-0000D5330000}"/>
    <cellStyle name="Normal 6 2 2 7" xfId="2392" xr:uid="{00000000-0005-0000-0000-0000D6330000}"/>
    <cellStyle name="Normal 6 2 2 7 2" xfId="4839" xr:uid="{00000000-0005-0000-0000-0000D7330000}"/>
    <cellStyle name="Normal 6 2 2 7 2 2" xfId="9935" xr:uid="{00000000-0005-0000-0000-0000D8330000}"/>
    <cellStyle name="Normal 6 2 2 7 3" xfId="7496" xr:uid="{00000000-0005-0000-0000-0000D9330000}"/>
    <cellStyle name="Normal 6 2 2 8" xfId="3656" xr:uid="{00000000-0005-0000-0000-0000DA330000}"/>
    <cellStyle name="Normal 6 2 2 8 2" xfId="8755" xr:uid="{00000000-0005-0000-0000-0000DB330000}"/>
    <cellStyle name="Normal 6 2 2 9" xfId="6236" xr:uid="{00000000-0005-0000-0000-0000DC330000}"/>
    <cellStyle name="Normal 6 2 3" xfId="1063" xr:uid="{00000000-0005-0000-0000-0000DD330000}"/>
    <cellStyle name="Normal 6 2 3 2" xfId="1994" xr:uid="{00000000-0005-0000-0000-0000DE330000}"/>
    <cellStyle name="Normal 6 2 3 2 2" xfId="1995" xr:uid="{00000000-0005-0000-0000-0000DF330000}"/>
    <cellStyle name="Normal 6 2 3 2 2 2" xfId="3327" xr:uid="{00000000-0005-0000-0000-0000E0330000}"/>
    <cellStyle name="Normal 6 2 3 2 2 2 2" xfId="5723" xr:uid="{00000000-0005-0000-0000-0000E1330000}"/>
    <cellStyle name="Normal 6 2 3 2 2 2 2 2" xfId="10819" xr:uid="{00000000-0005-0000-0000-0000E2330000}"/>
    <cellStyle name="Normal 6 2 3 2 2 2 3" xfId="8430" xr:uid="{00000000-0005-0000-0000-0000E3330000}"/>
    <cellStyle name="Normal 6 2 3 2 2 3" xfId="4531" xr:uid="{00000000-0005-0000-0000-0000E4330000}"/>
    <cellStyle name="Normal 6 2 3 2 2 3 2" xfId="9627" xr:uid="{00000000-0005-0000-0000-0000E5330000}"/>
    <cellStyle name="Normal 6 2 3 2 2 4" xfId="7180" xr:uid="{00000000-0005-0000-0000-0000E6330000}"/>
    <cellStyle name="Normal 6 2 3 2 3" xfId="3326" xr:uid="{00000000-0005-0000-0000-0000E7330000}"/>
    <cellStyle name="Normal 6 2 3 2 3 2" xfId="5722" xr:uid="{00000000-0005-0000-0000-0000E8330000}"/>
    <cellStyle name="Normal 6 2 3 2 3 2 2" xfId="10818" xr:uid="{00000000-0005-0000-0000-0000E9330000}"/>
    <cellStyle name="Normal 6 2 3 2 3 3" xfId="8429" xr:uid="{00000000-0005-0000-0000-0000EA330000}"/>
    <cellStyle name="Normal 6 2 3 2 4" xfId="4530" xr:uid="{00000000-0005-0000-0000-0000EB330000}"/>
    <cellStyle name="Normal 6 2 3 2 4 2" xfId="9626" xr:uid="{00000000-0005-0000-0000-0000EC330000}"/>
    <cellStyle name="Normal 6 2 3 2 5" xfId="7179" xr:uid="{00000000-0005-0000-0000-0000ED330000}"/>
    <cellStyle name="Normal 6 2 3 3" xfId="1996" xr:uid="{00000000-0005-0000-0000-0000EE330000}"/>
    <cellStyle name="Normal 6 2 3 3 2" xfId="3328" xr:uid="{00000000-0005-0000-0000-0000EF330000}"/>
    <cellStyle name="Normal 6 2 3 3 2 2" xfId="5724" xr:uid="{00000000-0005-0000-0000-0000F0330000}"/>
    <cellStyle name="Normal 6 2 3 3 2 2 2" xfId="10820" xr:uid="{00000000-0005-0000-0000-0000F1330000}"/>
    <cellStyle name="Normal 6 2 3 3 2 3" xfId="8431" xr:uid="{00000000-0005-0000-0000-0000F2330000}"/>
    <cellStyle name="Normal 6 2 3 3 3" xfId="4532" xr:uid="{00000000-0005-0000-0000-0000F3330000}"/>
    <cellStyle name="Normal 6 2 3 3 3 2" xfId="9628" xr:uid="{00000000-0005-0000-0000-0000F4330000}"/>
    <cellStyle name="Normal 6 2 3 3 4" xfId="7181" xr:uid="{00000000-0005-0000-0000-0000F5330000}"/>
    <cellStyle name="Normal 6 2 3 4" xfId="1997" xr:uid="{00000000-0005-0000-0000-0000F6330000}"/>
    <cellStyle name="Normal 6 2 3 4 2" xfId="3329" xr:uid="{00000000-0005-0000-0000-0000F7330000}"/>
    <cellStyle name="Normal 6 2 3 4 2 2" xfId="5725" xr:uid="{00000000-0005-0000-0000-0000F8330000}"/>
    <cellStyle name="Normal 6 2 3 4 2 2 2" xfId="10821" xr:uid="{00000000-0005-0000-0000-0000F9330000}"/>
    <cellStyle name="Normal 6 2 3 4 2 3" xfId="8432" xr:uid="{00000000-0005-0000-0000-0000FA330000}"/>
    <cellStyle name="Normal 6 2 3 4 3" xfId="4533" xr:uid="{00000000-0005-0000-0000-0000FB330000}"/>
    <cellStyle name="Normal 6 2 3 4 3 2" xfId="9629" xr:uid="{00000000-0005-0000-0000-0000FC330000}"/>
    <cellStyle name="Normal 6 2 3 4 4" xfId="7182" xr:uid="{00000000-0005-0000-0000-0000FD330000}"/>
    <cellStyle name="Normal 6 2 3 5" xfId="1993" xr:uid="{00000000-0005-0000-0000-0000FE330000}"/>
    <cellStyle name="Normal 6 2 3 5 2" xfId="3325" xr:uid="{00000000-0005-0000-0000-0000FF330000}"/>
    <cellStyle name="Normal 6 2 3 5 2 2" xfId="5721" xr:uid="{00000000-0005-0000-0000-000000340000}"/>
    <cellStyle name="Normal 6 2 3 5 2 2 2" xfId="10817" xr:uid="{00000000-0005-0000-0000-000001340000}"/>
    <cellStyle name="Normal 6 2 3 5 2 3" xfId="8428" xr:uid="{00000000-0005-0000-0000-000002340000}"/>
    <cellStyle name="Normal 6 2 3 5 3" xfId="4529" xr:uid="{00000000-0005-0000-0000-000003340000}"/>
    <cellStyle name="Normal 6 2 3 5 3 2" xfId="9625" xr:uid="{00000000-0005-0000-0000-000004340000}"/>
    <cellStyle name="Normal 6 2 3 5 4" xfId="7178" xr:uid="{00000000-0005-0000-0000-000005340000}"/>
    <cellStyle name="Normal 6 2 4" xfId="1998" xr:uid="{00000000-0005-0000-0000-000006340000}"/>
    <cellStyle name="Normal 6 2 4 2" xfId="1999" xr:uid="{00000000-0005-0000-0000-000007340000}"/>
    <cellStyle name="Normal 6 2 4 2 2" xfId="2000" xr:uid="{00000000-0005-0000-0000-000008340000}"/>
    <cellStyle name="Normal 6 2 4 2 2 2" xfId="3332" xr:uid="{00000000-0005-0000-0000-000009340000}"/>
    <cellStyle name="Normal 6 2 4 2 2 2 2" xfId="5728" xr:uid="{00000000-0005-0000-0000-00000A340000}"/>
    <cellStyle name="Normal 6 2 4 2 2 2 2 2" xfId="10824" xr:uid="{00000000-0005-0000-0000-00000B340000}"/>
    <cellStyle name="Normal 6 2 4 2 2 2 3" xfId="8435" xr:uid="{00000000-0005-0000-0000-00000C340000}"/>
    <cellStyle name="Normal 6 2 4 2 2 3" xfId="4536" xr:uid="{00000000-0005-0000-0000-00000D340000}"/>
    <cellStyle name="Normal 6 2 4 2 2 3 2" xfId="9632" xr:uid="{00000000-0005-0000-0000-00000E340000}"/>
    <cellStyle name="Normal 6 2 4 2 2 4" xfId="7185" xr:uid="{00000000-0005-0000-0000-00000F340000}"/>
    <cellStyle name="Normal 6 2 4 2 3" xfId="3331" xr:uid="{00000000-0005-0000-0000-000010340000}"/>
    <cellStyle name="Normal 6 2 4 2 3 2" xfId="5727" xr:uid="{00000000-0005-0000-0000-000011340000}"/>
    <cellStyle name="Normal 6 2 4 2 3 2 2" xfId="10823" xr:uid="{00000000-0005-0000-0000-000012340000}"/>
    <cellStyle name="Normal 6 2 4 2 3 3" xfId="8434" xr:uid="{00000000-0005-0000-0000-000013340000}"/>
    <cellStyle name="Normal 6 2 4 2 4" xfId="4535" xr:uid="{00000000-0005-0000-0000-000014340000}"/>
    <cellStyle name="Normal 6 2 4 2 4 2" xfId="9631" xr:uid="{00000000-0005-0000-0000-000015340000}"/>
    <cellStyle name="Normal 6 2 4 2 5" xfId="7184" xr:uid="{00000000-0005-0000-0000-000016340000}"/>
    <cellStyle name="Normal 6 2 4 3" xfId="2001" xr:uid="{00000000-0005-0000-0000-000017340000}"/>
    <cellStyle name="Normal 6 2 4 3 2" xfId="3333" xr:uid="{00000000-0005-0000-0000-000018340000}"/>
    <cellStyle name="Normal 6 2 4 3 2 2" xfId="5729" xr:uid="{00000000-0005-0000-0000-000019340000}"/>
    <cellStyle name="Normal 6 2 4 3 2 2 2" xfId="10825" xr:uid="{00000000-0005-0000-0000-00001A340000}"/>
    <cellStyle name="Normal 6 2 4 3 2 3" xfId="8436" xr:uid="{00000000-0005-0000-0000-00001B340000}"/>
    <cellStyle name="Normal 6 2 4 3 3" xfId="4537" xr:uid="{00000000-0005-0000-0000-00001C340000}"/>
    <cellStyle name="Normal 6 2 4 3 3 2" xfId="9633" xr:uid="{00000000-0005-0000-0000-00001D340000}"/>
    <cellStyle name="Normal 6 2 4 3 4" xfId="7186" xr:uid="{00000000-0005-0000-0000-00001E340000}"/>
    <cellStyle name="Normal 6 2 4 4" xfId="2002" xr:uid="{00000000-0005-0000-0000-00001F340000}"/>
    <cellStyle name="Normal 6 2 4 4 2" xfId="3334" xr:uid="{00000000-0005-0000-0000-000020340000}"/>
    <cellStyle name="Normal 6 2 4 4 2 2" xfId="5730" xr:uid="{00000000-0005-0000-0000-000021340000}"/>
    <cellStyle name="Normal 6 2 4 4 2 2 2" xfId="10826" xr:uid="{00000000-0005-0000-0000-000022340000}"/>
    <cellStyle name="Normal 6 2 4 4 2 3" xfId="8437" xr:uid="{00000000-0005-0000-0000-000023340000}"/>
    <cellStyle name="Normal 6 2 4 4 3" xfId="4538" xr:uid="{00000000-0005-0000-0000-000024340000}"/>
    <cellStyle name="Normal 6 2 4 4 3 2" xfId="9634" xr:uid="{00000000-0005-0000-0000-000025340000}"/>
    <cellStyle name="Normal 6 2 4 4 4" xfId="7187" xr:uid="{00000000-0005-0000-0000-000026340000}"/>
    <cellStyle name="Normal 6 2 4 5" xfId="3330" xr:uid="{00000000-0005-0000-0000-000027340000}"/>
    <cellStyle name="Normal 6 2 4 5 2" xfId="5726" xr:uid="{00000000-0005-0000-0000-000028340000}"/>
    <cellStyle name="Normal 6 2 4 5 2 2" xfId="10822" xr:uid="{00000000-0005-0000-0000-000029340000}"/>
    <cellStyle name="Normal 6 2 4 5 3" xfId="8433" xr:uid="{00000000-0005-0000-0000-00002A340000}"/>
    <cellStyle name="Normal 6 2 4 6" xfId="4534" xr:uid="{00000000-0005-0000-0000-00002B340000}"/>
    <cellStyle name="Normal 6 2 4 6 2" xfId="9630" xr:uid="{00000000-0005-0000-0000-00002C340000}"/>
    <cellStyle name="Normal 6 2 4 7" xfId="7183" xr:uid="{00000000-0005-0000-0000-00002D340000}"/>
    <cellStyle name="Normal 6 2 5" xfId="2003" xr:uid="{00000000-0005-0000-0000-00002E340000}"/>
    <cellStyle name="Normal 6 2 5 2" xfId="2004" xr:uid="{00000000-0005-0000-0000-00002F340000}"/>
    <cellStyle name="Normal 6 2 5 2 2" xfId="2005" xr:uid="{00000000-0005-0000-0000-000030340000}"/>
    <cellStyle name="Normal 6 2 5 2 2 2" xfId="3337" xr:uid="{00000000-0005-0000-0000-000031340000}"/>
    <cellStyle name="Normal 6 2 5 2 2 2 2" xfId="5733" xr:uid="{00000000-0005-0000-0000-000032340000}"/>
    <cellStyle name="Normal 6 2 5 2 2 2 2 2" xfId="10829" xr:uid="{00000000-0005-0000-0000-000033340000}"/>
    <cellStyle name="Normal 6 2 5 2 2 2 3" xfId="8440" xr:uid="{00000000-0005-0000-0000-000034340000}"/>
    <cellStyle name="Normal 6 2 5 2 2 3" xfId="4541" xr:uid="{00000000-0005-0000-0000-000035340000}"/>
    <cellStyle name="Normal 6 2 5 2 2 3 2" xfId="9637" xr:uid="{00000000-0005-0000-0000-000036340000}"/>
    <cellStyle name="Normal 6 2 5 2 2 4" xfId="7190" xr:uid="{00000000-0005-0000-0000-000037340000}"/>
    <cellStyle name="Normal 6 2 5 2 3" xfId="3336" xr:uid="{00000000-0005-0000-0000-000038340000}"/>
    <cellStyle name="Normal 6 2 5 2 3 2" xfId="5732" xr:uid="{00000000-0005-0000-0000-000039340000}"/>
    <cellStyle name="Normal 6 2 5 2 3 2 2" xfId="10828" xr:uid="{00000000-0005-0000-0000-00003A340000}"/>
    <cellStyle name="Normal 6 2 5 2 3 3" xfId="8439" xr:uid="{00000000-0005-0000-0000-00003B340000}"/>
    <cellStyle name="Normal 6 2 5 2 4" xfId="4540" xr:uid="{00000000-0005-0000-0000-00003C340000}"/>
    <cellStyle name="Normal 6 2 5 2 4 2" xfId="9636" xr:uid="{00000000-0005-0000-0000-00003D340000}"/>
    <cellStyle name="Normal 6 2 5 2 5" xfId="7189" xr:uid="{00000000-0005-0000-0000-00003E340000}"/>
    <cellStyle name="Normal 6 2 5 3" xfId="2006" xr:uid="{00000000-0005-0000-0000-00003F340000}"/>
    <cellStyle name="Normal 6 2 5 3 2" xfId="3338" xr:uid="{00000000-0005-0000-0000-000040340000}"/>
    <cellStyle name="Normal 6 2 5 3 2 2" xfId="5734" xr:uid="{00000000-0005-0000-0000-000041340000}"/>
    <cellStyle name="Normal 6 2 5 3 2 2 2" xfId="10830" xr:uid="{00000000-0005-0000-0000-000042340000}"/>
    <cellStyle name="Normal 6 2 5 3 2 3" xfId="8441" xr:uid="{00000000-0005-0000-0000-000043340000}"/>
    <cellStyle name="Normal 6 2 5 3 3" xfId="4542" xr:uid="{00000000-0005-0000-0000-000044340000}"/>
    <cellStyle name="Normal 6 2 5 3 3 2" xfId="9638" xr:uid="{00000000-0005-0000-0000-000045340000}"/>
    <cellStyle name="Normal 6 2 5 3 4" xfId="7191" xr:uid="{00000000-0005-0000-0000-000046340000}"/>
    <cellStyle name="Normal 6 2 5 4" xfId="2007" xr:uid="{00000000-0005-0000-0000-000047340000}"/>
    <cellStyle name="Normal 6 2 5 4 2" xfId="3339" xr:uid="{00000000-0005-0000-0000-000048340000}"/>
    <cellStyle name="Normal 6 2 5 4 2 2" xfId="5735" xr:uid="{00000000-0005-0000-0000-000049340000}"/>
    <cellStyle name="Normal 6 2 5 4 2 2 2" xfId="10831" xr:uid="{00000000-0005-0000-0000-00004A340000}"/>
    <cellStyle name="Normal 6 2 5 4 2 3" xfId="8442" xr:uid="{00000000-0005-0000-0000-00004B340000}"/>
    <cellStyle name="Normal 6 2 5 4 3" xfId="4543" xr:uid="{00000000-0005-0000-0000-00004C340000}"/>
    <cellStyle name="Normal 6 2 5 4 3 2" xfId="9639" xr:uid="{00000000-0005-0000-0000-00004D340000}"/>
    <cellStyle name="Normal 6 2 5 4 4" xfId="7192" xr:uid="{00000000-0005-0000-0000-00004E340000}"/>
    <cellStyle name="Normal 6 2 5 5" xfId="3335" xr:uid="{00000000-0005-0000-0000-00004F340000}"/>
    <cellStyle name="Normal 6 2 5 5 2" xfId="5731" xr:uid="{00000000-0005-0000-0000-000050340000}"/>
    <cellStyle name="Normal 6 2 5 5 2 2" xfId="10827" xr:uid="{00000000-0005-0000-0000-000051340000}"/>
    <cellStyle name="Normal 6 2 5 5 3" xfId="8438" xr:uid="{00000000-0005-0000-0000-000052340000}"/>
    <cellStyle name="Normal 6 2 5 6" xfId="4539" xr:uid="{00000000-0005-0000-0000-000053340000}"/>
    <cellStyle name="Normal 6 2 5 6 2" xfId="9635" xr:uid="{00000000-0005-0000-0000-000054340000}"/>
    <cellStyle name="Normal 6 2 5 7" xfId="7188" xr:uid="{00000000-0005-0000-0000-000055340000}"/>
    <cellStyle name="Normal 6 2 6" xfId="2008" xr:uid="{00000000-0005-0000-0000-000056340000}"/>
    <cellStyle name="Normal 6 2 6 2" xfId="2009" xr:uid="{00000000-0005-0000-0000-000057340000}"/>
    <cellStyle name="Normal 6 2 6 2 2" xfId="3341" xr:uid="{00000000-0005-0000-0000-000058340000}"/>
    <cellStyle name="Normal 6 2 6 2 2 2" xfId="5737" xr:uid="{00000000-0005-0000-0000-000059340000}"/>
    <cellStyle name="Normal 6 2 6 2 2 2 2" xfId="10833" xr:uid="{00000000-0005-0000-0000-00005A340000}"/>
    <cellStyle name="Normal 6 2 6 2 2 3" xfId="8444" xr:uid="{00000000-0005-0000-0000-00005B340000}"/>
    <cellStyle name="Normal 6 2 6 2 3" xfId="4545" xr:uid="{00000000-0005-0000-0000-00005C340000}"/>
    <cellStyle name="Normal 6 2 6 2 3 2" xfId="9641" xr:uid="{00000000-0005-0000-0000-00005D340000}"/>
    <cellStyle name="Normal 6 2 6 2 4" xfId="7194" xr:uid="{00000000-0005-0000-0000-00005E340000}"/>
    <cellStyle name="Normal 6 2 6 3" xfId="3340" xr:uid="{00000000-0005-0000-0000-00005F340000}"/>
    <cellStyle name="Normal 6 2 6 3 2" xfId="5736" xr:uid="{00000000-0005-0000-0000-000060340000}"/>
    <cellStyle name="Normal 6 2 6 3 2 2" xfId="10832" xr:uid="{00000000-0005-0000-0000-000061340000}"/>
    <cellStyle name="Normal 6 2 6 3 3" xfId="8443" xr:uid="{00000000-0005-0000-0000-000062340000}"/>
    <cellStyle name="Normal 6 2 6 4" xfId="4544" xr:uid="{00000000-0005-0000-0000-000063340000}"/>
    <cellStyle name="Normal 6 2 6 4 2" xfId="9640" xr:uid="{00000000-0005-0000-0000-000064340000}"/>
    <cellStyle name="Normal 6 2 6 5" xfId="7193" xr:uid="{00000000-0005-0000-0000-000065340000}"/>
    <cellStyle name="Normal 6 2 7" xfId="2010" xr:uid="{00000000-0005-0000-0000-000066340000}"/>
    <cellStyle name="Normal 6 2 7 2" xfId="3342" xr:uid="{00000000-0005-0000-0000-000067340000}"/>
    <cellStyle name="Normal 6 2 7 2 2" xfId="5738" xr:uid="{00000000-0005-0000-0000-000068340000}"/>
    <cellStyle name="Normal 6 2 7 2 2 2" xfId="10834" xr:uid="{00000000-0005-0000-0000-000069340000}"/>
    <cellStyle name="Normal 6 2 7 2 3" xfId="8445" xr:uid="{00000000-0005-0000-0000-00006A340000}"/>
    <cellStyle name="Normal 6 2 7 3" xfId="4546" xr:uid="{00000000-0005-0000-0000-00006B340000}"/>
    <cellStyle name="Normal 6 2 7 3 2" xfId="9642" xr:uid="{00000000-0005-0000-0000-00006C340000}"/>
    <cellStyle name="Normal 6 2 7 4" xfId="7195" xr:uid="{00000000-0005-0000-0000-00006D340000}"/>
    <cellStyle name="Normal 6 2 8" xfId="2011" xr:uid="{00000000-0005-0000-0000-00006E340000}"/>
    <cellStyle name="Normal 6 2 8 2" xfId="3343" xr:uid="{00000000-0005-0000-0000-00006F340000}"/>
    <cellStyle name="Normal 6 2 8 2 2" xfId="5739" xr:uid="{00000000-0005-0000-0000-000070340000}"/>
    <cellStyle name="Normal 6 2 8 2 2 2" xfId="10835" xr:uid="{00000000-0005-0000-0000-000071340000}"/>
    <cellStyle name="Normal 6 2 8 2 3" xfId="8446" xr:uid="{00000000-0005-0000-0000-000072340000}"/>
    <cellStyle name="Normal 6 2 8 3" xfId="4547" xr:uid="{00000000-0005-0000-0000-000073340000}"/>
    <cellStyle name="Normal 6 2 8 3 2" xfId="9643" xr:uid="{00000000-0005-0000-0000-000074340000}"/>
    <cellStyle name="Normal 6 2 8 4" xfId="7196" xr:uid="{00000000-0005-0000-0000-000075340000}"/>
    <cellStyle name="Normal 6 2 9" xfId="1982" xr:uid="{00000000-0005-0000-0000-000076340000}"/>
    <cellStyle name="Normal 6 2 9 2" xfId="3314" xr:uid="{00000000-0005-0000-0000-000077340000}"/>
    <cellStyle name="Normal 6 2 9 2 2" xfId="5710" xr:uid="{00000000-0005-0000-0000-000078340000}"/>
    <cellStyle name="Normal 6 2 9 2 2 2" xfId="10806" xr:uid="{00000000-0005-0000-0000-000079340000}"/>
    <cellStyle name="Normal 6 2 9 2 3" xfId="8417" xr:uid="{00000000-0005-0000-0000-00007A340000}"/>
    <cellStyle name="Normal 6 2 9 3" xfId="4518" xr:uid="{00000000-0005-0000-0000-00007B340000}"/>
    <cellStyle name="Normal 6 2 9 3 2" xfId="9614" xr:uid="{00000000-0005-0000-0000-00007C340000}"/>
    <cellStyle name="Normal 6 2 9 4" xfId="7167" xr:uid="{00000000-0005-0000-0000-00007D340000}"/>
    <cellStyle name="Normal 6 3" xfId="446" xr:uid="{00000000-0005-0000-0000-00007E340000}"/>
    <cellStyle name="Normal 6 3 2" xfId="615" xr:uid="{00000000-0005-0000-0000-00007F340000}"/>
    <cellStyle name="Normal 6 3 2 2" xfId="2014" xr:uid="{00000000-0005-0000-0000-000080340000}"/>
    <cellStyle name="Normal 6 3 2 2 2" xfId="2015" xr:uid="{00000000-0005-0000-0000-000081340000}"/>
    <cellStyle name="Normal 6 3 2 2 2 2" xfId="3347" xr:uid="{00000000-0005-0000-0000-000082340000}"/>
    <cellStyle name="Normal 6 3 2 2 2 2 2" xfId="5743" xr:uid="{00000000-0005-0000-0000-000083340000}"/>
    <cellStyle name="Normal 6 3 2 2 2 2 2 2" xfId="10839" xr:uid="{00000000-0005-0000-0000-000084340000}"/>
    <cellStyle name="Normal 6 3 2 2 2 2 3" xfId="8450" xr:uid="{00000000-0005-0000-0000-000085340000}"/>
    <cellStyle name="Normal 6 3 2 2 2 3" xfId="4551" xr:uid="{00000000-0005-0000-0000-000086340000}"/>
    <cellStyle name="Normal 6 3 2 2 2 3 2" xfId="9647" xr:uid="{00000000-0005-0000-0000-000087340000}"/>
    <cellStyle name="Normal 6 3 2 2 2 4" xfId="7200" xr:uid="{00000000-0005-0000-0000-000088340000}"/>
    <cellStyle name="Normal 6 3 2 2 3" xfId="3346" xr:uid="{00000000-0005-0000-0000-000089340000}"/>
    <cellStyle name="Normal 6 3 2 2 3 2" xfId="5742" xr:uid="{00000000-0005-0000-0000-00008A340000}"/>
    <cellStyle name="Normal 6 3 2 2 3 2 2" xfId="10838" xr:uid="{00000000-0005-0000-0000-00008B340000}"/>
    <cellStyle name="Normal 6 3 2 2 3 3" xfId="8449" xr:uid="{00000000-0005-0000-0000-00008C340000}"/>
    <cellStyle name="Normal 6 3 2 2 4" xfId="4550" xr:uid="{00000000-0005-0000-0000-00008D340000}"/>
    <cellStyle name="Normal 6 3 2 2 4 2" xfId="9646" xr:uid="{00000000-0005-0000-0000-00008E340000}"/>
    <cellStyle name="Normal 6 3 2 2 5" xfId="7199" xr:uid="{00000000-0005-0000-0000-00008F340000}"/>
    <cellStyle name="Normal 6 3 2 3" xfId="2016" xr:uid="{00000000-0005-0000-0000-000090340000}"/>
    <cellStyle name="Normal 6 3 2 3 2" xfId="3348" xr:uid="{00000000-0005-0000-0000-000091340000}"/>
    <cellStyle name="Normal 6 3 2 3 2 2" xfId="5744" xr:uid="{00000000-0005-0000-0000-000092340000}"/>
    <cellStyle name="Normal 6 3 2 3 2 2 2" xfId="10840" xr:uid="{00000000-0005-0000-0000-000093340000}"/>
    <cellStyle name="Normal 6 3 2 3 2 3" xfId="8451" xr:uid="{00000000-0005-0000-0000-000094340000}"/>
    <cellStyle name="Normal 6 3 2 3 3" xfId="4552" xr:uid="{00000000-0005-0000-0000-000095340000}"/>
    <cellStyle name="Normal 6 3 2 3 3 2" xfId="9648" xr:uid="{00000000-0005-0000-0000-000096340000}"/>
    <cellStyle name="Normal 6 3 2 3 4" xfId="7201" xr:uid="{00000000-0005-0000-0000-000097340000}"/>
    <cellStyle name="Normal 6 3 2 4" xfId="2017" xr:uid="{00000000-0005-0000-0000-000098340000}"/>
    <cellStyle name="Normal 6 3 2 4 2" xfId="3349" xr:uid="{00000000-0005-0000-0000-000099340000}"/>
    <cellStyle name="Normal 6 3 2 4 2 2" xfId="5745" xr:uid="{00000000-0005-0000-0000-00009A340000}"/>
    <cellStyle name="Normal 6 3 2 4 2 2 2" xfId="10841" xr:uid="{00000000-0005-0000-0000-00009B340000}"/>
    <cellStyle name="Normal 6 3 2 4 2 3" xfId="8452" xr:uid="{00000000-0005-0000-0000-00009C340000}"/>
    <cellStyle name="Normal 6 3 2 4 3" xfId="4553" xr:uid="{00000000-0005-0000-0000-00009D340000}"/>
    <cellStyle name="Normal 6 3 2 4 3 2" xfId="9649" xr:uid="{00000000-0005-0000-0000-00009E340000}"/>
    <cellStyle name="Normal 6 3 2 4 4" xfId="7202" xr:uid="{00000000-0005-0000-0000-00009F340000}"/>
    <cellStyle name="Normal 6 3 2 5" xfId="2013" xr:uid="{00000000-0005-0000-0000-0000A0340000}"/>
    <cellStyle name="Normal 6 3 2 5 2" xfId="3345" xr:uid="{00000000-0005-0000-0000-0000A1340000}"/>
    <cellStyle name="Normal 6 3 2 5 2 2" xfId="5741" xr:uid="{00000000-0005-0000-0000-0000A2340000}"/>
    <cellStyle name="Normal 6 3 2 5 2 2 2" xfId="10837" xr:uid="{00000000-0005-0000-0000-0000A3340000}"/>
    <cellStyle name="Normal 6 3 2 5 2 3" xfId="8448" xr:uid="{00000000-0005-0000-0000-0000A4340000}"/>
    <cellStyle name="Normal 6 3 2 5 3" xfId="4549" xr:uid="{00000000-0005-0000-0000-0000A5340000}"/>
    <cellStyle name="Normal 6 3 2 5 3 2" xfId="9645" xr:uid="{00000000-0005-0000-0000-0000A6340000}"/>
    <cellStyle name="Normal 6 3 2 5 4" xfId="7198" xr:uid="{00000000-0005-0000-0000-0000A7340000}"/>
    <cellStyle name="Normal 6 3 2 6" xfId="2421" xr:uid="{00000000-0005-0000-0000-0000A8340000}"/>
    <cellStyle name="Normal 6 3 2 6 2" xfId="4868" xr:uid="{00000000-0005-0000-0000-0000A9340000}"/>
    <cellStyle name="Normal 6 3 2 6 2 2" xfId="9964" xr:uid="{00000000-0005-0000-0000-0000AA340000}"/>
    <cellStyle name="Normal 6 3 2 6 3" xfId="7525" xr:uid="{00000000-0005-0000-0000-0000AB340000}"/>
    <cellStyle name="Normal 6 3 2 7" xfId="3685" xr:uid="{00000000-0005-0000-0000-0000AC340000}"/>
    <cellStyle name="Normal 6 3 2 7 2" xfId="8784" xr:uid="{00000000-0005-0000-0000-0000AD340000}"/>
    <cellStyle name="Normal 6 3 2 8" xfId="6265" xr:uid="{00000000-0005-0000-0000-0000AE340000}"/>
    <cellStyle name="Normal 6 3 3" xfId="2018" xr:uid="{00000000-0005-0000-0000-0000AF340000}"/>
    <cellStyle name="Normal 6 3 3 2" xfId="2019" xr:uid="{00000000-0005-0000-0000-0000B0340000}"/>
    <cellStyle name="Normal 6 3 3 2 2" xfId="3351" xr:uid="{00000000-0005-0000-0000-0000B1340000}"/>
    <cellStyle name="Normal 6 3 3 2 2 2" xfId="5747" xr:uid="{00000000-0005-0000-0000-0000B2340000}"/>
    <cellStyle name="Normal 6 3 3 2 2 2 2" xfId="10843" xr:uid="{00000000-0005-0000-0000-0000B3340000}"/>
    <cellStyle name="Normal 6 3 3 2 2 3" xfId="8454" xr:uid="{00000000-0005-0000-0000-0000B4340000}"/>
    <cellStyle name="Normal 6 3 3 2 3" xfId="4555" xr:uid="{00000000-0005-0000-0000-0000B5340000}"/>
    <cellStyle name="Normal 6 3 3 2 3 2" xfId="9651" xr:uid="{00000000-0005-0000-0000-0000B6340000}"/>
    <cellStyle name="Normal 6 3 3 2 4" xfId="7204" xr:uid="{00000000-0005-0000-0000-0000B7340000}"/>
    <cellStyle name="Normal 6 3 3 3" xfId="3350" xr:uid="{00000000-0005-0000-0000-0000B8340000}"/>
    <cellStyle name="Normal 6 3 3 3 2" xfId="5746" xr:uid="{00000000-0005-0000-0000-0000B9340000}"/>
    <cellStyle name="Normal 6 3 3 3 2 2" xfId="10842" xr:uid="{00000000-0005-0000-0000-0000BA340000}"/>
    <cellStyle name="Normal 6 3 3 3 3" xfId="8453" xr:uid="{00000000-0005-0000-0000-0000BB340000}"/>
    <cellStyle name="Normal 6 3 3 4" xfId="4554" xr:uid="{00000000-0005-0000-0000-0000BC340000}"/>
    <cellStyle name="Normal 6 3 3 4 2" xfId="9650" xr:uid="{00000000-0005-0000-0000-0000BD340000}"/>
    <cellStyle name="Normal 6 3 3 5" xfId="7203" xr:uid="{00000000-0005-0000-0000-0000BE340000}"/>
    <cellStyle name="Normal 6 3 4" xfId="2020" xr:uid="{00000000-0005-0000-0000-0000BF340000}"/>
    <cellStyle name="Normal 6 3 4 2" xfId="3352" xr:uid="{00000000-0005-0000-0000-0000C0340000}"/>
    <cellStyle name="Normal 6 3 4 2 2" xfId="5748" xr:uid="{00000000-0005-0000-0000-0000C1340000}"/>
    <cellStyle name="Normal 6 3 4 2 2 2" xfId="10844" xr:uid="{00000000-0005-0000-0000-0000C2340000}"/>
    <cellStyle name="Normal 6 3 4 2 3" xfId="8455" xr:uid="{00000000-0005-0000-0000-0000C3340000}"/>
    <cellStyle name="Normal 6 3 4 3" xfId="4556" xr:uid="{00000000-0005-0000-0000-0000C4340000}"/>
    <cellStyle name="Normal 6 3 4 3 2" xfId="9652" xr:uid="{00000000-0005-0000-0000-0000C5340000}"/>
    <cellStyle name="Normal 6 3 4 4" xfId="7205" xr:uid="{00000000-0005-0000-0000-0000C6340000}"/>
    <cellStyle name="Normal 6 3 5" xfId="2021" xr:uid="{00000000-0005-0000-0000-0000C7340000}"/>
    <cellStyle name="Normal 6 3 5 2" xfId="3353" xr:uid="{00000000-0005-0000-0000-0000C8340000}"/>
    <cellStyle name="Normal 6 3 5 2 2" xfId="5749" xr:uid="{00000000-0005-0000-0000-0000C9340000}"/>
    <cellStyle name="Normal 6 3 5 2 2 2" xfId="10845" xr:uid="{00000000-0005-0000-0000-0000CA340000}"/>
    <cellStyle name="Normal 6 3 5 2 3" xfId="8456" xr:uid="{00000000-0005-0000-0000-0000CB340000}"/>
    <cellStyle name="Normal 6 3 5 3" xfId="4557" xr:uid="{00000000-0005-0000-0000-0000CC340000}"/>
    <cellStyle name="Normal 6 3 5 3 2" xfId="9653" xr:uid="{00000000-0005-0000-0000-0000CD340000}"/>
    <cellStyle name="Normal 6 3 5 4" xfId="7206" xr:uid="{00000000-0005-0000-0000-0000CE340000}"/>
    <cellStyle name="Normal 6 3 6" xfId="2012" xr:uid="{00000000-0005-0000-0000-0000CF340000}"/>
    <cellStyle name="Normal 6 3 6 2" xfId="3344" xr:uid="{00000000-0005-0000-0000-0000D0340000}"/>
    <cellStyle name="Normal 6 3 6 2 2" xfId="5740" xr:uid="{00000000-0005-0000-0000-0000D1340000}"/>
    <cellStyle name="Normal 6 3 6 2 2 2" xfId="10836" xr:uid="{00000000-0005-0000-0000-0000D2340000}"/>
    <cellStyle name="Normal 6 3 6 2 3" xfId="8447" xr:uid="{00000000-0005-0000-0000-0000D3340000}"/>
    <cellStyle name="Normal 6 3 6 3" xfId="4548" xr:uid="{00000000-0005-0000-0000-0000D4340000}"/>
    <cellStyle name="Normal 6 3 6 3 2" xfId="9644" xr:uid="{00000000-0005-0000-0000-0000D5340000}"/>
    <cellStyle name="Normal 6 3 6 4" xfId="7197" xr:uid="{00000000-0005-0000-0000-0000D6340000}"/>
    <cellStyle name="Normal 6 4" xfId="447" xr:uid="{00000000-0005-0000-0000-0000D7340000}"/>
    <cellStyle name="Normal 6 4 2" xfId="756" xr:uid="{00000000-0005-0000-0000-0000D8340000}"/>
    <cellStyle name="Normal 6 4 2 2" xfId="2024" xr:uid="{00000000-0005-0000-0000-0000D9340000}"/>
    <cellStyle name="Normal 6 4 2 2 2" xfId="3356" xr:uid="{00000000-0005-0000-0000-0000DA340000}"/>
    <cellStyle name="Normal 6 4 2 2 2 2" xfId="5752" xr:uid="{00000000-0005-0000-0000-0000DB340000}"/>
    <cellStyle name="Normal 6 4 2 2 2 2 2" xfId="10848" xr:uid="{00000000-0005-0000-0000-0000DC340000}"/>
    <cellStyle name="Normal 6 4 2 2 2 3" xfId="8459" xr:uid="{00000000-0005-0000-0000-0000DD340000}"/>
    <cellStyle name="Normal 6 4 2 2 3" xfId="4560" xr:uid="{00000000-0005-0000-0000-0000DE340000}"/>
    <cellStyle name="Normal 6 4 2 2 3 2" xfId="9656" xr:uid="{00000000-0005-0000-0000-0000DF340000}"/>
    <cellStyle name="Normal 6 4 2 2 4" xfId="7209" xr:uid="{00000000-0005-0000-0000-0000E0340000}"/>
    <cellStyle name="Normal 6 4 2 3" xfId="2025" xr:uid="{00000000-0005-0000-0000-0000E1340000}"/>
    <cellStyle name="Normal 6 4 2 3 2" xfId="3357" xr:uid="{00000000-0005-0000-0000-0000E2340000}"/>
    <cellStyle name="Normal 6 4 2 3 2 2" xfId="5753" xr:uid="{00000000-0005-0000-0000-0000E3340000}"/>
    <cellStyle name="Normal 6 4 2 3 2 2 2" xfId="10849" xr:uid="{00000000-0005-0000-0000-0000E4340000}"/>
    <cellStyle name="Normal 6 4 2 3 2 3" xfId="8460" xr:uid="{00000000-0005-0000-0000-0000E5340000}"/>
    <cellStyle name="Normal 6 4 2 3 3" xfId="4561" xr:uid="{00000000-0005-0000-0000-0000E6340000}"/>
    <cellStyle name="Normal 6 4 2 3 3 2" xfId="9657" xr:uid="{00000000-0005-0000-0000-0000E7340000}"/>
    <cellStyle name="Normal 6 4 2 3 4" xfId="7210" xr:uid="{00000000-0005-0000-0000-0000E8340000}"/>
    <cellStyle name="Normal 6 4 2 4" xfId="2023" xr:uid="{00000000-0005-0000-0000-0000E9340000}"/>
    <cellStyle name="Normal 6 4 2 4 2" xfId="3355" xr:uid="{00000000-0005-0000-0000-0000EA340000}"/>
    <cellStyle name="Normal 6 4 2 4 2 2" xfId="5751" xr:uid="{00000000-0005-0000-0000-0000EB340000}"/>
    <cellStyle name="Normal 6 4 2 4 2 2 2" xfId="10847" xr:uid="{00000000-0005-0000-0000-0000EC340000}"/>
    <cellStyle name="Normal 6 4 2 4 2 3" xfId="8458" xr:uid="{00000000-0005-0000-0000-0000ED340000}"/>
    <cellStyle name="Normal 6 4 2 4 3" xfId="4559" xr:uid="{00000000-0005-0000-0000-0000EE340000}"/>
    <cellStyle name="Normal 6 4 2 4 3 2" xfId="9655" xr:uid="{00000000-0005-0000-0000-0000EF340000}"/>
    <cellStyle name="Normal 6 4 2 4 4" xfId="7208" xr:uid="{00000000-0005-0000-0000-0000F0340000}"/>
    <cellStyle name="Normal 6 4 2 5" xfId="2539" xr:uid="{00000000-0005-0000-0000-0000F1340000}"/>
    <cellStyle name="Normal 6 4 2 5 2" xfId="4986" xr:uid="{00000000-0005-0000-0000-0000F2340000}"/>
    <cellStyle name="Normal 6 4 2 5 2 2" xfId="10082" xr:uid="{00000000-0005-0000-0000-0000F3340000}"/>
    <cellStyle name="Normal 6 4 2 5 3" xfId="7643" xr:uid="{00000000-0005-0000-0000-0000F4340000}"/>
    <cellStyle name="Normal 6 4 2 6" xfId="3803" xr:uid="{00000000-0005-0000-0000-0000F5340000}"/>
    <cellStyle name="Normal 6 4 2 6 2" xfId="8902" xr:uid="{00000000-0005-0000-0000-0000F6340000}"/>
    <cellStyle name="Normal 6 4 2 7" xfId="6383" xr:uid="{00000000-0005-0000-0000-0000F7340000}"/>
    <cellStyle name="Normal 6 4 3" xfId="2026" xr:uid="{00000000-0005-0000-0000-0000F8340000}"/>
    <cellStyle name="Normal 6 4 4" xfId="2022" xr:uid="{00000000-0005-0000-0000-0000F9340000}"/>
    <cellStyle name="Normal 6 4 4 2" xfId="3354" xr:uid="{00000000-0005-0000-0000-0000FA340000}"/>
    <cellStyle name="Normal 6 4 4 2 2" xfId="5750" xr:uid="{00000000-0005-0000-0000-0000FB340000}"/>
    <cellStyle name="Normal 6 4 4 2 2 2" xfId="10846" xr:uid="{00000000-0005-0000-0000-0000FC340000}"/>
    <cellStyle name="Normal 6 4 4 2 3" xfId="8457" xr:uid="{00000000-0005-0000-0000-0000FD340000}"/>
    <cellStyle name="Normal 6 4 4 3" xfId="4558" xr:uid="{00000000-0005-0000-0000-0000FE340000}"/>
    <cellStyle name="Normal 6 4 4 3 2" xfId="9654" xr:uid="{00000000-0005-0000-0000-0000FF340000}"/>
    <cellStyle name="Normal 6 4 4 4" xfId="7207" xr:uid="{00000000-0005-0000-0000-000000350000}"/>
    <cellStyle name="Normal 6 5" xfId="448" xr:uid="{00000000-0005-0000-0000-000001350000}"/>
    <cellStyle name="Normal 6 5 2" xfId="2028" xr:uid="{00000000-0005-0000-0000-000002350000}"/>
    <cellStyle name="Normal 6 5 2 2" xfId="2029" xr:uid="{00000000-0005-0000-0000-000003350000}"/>
    <cellStyle name="Normal 6 5 2 2 2" xfId="3360" xr:uid="{00000000-0005-0000-0000-000004350000}"/>
    <cellStyle name="Normal 6 5 2 2 2 2" xfId="5756" xr:uid="{00000000-0005-0000-0000-000005350000}"/>
    <cellStyle name="Normal 6 5 2 2 2 2 2" xfId="10852" xr:uid="{00000000-0005-0000-0000-000006350000}"/>
    <cellStyle name="Normal 6 5 2 2 2 3" xfId="8463" xr:uid="{00000000-0005-0000-0000-000007350000}"/>
    <cellStyle name="Normal 6 5 2 2 3" xfId="4564" xr:uid="{00000000-0005-0000-0000-000008350000}"/>
    <cellStyle name="Normal 6 5 2 2 3 2" xfId="9660" xr:uid="{00000000-0005-0000-0000-000009350000}"/>
    <cellStyle name="Normal 6 5 2 2 4" xfId="7213" xr:uid="{00000000-0005-0000-0000-00000A350000}"/>
    <cellStyle name="Normal 6 5 2 3" xfId="3359" xr:uid="{00000000-0005-0000-0000-00000B350000}"/>
    <cellStyle name="Normal 6 5 2 3 2" xfId="5755" xr:uid="{00000000-0005-0000-0000-00000C350000}"/>
    <cellStyle name="Normal 6 5 2 3 2 2" xfId="10851" xr:uid="{00000000-0005-0000-0000-00000D350000}"/>
    <cellStyle name="Normal 6 5 2 3 3" xfId="8462" xr:uid="{00000000-0005-0000-0000-00000E350000}"/>
    <cellStyle name="Normal 6 5 2 4" xfId="4563" xr:uid="{00000000-0005-0000-0000-00000F350000}"/>
    <cellStyle name="Normal 6 5 2 4 2" xfId="9659" xr:uid="{00000000-0005-0000-0000-000010350000}"/>
    <cellStyle name="Normal 6 5 2 5" xfId="7212" xr:uid="{00000000-0005-0000-0000-000011350000}"/>
    <cellStyle name="Normal 6 5 3" xfId="2030" xr:uid="{00000000-0005-0000-0000-000012350000}"/>
    <cellStyle name="Normal 6 5 3 2" xfId="3361" xr:uid="{00000000-0005-0000-0000-000013350000}"/>
    <cellStyle name="Normal 6 5 3 2 2" xfId="5757" xr:uid="{00000000-0005-0000-0000-000014350000}"/>
    <cellStyle name="Normal 6 5 3 2 2 2" xfId="10853" xr:uid="{00000000-0005-0000-0000-000015350000}"/>
    <cellStyle name="Normal 6 5 3 2 3" xfId="8464" xr:uid="{00000000-0005-0000-0000-000016350000}"/>
    <cellStyle name="Normal 6 5 3 3" xfId="4565" xr:uid="{00000000-0005-0000-0000-000017350000}"/>
    <cellStyle name="Normal 6 5 3 3 2" xfId="9661" xr:uid="{00000000-0005-0000-0000-000018350000}"/>
    <cellStyle name="Normal 6 5 3 4" xfId="7214" xr:uid="{00000000-0005-0000-0000-000019350000}"/>
    <cellStyle name="Normal 6 5 4" xfId="2031" xr:uid="{00000000-0005-0000-0000-00001A350000}"/>
    <cellStyle name="Normal 6 5 4 2" xfId="3362" xr:uid="{00000000-0005-0000-0000-00001B350000}"/>
    <cellStyle name="Normal 6 5 4 2 2" xfId="5758" xr:uid="{00000000-0005-0000-0000-00001C350000}"/>
    <cellStyle name="Normal 6 5 4 2 2 2" xfId="10854" xr:uid="{00000000-0005-0000-0000-00001D350000}"/>
    <cellStyle name="Normal 6 5 4 2 3" xfId="8465" xr:uid="{00000000-0005-0000-0000-00001E350000}"/>
    <cellStyle name="Normal 6 5 4 3" xfId="4566" xr:uid="{00000000-0005-0000-0000-00001F350000}"/>
    <cellStyle name="Normal 6 5 4 3 2" xfId="9662" xr:uid="{00000000-0005-0000-0000-000020350000}"/>
    <cellStyle name="Normal 6 5 4 4" xfId="7215" xr:uid="{00000000-0005-0000-0000-000021350000}"/>
    <cellStyle name="Normal 6 5 5" xfId="2027" xr:uid="{00000000-0005-0000-0000-000022350000}"/>
    <cellStyle name="Normal 6 5 5 2" xfId="3358" xr:uid="{00000000-0005-0000-0000-000023350000}"/>
    <cellStyle name="Normal 6 5 5 2 2" xfId="5754" xr:uid="{00000000-0005-0000-0000-000024350000}"/>
    <cellStyle name="Normal 6 5 5 2 2 2" xfId="10850" xr:uid="{00000000-0005-0000-0000-000025350000}"/>
    <cellStyle name="Normal 6 5 5 2 3" xfId="8461" xr:uid="{00000000-0005-0000-0000-000026350000}"/>
    <cellStyle name="Normal 6 5 5 3" xfId="4562" xr:uid="{00000000-0005-0000-0000-000027350000}"/>
    <cellStyle name="Normal 6 5 5 3 2" xfId="9658" xr:uid="{00000000-0005-0000-0000-000028350000}"/>
    <cellStyle name="Normal 6 5 5 4" xfId="7211" xr:uid="{00000000-0005-0000-0000-000029350000}"/>
    <cellStyle name="Normal 6 6" xfId="449" xr:uid="{00000000-0005-0000-0000-00002A350000}"/>
    <cellStyle name="Normal 6 6 2" xfId="2033" xr:uid="{00000000-0005-0000-0000-00002B350000}"/>
    <cellStyle name="Normal 6 6 2 2" xfId="2034" xr:uid="{00000000-0005-0000-0000-00002C350000}"/>
    <cellStyle name="Normal 6 6 2 2 2" xfId="3365" xr:uid="{00000000-0005-0000-0000-00002D350000}"/>
    <cellStyle name="Normal 6 6 2 2 2 2" xfId="5761" xr:uid="{00000000-0005-0000-0000-00002E350000}"/>
    <cellStyle name="Normal 6 6 2 2 2 2 2" xfId="10857" xr:uid="{00000000-0005-0000-0000-00002F350000}"/>
    <cellStyle name="Normal 6 6 2 2 2 3" xfId="8468" xr:uid="{00000000-0005-0000-0000-000030350000}"/>
    <cellStyle name="Normal 6 6 2 2 3" xfId="4569" xr:uid="{00000000-0005-0000-0000-000031350000}"/>
    <cellStyle name="Normal 6 6 2 2 3 2" xfId="9665" xr:uid="{00000000-0005-0000-0000-000032350000}"/>
    <cellStyle name="Normal 6 6 2 2 4" xfId="7218" xr:uid="{00000000-0005-0000-0000-000033350000}"/>
    <cellStyle name="Normal 6 6 2 3" xfId="3364" xr:uid="{00000000-0005-0000-0000-000034350000}"/>
    <cellStyle name="Normal 6 6 2 3 2" xfId="5760" xr:uid="{00000000-0005-0000-0000-000035350000}"/>
    <cellStyle name="Normal 6 6 2 3 2 2" xfId="10856" xr:uid="{00000000-0005-0000-0000-000036350000}"/>
    <cellStyle name="Normal 6 6 2 3 3" xfId="8467" xr:uid="{00000000-0005-0000-0000-000037350000}"/>
    <cellStyle name="Normal 6 6 2 4" xfId="4568" xr:uid="{00000000-0005-0000-0000-000038350000}"/>
    <cellStyle name="Normal 6 6 2 4 2" xfId="9664" xr:uid="{00000000-0005-0000-0000-000039350000}"/>
    <cellStyle name="Normal 6 6 2 5" xfId="7217" xr:uid="{00000000-0005-0000-0000-00003A350000}"/>
    <cellStyle name="Normal 6 6 3" xfId="2035" xr:uid="{00000000-0005-0000-0000-00003B350000}"/>
    <cellStyle name="Normal 6 6 3 2" xfId="3366" xr:uid="{00000000-0005-0000-0000-00003C350000}"/>
    <cellStyle name="Normal 6 6 3 2 2" xfId="5762" xr:uid="{00000000-0005-0000-0000-00003D350000}"/>
    <cellStyle name="Normal 6 6 3 2 2 2" xfId="10858" xr:uid="{00000000-0005-0000-0000-00003E350000}"/>
    <cellStyle name="Normal 6 6 3 2 3" xfId="8469" xr:uid="{00000000-0005-0000-0000-00003F350000}"/>
    <cellStyle name="Normal 6 6 3 3" xfId="4570" xr:uid="{00000000-0005-0000-0000-000040350000}"/>
    <cellStyle name="Normal 6 6 3 3 2" xfId="9666" xr:uid="{00000000-0005-0000-0000-000041350000}"/>
    <cellStyle name="Normal 6 6 3 4" xfId="7219" xr:uid="{00000000-0005-0000-0000-000042350000}"/>
    <cellStyle name="Normal 6 6 4" xfId="2036" xr:uid="{00000000-0005-0000-0000-000043350000}"/>
    <cellStyle name="Normal 6 6 4 2" xfId="3367" xr:uid="{00000000-0005-0000-0000-000044350000}"/>
    <cellStyle name="Normal 6 6 4 2 2" xfId="5763" xr:uid="{00000000-0005-0000-0000-000045350000}"/>
    <cellStyle name="Normal 6 6 4 2 2 2" xfId="10859" xr:uid="{00000000-0005-0000-0000-000046350000}"/>
    <cellStyle name="Normal 6 6 4 2 3" xfId="8470" xr:uid="{00000000-0005-0000-0000-000047350000}"/>
    <cellStyle name="Normal 6 6 4 3" xfId="4571" xr:uid="{00000000-0005-0000-0000-000048350000}"/>
    <cellStyle name="Normal 6 6 4 3 2" xfId="9667" xr:uid="{00000000-0005-0000-0000-000049350000}"/>
    <cellStyle name="Normal 6 6 4 4" xfId="7220" xr:uid="{00000000-0005-0000-0000-00004A350000}"/>
    <cellStyle name="Normal 6 6 5" xfId="2032" xr:uid="{00000000-0005-0000-0000-00004B350000}"/>
    <cellStyle name="Normal 6 6 5 2" xfId="3363" xr:uid="{00000000-0005-0000-0000-00004C350000}"/>
    <cellStyle name="Normal 6 6 5 2 2" xfId="5759" xr:uid="{00000000-0005-0000-0000-00004D350000}"/>
    <cellStyle name="Normal 6 6 5 2 2 2" xfId="10855" xr:uid="{00000000-0005-0000-0000-00004E350000}"/>
    <cellStyle name="Normal 6 6 5 2 3" xfId="8466" xr:uid="{00000000-0005-0000-0000-00004F350000}"/>
    <cellStyle name="Normal 6 6 5 3" xfId="4567" xr:uid="{00000000-0005-0000-0000-000050350000}"/>
    <cellStyle name="Normal 6 6 5 3 2" xfId="9663" xr:uid="{00000000-0005-0000-0000-000051350000}"/>
    <cellStyle name="Normal 6 6 5 4" xfId="7216" xr:uid="{00000000-0005-0000-0000-000052350000}"/>
    <cellStyle name="Normal 6 7" xfId="450" xr:uid="{00000000-0005-0000-0000-000053350000}"/>
    <cellStyle name="Normal 6 7 2" xfId="2038" xr:uid="{00000000-0005-0000-0000-000054350000}"/>
    <cellStyle name="Normal 6 7 2 2" xfId="3369" xr:uid="{00000000-0005-0000-0000-000055350000}"/>
    <cellStyle name="Normal 6 7 2 2 2" xfId="5765" xr:uid="{00000000-0005-0000-0000-000056350000}"/>
    <cellStyle name="Normal 6 7 2 2 2 2" xfId="10861" xr:uid="{00000000-0005-0000-0000-000057350000}"/>
    <cellStyle name="Normal 6 7 2 2 3" xfId="8472" xr:uid="{00000000-0005-0000-0000-000058350000}"/>
    <cellStyle name="Normal 6 7 2 3" xfId="4573" xr:uid="{00000000-0005-0000-0000-000059350000}"/>
    <cellStyle name="Normal 6 7 2 3 2" xfId="9669" xr:uid="{00000000-0005-0000-0000-00005A350000}"/>
    <cellStyle name="Normal 6 7 2 4" xfId="7222" xr:uid="{00000000-0005-0000-0000-00005B350000}"/>
    <cellStyle name="Normal 6 7 3" xfId="2037" xr:uid="{00000000-0005-0000-0000-00005C350000}"/>
    <cellStyle name="Normal 6 7 3 2" xfId="3368" xr:uid="{00000000-0005-0000-0000-00005D350000}"/>
    <cellStyle name="Normal 6 7 3 2 2" xfId="5764" xr:uid="{00000000-0005-0000-0000-00005E350000}"/>
    <cellStyle name="Normal 6 7 3 2 2 2" xfId="10860" xr:uid="{00000000-0005-0000-0000-00005F350000}"/>
    <cellStyle name="Normal 6 7 3 2 3" xfId="8471" xr:uid="{00000000-0005-0000-0000-000060350000}"/>
    <cellStyle name="Normal 6 7 3 3" xfId="4572" xr:uid="{00000000-0005-0000-0000-000061350000}"/>
    <cellStyle name="Normal 6 7 3 3 2" xfId="9668" xr:uid="{00000000-0005-0000-0000-000062350000}"/>
    <cellStyle name="Normal 6 7 3 4" xfId="7221" xr:uid="{00000000-0005-0000-0000-000063350000}"/>
    <cellStyle name="Normal 6 8" xfId="451" xr:uid="{00000000-0005-0000-0000-000064350000}"/>
    <cellStyle name="Normal 6 9" xfId="512" xr:uid="{00000000-0005-0000-0000-000065350000}"/>
    <cellStyle name="Normal 60" xfId="2039" xr:uid="{00000000-0005-0000-0000-000066350000}"/>
    <cellStyle name="Normal 60 2" xfId="2040" xr:uid="{00000000-0005-0000-0000-000067350000}"/>
    <cellStyle name="Normal 60 3" xfId="2041" xr:uid="{00000000-0005-0000-0000-000068350000}"/>
    <cellStyle name="Normal 60 3 2" xfId="3371" xr:uid="{00000000-0005-0000-0000-000069350000}"/>
    <cellStyle name="Normal 60 3 2 2" xfId="5767" xr:uid="{00000000-0005-0000-0000-00006A350000}"/>
    <cellStyle name="Normal 60 3 2 2 2" xfId="10863" xr:uid="{00000000-0005-0000-0000-00006B350000}"/>
    <cellStyle name="Normal 60 3 2 3" xfId="8474" xr:uid="{00000000-0005-0000-0000-00006C350000}"/>
    <cellStyle name="Normal 60 3 3" xfId="4575" xr:uid="{00000000-0005-0000-0000-00006D350000}"/>
    <cellStyle name="Normal 60 3 3 2" xfId="9671" xr:uid="{00000000-0005-0000-0000-00006E350000}"/>
    <cellStyle name="Normal 60 3 4" xfId="7224" xr:uid="{00000000-0005-0000-0000-00006F350000}"/>
    <cellStyle name="Normal 60 4" xfId="3370" xr:uid="{00000000-0005-0000-0000-000070350000}"/>
    <cellStyle name="Normal 60 4 2" xfId="5766" xr:uid="{00000000-0005-0000-0000-000071350000}"/>
    <cellStyle name="Normal 60 4 2 2" xfId="10862" xr:uid="{00000000-0005-0000-0000-000072350000}"/>
    <cellStyle name="Normal 60 4 3" xfId="8473" xr:uid="{00000000-0005-0000-0000-000073350000}"/>
    <cellStyle name="Normal 60 5" xfId="4574" xr:uid="{00000000-0005-0000-0000-000074350000}"/>
    <cellStyle name="Normal 60 5 2" xfId="9670" xr:uid="{00000000-0005-0000-0000-000075350000}"/>
    <cellStyle name="Normal 60 6" xfId="7223" xr:uid="{00000000-0005-0000-0000-000076350000}"/>
    <cellStyle name="Normal 61" xfId="2042" xr:uid="{00000000-0005-0000-0000-000077350000}"/>
    <cellStyle name="Normal 62" xfId="2043" xr:uid="{00000000-0005-0000-0000-000078350000}"/>
    <cellStyle name="Normal 63" xfId="2044" xr:uid="{00000000-0005-0000-0000-000079350000}"/>
    <cellStyle name="Normal 64" xfId="2045" xr:uid="{00000000-0005-0000-0000-00007A350000}"/>
    <cellStyle name="Normal 65" xfId="2046" xr:uid="{00000000-0005-0000-0000-00007B350000}"/>
    <cellStyle name="Normal 66" xfId="2047" xr:uid="{00000000-0005-0000-0000-00007C350000}"/>
    <cellStyle name="Normal 67" xfId="2048" xr:uid="{00000000-0005-0000-0000-00007D350000}"/>
    <cellStyle name="Normal 68" xfId="2049" xr:uid="{00000000-0005-0000-0000-00007E350000}"/>
    <cellStyle name="Normal 69" xfId="2050" xr:uid="{00000000-0005-0000-0000-00007F350000}"/>
    <cellStyle name="Normal 7" xfId="70" xr:uid="{00000000-0005-0000-0000-000080350000}"/>
    <cellStyle name="Normal 7 2" xfId="513" xr:uid="{00000000-0005-0000-0000-000081350000}"/>
    <cellStyle name="Normal 7 2 2" xfId="955" xr:uid="{00000000-0005-0000-0000-000082350000}"/>
    <cellStyle name="Normal 7 2 2 2" xfId="982" xr:uid="{00000000-0005-0000-0000-000083350000}"/>
    <cellStyle name="Normal 7 2 2 2 2" xfId="2055" xr:uid="{00000000-0005-0000-0000-000084350000}"/>
    <cellStyle name="Normal 7 2 2 2 2 2" xfId="3376" xr:uid="{00000000-0005-0000-0000-000085350000}"/>
    <cellStyle name="Normal 7 2 2 2 2 2 2" xfId="5772" xr:uid="{00000000-0005-0000-0000-000086350000}"/>
    <cellStyle name="Normal 7 2 2 2 2 2 2 2" xfId="10868" xr:uid="{00000000-0005-0000-0000-000087350000}"/>
    <cellStyle name="Normal 7 2 2 2 2 2 3" xfId="8479" xr:uid="{00000000-0005-0000-0000-000088350000}"/>
    <cellStyle name="Normal 7 2 2 2 2 3" xfId="4580" xr:uid="{00000000-0005-0000-0000-000089350000}"/>
    <cellStyle name="Normal 7 2 2 2 2 3 2" xfId="9676" xr:uid="{00000000-0005-0000-0000-00008A350000}"/>
    <cellStyle name="Normal 7 2 2 2 2 4" xfId="7229" xr:uid="{00000000-0005-0000-0000-00008B350000}"/>
    <cellStyle name="Normal 7 2 2 2 3" xfId="2054" xr:uid="{00000000-0005-0000-0000-00008C350000}"/>
    <cellStyle name="Normal 7 2 2 2 3 2" xfId="3375" xr:uid="{00000000-0005-0000-0000-00008D350000}"/>
    <cellStyle name="Normal 7 2 2 2 3 2 2" xfId="5771" xr:uid="{00000000-0005-0000-0000-00008E350000}"/>
    <cellStyle name="Normal 7 2 2 2 3 2 2 2" xfId="10867" xr:uid="{00000000-0005-0000-0000-00008F350000}"/>
    <cellStyle name="Normal 7 2 2 2 3 2 3" xfId="8478" xr:uid="{00000000-0005-0000-0000-000090350000}"/>
    <cellStyle name="Normal 7 2 2 2 3 3" xfId="4579" xr:uid="{00000000-0005-0000-0000-000091350000}"/>
    <cellStyle name="Normal 7 2 2 2 3 3 2" xfId="9675" xr:uid="{00000000-0005-0000-0000-000092350000}"/>
    <cellStyle name="Normal 7 2 2 2 3 4" xfId="7228" xr:uid="{00000000-0005-0000-0000-000093350000}"/>
    <cellStyle name="Normal 7 2 2 3" xfId="2056" xr:uid="{00000000-0005-0000-0000-000094350000}"/>
    <cellStyle name="Normal 7 2 2 3 2" xfId="3377" xr:uid="{00000000-0005-0000-0000-000095350000}"/>
    <cellStyle name="Normal 7 2 2 3 2 2" xfId="5773" xr:uid="{00000000-0005-0000-0000-000096350000}"/>
    <cellStyle name="Normal 7 2 2 3 2 2 2" xfId="10869" xr:uid="{00000000-0005-0000-0000-000097350000}"/>
    <cellStyle name="Normal 7 2 2 3 2 3" xfId="8480" xr:uid="{00000000-0005-0000-0000-000098350000}"/>
    <cellStyle name="Normal 7 2 2 3 3" xfId="4581" xr:uid="{00000000-0005-0000-0000-000099350000}"/>
    <cellStyle name="Normal 7 2 2 3 3 2" xfId="9677" xr:uid="{00000000-0005-0000-0000-00009A350000}"/>
    <cellStyle name="Normal 7 2 2 3 4" xfId="7230" xr:uid="{00000000-0005-0000-0000-00009B350000}"/>
    <cellStyle name="Normal 7 2 2 4" xfId="2057" xr:uid="{00000000-0005-0000-0000-00009C350000}"/>
    <cellStyle name="Normal 7 2 2 4 2" xfId="3378" xr:uid="{00000000-0005-0000-0000-00009D350000}"/>
    <cellStyle name="Normal 7 2 2 4 2 2" xfId="5774" xr:uid="{00000000-0005-0000-0000-00009E350000}"/>
    <cellStyle name="Normal 7 2 2 4 2 2 2" xfId="10870" xr:uid="{00000000-0005-0000-0000-00009F350000}"/>
    <cellStyle name="Normal 7 2 2 4 2 3" xfId="8481" xr:uid="{00000000-0005-0000-0000-0000A0350000}"/>
    <cellStyle name="Normal 7 2 2 4 3" xfId="4582" xr:uid="{00000000-0005-0000-0000-0000A1350000}"/>
    <cellStyle name="Normal 7 2 2 4 3 2" xfId="9678" xr:uid="{00000000-0005-0000-0000-0000A2350000}"/>
    <cellStyle name="Normal 7 2 2 4 4" xfId="7231" xr:uid="{00000000-0005-0000-0000-0000A3350000}"/>
    <cellStyle name="Normal 7 2 2 5" xfId="2053" xr:uid="{00000000-0005-0000-0000-0000A4350000}"/>
    <cellStyle name="Normal 7 2 2 5 2" xfId="3374" xr:uid="{00000000-0005-0000-0000-0000A5350000}"/>
    <cellStyle name="Normal 7 2 2 5 2 2" xfId="5770" xr:uid="{00000000-0005-0000-0000-0000A6350000}"/>
    <cellStyle name="Normal 7 2 2 5 2 2 2" xfId="10866" xr:uid="{00000000-0005-0000-0000-0000A7350000}"/>
    <cellStyle name="Normal 7 2 2 5 2 3" xfId="8477" xr:uid="{00000000-0005-0000-0000-0000A8350000}"/>
    <cellStyle name="Normal 7 2 2 5 3" xfId="4578" xr:uid="{00000000-0005-0000-0000-0000A9350000}"/>
    <cellStyle name="Normal 7 2 2 5 3 2" xfId="9674" xr:uid="{00000000-0005-0000-0000-0000AA350000}"/>
    <cellStyle name="Normal 7 2 2 5 4" xfId="7227" xr:uid="{00000000-0005-0000-0000-0000AB350000}"/>
    <cellStyle name="Normal 7 2 3" xfId="1062" xr:uid="{00000000-0005-0000-0000-0000AC350000}"/>
    <cellStyle name="Normal 7 2 3 2" xfId="2059" xr:uid="{00000000-0005-0000-0000-0000AD350000}"/>
    <cellStyle name="Normal 7 2 3 2 2" xfId="3380" xr:uid="{00000000-0005-0000-0000-0000AE350000}"/>
    <cellStyle name="Normal 7 2 3 2 2 2" xfId="5776" xr:uid="{00000000-0005-0000-0000-0000AF350000}"/>
    <cellStyle name="Normal 7 2 3 2 2 2 2" xfId="10872" xr:uid="{00000000-0005-0000-0000-0000B0350000}"/>
    <cellStyle name="Normal 7 2 3 2 2 3" xfId="8483" xr:uid="{00000000-0005-0000-0000-0000B1350000}"/>
    <cellStyle name="Normal 7 2 3 2 3" xfId="4584" xr:uid="{00000000-0005-0000-0000-0000B2350000}"/>
    <cellStyle name="Normal 7 2 3 2 3 2" xfId="9680" xr:uid="{00000000-0005-0000-0000-0000B3350000}"/>
    <cellStyle name="Normal 7 2 3 2 4" xfId="7233" xr:uid="{00000000-0005-0000-0000-0000B4350000}"/>
    <cellStyle name="Normal 7 2 3 3" xfId="2058" xr:uid="{00000000-0005-0000-0000-0000B5350000}"/>
    <cellStyle name="Normal 7 2 3 3 2" xfId="3379" xr:uid="{00000000-0005-0000-0000-0000B6350000}"/>
    <cellStyle name="Normal 7 2 3 3 2 2" xfId="5775" xr:uid="{00000000-0005-0000-0000-0000B7350000}"/>
    <cellStyle name="Normal 7 2 3 3 2 2 2" xfId="10871" xr:uid="{00000000-0005-0000-0000-0000B8350000}"/>
    <cellStyle name="Normal 7 2 3 3 2 3" xfId="8482" xr:uid="{00000000-0005-0000-0000-0000B9350000}"/>
    <cellStyle name="Normal 7 2 3 3 3" xfId="4583" xr:uid="{00000000-0005-0000-0000-0000BA350000}"/>
    <cellStyle name="Normal 7 2 3 3 3 2" xfId="9679" xr:uid="{00000000-0005-0000-0000-0000BB350000}"/>
    <cellStyle name="Normal 7 2 3 3 4" xfId="7232" xr:uid="{00000000-0005-0000-0000-0000BC350000}"/>
    <cellStyle name="Normal 7 2 4" xfId="2060" xr:uid="{00000000-0005-0000-0000-0000BD350000}"/>
    <cellStyle name="Normal 7 2 4 2" xfId="3381" xr:uid="{00000000-0005-0000-0000-0000BE350000}"/>
    <cellStyle name="Normal 7 2 4 2 2" xfId="5777" xr:uid="{00000000-0005-0000-0000-0000BF350000}"/>
    <cellStyle name="Normal 7 2 4 2 2 2" xfId="10873" xr:uid="{00000000-0005-0000-0000-0000C0350000}"/>
    <cellStyle name="Normal 7 2 4 2 3" xfId="8484" xr:uid="{00000000-0005-0000-0000-0000C1350000}"/>
    <cellStyle name="Normal 7 2 4 3" xfId="4585" xr:uid="{00000000-0005-0000-0000-0000C2350000}"/>
    <cellStyle name="Normal 7 2 4 3 2" xfId="9681" xr:uid="{00000000-0005-0000-0000-0000C3350000}"/>
    <cellStyle name="Normal 7 2 4 4" xfId="7234" xr:uid="{00000000-0005-0000-0000-0000C4350000}"/>
    <cellStyle name="Normal 7 2 5" xfId="2061" xr:uid="{00000000-0005-0000-0000-0000C5350000}"/>
    <cellStyle name="Normal 7 2 5 2" xfId="3382" xr:uid="{00000000-0005-0000-0000-0000C6350000}"/>
    <cellStyle name="Normal 7 2 5 2 2" xfId="5778" xr:uid="{00000000-0005-0000-0000-0000C7350000}"/>
    <cellStyle name="Normal 7 2 5 2 2 2" xfId="10874" xr:uid="{00000000-0005-0000-0000-0000C8350000}"/>
    <cellStyle name="Normal 7 2 5 2 3" xfId="8485" xr:uid="{00000000-0005-0000-0000-0000C9350000}"/>
    <cellStyle name="Normal 7 2 5 3" xfId="4586" xr:uid="{00000000-0005-0000-0000-0000CA350000}"/>
    <cellStyle name="Normal 7 2 5 3 2" xfId="9682" xr:uid="{00000000-0005-0000-0000-0000CB350000}"/>
    <cellStyle name="Normal 7 2 5 4" xfId="7235" xr:uid="{00000000-0005-0000-0000-0000CC350000}"/>
    <cellStyle name="Normal 7 2 6" xfId="2052" xr:uid="{00000000-0005-0000-0000-0000CD350000}"/>
    <cellStyle name="Normal 7 2 6 2" xfId="3373" xr:uid="{00000000-0005-0000-0000-0000CE350000}"/>
    <cellStyle name="Normal 7 2 6 2 2" xfId="5769" xr:uid="{00000000-0005-0000-0000-0000CF350000}"/>
    <cellStyle name="Normal 7 2 6 2 2 2" xfId="10865" xr:uid="{00000000-0005-0000-0000-0000D0350000}"/>
    <cellStyle name="Normal 7 2 6 2 3" xfId="8476" xr:uid="{00000000-0005-0000-0000-0000D1350000}"/>
    <cellStyle name="Normal 7 2 6 3" xfId="4577" xr:uid="{00000000-0005-0000-0000-0000D2350000}"/>
    <cellStyle name="Normal 7 2 6 3 2" xfId="9673" xr:uid="{00000000-0005-0000-0000-0000D3350000}"/>
    <cellStyle name="Normal 7 2 6 4" xfId="7226" xr:uid="{00000000-0005-0000-0000-0000D4350000}"/>
    <cellStyle name="Normal 7 3" xfId="956" xr:uid="{00000000-0005-0000-0000-0000D5350000}"/>
    <cellStyle name="Normal 7 3 2" xfId="970" xr:uid="{00000000-0005-0000-0000-0000D6350000}"/>
    <cellStyle name="Normal 7 3 2 2" xfId="2064" xr:uid="{00000000-0005-0000-0000-0000D7350000}"/>
    <cellStyle name="Normal 7 3 2 2 2" xfId="3385" xr:uid="{00000000-0005-0000-0000-0000D8350000}"/>
    <cellStyle name="Normal 7 3 2 2 2 2" xfId="5781" xr:uid="{00000000-0005-0000-0000-0000D9350000}"/>
    <cellStyle name="Normal 7 3 2 2 2 2 2" xfId="10877" xr:uid="{00000000-0005-0000-0000-0000DA350000}"/>
    <cellStyle name="Normal 7 3 2 2 2 3" xfId="8488" xr:uid="{00000000-0005-0000-0000-0000DB350000}"/>
    <cellStyle name="Normal 7 3 2 2 3" xfId="4589" xr:uid="{00000000-0005-0000-0000-0000DC350000}"/>
    <cellStyle name="Normal 7 3 2 2 3 2" xfId="9685" xr:uid="{00000000-0005-0000-0000-0000DD350000}"/>
    <cellStyle name="Normal 7 3 2 2 4" xfId="7238" xr:uid="{00000000-0005-0000-0000-0000DE350000}"/>
    <cellStyle name="Normal 7 3 2 3" xfId="2065" xr:uid="{00000000-0005-0000-0000-0000DF350000}"/>
    <cellStyle name="Normal 7 3 2 3 2" xfId="3386" xr:uid="{00000000-0005-0000-0000-0000E0350000}"/>
    <cellStyle name="Normal 7 3 2 3 2 2" xfId="5782" xr:uid="{00000000-0005-0000-0000-0000E1350000}"/>
    <cellStyle name="Normal 7 3 2 3 2 2 2" xfId="10878" xr:uid="{00000000-0005-0000-0000-0000E2350000}"/>
    <cellStyle name="Normal 7 3 2 3 2 3" xfId="8489" xr:uid="{00000000-0005-0000-0000-0000E3350000}"/>
    <cellStyle name="Normal 7 3 2 3 3" xfId="4590" xr:uid="{00000000-0005-0000-0000-0000E4350000}"/>
    <cellStyle name="Normal 7 3 2 3 3 2" xfId="9686" xr:uid="{00000000-0005-0000-0000-0000E5350000}"/>
    <cellStyle name="Normal 7 3 2 3 4" xfId="7239" xr:uid="{00000000-0005-0000-0000-0000E6350000}"/>
    <cellStyle name="Normal 7 3 2 4" xfId="2063" xr:uid="{00000000-0005-0000-0000-0000E7350000}"/>
    <cellStyle name="Normal 7 3 2 4 2" xfId="3384" xr:uid="{00000000-0005-0000-0000-0000E8350000}"/>
    <cellStyle name="Normal 7 3 2 4 2 2" xfId="5780" xr:uid="{00000000-0005-0000-0000-0000E9350000}"/>
    <cellStyle name="Normal 7 3 2 4 2 2 2" xfId="10876" xr:uid="{00000000-0005-0000-0000-0000EA350000}"/>
    <cellStyle name="Normal 7 3 2 4 2 3" xfId="8487" xr:uid="{00000000-0005-0000-0000-0000EB350000}"/>
    <cellStyle name="Normal 7 3 2 4 3" xfId="4588" xr:uid="{00000000-0005-0000-0000-0000EC350000}"/>
    <cellStyle name="Normal 7 3 2 4 3 2" xfId="9684" xr:uid="{00000000-0005-0000-0000-0000ED350000}"/>
    <cellStyle name="Normal 7 3 2 4 4" xfId="7237" xr:uid="{00000000-0005-0000-0000-0000EE350000}"/>
    <cellStyle name="Normal 7 3 3" xfId="2066" xr:uid="{00000000-0005-0000-0000-0000EF350000}"/>
    <cellStyle name="Normal 7 3 4" xfId="2062" xr:uid="{00000000-0005-0000-0000-0000F0350000}"/>
    <cellStyle name="Normal 7 3 4 2" xfId="3383" xr:uid="{00000000-0005-0000-0000-0000F1350000}"/>
    <cellStyle name="Normal 7 3 4 2 2" xfId="5779" xr:uid="{00000000-0005-0000-0000-0000F2350000}"/>
    <cellStyle name="Normal 7 3 4 2 2 2" xfId="10875" xr:uid="{00000000-0005-0000-0000-0000F3350000}"/>
    <cellStyle name="Normal 7 3 4 2 3" xfId="8486" xr:uid="{00000000-0005-0000-0000-0000F4350000}"/>
    <cellStyle name="Normal 7 3 4 3" xfId="4587" xr:uid="{00000000-0005-0000-0000-0000F5350000}"/>
    <cellStyle name="Normal 7 3 4 3 2" xfId="9683" xr:uid="{00000000-0005-0000-0000-0000F6350000}"/>
    <cellStyle name="Normal 7 3 4 4" xfId="7236" xr:uid="{00000000-0005-0000-0000-0000F7350000}"/>
    <cellStyle name="Normal 7 4" xfId="957" xr:uid="{00000000-0005-0000-0000-0000F8350000}"/>
    <cellStyle name="Normal 7 4 2" xfId="2068" xr:uid="{00000000-0005-0000-0000-0000F9350000}"/>
    <cellStyle name="Normal 7 4 2 2" xfId="2069" xr:uid="{00000000-0005-0000-0000-0000FA350000}"/>
    <cellStyle name="Normal 7 4 2 2 2" xfId="3389" xr:uid="{00000000-0005-0000-0000-0000FB350000}"/>
    <cellStyle name="Normal 7 4 2 2 2 2" xfId="5785" xr:uid="{00000000-0005-0000-0000-0000FC350000}"/>
    <cellStyle name="Normal 7 4 2 2 2 2 2" xfId="10881" xr:uid="{00000000-0005-0000-0000-0000FD350000}"/>
    <cellStyle name="Normal 7 4 2 2 2 3" xfId="8492" xr:uid="{00000000-0005-0000-0000-0000FE350000}"/>
    <cellStyle name="Normal 7 4 2 2 3" xfId="4593" xr:uid="{00000000-0005-0000-0000-0000FF350000}"/>
    <cellStyle name="Normal 7 4 2 2 3 2" xfId="9689" xr:uid="{00000000-0005-0000-0000-000000360000}"/>
    <cellStyle name="Normal 7 4 2 2 4" xfId="7242" xr:uid="{00000000-0005-0000-0000-000001360000}"/>
    <cellStyle name="Normal 7 4 2 3" xfId="3388" xr:uid="{00000000-0005-0000-0000-000002360000}"/>
    <cellStyle name="Normal 7 4 2 3 2" xfId="5784" xr:uid="{00000000-0005-0000-0000-000003360000}"/>
    <cellStyle name="Normal 7 4 2 3 2 2" xfId="10880" xr:uid="{00000000-0005-0000-0000-000004360000}"/>
    <cellStyle name="Normal 7 4 2 3 3" xfId="8491" xr:uid="{00000000-0005-0000-0000-000005360000}"/>
    <cellStyle name="Normal 7 4 2 4" xfId="4592" xr:uid="{00000000-0005-0000-0000-000006360000}"/>
    <cellStyle name="Normal 7 4 2 4 2" xfId="9688" xr:uid="{00000000-0005-0000-0000-000007360000}"/>
    <cellStyle name="Normal 7 4 2 5" xfId="7241" xr:uid="{00000000-0005-0000-0000-000008360000}"/>
    <cellStyle name="Normal 7 4 3" xfId="2070" xr:uid="{00000000-0005-0000-0000-000009360000}"/>
    <cellStyle name="Normal 7 4 3 2" xfId="3390" xr:uid="{00000000-0005-0000-0000-00000A360000}"/>
    <cellStyle name="Normal 7 4 3 2 2" xfId="5786" xr:uid="{00000000-0005-0000-0000-00000B360000}"/>
    <cellStyle name="Normal 7 4 3 2 2 2" xfId="10882" xr:uid="{00000000-0005-0000-0000-00000C360000}"/>
    <cellStyle name="Normal 7 4 3 2 3" xfId="8493" xr:uid="{00000000-0005-0000-0000-00000D360000}"/>
    <cellStyle name="Normal 7 4 3 3" xfId="4594" xr:uid="{00000000-0005-0000-0000-00000E360000}"/>
    <cellStyle name="Normal 7 4 3 3 2" xfId="9690" xr:uid="{00000000-0005-0000-0000-00000F360000}"/>
    <cellStyle name="Normal 7 4 3 4" xfId="7243" xr:uid="{00000000-0005-0000-0000-000010360000}"/>
    <cellStyle name="Normal 7 4 4" xfId="2071" xr:uid="{00000000-0005-0000-0000-000011360000}"/>
    <cellStyle name="Normal 7 4 4 2" xfId="3391" xr:uid="{00000000-0005-0000-0000-000012360000}"/>
    <cellStyle name="Normal 7 4 4 2 2" xfId="5787" xr:uid="{00000000-0005-0000-0000-000013360000}"/>
    <cellStyle name="Normal 7 4 4 2 2 2" xfId="10883" xr:uid="{00000000-0005-0000-0000-000014360000}"/>
    <cellStyle name="Normal 7 4 4 2 3" xfId="8494" xr:uid="{00000000-0005-0000-0000-000015360000}"/>
    <cellStyle name="Normal 7 4 4 3" xfId="4595" xr:uid="{00000000-0005-0000-0000-000016360000}"/>
    <cellStyle name="Normal 7 4 4 3 2" xfId="9691" xr:uid="{00000000-0005-0000-0000-000017360000}"/>
    <cellStyle name="Normal 7 4 4 4" xfId="7244" xr:uid="{00000000-0005-0000-0000-000018360000}"/>
    <cellStyle name="Normal 7 4 5" xfId="2067" xr:uid="{00000000-0005-0000-0000-000019360000}"/>
    <cellStyle name="Normal 7 4 5 2" xfId="3387" xr:uid="{00000000-0005-0000-0000-00001A360000}"/>
    <cellStyle name="Normal 7 4 5 2 2" xfId="5783" xr:uid="{00000000-0005-0000-0000-00001B360000}"/>
    <cellStyle name="Normal 7 4 5 2 2 2" xfId="10879" xr:uid="{00000000-0005-0000-0000-00001C360000}"/>
    <cellStyle name="Normal 7 4 5 2 3" xfId="8490" xr:uid="{00000000-0005-0000-0000-00001D360000}"/>
    <cellStyle name="Normal 7 4 5 3" xfId="4591" xr:uid="{00000000-0005-0000-0000-00001E360000}"/>
    <cellStyle name="Normal 7 4 5 3 2" xfId="9687" xr:uid="{00000000-0005-0000-0000-00001F360000}"/>
    <cellStyle name="Normal 7 4 5 4" xfId="7240" xr:uid="{00000000-0005-0000-0000-000020360000}"/>
    <cellStyle name="Normal 7 5" xfId="1076" xr:uid="{00000000-0005-0000-0000-000021360000}"/>
    <cellStyle name="Normal 7 5 2" xfId="2073" xr:uid="{00000000-0005-0000-0000-000022360000}"/>
    <cellStyle name="Normal 7 5 2 2" xfId="2074" xr:uid="{00000000-0005-0000-0000-000023360000}"/>
    <cellStyle name="Normal 7 5 2 2 2" xfId="3394" xr:uid="{00000000-0005-0000-0000-000024360000}"/>
    <cellStyle name="Normal 7 5 2 2 2 2" xfId="5790" xr:uid="{00000000-0005-0000-0000-000025360000}"/>
    <cellStyle name="Normal 7 5 2 2 2 2 2" xfId="10886" xr:uid="{00000000-0005-0000-0000-000026360000}"/>
    <cellStyle name="Normal 7 5 2 2 2 3" xfId="8497" xr:uid="{00000000-0005-0000-0000-000027360000}"/>
    <cellStyle name="Normal 7 5 2 2 3" xfId="4598" xr:uid="{00000000-0005-0000-0000-000028360000}"/>
    <cellStyle name="Normal 7 5 2 2 3 2" xfId="9694" xr:uid="{00000000-0005-0000-0000-000029360000}"/>
    <cellStyle name="Normal 7 5 2 2 4" xfId="7247" xr:uid="{00000000-0005-0000-0000-00002A360000}"/>
    <cellStyle name="Normal 7 5 2 3" xfId="3393" xr:uid="{00000000-0005-0000-0000-00002B360000}"/>
    <cellStyle name="Normal 7 5 2 3 2" xfId="5789" xr:uid="{00000000-0005-0000-0000-00002C360000}"/>
    <cellStyle name="Normal 7 5 2 3 2 2" xfId="10885" xr:uid="{00000000-0005-0000-0000-00002D360000}"/>
    <cellStyle name="Normal 7 5 2 3 3" xfId="8496" xr:uid="{00000000-0005-0000-0000-00002E360000}"/>
    <cellStyle name="Normal 7 5 2 4" xfId="4597" xr:uid="{00000000-0005-0000-0000-00002F360000}"/>
    <cellStyle name="Normal 7 5 2 4 2" xfId="9693" xr:uid="{00000000-0005-0000-0000-000030360000}"/>
    <cellStyle name="Normal 7 5 2 5" xfId="7246" xr:uid="{00000000-0005-0000-0000-000031360000}"/>
    <cellStyle name="Normal 7 5 3" xfId="2075" xr:uid="{00000000-0005-0000-0000-000032360000}"/>
    <cellStyle name="Normal 7 5 3 2" xfId="3395" xr:uid="{00000000-0005-0000-0000-000033360000}"/>
    <cellStyle name="Normal 7 5 3 2 2" xfId="5791" xr:uid="{00000000-0005-0000-0000-000034360000}"/>
    <cellStyle name="Normal 7 5 3 2 2 2" xfId="10887" xr:uid="{00000000-0005-0000-0000-000035360000}"/>
    <cellStyle name="Normal 7 5 3 2 3" xfId="8498" xr:uid="{00000000-0005-0000-0000-000036360000}"/>
    <cellStyle name="Normal 7 5 3 3" xfId="4599" xr:uid="{00000000-0005-0000-0000-000037360000}"/>
    <cellStyle name="Normal 7 5 3 3 2" xfId="9695" xr:uid="{00000000-0005-0000-0000-000038360000}"/>
    <cellStyle name="Normal 7 5 3 4" xfId="7248" xr:uid="{00000000-0005-0000-0000-000039360000}"/>
    <cellStyle name="Normal 7 5 4" xfId="2076" xr:uid="{00000000-0005-0000-0000-00003A360000}"/>
    <cellStyle name="Normal 7 5 4 2" xfId="3396" xr:uid="{00000000-0005-0000-0000-00003B360000}"/>
    <cellStyle name="Normal 7 5 4 2 2" xfId="5792" xr:uid="{00000000-0005-0000-0000-00003C360000}"/>
    <cellStyle name="Normal 7 5 4 2 2 2" xfId="10888" xr:uid="{00000000-0005-0000-0000-00003D360000}"/>
    <cellStyle name="Normal 7 5 4 2 3" xfId="8499" xr:uid="{00000000-0005-0000-0000-00003E360000}"/>
    <cellStyle name="Normal 7 5 4 3" xfId="4600" xr:uid="{00000000-0005-0000-0000-00003F360000}"/>
    <cellStyle name="Normal 7 5 4 3 2" xfId="9696" xr:uid="{00000000-0005-0000-0000-000040360000}"/>
    <cellStyle name="Normal 7 5 4 4" xfId="7249" xr:uid="{00000000-0005-0000-0000-000041360000}"/>
    <cellStyle name="Normal 7 5 5" xfId="2072" xr:uid="{00000000-0005-0000-0000-000042360000}"/>
    <cellStyle name="Normal 7 5 5 2" xfId="3392" xr:uid="{00000000-0005-0000-0000-000043360000}"/>
    <cellStyle name="Normal 7 5 5 2 2" xfId="5788" xr:uid="{00000000-0005-0000-0000-000044360000}"/>
    <cellStyle name="Normal 7 5 5 2 2 2" xfId="10884" xr:uid="{00000000-0005-0000-0000-000045360000}"/>
    <cellStyle name="Normal 7 5 5 2 3" xfId="8495" xr:uid="{00000000-0005-0000-0000-000046360000}"/>
    <cellStyle name="Normal 7 5 5 3" xfId="4596" xr:uid="{00000000-0005-0000-0000-000047360000}"/>
    <cellStyle name="Normal 7 5 5 3 2" xfId="9692" xr:uid="{00000000-0005-0000-0000-000048360000}"/>
    <cellStyle name="Normal 7 5 5 4" xfId="7245" xr:uid="{00000000-0005-0000-0000-000049360000}"/>
    <cellStyle name="Normal 7 6" xfId="1087" xr:uid="{00000000-0005-0000-0000-00004A360000}"/>
    <cellStyle name="Normal 7 6 2" xfId="2078" xr:uid="{00000000-0005-0000-0000-00004B360000}"/>
    <cellStyle name="Normal 7 6 2 2" xfId="3398" xr:uid="{00000000-0005-0000-0000-00004C360000}"/>
    <cellStyle name="Normal 7 6 2 2 2" xfId="5794" xr:uid="{00000000-0005-0000-0000-00004D360000}"/>
    <cellStyle name="Normal 7 6 2 2 2 2" xfId="10890" xr:uid="{00000000-0005-0000-0000-00004E360000}"/>
    <cellStyle name="Normal 7 6 2 2 3" xfId="8501" xr:uid="{00000000-0005-0000-0000-00004F360000}"/>
    <cellStyle name="Normal 7 6 2 3" xfId="4602" xr:uid="{00000000-0005-0000-0000-000050360000}"/>
    <cellStyle name="Normal 7 6 2 3 2" xfId="9698" xr:uid="{00000000-0005-0000-0000-000051360000}"/>
    <cellStyle name="Normal 7 6 2 4" xfId="7251" xr:uid="{00000000-0005-0000-0000-000052360000}"/>
    <cellStyle name="Normal 7 6 3" xfId="2077" xr:uid="{00000000-0005-0000-0000-000053360000}"/>
    <cellStyle name="Normal 7 6 3 2" xfId="3397" xr:uid="{00000000-0005-0000-0000-000054360000}"/>
    <cellStyle name="Normal 7 6 3 2 2" xfId="5793" xr:uid="{00000000-0005-0000-0000-000055360000}"/>
    <cellStyle name="Normal 7 6 3 2 2 2" xfId="10889" xr:uid="{00000000-0005-0000-0000-000056360000}"/>
    <cellStyle name="Normal 7 6 3 2 3" xfId="8500" xr:uid="{00000000-0005-0000-0000-000057360000}"/>
    <cellStyle name="Normal 7 6 3 3" xfId="4601" xr:uid="{00000000-0005-0000-0000-000058360000}"/>
    <cellStyle name="Normal 7 6 3 3 2" xfId="9697" xr:uid="{00000000-0005-0000-0000-000059360000}"/>
    <cellStyle name="Normal 7 6 3 4" xfId="7250" xr:uid="{00000000-0005-0000-0000-00005A360000}"/>
    <cellStyle name="Normal 7 7" xfId="2079" xr:uid="{00000000-0005-0000-0000-00005B360000}"/>
    <cellStyle name="Normal 7 8" xfId="2051" xr:uid="{00000000-0005-0000-0000-00005C360000}"/>
    <cellStyle name="Normal 7 8 2" xfId="3372" xr:uid="{00000000-0005-0000-0000-00005D360000}"/>
    <cellStyle name="Normal 7 8 2 2" xfId="5768" xr:uid="{00000000-0005-0000-0000-00005E360000}"/>
    <cellStyle name="Normal 7 8 2 2 2" xfId="10864" xr:uid="{00000000-0005-0000-0000-00005F360000}"/>
    <cellStyle name="Normal 7 8 2 3" xfId="8475" xr:uid="{00000000-0005-0000-0000-000060360000}"/>
    <cellStyle name="Normal 7 8 3" xfId="4576" xr:uid="{00000000-0005-0000-0000-000061360000}"/>
    <cellStyle name="Normal 7 8 3 2" xfId="9672" xr:uid="{00000000-0005-0000-0000-000062360000}"/>
    <cellStyle name="Normal 7 8 4" xfId="7225" xr:uid="{00000000-0005-0000-0000-000063360000}"/>
    <cellStyle name="Normal 70" xfId="2080" xr:uid="{00000000-0005-0000-0000-000064360000}"/>
    <cellStyle name="Normal 71" xfId="2081" xr:uid="{00000000-0005-0000-0000-000065360000}"/>
    <cellStyle name="Normal 72" xfId="2082" xr:uid="{00000000-0005-0000-0000-000066360000}"/>
    <cellStyle name="Normal 73" xfId="2083" xr:uid="{00000000-0005-0000-0000-000067360000}"/>
    <cellStyle name="Normal 74" xfId="2084" xr:uid="{00000000-0005-0000-0000-000068360000}"/>
    <cellStyle name="Normal 75" xfId="2085" xr:uid="{00000000-0005-0000-0000-000069360000}"/>
    <cellStyle name="Normal 76" xfId="2086" xr:uid="{00000000-0005-0000-0000-00006A360000}"/>
    <cellStyle name="Normal 77" xfId="2087" xr:uid="{00000000-0005-0000-0000-00006B360000}"/>
    <cellStyle name="Normal 78" xfId="2088" xr:uid="{00000000-0005-0000-0000-00006C360000}"/>
    <cellStyle name="Normal 78 2" xfId="2089" xr:uid="{00000000-0005-0000-0000-00006D360000}"/>
    <cellStyle name="Normal 78 2 2" xfId="3400" xr:uid="{00000000-0005-0000-0000-00006E360000}"/>
    <cellStyle name="Normal 78 2 2 2" xfId="5796" xr:uid="{00000000-0005-0000-0000-00006F360000}"/>
    <cellStyle name="Normal 78 2 2 2 2" xfId="10892" xr:uid="{00000000-0005-0000-0000-000070360000}"/>
    <cellStyle name="Normal 78 2 2 3" xfId="8503" xr:uid="{00000000-0005-0000-0000-000071360000}"/>
    <cellStyle name="Normal 78 2 3" xfId="4604" xr:uid="{00000000-0005-0000-0000-000072360000}"/>
    <cellStyle name="Normal 78 2 3 2" xfId="9700" xr:uid="{00000000-0005-0000-0000-000073360000}"/>
    <cellStyle name="Normal 78 2 4" xfId="7253" xr:uid="{00000000-0005-0000-0000-000074360000}"/>
    <cellStyle name="Normal 78 3" xfId="3399" xr:uid="{00000000-0005-0000-0000-000075360000}"/>
    <cellStyle name="Normal 78 3 2" xfId="5795" xr:uid="{00000000-0005-0000-0000-000076360000}"/>
    <cellStyle name="Normal 78 3 2 2" xfId="10891" xr:uid="{00000000-0005-0000-0000-000077360000}"/>
    <cellStyle name="Normal 78 3 3" xfId="8502" xr:uid="{00000000-0005-0000-0000-000078360000}"/>
    <cellStyle name="Normal 78 4" xfId="4603" xr:uid="{00000000-0005-0000-0000-000079360000}"/>
    <cellStyle name="Normal 78 4 2" xfId="9699" xr:uid="{00000000-0005-0000-0000-00007A360000}"/>
    <cellStyle name="Normal 78 5" xfId="7252" xr:uid="{00000000-0005-0000-0000-00007B360000}"/>
    <cellStyle name="Normal 79" xfId="2090" xr:uid="{00000000-0005-0000-0000-00007C360000}"/>
    <cellStyle name="Normal 79 2" xfId="2091" xr:uid="{00000000-0005-0000-0000-00007D360000}"/>
    <cellStyle name="Normal 79 2 2" xfId="3402" xr:uid="{00000000-0005-0000-0000-00007E360000}"/>
    <cellStyle name="Normal 79 2 2 2" xfId="5798" xr:uid="{00000000-0005-0000-0000-00007F360000}"/>
    <cellStyle name="Normal 79 2 2 2 2" xfId="10894" xr:uid="{00000000-0005-0000-0000-000080360000}"/>
    <cellStyle name="Normal 79 2 2 3" xfId="8505" xr:uid="{00000000-0005-0000-0000-000081360000}"/>
    <cellStyle name="Normal 79 2 3" xfId="4606" xr:uid="{00000000-0005-0000-0000-000082360000}"/>
    <cellStyle name="Normal 79 2 3 2" xfId="9702" xr:uid="{00000000-0005-0000-0000-000083360000}"/>
    <cellStyle name="Normal 79 2 4" xfId="7255" xr:uid="{00000000-0005-0000-0000-000084360000}"/>
    <cellStyle name="Normal 79 3" xfId="3401" xr:uid="{00000000-0005-0000-0000-000085360000}"/>
    <cellStyle name="Normal 79 3 2" xfId="5797" xr:uid="{00000000-0005-0000-0000-000086360000}"/>
    <cellStyle name="Normal 79 3 2 2" xfId="10893" xr:uid="{00000000-0005-0000-0000-000087360000}"/>
    <cellStyle name="Normal 79 3 3" xfId="8504" xr:uid="{00000000-0005-0000-0000-000088360000}"/>
    <cellStyle name="Normal 79 4" xfId="4605" xr:uid="{00000000-0005-0000-0000-000089360000}"/>
    <cellStyle name="Normal 79 4 2" xfId="9701" xr:uid="{00000000-0005-0000-0000-00008A360000}"/>
    <cellStyle name="Normal 79 5" xfId="7254" xr:uid="{00000000-0005-0000-0000-00008B360000}"/>
    <cellStyle name="Normal 8" xfId="71" xr:uid="{00000000-0005-0000-0000-00008C360000}"/>
    <cellStyle name="Normal 8 2" xfId="514" xr:uid="{00000000-0005-0000-0000-00008D360000}"/>
    <cellStyle name="Normal 8 2 2" xfId="932" xr:uid="{00000000-0005-0000-0000-00008E360000}"/>
    <cellStyle name="Normal 8 2 2 2" xfId="984" xr:uid="{00000000-0005-0000-0000-00008F360000}"/>
    <cellStyle name="Normal 8 2 3" xfId="1066" xr:uid="{00000000-0005-0000-0000-000090360000}"/>
    <cellStyle name="Normal 8 2 4" xfId="2092" xr:uid="{00000000-0005-0000-0000-000091360000}"/>
    <cellStyle name="Normal 8 3" xfId="774" xr:uid="{00000000-0005-0000-0000-000092360000}"/>
    <cellStyle name="Normal 8 3 2" xfId="972" xr:uid="{00000000-0005-0000-0000-000093360000}"/>
    <cellStyle name="Normal 8 3 2 2" xfId="2094" xr:uid="{00000000-0005-0000-0000-000094360000}"/>
    <cellStyle name="Normal 8 3 2 2 2" xfId="3404" xr:uid="{00000000-0005-0000-0000-000095360000}"/>
    <cellStyle name="Normal 8 3 2 2 2 2" xfId="5800" xr:uid="{00000000-0005-0000-0000-000096360000}"/>
    <cellStyle name="Normal 8 3 2 2 2 2 2" xfId="10896" xr:uid="{00000000-0005-0000-0000-000097360000}"/>
    <cellStyle name="Normal 8 3 2 2 2 3" xfId="8507" xr:uid="{00000000-0005-0000-0000-000098360000}"/>
    <cellStyle name="Normal 8 3 2 2 3" xfId="4608" xr:uid="{00000000-0005-0000-0000-000099360000}"/>
    <cellStyle name="Normal 8 3 2 2 3 2" xfId="9704" xr:uid="{00000000-0005-0000-0000-00009A360000}"/>
    <cellStyle name="Normal 8 3 2 2 4" xfId="7257" xr:uid="{00000000-0005-0000-0000-00009B360000}"/>
    <cellStyle name="Normal 8 3 3" xfId="2093" xr:uid="{00000000-0005-0000-0000-00009C360000}"/>
    <cellStyle name="Normal 8 3 3 2" xfId="3403" xr:uid="{00000000-0005-0000-0000-00009D360000}"/>
    <cellStyle name="Normal 8 3 3 2 2" xfId="5799" xr:uid="{00000000-0005-0000-0000-00009E360000}"/>
    <cellStyle name="Normal 8 3 3 2 2 2" xfId="10895" xr:uid="{00000000-0005-0000-0000-00009F360000}"/>
    <cellStyle name="Normal 8 3 3 2 3" xfId="8506" xr:uid="{00000000-0005-0000-0000-0000A0360000}"/>
    <cellStyle name="Normal 8 3 3 3" xfId="4607" xr:uid="{00000000-0005-0000-0000-0000A1360000}"/>
    <cellStyle name="Normal 8 3 3 3 2" xfId="9703" xr:uid="{00000000-0005-0000-0000-0000A2360000}"/>
    <cellStyle name="Normal 8 3 3 4" xfId="7256" xr:uid="{00000000-0005-0000-0000-0000A3360000}"/>
    <cellStyle name="Normal 8 3 4" xfId="2555" xr:uid="{00000000-0005-0000-0000-0000A4360000}"/>
    <cellStyle name="Normal 8 3 4 2" xfId="5002" xr:uid="{00000000-0005-0000-0000-0000A5360000}"/>
    <cellStyle name="Normal 8 3 4 2 2" xfId="10098" xr:uid="{00000000-0005-0000-0000-0000A6360000}"/>
    <cellStyle name="Normal 8 3 4 3" xfId="7659" xr:uid="{00000000-0005-0000-0000-0000A7360000}"/>
    <cellStyle name="Normal 8 3 5" xfId="3819" xr:uid="{00000000-0005-0000-0000-0000A8360000}"/>
    <cellStyle name="Normal 8 3 5 2" xfId="8918" xr:uid="{00000000-0005-0000-0000-0000A9360000}"/>
    <cellStyle name="Normal 8 3 6" xfId="6399" xr:uid="{00000000-0005-0000-0000-0000AA360000}"/>
    <cellStyle name="Normal 8 4" xfId="667" xr:uid="{00000000-0005-0000-0000-0000AB360000}"/>
    <cellStyle name="Normal 8 4 2" xfId="996" xr:uid="{00000000-0005-0000-0000-0000AC360000}"/>
    <cellStyle name="Normal 8 4 3" xfId="2095" xr:uid="{00000000-0005-0000-0000-0000AD360000}"/>
    <cellStyle name="Normal 8 4 3 2" xfId="3405" xr:uid="{00000000-0005-0000-0000-0000AE360000}"/>
    <cellStyle name="Normal 8 4 3 2 2" xfId="5801" xr:uid="{00000000-0005-0000-0000-0000AF360000}"/>
    <cellStyle name="Normal 8 4 3 2 2 2" xfId="10897" xr:uid="{00000000-0005-0000-0000-0000B0360000}"/>
    <cellStyle name="Normal 8 4 3 2 3" xfId="8508" xr:uid="{00000000-0005-0000-0000-0000B1360000}"/>
    <cellStyle name="Normal 8 4 3 3" xfId="4609" xr:uid="{00000000-0005-0000-0000-0000B2360000}"/>
    <cellStyle name="Normal 8 4 3 3 2" xfId="9705" xr:uid="{00000000-0005-0000-0000-0000B3360000}"/>
    <cellStyle name="Normal 8 4 3 4" xfId="7258" xr:uid="{00000000-0005-0000-0000-0000B4360000}"/>
    <cellStyle name="Normal 8 4 4" xfId="2471" xr:uid="{00000000-0005-0000-0000-0000B5360000}"/>
    <cellStyle name="Normal 8 4 4 2" xfId="4918" xr:uid="{00000000-0005-0000-0000-0000B6360000}"/>
    <cellStyle name="Normal 8 4 4 2 2" xfId="10014" xr:uid="{00000000-0005-0000-0000-0000B7360000}"/>
    <cellStyle name="Normal 8 4 4 3" xfId="7575" xr:uid="{00000000-0005-0000-0000-0000B8360000}"/>
    <cellStyle name="Normal 8 4 5" xfId="3735" xr:uid="{00000000-0005-0000-0000-0000B9360000}"/>
    <cellStyle name="Normal 8 4 5 2" xfId="8834" xr:uid="{00000000-0005-0000-0000-0000BA360000}"/>
    <cellStyle name="Normal 8 4 6" xfId="6315" xr:uid="{00000000-0005-0000-0000-0000BB360000}"/>
    <cellStyle name="Normal 8 5" xfId="1074" xr:uid="{00000000-0005-0000-0000-0000BC360000}"/>
    <cellStyle name="Normal 8 5 2" xfId="2096" xr:uid="{00000000-0005-0000-0000-0000BD360000}"/>
    <cellStyle name="Normal 8 5 2 2" xfId="3406" xr:uid="{00000000-0005-0000-0000-0000BE360000}"/>
    <cellStyle name="Normal 8 5 2 2 2" xfId="5802" xr:uid="{00000000-0005-0000-0000-0000BF360000}"/>
    <cellStyle name="Normal 8 5 2 2 2 2" xfId="10898" xr:uid="{00000000-0005-0000-0000-0000C0360000}"/>
    <cellStyle name="Normal 8 5 2 2 3" xfId="8509" xr:uid="{00000000-0005-0000-0000-0000C1360000}"/>
    <cellStyle name="Normal 8 5 2 3" xfId="4610" xr:uid="{00000000-0005-0000-0000-0000C2360000}"/>
    <cellStyle name="Normal 8 5 2 3 2" xfId="9706" xr:uid="{00000000-0005-0000-0000-0000C3360000}"/>
    <cellStyle name="Normal 8 5 2 4" xfId="7259" xr:uid="{00000000-0005-0000-0000-0000C4360000}"/>
    <cellStyle name="Normal 8 6" xfId="1089" xr:uid="{00000000-0005-0000-0000-0000C5360000}"/>
    <cellStyle name="Normal 80" xfId="2097" xr:uid="{00000000-0005-0000-0000-0000C6360000}"/>
    <cellStyle name="Normal 80 2" xfId="2098" xr:uid="{00000000-0005-0000-0000-0000C7360000}"/>
    <cellStyle name="Normal 80 2 2" xfId="3408" xr:uid="{00000000-0005-0000-0000-0000C8360000}"/>
    <cellStyle name="Normal 80 2 2 2" xfId="5804" xr:uid="{00000000-0005-0000-0000-0000C9360000}"/>
    <cellStyle name="Normal 80 2 2 2 2" xfId="10900" xr:uid="{00000000-0005-0000-0000-0000CA360000}"/>
    <cellStyle name="Normal 80 2 2 3" xfId="8511" xr:uid="{00000000-0005-0000-0000-0000CB360000}"/>
    <cellStyle name="Normal 80 2 3" xfId="4612" xr:uid="{00000000-0005-0000-0000-0000CC360000}"/>
    <cellStyle name="Normal 80 2 3 2" xfId="9708" xr:uid="{00000000-0005-0000-0000-0000CD360000}"/>
    <cellStyle name="Normal 80 2 4" xfId="7261" xr:uid="{00000000-0005-0000-0000-0000CE360000}"/>
    <cellStyle name="Normal 80 3" xfId="3407" xr:uid="{00000000-0005-0000-0000-0000CF360000}"/>
    <cellStyle name="Normal 80 3 2" xfId="5803" xr:uid="{00000000-0005-0000-0000-0000D0360000}"/>
    <cellStyle name="Normal 80 3 2 2" xfId="10899" xr:uid="{00000000-0005-0000-0000-0000D1360000}"/>
    <cellStyle name="Normal 80 3 3" xfId="8510" xr:uid="{00000000-0005-0000-0000-0000D2360000}"/>
    <cellStyle name="Normal 80 4" xfId="4611" xr:uid="{00000000-0005-0000-0000-0000D3360000}"/>
    <cellStyle name="Normal 80 4 2" xfId="9707" xr:uid="{00000000-0005-0000-0000-0000D4360000}"/>
    <cellStyle name="Normal 80 5" xfId="7260" xr:uid="{00000000-0005-0000-0000-0000D5360000}"/>
    <cellStyle name="Normal 81" xfId="2099" xr:uid="{00000000-0005-0000-0000-0000D6360000}"/>
    <cellStyle name="Normal 81 2" xfId="2100" xr:uid="{00000000-0005-0000-0000-0000D7360000}"/>
    <cellStyle name="Normal 81 2 2" xfId="3410" xr:uid="{00000000-0005-0000-0000-0000D8360000}"/>
    <cellStyle name="Normal 81 2 2 2" xfId="5806" xr:uid="{00000000-0005-0000-0000-0000D9360000}"/>
    <cellStyle name="Normal 81 2 2 2 2" xfId="10902" xr:uid="{00000000-0005-0000-0000-0000DA360000}"/>
    <cellStyle name="Normal 81 2 2 3" xfId="8513" xr:uid="{00000000-0005-0000-0000-0000DB360000}"/>
    <cellStyle name="Normal 81 2 3" xfId="4614" xr:uid="{00000000-0005-0000-0000-0000DC360000}"/>
    <cellStyle name="Normal 81 2 3 2" xfId="9710" xr:uid="{00000000-0005-0000-0000-0000DD360000}"/>
    <cellStyle name="Normal 81 2 4" xfId="7263" xr:uid="{00000000-0005-0000-0000-0000DE360000}"/>
    <cellStyle name="Normal 81 3" xfId="3409" xr:uid="{00000000-0005-0000-0000-0000DF360000}"/>
    <cellStyle name="Normal 81 3 2" xfId="5805" xr:uid="{00000000-0005-0000-0000-0000E0360000}"/>
    <cellStyle name="Normal 81 3 2 2" xfId="10901" xr:uid="{00000000-0005-0000-0000-0000E1360000}"/>
    <cellStyle name="Normal 81 3 3" xfId="8512" xr:uid="{00000000-0005-0000-0000-0000E2360000}"/>
    <cellStyle name="Normal 81 4" xfId="4613" xr:uid="{00000000-0005-0000-0000-0000E3360000}"/>
    <cellStyle name="Normal 81 4 2" xfId="9709" xr:uid="{00000000-0005-0000-0000-0000E4360000}"/>
    <cellStyle name="Normal 81 5" xfId="7262" xr:uid="{00000000-0005-0000-0000-0000E5360000}"/>
    <cellStyle name="Normal 82" xfId="2101" xr:uid="{00000000-0005-0000-0000-0000E6360000}"/>
    <cellStyle name="Normal 82 2" xfId="2102" xr:uid="{00000000-0005-0000-0000-0000E7360000}"/>
    <cellStyle name="Normal 82 2 2" xfId="3412" xr:uid="{00000000-0005-0000-0000-0000E8360000}"/>
    <cellStyle name="Normal 82 2 2 2" xfId="5808" xr:uid="{00000000-0005-0000-0000-0000E9360000}"/>
    <cellStyle name="Normal 82 2 2 2 2" xfId="10904" xr:uid="{00000000-0005-0000-0000-0000EA360000}"/>
    <cellStyle name="Normal 82 2 2 3" xfId="8515" xr:uid="{00000000-0005-0000-0000-0000EB360000}"/>
    <cellStyle name="Normal 82 2 3" xfId="4616" xr:uid="{00000000-0005-0000-0000-0000EC360000}"/>
    <cellStyle name="Normal 82 2 3 2" xfId="9712" xr:uid="{00000000-0005-0000-0000-0000ED360000}"/>
    <cellStyle name="Normal 82 2 4" xfId="7265" xr:uid="{00000000-0005-0000-0000-0000EE360000}"/>
    <cellStyle name="Normal 82 3" xfId="3411" xr:uid="{00000000-0005-0000-0000-0000EF360000}"/>
    <cellStyle name="Normal 82 3 2" xfId="5807" xr:uid="{00000000-0005-0000-0000-0000F0360000}"/>
    <cellStyle name="Normal 82 3 2 2" xfId="10903" xr:uid="{00000000-0005-0000-0000-0000F1360000}"/>
    <cellStyle name="Normal 82 3 3" xfId="8514" xr:uid="{00000000-0005-0000-0000-0000F2360000}"/>
    <cellStyle name="Normal 82 4" xfId="4615" xr:uid="{00000000-0005-0000-0000-0000F3360000}"/>
    <cellStyle name="Normal 82 4 2" xfId="9711" xr:uid="{00000000-0005-0000-0000-0000F4360000}"/>
    <cellStyle name="Normal 82 5" xfId="7264" xr:uid="{00000000-0005-0000-0000-0000F5360000}"/>
    <cellStyle name="Normal 83" xfId="2103" xr:uid="{00000000-0005-0000-0000-0000F6360000}"/>
    <cellStyle name="Normal 83 2" xfId="2104" xr:uid="{00000000-0005-0000-0000-0000F7360000}"/>
    <cellStyle name="Normal 83 2 2" xfId="3414" xr:uid="{00000000-0005-0000-0000-0000F8360000}"/>
    <cellStyle name="Normal 83 2 2 2" xfId="5810" xr:uid="{00000000-0005-0000-0000-0000F9360000}"/>
    <cellStyle name="Normal 83 2 2 2 2" xfId="10906" xr:uid="{00000000-0005-0000-0000-0000FA360000}"/>
    <cellStyle name="Normal 83 2 2 3" xfId="8517" xr:uid="{00000000-0005-0000-0000-0000FB360000}"/>
    <cellStyle name="Normal 83 2 3" xfId="4618" xr:uid="{00000000-0005-0000-0000-0000FC360000}"/>
    <cellStyle name="Normal 83 2 3 2" xfId="9714" xr:uid="{00000000-0005-0000-0000-0000FD360000}"/>
    <cellStyle name="Normal 83 2 4" xfId="7267" xr:uid="{00000000-0005-0000-0000-0000FE360000}"/>
    <cellStyle name="Normal 83 3" xfId="3413" xr:uid="{00000000-0005-0000-0000-0000FF360000}"/>
    <cellStyle name="Normal 83 3 2" xfId="5809" xr:uid="{00000000-0005-0000-0000-000000370000}"/>
    <cellStyle name="Normal 83 3 2 2" xfId="10905" xr:uid="{00000000-0005-0000-0000-000001370000}"/>
    <cellStyle name="Normal 83 3 3" xfId="8516" xr:uid="{00000000-0005-0000-0000-000002370000}"/>
    <cellStyle name="Normal 83 4" xfId="4617" xr:uid="{00000000-0005-0000-0000-000003370000}"/>
    <cellStyle name="Normal 83 4 2" xfId="9713" xr:uid="{00000000-0005-0000-0000-000004370000}"/>
    <cellStyle name="Normal 83 5" xfId="7266" xr:uid="{00000000-0005-0000-0000-000005370000}"/>
    <cellStyle name="Normal 84" xfId="2105" xr:uid="{00000000-0005-0000-0000-000006370000}"/>
    <cellStyle name="Normal 85" xfId="2106" xr:uid="{00000000-0005-0000-0000-000007370000}"/>
    <cellStyle name="Normal 86" xfId="2107" xr:uid="{00000000-0005-0000-0000-000008370000}"/>
    <cellStyle name="Normal 87" xfId="2108" xr:uid="{00000000-0005-0000-0000-000009370000}"/>
    <cellStyle name="Normal 88" xfId="2109" xr:uid="{00000000-0005-0000-0000-00000A370000}"/>
    <cellStyle name="Normal 89" xfId="2110" xr:uid="{00000000-0005-0000-0000-00000B370000}"/>
    <cellStyle name="Normal 9" xfId="72" xr:uid="{00000000-0005-0000-0000-00000C370000}"/>
    <cellStyle name="Normal 9 2" xfId="732" xr:uid="{00000000-0005-0000-0000-00000D370000}"/>
    <cellStyle name="Normal 9 2 2" xfId="974" xr:uid="{00000000-0005-0000-0000-00000E370000}"/>
    <cellStyle name="Normal 9 2 2 2" xfId="2113" xr:uid="{00000000-0005-0000-0000-00000F370000}"/>
    <cellStyle name="Normal 9 2 2 2 2" xfId="2114" xr:uid="{00000000-0005-0000-0000-000010370000}"/>
    <cellStyle name="Normal 9 2 2 2 2 2" xfId="3418" xr:uid="{00000000-0005-0000-0000-000011370000}"/>
    <cellStyle name="Normal 9 2 2 2 2 2 2" xfId="5814" xr:uid="{00000000-0005-0000-0000-000012370000}"/>
    <cellStyle name="Normal 9 2 2 2 2 2 2 2" xfId="10910" xr:uid="{00000000-0005-0000-0000-000013370000}"/>
    <cellStyle name="Normal 9 2 2 2 2 2 3" xfId="8521" xr:uid="{00000000-0005-0000-0000-000014370000}"/>
    <cellStyle name="Normal 9 2 2 2 2 3" xfId="4622" xr:uid="{00000000-0005-0000-0000-000015370000}"/>
    <cellStyle name="Normal 9 2 2 2 2 3 2" xfId="9718" xr:uid="{00000000-0005-0000-0000-000016370000}"/>
    <cellStyle name="Normal 9 2 2 2 2 4" xfId="7271" xr:uid="{00000000-0005-0000-0000-000017370000}"/>
    <cellStyle name="Normal 9 2 2 2 3" xfId="3417" xr:uid="{00000000-0005-0000-0000-000018370000}"/>
    <cellStyle name="Normal 9 2 2 2 3 2" xfId="5813" xr:uid="{00000000-0005-0000-0000-000019370000}"/>
    <cellStyle name="Normal 9 2 2 2 3 2 2" xfId="10909" xr:uid="{00000000-0005-0000-0000-00001A370000}"/>
    <cellStyle name="Normal 9 2 2 2 3 3" xfId="8520" xr:uid="{00000000-0005-0000-0000-00001B370000}"/>
    <cellStyle name="Normal 9 2 2 2 4" xfId="4621" xr:uid="{00000000-0005-0000-0000-00001C370000}"/>
    <cellStyle name="Normal 9 2 2 2 4 2" xfId="9717" xr:uid="{00000000-0005-0000-0000-00001D370000}"/>
    <cellStyle name="Normal 9 2 2 2 5" xfId="7270" xr:uid="{00000000-0005-0000-0000-00001E370000}"/>
    <cellStyle name="Normal 9 2 2 3" xfId="2115" xr:uid="{00000000-0005-0000-0000-00001F370000}"/>
    <cellStyle name="Normal 9 2 2 3 2" xfId="3419" xr:uid="{00000000-0005-0000-0000-000020370000}"/>
    <cellStyle name="Normal 9 2 2 3 2 2" xfId="5815" xr:uid="{00000000-0005-0000-0000-000021370000}"/>
    <cellStyle name="Normal 9 2 2 3 2 2 2" xfId="10911" xr:uid="{00000000-0005-0000-0000-000022370000}"/>
    <cellStyle name="Normal 9 2 2 3 2 3" xfId="8522" xr:uid="{00000000-0005-0000-0000-000023370000}"/>
    <cellStyle name="Normal 9 2 2 3 3" xfId="4623" xr:uid="{00000000-0005-0000-0000-000024370000}"/>
    <cellStyle name="Normal 9 2 2 3 3 2" xfId="9719" xr:uid="{00000000-0005-0000-0000-000025370000}"/>
    <cellStyle name="Normal 9 2 2 3 4" xfId="7272" xr:uid="{00000000-0005-0000-0000-000026370000}"/>
    <cellStyle name="Normal 9 2 2 4" xfId="2116" xr:uid="{00000000-0005-0000-0000-000027370000}"/>
    <cellStyle name="Normal 9 2 2 4 2" xfId="3420" xr:uid="{00000000-0005-0000-0000-000028370000}"/>
    <cellStyle name="Normal 9 2 2 4 2 2" xfId="5816" xr:uid="{00000000-0005-0000-0000-000029370000}"/>
    <cellStyle name="Normal 9 2 2 4 2 2 2" xfId="10912" xr:uid="{00000000-0005-0000-0000-00002A370000}"/>
    <cellStyle name="Normal 9 2 2 4 2 3" xfId="8523" xr:uid="{00000000-0005-0000-0000-00002B370000}"/>
    <cellStyle name="Normal 9 2 2 4 3" xfId="4624" xr:uid="{00000000-0005-0000-0000-00002C370000}"/>
    <cellStyle name="Normal 9 2 2 4 3 2" xfId="9720" xr:uid="{00000000-0005-0000-0000-00002D370000}"/>
    <cellStyle name="Normal 9 2 2 4 4" xfId="7273" xr:uid="{00000000-0005-0000-0000-00002E370000}"/>
    <cellStyle name="Normal 9 2 2 5" xfId="2112" xr:uid="{00000000-0005-0000-0000-00002F370000}"/>
    <cellStyle name="Normal 9 2 2 5 2" xfId="3416" xr:uid="{00000000-0005-0000-0000-000030370000}"/>
    <cellStyle name="Normal 9 2 2 5 2 2" xfId="5812" xr:uid="{00000000-0005-0000-0000-000031370000}"/>
    <cellStyle name="Normal 9 2 2 5 2 2 2" xfId="10908" xr:uid="{00000000-0005-0000-0000-000032370000}"/>
    <cellStyle name="Normal 9 2 2 5 2 3" xfId="8519" xr:uid="{00000000-0005-0000-0000-000033370000}"/>
    <cellStyle name="Normal 9 2 2 5 3" xfId="4620" xr:uid="{00000000-0005-0000-0000-000034370000}"/>
    <cellStyle name="Normal 9 2 2 5 3 2" xfId="9716" xr:uid="{00000000-0005-0000-0000-000035370000}"/>
    <cellStyle name="Normal 9 2 2 5 4" xfId="7269" xr:uid="{00000000-0005-0000-0000-000036370000}"/>
    <cellStyle name="Normal 9 2 3" xfId="2117" xr:uid="{00000000-0005-0000-0000-000037370000}"/>
    <cellStyle name="Normal 9 2 3 2" xfId="2118" xr:uid="{00000000-0005-0000-0000-000038370000}"/>
    <cellStyle name="Normal 9 2 3 2 2" xfId="3422" xr:uid="{00000000-0005-0000-0000-000039370000}"/>
    <cellStyle name="Normal 9 2 3 2 2 2" xfId="5818" xr:uid="{00000000-0005-0000-0000-00003A370000}"/>
    <cellStyle name="Normal 9 2 3 2 2 2 2" xfId="10914" xr:uid="{00000000-0005-0000-0000-00003B370000}"/>
    <cellStyle name="Normal 9 2 3 2 2 3" xfId="8525" xr:uid="{00000000-0005-0000-0000-00003C370000}"/>
    <cellStyle name="Normal 9 2 3 2 3" xfId="4626" xr:uid="{00000000-0005-0000-0000-00003D370000}"/>
    <cellStyle name="Normal 9 2 3 2 3 2" xfId="9722" xr:uid="{00000000-0005-0000-0000-00003E370000}"/>
    <cellStyle name="Normal 9 2 3 2 4" xfId="7275" xr:uid="{00000000-0005-0000-0000-00003F370000}"/>
    <cellStyle name="Normal 9 2 3 3" xfId="2119" xr:uid="{00000000-0005-0000-0000-000040370000}"/>
    <cellStyle name="Normal 9 2 3 3 2" xfId="3423" xr:uid="{00000000-0005-0000-0000-000041370000}"/>
    <cellStyle name="Normal 9 2 3 3 2 2" xfId="5819" xr:uid="{00000000-0005-0000-0000-000042370000}"/>
    <cellStyle name="Normal 9 2 3 3 2 2 2" xfId="10915" xr:uid="{00000000-0005-0000-0000-000043370000}"/>
    <cellStyle name="Normal 9 2 3 3 2 3" xfId="8526" xr:uid="{00000000-0005-0000-0000-000044370000}"/>
    <cellStyle name="Normal 9 2 3 3 3" xfId="4627" xr:uid="{00000000-0005-0000-0000-000045370000}"/>
    <cellStyle name="Normal 9 2 3 3 3 2" xfId="9723" xr:uid="{00000000-0005-0000-0000-000046370000}"/>
    <cellStyle name="Normal 9 2 3 3 4" xfId="7276" xr:uid="{00000000-0005-0000-0000-000047370000}"/>
    <cellStyle name="Normal 9 2 3 4" xfId="3421" xr:uid="{00000000-0005-0000-0000-000048370000}"/>
    <cellStyle name="Normal 9 2 3 4 2" xfId="5817" xr:uid="{00000000-0005-0000-0000-000049370000}"/>
    <cellStyle name="Normal 9 2 3 4 2 2" xfId="10913" xr:uid="{00000000-0005-0000-0000-00004A370000}"/>
    <cellStyle name="Normal 9 2 3 4 3" xfId="8524" xr:uid="{00000000-0005-0000-0000-00004B370000}"/>
    <cellStyle name="Normal 9 2 3 5" xfId="4625" xr:uid="{00000000-0005-0000-0000-00004C370000}"/>
    <cellStyle name="Normal 9 2 3 5 2" xfId="9721" xr:uid="{00000000-0005-0000-0000-00004D370000}"/>
    <cellStyle name="Normal 9 2 3 6" xfId="7274" xr:uid="{00000000-0005-0000-0000-00004E370000}"/>
    <cellStyle name="Normal 9 2 4" xfId="2120" xr:uid="{00000000-0005-0000-0000-00004F370000}"/>
    <cellStyle name="Normal 9 2 5" xfId="2111" xr:uid="{00000000-0005-0000-0000-000050370000}"/>
    <cellStyle name="Normal 9 2 5 2" xfId="3415" xr:uid="{00000000-0005-0000-0000-000051370000}"/>
    <cellStyle name="Normal 9 2 5 2 2" xfId="5811" xr:uid="{00000000-0005-0000-0000-000052370000}"/>
    <cellStyle name="Normal 9 2 5 2 2 2" xfId="10907" xr:uid="{00000000-0005-0000-0000-000053370000}"/>
    <cellStyle name="Normal 9 2 5 2 3" xfId="8518" xr:uid="{00000000-0005-0000-0000-000054370000}"/>
    <cellStyle name="Normal 9 2 5 3" xfId="4619" xr:uid="{00000000-0005-0000-0000-000055370000}"/>
    <cellStyle name="Normal 9 2 5 3 2" xfId="9715" xr:uid="{00000000-0005-0000-0000-000056370000}"/>
    <cellStyle name="Normal 9 2 5 4" xfId="7268" xr:uid="{00000000-0005-0000-0000-000057370000}"/>
    <cellStyle name="Normal 9 2 6" xfId="2518" xr:uid="{00000000-0005-0000-0000-000058370000}"/>
    <cellStyle name="Normal 9 2 6 2" xfId="4965" xr:uid="{00000000-0005-0000-0000-000059370000}"/>
    <cellStyle name="Normal 9 2 6 2 2" xfId="10061" xr:uid="{00000000-0005-0000-0000-00005A370000}"/>
    <cellStyle name="Normal 9 2 6 3" xfId="7622" xr:uid="{00000000-0005-0000-0000-00005B370000}"/>
    <cellStyle name="Normal 9 2 7" xfId="3782" xr:uid="{00000000-0005-0000-0000-00005C370000}"/>
    <cellStyle name="Normal 9 2 7 2" xfId="8881" xr:uid="{00000000-0005-0000-0000-00005D370000}"/>
    <cellStyle name="Normal 9 2 8" xfId="6362" xr:uid="{00000000-0005-0000-0000-00005E370000}"/>
    <cellStyle name="Normal 9 3" xfId="1059" xr:uid="{00000000-0005-0000-0000-00005F370000}"/>
    <cellStyle name="Normal 9 3 2" xfId="2122" xr:uid="{00000000-0005-0000-0000-000060370000}"/>
    <cellStyle name="Normal 9 3 2 2" xfId="3425" xr:uid="{00000000-0005-0000-0000-000061370000}"/>
    <cellStyle name="Normal 9 3 2 2 2" xfId="5821" xr:uid="{00000000-0005-0000-0000-000062370000}"/>
    <cellStyle name="Normal 9 3 2 2 2 2" xfId="10917" xr:uid="{00000000-0005-0000-0000-000063370000}"/>
    <cellStyle name="Normal 9 3 2 2 3" xfId="8528" xr:uid="{00000000-0005-0000-0000-000064370000}"/>
    <cellStyle name="Normal 9 3 2 3" xfId="4629" xr:uid="{00000000-0005-0000-0000-000065370000}"/>
    <cellStyle name="Normal 9 3 2 3 2" xfId="9725" xr:uid="{00000000-0005-0000-0000-000066370000}"/>
    <cellStyle name="Normal 9 3 2 4" xfId="7278" xr:uid="{00000000-0005-0000-0000-000067370000}"/>
    <cellStyle name="Normal 9 3 3" xfId="2123" xr:uid="{00000000-0005-0000-0000-000068370000}"/>
    <cellStyle name="Normal 9 3 3 2" xfId="3426" xr:uid="{00000000-0005-0000-0000-000069370000}"/>
    <cellStyle name="Normal 9 3 3 2 2" xfId="5822" xr:uid="{00000000-0005-0000-0000-00006A370000}"/>
    <cellStyle name="Normal 9 3 3 2 2 2" xfId="10918" xr:uid="{00000000-0005-0000-0000-00006B370000}"/>
    <cellStyle name="Normal 9 3 3 2 3" xfId="8529" xr:uid="{00000000-0005-0000-0000-00006C370000}"/>
    <cellStyle name="Normal 9 3 3 3" xfId="4630" xr:uid="{00000000-0005-0000-0000-00006D370000}"/>
    <cellStyle name="Normal 9 3 3 3 2" xfId="9726" xr:uid="{00000000-0005-0000-0000-00006E370000}"/>
    <cellStyle name="Normal 9 3 3 4" xfId="7279" xr:uid="{00000000-0005-0000-0000-00006F370000}"/>
    <cellStyle name="Normal 9 3 4" xfId="2121" xr:uid="{00000000-0005-0000-0000-000070370000}"/>
    <cellStyle name="Normal 9 3 4 2" xfId="3424" xr:uid="{00000000-0005-0000-0000-000071370000}"/>
    <cellStyle name="Normal 9 3 4 2 2" xfId="5820" xr:uid="{00000000-0005-0000-0000-000072370000}"/>
    <cellStyle name="Normal 9 3 4 2 2 2" xfId="10916" xr:uid="{00000000-0005-0000-0000-000073370000}"/>
    <cellStyle name="Normal 9 3 4 2 3" xfId="8527" xr:uid="{00000000-0005-0000-0000-000074370000}"/>
    <cellStyle name="Normal 9 3 4 3" xfId="4628" xr:uid="{00000000-0005-0000-0000-000075370000}"/>
    <cellStyle name="Normal 9 3 4 3 2" xfId="9724" xr:uid="{00000000-0005-0000-0000-000076370000}"/>
    <cellStyle name="Normal 9 3 4 4" xfId="7277" xr:uid="{00000000-0005-0000-0000-000077370000}"/>
    <cellStyle name="Normal 9 4" xfId="2124" xr:uid="{00000000-0005-0000-0000-000078370000}"/>
    <cellStyle name="Normal 9 4 2" xfId="3427" xr:uid="{00000000-0005-0000-0000-000079370000}"/>
    <cellStyle name="Normal 9 4 2 2" xfId="5823" xr:uid="{00000000-0005-0000-0000-00007A370000}"/>
    <cellStyle name="Normal 9 4 2 2 2" xfId="10919" xr:uid="{00000000-0005-0000-0000-00007B370000}"/>
    <cellStyle name="Normal 9 4 2 3" xfId="8530" xr:uid="{00000000-0005-0000-0000-00007C370000}"/>
    <cellStyle name="Normal 9 4 3" xfId="4631" xr:uid="{00000000-0005-0000-0000-00007D370000}"/>
    <cellStyle name="Normal 9 4 3 2" xfId="9727" xr:uid="{00000000-0005-0000-0000-00007E370000}"/>
    <cellStyle name="Normal 9 4 4" xfId="7280" xr:uid="{00000000-0005-0000-0000-00007F370000}"/>
    <cellStyle name="Normal 9 5" xfId="2125" xr:uid="{00000000-0005-0000-0000-000080370000}"/>
    <cellStyle name="Normal 9 5 2" xfId="3428" xr:uid="{00000000-0005-0000-0000-000081370000}"/>
    <cellStyle name="Normal 9 5 2 2" xfId="5824" xr:uid="{00000000-0005-0000-0000-000082370000}"/>
    <cellStyle name="Normal 9 5 2 2 2" xfId="10920" xr:uid="{00000000-0005-0000-0000-000083370000}"/>
    <cellStyle name="Normal 9 5 2 3" xfId="8531" xr:uid="{00000000-0005-0000-0000-000084370000}"/>
    <cellStyle name="Normal 9 5 3" xfId="4632" xr:uid="{00000000-0005-0000-0000-000085370000}"/>
    <cellStyle name="Normal 9 5 3 2" xfId="9728" xr:uid="{00000000-0005-0000-0000-000086370000}"/>
    <cellStyle name="Normal 9 5 4" xfId="7281" xr:uid="{00000000-0005-0000-0000-000087370000}"/>
    <cellStyle name="Normal 90" xfId="2126" xr:uid="{00000000-0005-0000-0000-000088370000}"/>
    <cellStyle name="Normal 91" xfId="2127" xr:uid="{00000000-0005-0000-0000-000089370000}"/>
    <cellStyle name="Normal 91 2" xfId="3430" xr:uid="{00000000-0005-0000-0000-00008A370000}"/>
    <cellStyle name="Normal 91 2 2" xfId="5825" xr:uid="{00000000-0005-0000-0000-00008B370000}"/>
    <cellStyle name="Normal 91 2 2 2" xfId="10921" xr:uid="{00000000-0005-0000-0000-00008C370000}"/>
    <cellStyle name="Normal 91 2 3" xfId="8533" xr:uid="{00000000-0005-0000-0000-00008D370000}"/>
    <cellStyle name="Normal 91 3" xfId="4633" xr:uid="{00000000-0005-0000-0000-00008E370000}"/>
    <cellStyle name="Normal 91 3 2" xfId="9729" xr:uid="{00000000-0005-0000-0000-00008F370000}"/>
    <cellStyle name="Normal 91 4" xfId="7282" xr:uid="{00000000-0005-0000-0000-000090370000}"/>
    <cellStyle name="Normal 92" xfId="2128" xr:uid="{00000000-0005-0000-0000-000091370000}"/>
    <cellStyle name="Normal 92 2" xfId="3431" xr:uid="{00000000-0005-0000-0000-000092370000}"/>
    <cellStyle name="Normal 92 2 2" xfId="5826" xr:uid="{00000000-0005-0000-0000-000093370000}"/>
    <cellStyle name="Normal 92 2 2 2" xfId="10922" xr:uid="{00000000-0005-0000-0000-000094370000}"/>
    <cellStyle name="Normal 92 2 3" xfId="8534" xr:uid="{00000000-0005-0000-0000-000095370000}"/>
    <cellStyle name="Normal 92 3" xfId="4634" xr:uid="{00000000-0005-0000-0000-000096370000}"/>
    <cellStyle name="Normal 92 3 2" xfId="9730" xr:uid="{00000000-0005-0000-0000-000097370000}"/>
    <cellStyle name="Normal 92 4" xfId="7283" xr:uid="{00000000-0005-0000-0000-000098370000}"/>
    <cellStyle name="Normal 93" xfId="1153" xr:uid="{00000000-0005-0000-0000-000099370000}"/>
    <cellStyle name="Normal 93 2" xfId="2738" xr:uid="{00000000-0005-0000-0000-00009A370000}"/>
    <cellStyle name="Normal 93 2 2" xfId="5140" xr:uid="{00000000-0005-0000-0000-00009B370000}"/>
    <cellStyle name="Normal 93 2 2 2" xfId="10236" xr:uid="{00000000-0005-0000-0000-00009C370000}"/>
    <cellStyle name="Normal 93 2 3" xfId="7841" xr:uid="{00000000-0005-0000-0000-00009D370000}"/>
    <cellStyle name="Normal 93 3" xfId="3948" xr:uid="{00000000-0005-0000-0000-00009E370000}"/>
    <cellStyle name="Normal 93 3 2" xfId="9044" xr:uid="{00000000-0005-0000-0000-00009F370000}"/>
    <cellStyle name="Normal 93 4" xfId="6553" xr:uid="{00000000-0005-0000-0000-0000A0370000}"/>
    <cellStyle name="Normal 94" xfId="1871" xr:uid="{00000000-0005-0000-0000-0000A1370000}"/>
    <cellStyle name="Normal 94 2" xfId="3254" xr:uid="{00000000-0005-0000-0000-0000A2370000}"/>
    <cellStyle name="Normal 94 2 2" xfId="5650" xr:uid="{00000000-0005-0000-0000-0000A3370000}"/>
    <cellStyle name="Normal 94 2 2 2" xfId="10746" xr:uid="{00000000-0005-0000-0000-0000A4370000}"/>
    <cellStyle name="Normal 94 2 3" xfId="8357" xr:uid="{00000000-0005-0000-0000-0000A5370000}"/>
    <cellStyle name="Normal 94 3" xfId="4458" xr:uid="{00000000-0005-0000-0000-0000A6370000}"/>
    <cellStyle name="Normal 94 3 2" xfId="9554" xr:uid="{00000000-0005-0000-0000-0000A7370000}"/>
    <cellStyle name="Normal 94 4" xfId="7096" xr:uid="{00000000-0005-0000-0000-0000A8370000}"/>
    <cellStyle name="Normal 95" xfId="2269" xr:uid="{00000000-0005-0000-0000-0000A9370000}"/>
    <cellStyle name="Normal 95 2" xfId="3522" xr:uid="{00000000-0005-0000-0000-0000AA370000}"/>
    <cellStyle name="Normal 95 2 2" xfId="5917" xr:uid="{00000000-0005-0000-0000-0000AB370000}"/>
    <cellStyle name="Normal 95 2 2 2" xfId="11013" xr:uid="{00000000-0005-0000-0000-0000AC370000}"/>
    <cellStyle name="Normal 95 2 3" xfId="8625" xr:uid="{00000000-0005-0000-0000-0000AD370000}"/>
    <cellStyle name="Normal 95 3" xfId="4728" xr:uid="{00000000-0005-0000-0000-0000AE370000}"/>
    <cellStyle name="Normal 95 3 2" xfId="9824" xr:uid="{00000000-0005-0000-0000-0000AF370000}"/>
    <cellStyle name="Normal 95 4" xfId="7378" xr:uid="{00000000-0005-0000-0000-0000B0370000}"/>
    <cellStyle name="Normal 96" xfId="2271" xr:uid="{00000000-0005-0000-0000-0000B1370000}"/>
    <cellStyle name="Normal 96 2" xfId="3524" xr:uid="{00000000-0005-0000-0000-0000B2370000}"/>
    <cellStyle name="Normal 96 2 2" xfId="5919" xr:uid="{00000000-0005-0000-0000-0000B3370000}"/>
    <cellStyle name="Normal 96 2 2 2" xfId="11015" xr:uid="{00000000-0005-0000-0000-0000B4370000}"/>
    <cellStyle name="Normal 96 2 3" xfId="8627" xr:uid="{00000000-0005-0000-0000-0000B5370000}"/>
    <cellStyle name="Normal 96 3" xfId="4730" xr:uid="{00000000-0005-0000-0000-0000B6370000}"/>
    <cellStyle name="Normal 96 3 2" xfId="9826" xr:uid="{00000000-0005-0000-0000-0000B7370000}"/>
    <cellStyle name="Normal 96 4" xfId="7380" xr:uid="{00000000-0005-0000-0000-0000B8370000}"/>
    <cellStyle name="Normal 97" xfId="2273" xr:uid="{00000000-0005-0000-0000-0000B9370000}"/>
    <cellStyle name="Normal 97 2" xfId="3526" xr:uid="{00000000-0005-0000-0000-0000BA370000}"/>
    <cellStyle name="Normal 97 2 2" xfId="5921" xr:uid="{00000000-0005-0000-0000-0000BB370000}"/>
    <cellStyle name="Normal 97 2 2 2" xfId="11017" xr:uid="{00000000-0005-0000-0000-0000BC370000}"/>
    <cellStyle name="Normal 97 2 3" xfId="8629" xr:uid="{00000000-0005-0000-0000-0000BD370000}"/>
    <cellStyle name="Normal 97 3" xfId="4732" xr:uid="{00000000-0005-0000-0000-0000BE370000}"/>
    <cellStyle name="Normal 97 3 2" xfId="9828" xr:uid="{00000000-0005-0000-0000-0000BF370000}"/>
    <cellStyle name="Normal 97 4" xfId="7382" xr:uid="{00000000-0005-0000-0000-0000C0370000}"/>
    <cellStyle name="Normal 98" xfId="2275" xr:uid="{00000000-0005-0000-0000-0000C1370000}"/>
    <cellStyle name="Normal 98 2" xfId="3528" xr:uid="{00000000-0005-0000-0000-0000C2370000}"/>
    <cellStyle name="Normal 98 2 2" xfId="5923" xr:uid="{00000000-0005-0000-0000-0000C3370000}"/>
    <cellStyle name="Normal 98 2 2 2" xfId="11019" xr:uid="{00000000-0005-0000-0000-0000C4370000}"/>
    <cellStyle name="Normal 98 2 3" xfId="8631" xr:uid="{00000000-0005-0000-0000-0000C5370000}"/>
    <cellStyle name="Normal 98 3" xfId="4734" xr:uid="{00000000-0005-0000-0000-0000C6370000}"/>
    <cellStyle name="Normal 98 3 2" xfId="9830" xr:uid="{00000000-0005-0000-0000-0000C7370000}"/>
    <cellStyle name="Normal 98 4" xfId="7384" xr:uid="{00000000-0005-0000-0000-0000C8370000}"/>
    <cellStyle name="Normal 99" xfId="2278" xr:uid="{00000000-0005-0000-0000-0000C9370000}"/>
    <cellStyle name="Normal 99 2" xfId="3531" xr:uid="{00000000-0005-0000-0000-0000CA370000}"/>
    <cellStyle name="Normal 99 2 2" xfId="5926" xr:uid="{00000000-0005-0000-0000-0000CB370000}"/>
    <cellStyle name="Normal 99 2 2 2" xfId="11022" xr:uid="{00000000-0005-0000-0000-0000CC370000}"/>
    <cellStyle name="Normal 99 2 3" xfId="8634" xr:uid="{00000000-0005-0000-0000-0000CD370000}"/>
    <cellStyle name="Normal 99 3" xfId="4737" xr:uid="{00000000-0005-0000-0000-0000CE370000}"/>
    <cellStyle name="Normal 99 3 2" xfId="9833" xr:uid="{00000000-0005-0000-0000-0000CF370000}"/>
    <cellStyle name="Normal 99 4" xfId="7387" xr:uid="{00000000-0005-0000-0000-0000D0370000}"/>
    <cellStyle name="Normal_CGE Load Res. Sum. 2006 2007" xfId="4" xr:uid="{00000000-0005-0000-0000-0000D1370000}"/>
    <cellStyle name="Normal_DE OH Gas COSS JUNE 5 2007 Final - Includes AMRP" xfId="5" xr:uid="{00000000-0005-0000-0000-0000D2370000}"/>
    <cellStyle name="Normal_Mains Accounts 2761 62 63 and 2765" xfId="6" xr:uid="{00000000-0005-0000-0000-0000D3370000}"/>
    <cellStyle name="Normal_PUCO GAS SFRs" xfId="107" xr:uid="{00000000-0005-0000-0000-0000D4370000}"/>
    <cellStyle name="Normal_Rev req link" xfId="7" xr:uid="{00000000-0005-0000-0000-0000D5370000}"/>
    <cellStyle name="Normal_Storck Meters and Regs" xfId="8" xr:uid="{00000000-0005-0000-0000-0000D6370000}"/>
    <cellStyle name="Normal_ULHP Gas COS ITO Daily Stats 20001" xfId="9" xr:uid="{00000000-0005-0000-0000-0000D7370000}"/>
    <cellStyle name="Normal_ULHP Gas COS NS Daily Stats 20001" xfId="10" xr:uid="{00000000-0005-0000-0000-0000D8370000}"/>
    <cellStyle name="Normal_WPE - CGE Gas COS Daily Stats 2006-2007" xfId="11" xr:uid="{00000000-0005-0000-0000-0000D9370000}"/>
    <cellStyle name="Note 10" xfId="1155" xr:uid="{00000000-0005-0000-0000-0000DA370000}"/>
    <cellStyle name="Note 10 2" xfId="2740" xr:uid="{00000000-0005-0000-0000-0000DB370000}"/>
    <cellStyle name="Note 10 2 2" xfId="5142" xr:uid="{00000000-0005-0000-0000-0000DC370000}"/>
    <cellStyle name="Note 10 2 2 2" xfId="10238" xr:uid="{00000000-0005-0000-0000-0000DD370000}"/>
    <cellStyle name="Note 10 2 3" xfId="7843" xr:uid="{00000000-0005-0000-0000-0000DE370000}"/>
    <cellStyle name="Note 10 3" xfId="3950" xr:uid="{00000000-0005-0000-0000-0000DF370000}"/>
    <cellStyle name="Note 10 3 2" xfId="9046" xr:uid="{00000000-0005-0000-0000-0000E0370000}"/>
    <cellStyle name="Note 10 4" xfId="6555" xr:uid="{00000000-0005-0000-0000-0000E1370000}"/>
    <cellStyle name="Note 2" xfId="54" xr:uid="{00000000-0005-0000-0000-0000E2370000}"/>
    <cellStyle name="Note 2 10" xfId="2129" xr:uid="{00000000-0005-0000-0000-0000E3370000}"/>
    <cellStyle name="Note 2 10 2" xfId="3432" xr:uid="{00000000-0005-0000-0000-0000E4370000}"/>
    <cellStyle name="Note 2 10 2 2" xfId="5827" xr:uid="{00000000-0005-0000-0000-0000E5370000}"/>
    <cellStyle name="Note 2 10 2 2 2" xfId="10923" xr:uid="{00000000-0005-0000-0000-0000E6370000}"/>
    <cellStyle name="Note 2 10 2 3" xfId="8535" xr:uid="{00000000-0005-0000-0000-0000E7370000}"/>
    <cellStyle name="Note 2 10 3" xfId="4635" xr:uid="{00000000-0005-0000-0000-0000E8370000}"/>
    <cellStyle name="Note 2 10 3 2" xfId="9731" xr:uid="{00000000-0005-0000-0000-0000E9370000}"/>
    <cellStyle name="Note 2 10 4" xfId="7284" xr:uid="{00000000-0005-0000-0000-0000EA370000}"/>
    <cellStyle name="Note 2 11" xfId="162" xr:uid="{00000000-0005-0000-0000-0000EB370000}"/>
    <cellStyle name="Note 2 2" xfId="515" xr:uid="{00000000-0005-0000-0000-0000EC370000}"/>
    <cellStyle name="Note 2 2 2" xfId="551" xr:uid="{00000000-0005-0000-0000-0000ED370000}"/>
    <cellStyle name="Note 2 2 2 2" xfId="2132" xr:uid="{00000000-0005-0000-0000-0000EE370000}"/>
    <cellStyle name="Note 2 2 2 2 2" xfId="3435" xr:uid="{00000000-0005-0000-0000-0000EF370000}"/>
    <cellStyle name="Note 2 2 2 2 2 2" xfId="5830" xr:uid="{00000000-0005-0000-0000-0000F0370000}"/>
    <cellStyle name="Note 2 2 2 2 2 2 2" xfId="10926" xr:uid="{00000000-0005-0000-0000-0000F1370000}"/>
    <cellStyle name="Note 2 2 2 2 2 3" xfId="8538" xr:uid="{00000000-0005-0000-0000-0000F2370000}"/>
    <cellStyle name="Note 2 2 2 2 3" xfId="4638" xr:uid="{00000000-0005-0000-0000-0000F3370000}"/>
    <cellStyle name="Note 2 2 2 2 3 2" xfId="9734" xr:uid="{00000000-0005-0000-0000-0000F4370000}"/>
    <cellStyle name="Note 2 2 2 2 4" xfId="7287" xr:uid="{00000000-0005-0000-0000-0000F5370000}"/>
    <cellStyle name="Note 2 2 2 3" xfId="2131" xr:uid="{00000000-0005-0000-0000-0000F6370000}"/>
    <cellStyle name="Note 2 2 2 3 2" xfId="3434" xr:uid="{00000000-0005-0000-0000-0000F7370000}"/>
    <cellStyle name="Note 2 2 2 3 2 2" xfId="5829" xr:uid="{00000000-0005-0000-0000-0000F8370000}"/>
    <cellStyle name="Note 2 2 2 3 2 2 2" xfId="10925" xr:uid="{00000000-0005-0000-0000-0000F9370000}"/>
    <cellStyle name="Note 2 2 2 3 2 3" xfId="8537" xr:uid="{00000000-0005-0000-0000-0000FA370000}"/>
    <cellStyle name="Note 2 2 2 3 3" xfId="4637" xr:uid="{00000000-0005-0000-0000-0000FB370000}"/>
    <cellStyle name="Note 2 2 2 3 3 2" xfId="9733" xr:uid="{00000000-0005-0000-0000-0000FC370000}"/>
    <cellStyle name="Note 2 2 2 3 4" xfId="7286" xr:uid="{00000000-0005-0000-0000-0000FD370000}"/>
    <cellStyle name="Note 2 2 2 4" xfId="2357" xr:uid="{00000000-0005-0000-0000-0000FE370000}"/>
    <cellStyle name="Note 2 2 2 4 2" xfId="4804" xr:uid="{00000000-0005-0000-0000-0000FF370000}"/>
    <cellStyle name="Note 2 2 2 4 2 2" xfId="9900" xr:uid="{00000000-0005-0000-0000-000000380000}"/>
    <cellStyle name="Note 2 2 2 4 3" xfId="7461" xr:uid="{00000000-0005-0000-0000-000001380000}"/>
    <cellStyle name="Note 2 2 2 5" xfId="3621" xr:uid="{00000000-0005-0000-0000-000002380000}"/>
    <cellStyle name="Note 2 2 2 5 2" xfId="8720" xr:uid="{00000000-0005-0000-0000-000003380000}"/>
    <cellStyle name="Note 2 2 2 6" xfId="6201" xr:uid="{00000000-0005-0000-0000-000004380000}"/>
    <cellStyle name="Note 2 2 3" xfId="616" xr:uid="{00000000-0005-0000-0000-000005380000}"/>
    <cellStyle name="Note 2 2 3 2" xfId="2133" xr:uid="{00000000-0005-0000-0000-000006380000}"/>
    <cellStyle name="Note 2 2 3 2 2" xfId="3436" xr:uid="{00000000-0005-0000-0000-000007380000}"/>
    <cellStyle name="Note 2 2 3 2 2 2" xfId="5831" xr:uid="{00000000-0005-0000-0000-000008380000}"/>
    <cellStyle name="Note 2 2 3 2 2 2 2" xfId="10927" xr:uid="{00000000-0005-0000-0000-000009380000}"/>
    <cellStyle name="Note 2 2 3 2 2 3" xfId="8539" xr:uid="{00000000-0005-0000-0000-00000A380000}"/>
    <cellStyle name="Note 2 2 3 2 3" xfId="4639" xr:uid="{00000000-0005-0000-0000-00000B380000}"/>
    <cellStyle name="Note 2 2 3 2 3 2" xfId="9735" xr:uid="{00000000-0005-0000-0000-00000C380000}"/>
    <cellStyle name="Note 2 2 3 2 4" xfId="7288" xr:uid="{00000000-0005-0000-0000-00000D380000}"/>
    <cellStyle name="Note 2 2 3 3" xfId="2422" xr:uid="{00000000-0005-0000-0000-00000E380000}"/>
    <cellStyle name="Note 2 2 3 3 2" xfId="4869" xr:uid="{00000000-0005-0000-0000-00000F380000}"/>
    <cellStyle name="Note 2 2 3 3 2 2" xfId="9965" xr:uid="{00000000-0005-0000-0000-000010380000}"/>
    <cellStyle name="Note 2 2 3 3 3" xfId="7526" xr:uid="{00000000-0005-0000-0000-000011380000}"/>
    <cellStyle name="Note 2 2 3 4" xfId="3686" xr:uid="{00000000-0005-0000-0000-000012380000}"/>
    <cellStyle name="Note 2 2 3 4 2" xfId="8785" xr:uid="{00000000-0005-0000-0000-000013380000}"/>
    <cellStyle name="Note 2 2 3 5" xfId="6266" xr:uid="{00000000-0005-0000-0000-000014380000}"/>
    <cellStyle name="Note 2 2 4" xfId="872" xr:uid="{00000000-0005-0000-0000-000015380000}"/>
    <cellStyle name="Note 2 2 4 2" xfId="2134" xr:uid="{00000000-0005-0000-0000-000016380000}"/>
    <cellStyle name="Note 2 2 4 2 2" xfId="3437" xr:uid="{00000000-0005-0000-0000-000017380000}"/>
    <cellStyle name="Note 2 2 4 2 2 2" xfId="5832" xr:uid="{00000000-0005-0000-0000-000018380000}"/>
    <cellStyle name="Note 2 2 4 2 2 2 2" xfId="10928" xr:uid="{00000000-0005-0000-0000-000019380000}"/>
    <cellStyle name="Note 2 2 4 2 2 3" xfId="8540" xr:uid="{00000000-0005-0000-0000-00001A380000}"/>
    <cellStyle name="Note 2 2 4 2 3" xfId="4640" xr:uid="{00000000-0005-0000-0000-00001B380000}"/>
    <cellStyle name="Note 2 2 4 2 3 2" xfId="9736" xr:uid="{00000000-0005-0000-0000-00001C380000}"/>
    <cellStyle name="Note 2 2 4 2 4" xfId="7289" xr:uid="{00000000-0005-0000-0000-00001D380000}"/>
    <cellStyle name="Note 2 2 4 3" xfId="2577" xr:uid="{00000000-0005-0000-0000-00001E380000}"/>
    <cellStyle name="Note 2 2 4 3 2" xfId="5021" xr:uid="{00000000-0005-0000-0000-00001F380000}"/>
    <cellStyle name="Note 2 2 4 3 2 2" xfId="10117" xr:uid="{00000000-0005-0000-0000-000020380000}"/>
    <cellStyle name="Note 2 2 4 3 3" xfId="7680" xr:uid="{00000000-0005-0000-0000-000021380000}"/>
    <cellStyle name="Note 2 2 4 4" xfId="3838" xr:uid="{00000000-0005-0000-0000-000022380000}"/>
    <cellStyle name="Note 2 2 4 4 2" xfId="8937" xr:uid="{00000000-0005-0000-0000-000023380000}"/>
    <cellStyle name="Note 2 2 4 5" xfId="6423" xr:uid="{00000000-0005-0000-0000-000024380000}"/>
    <cellStyle name="Note 2 2 5" xfId="679" xr:uid="{00000000-0005-0000-0000-000025380000}"/>
    <cellStyle name="Note 2 2 5 2" xfId="2481" xr:uid="{00000000-0005-0000-0000-000026380000}"/>
    <cellStyle name="Note 2 2 5 2 2" xfId="4928" xr:uid="{00000000-0005-0000-0000-000027380000}"/>
    <cellStyle name="Note 2 2 5 2 2 2" xfId="10024" xr:uid="{00000000-0005-0000-0000-000028380000}"/>
    <cellStyle name="Note 2 2 5 2 3" xfId="7585" xr:uid="{00000000-0005-0000-0000-000029380000}"/>
    <cellStyle name="Note 2 2 5 3" xfId="3745" xr:uid="{00000000-0005-0000-0000-00002A380000}"/>
    <cellStyle name="Note 2 2 5 3 2" xfId="8844" xr:uid="{00000000-0005-0000-0000-00002B380000}"/>
    <cellStyle name="Note 2 2 5 4" xfId="6325" xr:uid="{00000000-0005-0000-0000-00002C380000}"/>
    <cellStyle name="Note 2 2 6" xfId="2130" xr:uid="{00000000-0005-0000-0000-00002D380000}"/>
    <cellStyle name="Note 2 2 6 2" xfId="3433" xr:uid="{00000000-0005-0000-0000-00002E380000}"/>
    <cellStyle name="Note 2 2 6 2 2" xfId="5828" xr:uid="{00000000-0005-0000-0000-00002F380000}"/>
    <cellStyle name="Note 2 2 6 2 2 2" xfId="10924" xr:uid="{00000000-0005-0000-0000-000030380000}"/>
    <cellStyle name="Note 2 2 6 2 3" xfId="8536" xr:uid="{00000000-0005-0000-0000-000031380000}"/>
    <cellStyle name="Note 2 2 6 3" xfId="4636" xr:uid="{00000000-0005-0000-0000-000032380000}"/>
    <cellStyle name="Note 2 2 6 3 2" xfId="9732" xr:uid="{00000000-0005-0000-0000-000033380000}"/>
    <cellStyle name="Note 2 2 6 4" xfId="7285" xr:uid="{00000000-0005-0000-0000-000034380000}"/>
    <cellStyle name="Note 2 3" xfId="522" xr:uid="{00000000-0005-0000-0000-000035380000}"/>
    <cellStyle name="Note 2 3 2" xfId="599" xr:uid="{00000000-0005-0000-0000-000036380000}"/>
    <cellStyle name="Note 2 3 2 2" xfId="2136" xr:uid="{00000000-0005-0000-0000-000037380000}"/>
    <cellStyle name="Note 2 3 2 2 2" xfId="3439" xr:uid="{00000000-0005-0000-0000-000038380000}"/>
    <cellStyle name="Note 2 3 2 2 2 2" xfId="5834" xr:uid="{00000000-0005-0000-0000-000039380000}"/>
    <cellStyle name="Note 2 3 2 2 2 2 2" xfId="10930" xr:uid="{00000000-0005-0000-0000-00003A380000}"/>
    <cellStyle name="Note 2 3 2 2 2 3" xfId="8542" xr:uid="{00000000-0005-0000-0000-00003B380000}"/>
    <cellStyle name="Note 2 3 2 2 3" xfId="4642" xr:uid="{00000000-0005-0000-0000-00003C380000}"/>
    <cellStyle name="Note 2 3 2 2 3 2" xfId="9738" xr:uid="{00000000-0005-0000-0000-00003D380000}"/>
    <cellStyle name="Note 2 3 2 2 4" xfId="7291" xr:uid="{00000000-0005-0000-0000-00003E380000}"/>
    <cellStyle name="Note 2 3 2 3" xfId="2405" xr:uid="{00000000-0005-0000-0000-00003F380000}"/>
    <cellStyle name="Note 2 3 2 3 2" xfId="4852" xr:uid="{00000000-0005-0000-0000-000040380000}"/>
    <cellStyle name="Note 2 3 2 3 2 2" xfId="9948" xr:uid="{00000000-0005-0000-0000-000041380000}"/>
    <cellStyle name="Note 2 3 2 3 3" xfId="7509" xr:uid="{00000000-0005-0000-0000-000042380000}"/>
    <cellStyle name="Note 2 3 2 4" xfId="3669" xr:uid="{00000000-0005-0000-0000-000043380000}"/>
    <cellStyle name="Note 2 3 2 4 2" xfId="8768" xr:uid="{00000000-0005-0000-0000-000044380000}"/>
    <cellStyle name="Note 2 3 2 5" xfId="6249" xr:uid="{00000000-0005-0000-0000-000045380000}"/>
    <cellStyle name="Note 2 3 3" xfId="769" xr:uid="{00000000-0005-0000-0000-000046380000}"/>
    <cellStyle name="Note 2 3 3 2" xfId="2137" xr:uid="{00000000-0005-0000-0000-000047380000}"/>
    <cellStyle name="Note 2 3 3 2 2" xfId="3440" xr:uid="{00000000-0005-0000-0000-000048380000}"/>
    <cellStyle name="Note 2 3 3 2 2 2" xfId="5835" xr:uid="{00000000-0005-0000-0000-000049380000}"/>
    <cellStyle name="Note 2 3 3 2 2 2 2" xfId="10931" xr:uid="{00000000-0005-0000-0000-00004A380000}"/>
    <cellStyle name="Note 2 3 3 2 2 3" xfId="8543" xr:uid="{00000000-0005-0000-0000-00004B380000}"/>
    <cellStyle name="Note 2 3 3 2 3" xfId="4643" xr:uid="{00000000-0005-0000-0000-00004C380000}"/>
    <cellStyle name="Note 2 3 3 2 3 2" xfId="9739" xr:uid="{00000000-0005-0000-0000-00004D380000}"/>
    <cellStyle name="Note 2 3 3 2 4" xfId="7292" xr:uid="{00000000-0005-0000-0000-00004E380000}"/>
    <cellStyle name="Note 2 3 3 3" xfId="2550" xr:uid="{00000000-0005-0000-0000-00004F380000}"/>
    <cellStyle name="Note 2 3 3 3 2" xfId="4997" xr:uid="{00000000-0005-0000-0000-000050380000}"/>
    <cellStyle name="Note 2 3 3 3 2 2" xfId="10093" xr:uid="{00000000-0005-0000-0000-000051380000}"/>
    <cellStyle name="Note 2 3 3 3 3" xfId="7654" xr:uid="{00000000-0005-0000-0000-000052380000}"/>
    <cellStyle name="Note 2 3 3 4" xfId="3814" xr:uid="{00000000-0005-0000-0000-000053380000}"/>
    <cellStyle name="Note 2 3 3 4 2" xfId="8913" xr:uid="{00000000-0005-0000-0000-000054380000}"/>
    <cellStyle name="Note 2 3 3 5" xfId="6394" xr:uid="{00000000-0005-0000-0000-000055380000}"/>
    <cellStyle name="Note 2 3 4" xfId="746" xr:uid="{00000000-0005-0000-0000-000056380000}"/>
    <cellStyle name="Note 2 3 4 2" xfId="2531" xr:uid="{00000000-0005-0000-0000-000057380000}"/>
    <cellStyle name="Note 2 3 4 2 2" xfId="4978" xr:uid="{00000000-0005-0000-0000-000058380000}"/>
    <cellStyle name="Note 2 3 4 2 2 2" xfId="10074" xr:uid="{00000000-0005-0000-0000-000059380000}"/>
    <cellStyle name="Note 2 3 4 2 3" xfId="7635" xr:uid="{00000000-0005-0000-0000-00005A380000}"/>
    <cellStyle name="Note 2 3 4 3" xfId="3795" xr:uid="{00000000-0005-0000-0000-00005B380000}"/>
    <cellStyle name="Note 2 3 4 3 2" xfId="8894" xr:uid="{00000000-0005-0000-0000-00005C380000}"/>
    <cellStyle name="Note 2 3 4 4" xfId="6375" xr:uid="{00000000-0005-0000-0000-00005D380000}"/>
    <cellStyle name="Note 2 3 5" xfId="542" xr:uid="{00000000-0005-0000-0000-00005E380000}"/>
    <cellStyle name="Note 2 3 5 2" xfId="2351" xr:uid="{00000000-0005-0000-0000-00005F380000}"/>
    <cellStyle name="Note 2 3 5 2 2" xfId="4798" xr:uid="{00000000-0005-0000-0000-000060380000}"/>
    <cellStyle name="Note 2 3 5 2 2 2" xfId="9894" xr:uid="{00000000-0005-0000-0000-000061380000}"/>
    <cellStyle name="Note 2 3 5 2 3" xfId="7455" xr:uid="{00000000-0005-0000-0000-000062380000}"/>
    <cellStyle name="Note 2 3 5 3" xfId="3615" xr:uid="{00000000-0005-0000-0000-000063380000}"/>
    <cellStyle name="Note 2 3 5 3 2" xfId="8714" xr:uid="{00000000-0005-0000-0000-000064380000}"/>
    <cellStyle name="Note 2 3 5 4" xfId="6195" xr:uid="{00000000-0005-0000-0000-000065380000}"/>
    <cellStyle name="Note 2 3 6" xfId="1133" xr:uid="{00000000-0005-0000-0000-000066380000}"/>
    <cellStyle name="Note 2 3 6 10" xfId="14488" xr:uid="{00000000-0005-0000-0000-000067380000}"/>
    <cellStyle name="Note 2 3 6 11" xfId="14954" xr:uid="{00000000-0005-0000-0000-000068380000}"/>
    <cellStyle name="Note 2 3 6 2" xfId="2720" xr:uid="{00000000-0005-0000-0000-000069380000}"/>
    <cellStyle name="Note 2 3 6 2 10" xfId="14559" xr:uid="{00000000-0005-0000-0000-00006A380000}"/>
    <cellStyle name="Note 2 3 6 2 2" xfId="6120" xr:uid="{00000000-0005-0000-0000-00006B380000}"/>
    <cellStyle name="Note 2 3 6 2 2 2" xfId="11216" xr:uid="{00000000-0005-0000-0000-00006C380000}"/>
    <cellStyle name="Note 2 3 6 2 2 2 2" xfId="15522" xr:uid="{00000000-0005-0000-0000-00006D380000}"/>
    <cellStyle name="Note 2 3 6 2 2 2 3" xfId="16601" xr:uid="{00000000-0005-0000-0000-00006E380000}"/>
    <cellStyle name="Note 2 3 6 2 2 2 4" xfId="17635" xr:uid="{00000000-0005-0000-0000-00006F380000}"/>
    <cellStyle name="Note 2 3 6 2 2 2 5" xfId="18605" xr:uid="{00000000-0005-0000-0000-000070380000}"/>
    <cellStyle name="Note 2 3 6 2 2 2 6" xfId="19511" xr:uid="{00000000-0005-0000-0000-000071380000}"/>
    <cellStyle name="Note 2 3 6 2 2 3" xfId="11798" xr:uid="{00000000-0005-0000-0000-000072380000}"/>
    <cellStyle name="Note 2 3 6 2 2 3 2" xfId="16104" xr:uid="{00000000-0005-0000-0000-000073380000}"/>
    <cellStyle name="Note 2 3 6 2 2 3 3" xfId="17183" xr:uid="{00000000-0005-0000-0000-000074380000}"/>
    <cellStyle name="Note 2 3 6 2 2 3 4" xfId="18205" xr:uid="{00000000-0005-0000-0000-000075380000}"/>
    <cellStyle name="Note 2 3 6 2 2 3 5" xfId="19175" xr:uid="{00000000-0005-0000-0000-000076380000}"/>
    <cellStyle name="Note 2 3 6 2 2 3 6" xfId="20081" xr:uid="{00000000-0005-0000-0000-000077380000}"/>
    <cellStyle name="Note 2 3 6 2 2 4" xfId="11970" xr:uid="{00000000-0005-0000-0000-000078380000}"/>
    <cellStyle name="Note 2 3 6 2 2 4 2" xfId="16276" xr:uid="{00000000-0005-0000-0000-000079380000}"/>
    <cellStyle name="Note 2 3 6 2 2 4 3" xfId="17355" xr:uid="{00000000-0005-0000-0000-00007A380000}"/>
    <cellStyle name="Note 2 3 6 2 2 4 4" xfId="18373" xr:uid="{00000000-0005-0000-0000-00007B380000}"/>
    <cellStyle name="Note 2 3 6 2 2 4 5" xfId="19343" xr:uid="{00000000-0005-0000-0000-00007C380000}"/>
    <cellStyle name="Note 2 3 6 2 2 4 6" xfId="20249" xr:uid="{00000000-0005-0000-0000-00007D380000}"/>
    <cellStyle name="Note 2 3 6 2 2 5" xfId="13853" xr:uid="{00000000-0005-0000-0000-00007E380000}"/>
    <cellStyle name="Note 2 3 6 2 2 6" xfId="14896" xr:uid="{00000000-0005-0000-0000-00007F380000}"/>
    <cellStyle name="Note 2 3 6 2 2 7" xfId="13030" xr:uid="{00000000-0005-0000-0000-000080380000}"/>
    <cellStyle name="Note 2 3 6 2 2 8" xfId="16354" xr:uid="{00000000-0005-0000-0000-000081380000}"/>
    <cellStyle name="Note 2 3 6 2 2 9" xfId="16394" xr:uid="{00000000-0005-0000-0000-000082380000}"/>
    <cellStyle name="Note 2 3 6 2 3" xfId="7823" xr:uid="{00000000-0005-0000-0000-000083380000}"/>
    <cellStyle name="Note 2 3 6 2 3 2" xfId="14474" xr:uid="{00000000-0005-0000-0000-000084380000}"/>
    <cellStyle name="Note 2 3 6 2 3 3" xfId="14085" xr:uid="{00000000-0005-0000-0000-000085380000}"/>
    <cellStyle name="Note 2 3 6 2 3 4" xfId="13519" xr:uid="{00000000-0005-0000-0000-000086380000}"/>
    <cellStyle name="Note 2 3 6 2 3 5" xfId="12513" xr:uid="{00000000-0005-0000-0000-000087380000}"/>
    <cellStyle name="Note 2 3 6 2 3 6" xfId="18395" xr:uid="{00000000-0005-0000-0000-000088380000}"/>
    <cellStyle name="Note 2 3 6 2 4" xfId="11406" xr:uid="{00000000-0005-0000-0000-000089380000}"/>
    <cellStyle name="Note 2 3 6 2 4 2" xfId="15712" xr:uid="{00000000-0005-0000-0000-00008A380000}"/>
    <cellStyle name="Note 2 3 6 2 4 3" xfId="16791" xr:uid="{00000000-0005-0000-0000-00008B380000}"/>
    <cellStyle name="Note 2 3 6 2 4 4" xfId="17820" xr:uid="{00000000-0005-0000-0000-00008C380000}"/>
    <cellStyle name="Note 2 3 6 2 4 5" xfId="18790" xr:uid="{00000000-0005-0000-0000-00008D380000}"/>
    <cellStyle name="Note 2 3 6 2 4 6" xfId="19696" xr:uid="{00000000-0005-0000-0000-00008E380000}"/>
    <cellStyle name="Note 2 3 6 2 5" xfId="11427" xr:uid="{00000000-0005-0000-0000-00008F380000}"/>
    <cellStyle name="Note 2 3 6 2 5 2" xfId="15733" xr:uid="{00000000-0005-0000-0000-000090380000}"/>
    <cellStyle name="Note 2 3 6 2 5 3" xfId="16812" xr:uid="{00000000-0005-0000-0000-000091380000}"/>
    <cellStyle name="Note 2 3 6 2 5 4" xfId="17840" xr:uid="{00000000-0005-0000-0000-000092380000}"/>
    <cellStyle name="Note 2 3 6 2 5 5" xfId="18810" xr:uid="{00000000-0005-0000-0000-000093380000}"/>
    <cellStyle name="Note 2 3 6 2 5 6" xfId="19716" xr:uid="{00000000-0005-0000-0000-000094380000}"/>
    <cellStyle name="Note 2 3 6 2 6" xfId="12777" xr:uid="{00000000-0005-0000-0000-000095380000}"/>
    <cellStyle name="Note 2 3 6 2 7" xfId="12482" xr:uid="{00000000-0005-0000-0000-000096380000}"/>
    <cellStyle name="Note 2 3 6 2 8" xfId="12945" xr:uid="{00000000-0005-0000-0000-000097380000}"/>
    <cellStyle name="Note 2 3 6 2 9" xfId="15270" xr:uid="{00000000-0005-0000-0000-000098380000}"/>
    <cellStyle name="Note 2 3 6 3" xfId="6010" xr:uid="{00000000-0005-0000-0000-000099380000}"/>
    <cellStyle name="Note 2 3 6 3 2" xfId="11106" xr:uid="{00000000-0005-0000-0000-00009A380000}"/>
    <cellStyle name="Note 2 3 6 3 2 2" xfId="15412" xr:uid="{00000000-0005-0000-0000-00009B380000}"/>
    <cellStyle name="Note 2 3 6 3 2 3" xfId="16491" xr:uid="{00000000-0005-0000-0000-00009C380000}"/>
    <cellStyle name="Note 2 3 6 3 2 4" xfId="17526" xr:uid="{00000000-0005-0000-0000-00009D380000}"/>
    <cellStyle name="Note 2 3 6 3 2 5" xfId="18496" xr:uid="{00000000-0005-0000-0000-00009E380000}"/>
    <cellStyle name="Note 2 3 6 3 2 6" xfId="19402" xr:uid="{00000000-0005-0000-0000-00009F380000}"/>
    <cellStyle name="Note 2 3 6 3 3" xfId="11688" xr:uid="{00000000-0005-0000-0000-0000A0380000}"/>
    <cellStyle name="Note 2 3 6 3 3 2" xfId="15994" xr:uid="{00000000-0005-0000-0000-0000A1380000}"/>
    <cellStyle name="Note 2 3 6 3 3 3" xfId="17073" xr:uid="{00000000-0005-0000-0000-0000A2380000}"/>
    <cellStyle name="Note 2 3 6 3 3 4" xfId="18096" xr:uid="{00000000-0005-0000-0000-0000A3380000}"/>
    <cellStyle name="Note 2 3 6 3 3 5" xfId="19066" xr:uid="{00000000-0005-0000-0000-0000A4380000}"/>
    <cellStyle name="Note 2 3 6 3 3 6" xfId="19972" xr:uid="{00000000-0005-0000-0000-0000A5380000}"/>
    <cellStyle name="Note 2 3 6 3 4" xfId="11860" xr:uid="{00000000-0005-0000-0000-0000A6380000}"/>
    <cellStyle name="Note 2 3 6 3 4 2" xfId="16166" xr:uid="{00000000-0005-0000-0000-0000A7380000}"/>
    <cellStyle name="Note 2 3 6 3 4 3" xfId="17245" xr:uid="{00000000-0005-0000-0000-0000A8380000}"/>
    <cellStyle name="Note 2 3 6 3 4 4" xfId="18264" xr:uid="{00000000-0005-0000-0000-0000A9380000}"/>
    <cellStyle name="Note 2 3 6 3 4 5" xfId="19234" xr:uid="{00000000-0005-0000-0000-0000AA380000}"/>
    <cellStyle name="Note 2 3 6 3 4 6" xfId="20140" xr:uid="{00000000-0005-0000-0000-0000AB380000}"/>
    <cellStyle name="Note 2 3 6 3 5" xfId="13743" xr:uid="{00000000-0005-0000-0000-0000AC380000}"/>
    <cellStyle name="Note 2 3 6 3 6" xfId="13355" xr:uid="{00000000-0005-0000-0000-0000AD380000}"/>
    <cellStyle name="Note 2 3 6 3 7" xfId="13231" xr:uid="{00000000-0005-0000-0000-0000AE380000}"/>
    <cellStyle name="Note 2 3 6 3 8" xfId="13387" xr:uid="{00000000-0005-0000-0000-0000AF380000}"/>
    <cellStyle name="Note 2 3 6 3 9" xfId="16368" xr:uid="{00000000-0005-0000-0000-0000B0380000}"/>
    <cellStyle name="Note 2 3 6 4" xfId="6535" xr:uid="{00000000-0005-0000-0000-0000B1380000}"/>
    <cellStyle name="Note 2 3 6 4 2" xfId="14038" xr:uid="{00000000-0005-0000-0000-0000B2380000}"/>
    <cellStyle name="Note 2 3 6 4 3" xfId="14122" xr:uid="{00000000-0005-0000-0000-0000B3380000}"/>
    <cellStyle name="Note 2 3 6 4 4" xfId="12347" xr:uid="{00000000-0005-0000-0000-0000B4380000}"/>
    <cellStyle name="Note 2 3 6 4 5" xfId="14351" xr:uid="{00000000-0005-0000-0000-0000B5380000}"/>
    <cellStyle name="Note 2 3 6 4 6" xfId="16364" xr:uid="{00000000-0005-0000-0000-0000B6380000}"/>
    <cellStyle name="Note 2 3 6 5" xfId="6586" xr:uid="{00000000-0005-0000-0000-0000B7380000}"/>
    <cellStyle name="Note 2 3 6 5 2" xfId="14062" xr:uid="{00000000-0005-0000-0000-0000B8380000}"/>
    <cellStyle name="Note 2 3 6 5 3" xfId="15205" xr:uid="{00000000-0005-0000-0000-0000B9380000}"/>
    <cellStyle name="Note 2 3 6 5 4" xfId="16321" xr:uid="{00000000-0005-0000-0000-0000BA380000}"/>
    <cellStyle name="Note 2 3 6 5 5" xfId="14912" xr:uid="{00000000-0005-0000-0000-0000BB380000}"/>
    <cellStyle name="Note 2 3 6 5 6" xfId="18403" xr:uid="{00000000-0005-0000-0000-0000BC380000}"/>
    <cellStyle name="Note 2 3 6 6" xfId="11297" xr:uid="{00000000-0005-0000-0000-0000BD380000}"/>
    <cellStyle name="Note 2 3 6 6 2" xfId="15603" xr:uid="{00000000-0005-0000-0000-0000BE380000}"/>
    <cellStyle name="Note 2 3 6 6 3" xfId="16682" xr:uid="{00000000-0005-0000-0000-0000BF380000}"/>
    <cellStyle name="Note 2 3 6 6 4" xfId="17711" xr:uid="{00000000-0005-0000-0000-0000C0380000}"/>
    <cellStyle name="Note 2 3 6 6 5" xfId="18681" xr:uid="{00000000-0005-0000-0000-0000C1380000}"/>
    <cellStyle name="Note 2 3 6 6 6" xfId="19587" xr:uid="{00000000-0005-0000-0000-0000C2380000}"/>
    <cellStyle name="Note 2 3 6 7" xfId="12262" xr:uid="{00000000-0005-0000-0000-0000C3380000}"/>
    <cellStyle name="Note 2 3 6 8" xfId="12551" xr:uid="{00000000-0005-0000-0000-0000C4380000}"/>
    <cellStyle name="Note 2 3 6 9" xfId="12939" xr:uid="{00000000-0005-0000-0000-0000C5380000}"/>
    <cellStyle name="Note 2 3 7" xfId="2135" xr:uid="{00000000-0005-0000-0000-0000C6380000}"/>
    <cellStyle name="Note 2 3 7 2" xfId="3438" xr:uid="{00000000-0005-0000-0000-0000C7380000}"/>
    <cellStyle name="Note 2 3 7 2 2" xfId="5833" xr:uid="{00000000-0005-0000-0000-0000C8380000}"/>
    <cellStyle name="Note 2 3 7 2 2 2" xfId="10929" xr:uid="{00000000-0005-0000-0000-0000C9380000}"/>
    <cellStyle name="Note 2 3 7 2 3" xfId="8541" xr:uid="{00000000-0005-0000-0000-0000CA380000}"/>
    <cellStyle name="Note 2 3 7 3" xfId="4641" xr:uid="{00000000-0005-0000-0000-0000CB380000}"/>
    <cellStyle name="Note 2 3 7 3 2" xfId="9737" xr:uid="{00000000-0005-0000-0000-0000CC380000}"/>
    <cellStyle name="Note 2 3 7 4" xfId="7290" xr:uid="{00000000-0005-0000-0000-0000CD380000}"/>
    <cellStyle name="Note 2 4" xfId="669" xr:uid="{00000000-0005-0000-0000-0000CE380000}"/>
    <cellStyle name="Note 2 4 2" xfId="763" xr:uid="{00000000-0005-0000-0000-0000CF380000}"/>
    <cellStyle name="Note 2 4 2 2" xfId="2544" xr:uid="{00000000-0005-0000-0000-0000D0380000}"/>
    <cellStyle name="Note 2 4 2 2 2" xfId="4991" xr:uid="{00000000-0005-0000-0000-0000D1380000}"/>
    <cellStyle name="Note 2 4 2 2 2 2" xfId="10087" xr:uid="{00000000-0005-0000-0000-0000D2380000}"/>
    <cellStyle name="Note 2 4 2 2 3" xfId="7648" xr:uid="{00000000-0005-0000-0000-0000D3380000}"/>
    <cellStyle name="Note 2 4 2 3" xfId="3808" xr:uid="{00000000-0005-0000-0000-0000D4380000}"/>
    <cellStyle name="Note 2 4 2 3 2" xfId="8907" xr:uid="{00000000-0005-0000-0000-0000D5380000}"/>
    <cellStyle name="Note 2 4 2 4" xfId="6388" xr:uid="{00000000-0005-0000-0000-0000D6380000}"/>
    <cellStyle name="Note 2 4 3" xfId="926" xr:uid="{00000000-0005-0000-0000-0000D7380000}"/>
    <cellStyle name="Note 2 4 3 2" xfId="2627" xr:uid="{00000000-0005-0000-0000-0000D8380000}"/>
    <cellStyle name="Note 2 4 3 2 2" xfId="5071" xr:uid="{00000000-0005-0000-0000-0000D9380000}"/>
    <cellStyle name="Note 2 4 3 2 2 2" xfId="10167" xr:uid="{00000000-0005-0000-0000-0000DA380000}"/>
    <cellStyle name="Note 2 4 3 2 3" xfId="7730" xr:uid="{00000000-0005-0000-0000-0000DB380000}"/>
    <cellStyle name="Note 2 4 3 3" xfId="3888" xr:uid="{00000000-0005-0000-0000-0000DC380000}"/>
    <cellStyle name="Note 2 4 3 3 2" xfId="8987" xr:uid="{00000000-0005-0000-0000-0000DD380000}"/>
    <cellStyle name="Note 2 4 3 4" xfId="6473" xr:uid="{00000000-0005-0000-0000-0000DE380000}"/>
    <cellStyle name="Note 2 4 4" xfId="743" xr:uid="{00000000-0005-0000-0000-0000DF380000}"/>
    <cellStyle name="Note 2 4 4 2" xfId="2528" xr:uid="{00000000-0005-0000-0000-0000E0380000}"/>
    <cellStyle name="Note 2 4 4 2 2" xfId="4975" xr:uid="{00000000-0005-0000-0000-0000E1380000}"/>
    <cellStyle name="Note 2 4 4 2 2 2" xfId="10071" xr:uid="{00000000-0005-0000-0000-0000E2380000}"/>
    <cellStyle name="Note 2 4 4 2 3" xfId="7632" xr:uid="{00000000-0005-0000-0000-0000E3380000}"/>
    <cellStyle name="Note 2 4 4 3" xfId="3792" xr:uid="{00000000-0005-0000-0000-0000E4380000}"/>
    <cellStyle name="Note 2 4 4 3 2" xfId="8891" xr:uid="{00000000-0005-0000-0000-0000E5380000}"/>
    <cellStyle name="Note 2 4 4 4" xfId="6372" xr:uid="{00000000-0005-0000-0000-0000E6380000}"/>
    <cellStyle name="Note 2 4 5" xfId="2138" xr:uid="{00000000-0005-0000-0000-0000E7380000}"/>
    <cellStyle name="Note 2 4 6" xfId="2472" xr:uid="{00000000-0005-0000-0000-0000E8380000}"/>
    <cellStyle name="Note 2 4 6 2" xfId="4919" xr:uid="{00000000-0005-0000-0000-0000E9380000}"/>
    <cellStyle name="Note 2 4 6 2 2" xfId="10015" xr:uid="{00000000-0005-0000-0000-0000EA380000}"/>
    <cellStyle name="Note 2 4 6 3" xfId="7576" xr:uid="{00000000-0005-0000-0000-0000EB380000}"/>
    <cellStyle name="Note 2 4 7" xfId="3736" xr:uid="{00000000-0005-0000-0000-0000EC380000}"/>
    <cellStyle name="Note 2 4 7 2" xfId="8835" xr:uid="{00000000-0005-0000-0000-0000ED380000}"/>
    <cellStyle name="Note 2 4 8" xfId="6316" xr:uid="{00000000-0005-0000-0000-0000EE380000}"/>
    <cellStyle name="Note 2 5" xfId="650" xr:uid="{00000000-0005-0000-0000-0000EF380000}"/>
    <cellStyle name="Note 2 5 2" xfId="607" xr:uid="{00000000-0005-0000-0000-0000F0380000}"/>
    <cellStyle name="Note 2 5 2 2" xfId="2413" xr:uid="{00000000-0005-0000-0000-0000F1380000}"/>
    <cellStyle name="Note 2 5 2 2 2" xfId="4860" xr:uid="{00000000-0005-0000-0000-0000F2380000}"/>
    <cellStyle name="Note 2 5 2 2 2 2" xfId="9956" xr:uid="{00000000-0005-0000-0000-0000F3380000}"/>
    <cellStyle name="Note 2 5 2 2 3" xfId="7517" xr:uid="{00000000-0005-0000-0000-0000F4380000}"/>
    <cellStyle name="Note 2 5 2 3" xfId="3677" xr:uid="{00000000-0005-0000-0000-0000F5380000}"/>
    <cellStyle name="Note 2 5 2 3 2" xfId="8776" xr:uid="{00000000-0005-0000-0000-0000F6380000}"/>
    <cellStyle name="Note 2 5 2 4" xfId="6257" xr:uid="{00000000-0005-0000-0000-0000F7380000}"/>
    <cellStyle name="Note 2 5 3" xfId="2454" xr:uid="{00000000-0005-0000-0000-0000F8380000}"/>
    <cellStyle name="Note 2 5 3 2" xfId="4901" xr:uid="{00000000-0005-0000-0000-0000F9380000}"/>
    <cellStyle name="Note 2 5 3 2 2" xfId="9997" xr:uid="{00000000-0005-0000-0000-0000FA380000}"/>
    <cellStyle name="Note 2 5 3 3" xfId="7558" xr:uid="{00000000-0005-0000-0000-0000FB380000}"/>
    <cellStyle name="Note 2 5 4" xfId="3718" xr:uid="{00000000-0005-0000-0000-0000FC380000}"/>
    <cellStyle name="Note 2 5 4 2" xfId="8817" xr:uid="{00000000-0005-0000-0000-0000FD380000}"/>
    <cellStyle name="Note 2 5 5" xfId="6298" xr:uid="{00000000-0005-0000-0000-0000FE380000}"/>
    <cellStyle name="Note 2 6" xfId="899" xr:uid="{00000000-0005-0000-0000-0000FF380000}"/>
    <cellStyle name="Note 2 6 2" xfId="2604" xr:uid="{00000000-0005-0000-0000-000000390000}"/>
    <cellStyle name="Note 2 6 2 2" xfId="5048" xr:uid="{00000000-0005-0000-0000-000001390000}"/>
    <cellStyle name="Note 2 6 2 2 2" xfId="10144" xr:uid="{00000000-0005-0000-0000-000002390000}"/>
    <cellStyle name="Note 2 6 2 3" xfId="7707" xr:uid="{00000000-0005-0000-0000-000003390000}"/>
    <cellStyle name="Note 2 6 3" xfId="3865" xr:uid="{00000000-0005-0000-0000-000004390000}"/>
    <cellStyle name="Note 2 6 3 2" xfId="8964" xr:uid="{00000000-0005-0000-0000-000005390000}"/>
    <cellStyle name="Note 2 6 4" xfId="6450" xr:uid="{00000000-0005-0000-0000-000006390000}"/>
    <cellStyle name="Note 2 7" xfId="881" xr:uid="{00000000-0005-0000-0000-000007390000}"/>
    <cellStyle name="Note 2 7 2" xfId="2586" xr:uid="{00000000-0005-0000-0000-000008390000}"/>
    <cellStyle name="Note 2 7 2 2" xfId="5030" xr:uid="{00000000-0005-0000-0000-000009390000}"/>
    <cellStyle name="Note 2 7 2 2 2" xfId="10126" xr:uid="{00000000-0005-0000-0000-00000A390000}"/>
    <cellStyle name="Note 2 7 2 3" xfId="7689" xr:uid="{00000000-0005-0000-0000-00000B390000}"/>
    <cellStyle name="Note 2 7 3" xfId="3847" xr:uid="{00000000-0005-0000-0000-00000C390000}"/>
    <cellStyle name="Note 2 7 3 2" xfId="8946" xr:uid="{00000000-0005-0000-0000-00000D390000}"/>
    <cellStyle name="Note 2 7 4" xfId="6432" xr:uid="{00000000-0005-0000-0000-00000E390000}"/>
    <cellStyle name="Note 2 8" xfId="702" xr:uid="{00000000-0005-0000-0000-00000F390000}"/>
    <cellStyle name="Note 2 8 2" xfId="2504" xr:uid="{00000000-0005-0000-0000-000010390000}"/>
    <cellStyle name="Note 2 8 2 2" xfId="4951" xr:uid="{00000000-0005-0000-0000-000011390000}"/>
    <cellStyle name="Note 2 8 2 2 2" xfId="10047" xr:uid="{00000000-0005-0000-0000-000012390000}"/>
    <cellStyle name="Note 2 8 2 3" xfId="7608" xr:uid="{00000000-0005-0000-0000-000013390000}"/>
    <cellStyle name="Note 2 8 3" xfId="3768" xr:uid="{00000000-0005-0000-0000-000014390000}"/>
    <cellStyle name="Note 2 8 3 2" xfId="8867" xr:uid="{00000000-0005-0000-0000-000015390000}"/>
    <cellStyle name="Note 2 8 4" xfId="6348" xr:uid="{00000000-0005-0000-0000-000016390000}"/>
    <cellStyle name="Note 2 9" xfId="1018" xr:uid="{00000000-0005-0000-0000-000017390000}"/>
    <cellStyle name="Note 2 9 10" xfId="13986" xr:uid="{00000000-0005-0000-0000-000018390000}"/>
    <cellStyle name="Note 2 9 11" xfId="13044" xr:uid="{00000000-0005-0000-0000-000019390000}"/>
    <cellStyle name="Note 2 9 2" xfId="2648" xr:uid="{00000000-0005-0000-0000-00001A390000}"/>
    <cellStyle name="Note 2 9 2 10" xfId="15363" xr:uid="{00000000-0005-0000-0000-00001B390000}"/>
    <cellStyle name="Note 2 9 2 2" xfId="6064" xr:uid="{00000000-0005-0000-0000-00001C390000}"/>
    <cellStyle name="Note 2 9 2 2 2" xfId="11160" xr:uid="{00000000-0005-0000-0000-00001D390000}"/>
    <cellStyle name="Note 2 9 2 2 2 2" xfId="15466" xr:uid="{00000000-0005-0000-0000-00001E390000}"/>
    <cellStyle name="Note 2 9 2 2 2 3" xfId="16545" xr:uid="{00000000-0005-0000-0000-00001F390000}"/>
    <cellStyle name="Note 2 9 2 2 2 4" xfId="17579" xr:uid="{00000000-0005-0000-0000-000020390000}"/>
    <cellStyle name="Note 2 9 2 2 2 5" xfId="18549" xr:uid="{00000000-0005-0000-0000-000021390000}"/>
    <cellStyle name="Note 2 9 2 2 2 6" xfId="19455" xr:uid="{00000000-0005-0000-0000-000022390000}"/>
    <cellStyle name="Note 2 9 2 2 3" xfId="11742" xr:uid="{00000000-0005-0000-0000-000023390000}"/>
    <cellStyle name="Note 2 9 2 2 3 2" xfId="16048" xr:uid="{00000000-0005-0000-0000-000024390000}"/>
    <cellStyle name="Note 2 9 2 2 3 3" xfId="17127" xr:uid="{00000000-0005-0000-0000-000025390000}"/>
    <cellStyle name="Note 2 9 2 2 3 4" xfId="18149" xr:uid="{00000000-0005-0000-0000-000026390000}"/>
    <cellStyle name="Note 2 9 2 2 3 5" xfId="19119" xr:uid="{00000000-0005-0000-0000-000027390000}"/>
    <cellStyle name="Note 2 9 2 2 3 6" xfId="20025" xr:uid="{00000000-0005-0000-0000-000028390000}"/>
    <cellStyle name="Note 2 9 2 2 4" xfId="11914" xr:uid="{00000000-0005-0000-0000-000029390000}"/>
    <cellStyle name="Note 2 9 2 2 4 2" xfId="16220" xr:uid="{00000000-0005-0000-0000-00002A390000}"/>
    <cellStyle name="Note 2 9 2 2 4 3" xfId="17299" xr:uid="{00000000-0005-0000-0000-00002B390000}"/>
    <cellStyle name="Note 2 9 2 2 4 4" xfId="18317" xr:uid="{00000000-0005-0000-0000-00002C390000}"/>
    <cellStyle name="Note 2 9 2 2 4 5" xfId="19287" xr:uid="{00000000-0005-0000-0000-00002D390000}"/>
    <cellStyle name="Note 2 9 2 2 4 6" xfId="20193" xr:uid="{00000000-0005-0000-0000-00002E390000}"/>
    <cellStyle name="Note 2 9 2 2 5" xfId="13797" xr:uid="{00000000-0005-0000-0000-00002F390000}"/>
    <cellStyle name="Note 2 9 2 2 6" xfId="14131" xr:uid="{00000000-0005-0000-0000-000030390000}"/>
    <cellStyle name="Note 2 9 2 2 7" xfId="14110" xr:uid="{00000000-0005-0000-0000-000031390000}"/>
    <cellStyle name="Note 2 9 2 2 8" xfId="16348" xr:uid="{00000000-0005-0000-0000-000032390000}"/>
    <cellStyle name="Note 2 9 2 2 9" xfId="14350" xr:uid="{00000000-0005-0000-0000-000033390000}"/>
    <cellStyle name="Note 2 9 2 3" xfId="7751" xr:uid="{00000000-0005-0000-0000-000034390000}"/>
    <cellStyle name="Note 2 9 2 3 2" xfId="14417" xr:uid="{00000000-0005-0000-0000-000035390000}"/>
    <cellStyle name="Note 2 9 2 3 3" xfId="13169" xr:uid="{00000000-0005-0000-0000-000036390000}"/>
    <cellStyle name="Note 2 9 2 3 4" xfId="12897" xr:uid="{00000000-0005-0000-0000-000037390000}"/>
    <cellStyle name="Note 2 9 2 3 5" xfId="16446" xr:uid="{00000000-0005-0000-0000-000038390000}"/>
    <cellStyle name="Note 2 9 2 3 6" xfId="13485" xr:uid="{00000000-0005-0000-0000-000039390000}"/>
    <cellStyle name="Note 2 9 2 4" xfId="11350" xr:uid="{00000000-0005-0000-0000-00003A390000}"/>
    <cellStyle name="Note 2 9 2 4 2" xfId="15656" xr:uid="{00000000-0005-0000-0000-00003B390000}"/>
    <cellStyle name="Note 2 9 2 4 3" xfId="16735" xr:uid="{00000000-0005-0000-0000-00003C390000}"/>
    <cellStyle name="Note 2 9 2 4 4" xfId="17764" xr:uid="{00000000-0005-0000-0000-00003D390000}"/>
    <cellStyle name="Note 2 9 2 4 5" xfId="18734" xr:uid="{00000000-0005-0000-0000-00003E390000}"/>
    <cellStyle name="Note 2 9 2 4 6" xfId="19640" xr:uid="{00000000-0005-0000-0000-00003F390000}"/>
    <cellStyle name="Note 2 9 2 5" xfId="11279" xr:uid="{00000000-0005-0000-0000-000040390000}"/>
    <cellStyle name="Note 2 9 2 5 2" xfId="15585" xr:uid="{00000000-0005-0000-0000-000041390000}"/>
    <cellStyle name="Note 2 9 2 5 3" xfId="16664" xr:uid="{00000000-0005-0000-0000-000042390000}"/>
    <cellStyle name="Note 2 9 2 5 4" xfId="17694" xr:uid="{00000000-0005-0000-0000-000043390000}"/>
    <cellStyle name="Note 2 9 2 5 5" xfId="18664" xr:uid="{00000000-0005-0000-0000-000044390000}"/>
    <cellStyle name="Note 2 9 2 5 6" xfId="19570" xr:uid="{00000000-0005-0000-0000-000045390000}"/>
    <cellStyle name="Note 2 9 2 6" xfId="12718" xr:uid="{00000000-0005-0000-0000-000046390000}"/>
    <cellStyle name="Note 2 9 2 7" xfId="12192" xr:uid="{00000000-0005-0000-0000-000047390000}"/>
    <cellStyle name="Note 2 9 2 8" xfId="12124" xr:uid="{00000000-0005-0000-0000-000048390000}"/>
    <cellStyle name="Note 2 9 2 9" xfId="16445" xr:uid="{00000000-0005-0000-0000-000049390000}"/>
    <cellStyle name="Note 2 9 3" xfId="5989" xr:uid="{00000000-0005-0000-0000-00004A390000}"/>
    <cellStyle name="Note 2 9 3 2" xfId="11085" xr:uid="{00000000-0005-0000-0000-00004B390000}"/>
    <cellStyle name="Note 2 9 3 2 2" xfId="15391" xr:uid="{00000000-0005-0000-0000-00004C390000}"/>
    <cellStyle name="Note 2 9 3 2 3" xfId="16470" xr:uid="{00000000-0005-0000-0000-00004D390000}"/>
    <cellStyle name="Note 2 9 3 2 4" xfId="17505" xr:uid="{00000000-0005-0000-0000-00004E390000}"/>
    <cellStyle name="Note 2 9 3 2 5" xfId="18475" xr:uid="{00000000-0005-0000-0000-00004F390000}"/>
    <cellStyle name="Note 2 9 3 2 6" xfId="19381" xr:uid="{00000000-0005-0000-0000-000050390000}"/>
    <cellStyle name="Note 2 9 3 3" xfId="11667" xr:uid="{00000000-0005-0000-0000-000051390000}"/>
    <cellStyle name="Note 2 9 3 3 2" xfId="15973" xr:uid="{00000000-0005-0000-0000-000052390000}"/>
    <cellStyle name="Note 2 9 3 3 3" xfId="17052" xr:uid="{00000000-0005-0000-0000-000053390000}"/>
    <cellStyle name="Note 2 9 3 3 4" xfId="18075" xr:uid="{00000000-0005-0000-0000-000054390000}"/>
    <cellStyle name="Note 2 9 3 3 5" xfId="19045" xr:uid="{00000000-0005-0000-0000-000055390000}"/>
    <cellStyle name="Note 2 9 3 3 6" xfId="19951" xr:uid="{00000000-0005-0000-0000-000056390000}"/>
    <cellStyle name="Note 2 9 3 4" xfId="11839" xr:uid="{00000000-0005-0000-0000-000057390000}"/>
    <cellStyle name="Note 2 9 3 4 2" xfId="16145" xr:uid="{00000000-0005-0000-0000-000058390000}"/>
    <cellStyle name="Note 2 9 3 4 3" xfId="17224" xr:uid="{00000000-0005-0000-0000-000059390000}"/>
    <cellStyle name="Note 2 9 3 4 4" xfId="18243" xr:uid="{00000000-0005-0000-0000-00005A390000}"/>
    <cellStyle name="Note 2 9 3 4 5" xfId="19213" xr:uid="{00000000-0005-0000-0000-00005B390000}"/>
    <cellStyle name="Note 2 9 3 4 6" xfId="20119" xr:uid="{00000000-0005-0000-0000-00005C390000}"/>
    <cellStyle name="Note 2 9 3 5" xfId="13722" xr:uid="{00000000-0005-0000-0000-00005D390000}"/>
    <cellStyle name="Note 2 9 3 6" xfId="13704" xr:uid="{00000000-0005-0000-0000-00005E390000}"/>
    <cellStyle name="Note 2 9 3 7" xfId="13552" xr:uid="{00000000-0005-0000-0000-00005F390000}"/>
    <cellStyle name="Note 2 9 3 8" xfId="16352" xr:uid="{00000000-0005-0000-0000-000060390000}"/>
    <cellStyle name="Note 2 9 3 9" xfId="12648" xr:uid="{00000000-0005-0000-0000-000061390000}"/>
    <cellStyle name="Note 2 9 4" xfId="6495" xr:uid="{00000000-0005-0000-0000-000062390000}"/>
    <cellStyle name="Note 2 9 4 2" xfId="14008" xr:uid="{00000000-0005-0000-0000-000063390000}"/>
    <cellStyle name="Note 2 9 4 3" xfId="14125" xr:uid="{00000000-0005-0000-0000-000064390000}"/>
    <cellStyle name="Note 2 9 4 4" xfId="13179" xr:uid="{00000000-0005-0000-0000-000065390000}"/>
    <cellStyle name="Note 2 9 4 5" xfId="13060" xr:uid="{00000000-0005-0000-0000-000066390000}"/>
    <cellStyle name="Note 2 9 4 6" xfId="14932" xr:uid="{00000000-0005-0000-0000-000067390000}"/>
    <cellStyle name="Note 2 9 5" xfId="6143" xr:uid="{00000000-0005-0000-0000-000068390000}"/>
    <cellStyle name="Note 2 9 5 2" xfId="13876" xr:uid="{00000000-0005-0000-0000-000069390000}"/>
    <cellStyle name="Note 2 9 5 3" xfId="12373" xr:uid="{00000000-0005-0000-0000-00006A390000}"/>
    <cellStyle name="Note 2 9 5 4" xfId="15326" xr:uid="{00000000-0005-0000-0000-00006B390000}"/>
    <cellStyle name="Note 2 9 5 5" xfId="15184" xr:uid="{00000000-0005-0000-0000-00006C390000}"/>
    <cellStyle name="Note 2 9 5 6" xfId="12060" xr:uid="{00000000-0005-0000-0000-00006D390000}"/>
    <cellStyle name="Note 2 9 6" xfId="6169" xr:uid="{00000000-0005-0000-0000-00006E390000}"/>
    <cellStyle name="Note 2 9 6 2" xfId="13901" xr:uid="{00000000-0005-0000-0000-00006F390000}"/>
    <cellStyle name="Note 2 9 6 3" xfId="13201" xr:uid="{00000000-0005-0000-0000-000070390000}"/>
    <cellStyle name="Note 2 9 6 4" xfId="13595" xr:uid="{00000000-0005-0000-0000-000071390000}"/>
    <cellStyle name="Note 2 9 6 5" xfId="14906" xr:uid="{00000000-0005-0000-0000-000072390000}"/>
    <cellStyle name="Note 2 9 6 6" xfId="17428" xr:uid="{00000000-0005-0000-0000-000073390000}"/>
    <cellStyle name="Note 2 9 7" xfId="12210" xr:uid="{00000000-0005-0000-0000-000074390000}"/>
    <cellStyle name="Note 2 9 8" xfId="12674" xr:uid="{00000000-0005-0000-0000-000075390000}"/>
    <cellStyle name="Note 2 9 9" xfId="15119" xr:uid="{00000000-0005-0000-0000-000076390000}"/>
    <cellStyle name="Note 3" xfId="452" xr:uid="{00000000-0005-0000-0000-000077390000}"/>
    <cellStyle name="Note 3 2" xfId="597" xr:uid="{00000000-0005-0000-0000-000078390000}"/>
    <cellStyle name="Note 3 2 2" xfId="1110" xr:uid="{00000000-0005-0000-0000-000079390000}"/>
    <cellStyle name="Note 3 2 2 2" xfId="2141" xr:uid="{00000000-0005-0000-0000-00007A390000}"/>
    <cellStyle name="Note 3 2 2 2 2" xfId="3443" xr:uid="{00000000-0005-0000-0000-00007B390000}"/>
    <cellStyle name="Note 3 2 2 2 2 2" xfId="5838" xr:uid="{00000000-0005-0000-0000-00007C390000}"/>
    <cellStyle name="Note 3 2 2 2 2 2 2" xfId="10934" xr:uid="{00000000-0005-0000-0000-00007D390000}"/>
    <cellStyle name="Note 3 2 2 2 2 3" xfId="8546" xr:uid="{00000000-0005-0000-0000-00007E390000}"/>
    <cellStyle name="Note 3 2 2 2 3" xfId="4646" xr:uid="{00000000-0005-0000-0000-00007F390000}"/>
    <cellStyle name="Note 3 2 2 2 3 2" xfId="9742" xr:uid="{00000000-0005-0000-0000-000080390000}"/>
    <cellStyle name="Note 3 2 2 2 4" xfId="7295" xr:uid="{00000000-0005-0000-0000-000081390000}"/>
    <cellStyle name="Note 3 2 2 3" xfId="2700" xr:uid="{00000000-0005-0000-0000-000082390000}"/>
    <cellStyle name="Note 3 2 2 3 10" xfId="15170" xr:uid="{00000000-0005-0000-0000-000083390000}"/>
    <cellStyle name="Note 3 2 2 3 11" xfId="14767" xr:uid="{00000000-0005-0000-0000-000084390000}"/>
    <cellStyle name="Note 3 2 2 3 2" xfId="6100" xr:uid="{00000000-0005-0000-0000-000085390000}"/>
    <cellStyle name="Note 3 2 2 3 2 2" xfId="11196" xr:uid="{00000000-0005-0000-0000-000086390000}"/>
    <cellStyle name="Note 3 2 2 3 2 2 2" xfId="15502" xr:uid="{00000000-0005-0000-0000-000087390000}"/>
    <cellStyle name="Note 3 2 2 3 2 2 3" xfId="16581" xr:uid="{00000000-0005-0000-0000-000088390000}"/>
    <cellStyle name="Note 3 2 2 3 2 2 4" xfId="17615" xr:uid="{00000000-0005-0000-0000-000089390000}"/>
    <cellStyle name="Note 3 2 2 3 2 2 5" xfId="18585" xr:uid="{00000000-0005-0000-0000-00008A390000}"/>
    <cellStyle name="Note 3 2 2 3 2 2 6" xfId="19491" xr:uid="{00000000-0005-0000-0000-00008B390000}"/>
    <cellStyle name="Note 3 2 2 3 2 3" xfId="11778" xr:uid="{00000000-0005-0000-0000-00008C390000}"/>
    <cellStyle name="Note 3 2 2 3 2 3 2" xfId="16084" xr:uid="{00000000-0005-0000-0000-00008D390000}"/>
    <cellStyle name="Note 3 2 2 3 2 3 3" xfId="17163" xr:uid="{00000000-0005-0000-0000-00008E390000}"/>
    <cellStyle name="Note 3 2 2 3 2 3 4" xfId="18185" xr:uid="{00000000-0005-0000-0000-00008F390000}"/>
    <cellStyle name="Note 3 2 2 3 2 3 5" xfId="19155" xr:uid="{00000000-0005-0000-0000-000090390000}"/>
    <cellStyle name="Note 3 2 2 3 2 3 6" xfId="20061" xr:uid="{00000000-0005-0000-0000-000091390000}"/>
    <cellStyle name="Note 3 2 2 3 2 4" xfId="11950" xr:uid="{00000000-0005-0000-0000-000092390000}"/>
    <cellStyle name="Note 3 2 2 3 2 4 2" xfId="16256" xr:uid="{00000000-0005-0000-0000-000093390000}"/>
    <cellStyle name="Note 3 2 2 3 2 4 3" xfId="17335" xr:uid="{00000000-0005-0000-0000-000094390000}"/>
    <cellStyle name="Note 3 2 2 3 2 4 4" xfId="18353" xr:uid="{00000000-0005-0000-0000-000095390000}"/>
    <cellStyle name="Note 3 2 2 3 2 4 5" xfId="19323" xr:uid="{00000000-0005-0000-0000-000096390000}"/>
    <cellStyle name="Note 3 2 2 3 2 4 6" xfId="20229" xr:uid="{00000000-0005-0000-0000-000097390000}"/>
    <cellStyle name="Note 3 2 2 3 2 5" xfId="13833" xr:uid="{00000000-0005-0000-0000-000098390000}"/>
    <cellStyle name="Note 3 2 2 3 2 6" xfId="13548" xr:uid="{00000000-0005-0000-0000-000099390000}"/>
    <cellStyle name="Note 3 2 2 3 2 7" xfId="13563" xr:uid="{00000000-0005-0000-0000-00009A390000}"/>
    <cellStyle name="Note 3 2 2 3 2 8" xfId="15350" xr:uid="{00000000-0005-0000-0000-00009B390000}"/>
    <cellStyle name="Note 3 2 2 3 2 9" xfId="15366" xr:uid="{00000000-0005-0000-0000-00009C390000}"/>
    <cellStyle name="Note 3 2 2 3 3" xfId="5108" xr:uid="{00000000-0005-0000-0000-00009D390000}"/>
    <cellStyle name="Note 3 2 2 3 3 2" xfId="10204" xr:uid="{00000000-0005-0000-0000-00009E390000}"/>
    <cellStyle name="Note 3 2 2 3 3 2 2" xfId="15142" xr:uid="{00000000-0005-0000-0000-00009F390000}"/>
    <cellStyle name="Note 3 2 2 3 3 2 3" xfId="14052" xr:uid="{00000000-0005-0000-0000-0000A0390000}"/>
    <cellStyle name="Note 3 2 2 3 3 2 4" xfId="12357" xr:uid="{00000000-0005-0000-0000-0000A1390000}"/>
    <cellStyle name="Note 3 2 2 3 3 2 5" xfId="12052" xr:uid="{00000000-0005-0000-0000-0000A2390000}"/>
    <cellStyle name="Note 3 2 2 3 3 2 6" xfId="14833" xr:uid="{00000000-0005-0000-0000-0000A3390000}"/>
    <cellStyle name="Note 3 2 2 3 3 3" xfId="11586" xr:uid="{00000000-0005-0000-0000-0000A4390000}"/>
    <cellStyle name="Note 3 2 2 3 3 3 2" xfId="15892" xr:uid="{00000000-0005-0000-0000-0000A5390000}"/>
    <cellStyle name="Note 3 2 2 3 3 3 3" xfId="16971" xr:uid="{00000000-0005-0000-0000-0000A6390000}"/>
    <cellStyle name="Note 3 2 2 3 3 3 4" xfId="17995" xr:uid="{00000000-0005-0000-0000-0000A7390000}"/>
    <cellStyle name="Note 3 2 2 3 3 3 5" xfId="18965" xr:uid="{00000000-0005-0000-0000-0000A8390000}"/>
    <cellStyle name="Note 3 2 2 3 3 3 6" xfId="19871" xr:uid="{00000000-0005-0000-0000-0000A9390000}"/>
    <cellStyle name="Note 3 2 2 3 3 4" xfId="11243" xr:uid="{00000000-0005-0000-0000-0000AA390000}"/>
    <cellStyle name="Note 3 2 2 3 3 4 2" xfId="15549" xr:uid="{00000000-0005-0000-0000-0000AB390000}"/>
    <cellStyle name="Note 3 2 2 3 3 4 3" xfId="16628" xr:uid="{00000000-0005-0000-0000-0000AC390000}"/>
    <cellStyle name="Note 3 2 2 3 3 4 4" xfId="17660" xr:uid="{00000000-0005-0000-0000-0000AD390000}"/>
    <cellStyle name="Note 3 2 2 3 3 4 5" xfId="18630" xr:uid="{00000000-0005-0000-0000-0000AE390000}"/>
    <cellStyle name="Note 3 2 2 3 3 4 6" xfId="19536" xr:uid="{00000000-0005-0000-0000-0000AF390000}"/>
    <cellStyle name="Note 3 2 2 3 3 5" xfId="13462" xr:uid="{00000000-0005-0000-0000-0000B0390000}"/>
    <cellStyle name="Note 3 2 2 3 3 6" xfId="13686" xr:uid="{00000000-0005-0000-0000-0000B1390000}"/>
    <cellStyle name="Note 3 2 2 3 3 7" xfId="14562" xr:uid="{00000000-0005-0000-0000-0000B2390000}"/>
    <cellStyle name="Note 3 2 2 3 3 8" xfId="13263" xr:uid="{00000000-0005-0000-0000-0000B3390000}"/>
    <cellStyle name="Note 3 2 2 3 3 9" xfId="15078" xr:uid="{00000000-0005-0000-0000-0000B4390000}"/>
    <cellStyle name="Note 3 2 2 3 4" xfId="7803" xr:uid="{00000000-0005-0000-0000-0000B5390000}"/>
    <cellStyle name="Note 3 2 2 3 4 2" xfId="14454" xr:uid="{00000000-0005-0000-0000-0000B6390000}"/>
    <cellStyle name="Note 3 2 2 3 4 3" xfId="14508" xr:uid="{00000000-0005-0000-0000-0000B7390000}"/>
    <cellStyle name="Note 3 2 2 3 4 4" xfId="14358" xr:uid="{00000000-0005-0000-0000-0000B8390000}"/>
    <cellStyle name="Note 3 2 2 3 4 5" xfId="13505" xr:uid="{00000000-0005-0000-0000-0000B9390000}"/>
    <cellStyle name="Note 3 2 2 3 4 6" xfId="17474" xr:uid="{00000000-0005-0000-0000-0000BA390000}"/>
    <cellStyle name="Note 3 2 2 3 5" xfId="11386" xr:uid="{00000000-0005-0000-0000-0000BB390000}"/>
    <cellStyle name="Note 3 2 2 3 5 2" xfId="15692" xr:uid="{00000000-0005-0000-0000-0000BC390000}"/>
    <cellStyle name="Note 3 2 2 3 5 3" xfId="16771" xr:uid="{00000000-0005-0000-0000-0000BD390000}"/>
    <cellStyle name="Note 3 2 2 3 5 4" xfId="17800" xr:uid="{00000000-0005-0000-0000-0000BE390000}"/>
    <cellStyle name="Note 3 2 2 3 5 5" xfId="18770" xr:uid="{00000000-0005-0000-0000-0000BF390000}"/>
    <cellStyle name="Note 3 2 2 3 5 6" xfId="19676" xr:uid="{00000000-0005-0000-0000-0000C0390000}"/>
    <cellStyle name="Note 3 2 2 3 6" xfId="11429" xr:uid="{00000000-0005-0000-0000-0000C1390000}"/>
    <cellStyle name="Note 3 2 2 3 6 2" xfId="15735" xr:uid="{00000000-0005-0000-0000-0000C2390000}"/>
    <cellStyle name="Note 3 2 2 3 6 3" xfId="16814" xr:uid="{00000000-0005-0000-0000-0000C3390000}"/>
    <cellStyle name="Note 3 2 2 3 6 4" xfId="17842" xr:uid="{00000000-0005-0000-0000-0000C4390000}"/>
    <cellStyle name="Note 3 2 2 3 6 5" xfId="18812" xr:uid="{00000000-0005-0000-0000-0000C5390000}"/>
    <cellStyle name="Note 3 2 2 3 6 6" xfId="19718" xr:uid="{00000000-0005-0000-0000-0000C6390000}"/>
    <cellStyle name="Note 3 2 2 3 7" xfId="12757" xr:uid="{00000000-0005-0000-0000-0000C7390000}"/>
    <cellStyle name="Note 3 2 2 3 8" xfId="14618" xr:uid="{00000000-0005-0000-0000-0000C8390000}"/>
    <cellStyle name="Note 3 2 2 3 9" xfId="13503" xr:uid="{00000000-0005-0000-0000-0000C9390000}"/>
    <cellStyle name="Note 3 2 2 4" xfId="3925" xr:uid="{00000000-0005-0000-0000-0000CA390000}"/>
    <cellStyle name="Note 3 2 2 4 2" xfId="9024" xr:uid="{00000000-0005-0000-0000-0000CB390000}"/>
    <cellStyle name="Note 3 2 2 4 2 2" xfId="14802" xr:uid="{00000000-0005-0000-0000-0000CC390000}"/>
    <cellStyle name="Note 3 2 2 4 2 3" xfId="12163" xr:uid="{00000000-0005-0000-0000-0000CD390000}"/>
    <cellStyle name="Note 3 2 2 4 2 4" xfId="12258" xr:uid="{00000000-0005-0000-0000-0000CE390000}"/>
    <cellStyle name="Note 3 2 2 4 2 5" xfId="13613" xr:uid="{00000000-0005-0000-0000-0000CF390000}"/>
    <cellStyle name="Note 3 2 2 4 2 6" xfId="14490" xr:uid="{00000000-0005-0000-0000-0000D0390000}"/>
    <cellStyle name="Note 3 2 2 4 3" xfId="11492" xr:uid="{00000000-0005-0000-0000-0000D1390000}"/>
    <cellStyle name="Note 3 2 2 4 3 2" xfId="15798" xr:uid="{00000000-0005-0000-0000-0000D2390000}"/>
    <cellStyle name="Note 3 2 2 4 3 3" xfId="16877" xr:uid="{00000000-0005-0000-0000-0000D3390000}"/>
    <cellStyle name="Note 3 2 2 4 3 4" xfId="17903" xr:uid="{00000000-0005-0000-0000-0000D4390000}"/>
    <cellStyle name="Note 3 2 2 4 3 5" xfId="18873" xr:uid="{00000000-0005-0000-0000-0000D5390000}"/>
    <cellStyle name="Note 3 2 2 4 3 6" xfId="19779" xr:uid="{00000000-0005-0000-0000-0000D6390000}"/>
    <cellStyle name="Note 3 2 2 4 4" xfId="7155" xr:uid="{00000000-0005-0000-0000-0000D7390000}"/>
    <cellStyle name="Note 3 2 2 4 4 2" xfId="14224" xr:uid="{00000000-0005-0000-0000-0000D8390000}"/>
    <cellStyle name="Note 3 2 2 4 4 3" xfId="14377" xr:uid="{00000000-0005-0000-0000-0000D9390000}"/>
    <cellStyle name="Note 3 2 2 4 4 4" xfId="15048" xr:uid="{00000000-0005-0000-0000-0000DA390000}"/>
    <cellStyle name="Note 3 2 2 4 4 5" xfId="15194" xr:uid="{00000000-0005-0000-0000-0000DB390000}"/>
    <cellStyle name="Note 3 2 2 4 4 6" xfId="12085" xr:uid="{00000000-0005-0000-0000-0000DC390000}"/>
    <cellStyle name="Note 3 2 2 4 5" xfId="13114" xr:uid="{00000000-0005-0000-0000-0000DD390000}"/>
    <cellStyle name="Note 3 2 2 4 6" xfId="14947" xr:uid="{00000000-0005-0000-0000-0000DE390000}"/>
    <cellStyle name="Note 3 2 2 4 7" xfId="14492" xr:uid="{00000000-0005-0000-0000-0000DF390000}"/>
    <cellStyle name="Note 3 2 2 4 8" xfId="17440" xr:uid="{00000000-0005-0000-0000-0000E0390000}"/>
    <cellStyle name="Note 3 2 2 4 9" xfId="13444" xr:uid="{00000000-0005-0000-0000-0000E1390000}"/>
    <cellStyle name="Note 3 2 3" xfId="1134" xr:uid="{00000000-0005-0000-0000-0000E2390000}"/>
    <cellStyle name="Note 3 2 3 10" xfId="14075" xr:uid="{00000000-0005-0000-0000-0000E3390000}"/>
    <cellStyle name="Note 3 2 3 11" xfId="14981" xr:uid="{00000000-0005-0000-0000-0000E4390000}"/>
    <cellStyle name="Note 3 2 3 2" xfId="2721" xr:uid="{00000000-0005-0000-0000-0000E5390000}"/>
    <cellStyle name="Note 3 2 3 2 10" xfId="12808" xr:uid="{00000000-0005-0000-0000-0000E6390000}"/>
    <cellStyle name="Note 3 2 3 2 2" xfId="6121" xr:uid="{00000000-0005-0000-0000-0000E7390000}"/>
    <cellStyle name="Note 3 2 3 2 2 2" xfId="11217" xr:uid="{00000000-0005-0000-0000-0000E8390000}"/>
    <cellStyle name="Note 3 2 3 2 2 2 2" xfId="15523" xr:uid="{00000000-0005-0000-0000-0000E9390000}"/>
    <cellStyle name="Note 3 2 3 2 2 2 3" xfId="16602" xr:uid="{00000000-0005-0000-0000-0000EA390000}"/>
    <cellStyle name="Note 3 2 3 2 2 2 4" xfId="17636" xr:uid="{00000000-0005-0000-0000-0000EB390000}"/>
    <cellStyle name="Note 3 2 3 2 2 2 5" xfId="18606" xr:uid="{00000000-0005-0000-0000-0000EC390000}"/>
    <cellStyle name="Note 3 2 3 2 2 2 6" xfId="19512" xr:uid="{00000000-0005-0000-0000-0000ED390000}"/>
    <cellStyle name="Note 3 2 3 2 2 3" xfId="11799" xr:uid="{00000000-0005-0000-0000-0000EE390000}"/>
    <cellStyle name="Note 3 2 3 2 2 3 2" xfId="16105" xr:uid="{00000000-0005-0000-0000-0000EF390000}"/>
    <cellStyle name="Note 3 2 3 2 2 3 3" xfId="17184" xr:uid="{00000000-0005-0000-0000-0000F0390000}"/>
    <cellStyle name="Note 3 2 3 2 2 3 4" xfId="18206" xr:uid="{00000000-0005-0000-0000-0000F1390000}"/>
    <cellStyle name="Note 3 2 3 2 2 3 5" xfId="19176" xr:uid="{00000000-0005-0000-0000-0000F2390000}"/>
    <cellStyle name="Note 3 2 3 2 2 3 6" xfId="20082" xr:uid="{00000000-0005-0000-0000-0000F3390000}"/>
    <cellStyle name="Note 3 2 3 2 2 4" xfId="11971" xr:uid="{00000000-0005-0000-0000-0000F4390000}"/>
    <cellStyle name="Note 3 2 3 2 2 4 2" xfId="16277" xr:uid="{00000000-0005-0000-0000-0000F5390000}"/>
    <cellStyle name="Note 3 2 3 2 2 4 3" xfId="17356" xr:uid="{00000000-0005-0000-0000-0000F6390000}"/>
    <cellStyle name="Note 3 2 3 2 2 4 4" xfId="18374" xr:uid="{00000000-0005-0000-0000-0000F7390000}"/>
    <cellStyle name="Note 3 2 3 2 2 4 5" xfId="19344" xr:uid="{00000000-0005-0000-0000-0000F8390000}"/>
    <cellStyle name="Note 3 2 3 2 2 4 6" xfId="20250" xr:uid="{00000000-0005-0000-0000-0000F9390000}"/>
    <cellStyle name="Note 3 2 3 2 2 5" xfId="13854" xr:uid="{00000000-0005-0000-0000-0000FA390000}"/>
    <cellStyle name="Note 3 2 3 2 2 6" xfId="13208" xr:uid="{00000000-0005-0000-0000-0000FB390000}"/>
    <cellStyle name="Note 3 2 3 2 2 7" xfId="14938" xr:uid="{00000000-0005-0000-0000-0000FC390000}"/>
    <cellStyle name="Note 3 2 3 2 2 8" xfId="14843" xr:uid="{00000000-0005-0000-0000-0000FD390000}"/>
    <cellStyle name="Note 3 2 3 2 2 9" xfId="12872" xr:uid="{00000000-0005-0000-0000-0000FE390000}"/>
    <cellStyle name="Note 3 2 3 2 3" xfId="7824" xr:uid="{00000000-0005-0000-0000-0000FF390000}"/>
    <cellStyle name="Note 3 2 3 2 3 2" xfId="14475" xr:uid="{00000000-0005-0000-0000-0000003A0000}"/>
    <cellStyle name="Note 3 2 3 2 3 3" xfId="14851" xr:uid="{00000000-0005-0000-0000-0000013A0000}"/>
    <cellStyle name="Note 3 2 3 2 3 4" xfId="13437" xr:uid="{00000000-0005-0000-0000-0000023A0000}"/>
    <cellStyle name="Note 3 2 3 2 3 5" xfId="14719" xr:uid="{00000000-0005-0000-0000-0000033A0000}"/>
    <cellStyle name="Note 3 2 3 2 3 6" xfId="14528" xr:uid="{00000000-0005-0000-0000-0000043A0000}"/>
    <cellStyle name="Note 3 2 3 2 4" xfId="11407" xr:uid="{00000000-0005-0000-0000-0000053A0000}"/>
    <cellStyle name="Note 3 2 3 2 4 2" xfId="15713" xr:uid="{00000000-0005-0000-0000-0000063A0000}"/>
    <cellStyle name="Note 3 2 3 2 4 3" xfId="16792" xr:uid="{00000000-0005-0000-0000-0000073A0000}"/>
    <cellStyle name="Note 3 2 3 2 4 4" xfId="17821" xr:uid="{00000000-0005-0000-0000-0000083A0000}"/>
    <cellStyle name="Note 3 2 3 2 4 5" xfId="18791" xr:uid="{00000000-0005-0000-0000-0000093A0000}"/>
    <cellStyle name="Note 3 2 3 2 4 6" xfId="19697" xr:uid="{00000000-0005-0000-0000-00000A3A0000}"/>
    <cellStyle name="Note 3 2 3 2 5" xfId="11525" xr:uid="{00000000-0005-0000-0000-00000B3A0000}"/>
    <cellStyle name="Note 3 2 3 2 5 2" xfId="15831" xr:uid="{00000000-0005-0000-0000-00000C3A0000}"/>
    <cellStyle name="Note 3 2 3 2 5 3" xfId="16910" xr:uid="{00000000-0005-0000-0000-00000D3A0000}"/>
    <cellStyle name="Note 3 2 3 2 5 4" xfId="17935" xr:uid="{00000000-0005-0000-0000-00000E3A0000}"/>
    <cellStyle name="Note 3 2 3 2 5 5" xfId="18905" xr:uid="{00000000-0005-0000-0000-00000F3A0000}"/>
    <cellStyle name="Note 3 2 3 2 5 6" xfId="19811" xr:uid="{00000000-0005-0000-0000-0000103A0000}"/>
    <cellStyle name="Note 3 2 3 2 6" xfId="12778" xr:uid="{00000000-0005-0000-0000-0000113A0000}"/>
    <cellStyle name="Note 3 2 3 2 7" xfId="13940" xr:uid="{00000000-0005-0000-0000-0000123A0000}"/>
    <cellStyle name="Note 3 2 3 2 8" xfId="13197" xr:uid="{00000000-0005-0000-0000-0000133A0000}"/>
    <cellStyle name="Note 3 2 3 2 9" xfId="12799" xr:uid="{00000000-0005-0000-0000-0000143A0000}"/>
    <cellStyle name="Note 3 2 3 3" xfId="6011" xr:uid="{00000000-0005-0000-0000-0000153A0000}"/>
    <cellStyle name="Note 3 2 3 3 2" xfId="11107" xr:uid="{00000000-0005-0000-0000-0000163A0000}"/>
    <cellStyle name="Note 3 2 3 3 2 2" xfId="15413" xr:uid="{00000000-0005-0000-0000-0000173A0000}"/>
    <cellStyle name="Note 3 2 3 3 2 3" xfId="16492" xr:uid="{00000000-0005-0000-0000-0000183A0000}"/>
    <cellStyle name="Note 3 2 3 3 2 4" xfId="17527" xr:uid="{00000000-0005-0000-0000-0000193A0000}"/>
    <cellStyle name="Note 3 2 3 3 2 5" xfId="18497" xr:uid="{00000000-0005-0000-0000-00001A3A0000}"/>
    <cellStyle name="Note 3 2 3 3 2 6" xfId="19403" xr:uid="{00000000-0005-0000-0000-00001B3A0000}"/>
    <cellStyle name="Note 3 2 3 3 3" xfId="11689" xr:uid="{00000000-0005-0000-0000-00001C3A0000}"/>
    <cellStyle name="Note 3 2 3 3 3 2" xfId="15995" xr:uid="{00000000-0005-0000-0000-00001D3A0000}"/>
    <cellStyle name="Note 3 2 3 3 3 3" xfId="17074" xr:uid="{00000000-0005-0000-0000-00001E3A0000}"/>
    <cellStyle name="Note 3 2 3 3 3 4" xfId="18097" xr:uid="{00000000-0005-0000-0000-00001F3A0000}"/>
    <cellStyle name="Note 3 2 3 3 3 5" xfId="19067" xr:uid="{00000000-0005-0000-0000-0000203A0000}"/>
    <cellStyle name="Note 3 2 3 3 3 6" xfId="19973" xr:uid="{00000000-0005-0000-0000-0000213A0000}"/>
    <cellStyle name="Note 3 2 3 3 4" xfId="11861" xr:uid="{00000000-0005-0000-0000-0000223A0000}"/>
    <cellStyle name="Note 3 2 3 3 4 2" xfId="16167" xr:uid="{00000000-0005-0000-0000-0000233A0000}"/>
    <cellStyle name="Note 3 2 3 3 4 3" xfId="17246" xr:uid="{00000000-0005-0000-0000-0000243A0000}"/>
    <cellStyle name="Note 3 2 3 3 4 4" xfId="18265" xr:uid="{00000000-0005-0000-0000-0000253A0000}"/>
    <cellStyle name="Note 3 2 3 3 4 5" xfId="19235" xr:uid="{00000000-0005-0000-0000-0000263A0000}"/>
    <cellStyle name="Note 3 2 3 3 4 6" xfId="20141" xr:uid="{00000000-0005-0000-0000-0000273A0000}"/>
    <cellStyle name="Note 3 2 3 3 5" xfId="13744" xr:uid="{00000000-0005-0000-0000-0000283A0000}"/>
    <cellStyle name="Note 3 2 3 3 6" xfId="14687" xr:uid="{00000000-0005-0000-0000-0000293A0000}"/>
    <cellStyle name="Note 3 2 3 3 7" xfId="14073" xr:uid="{00000000-0005-0000-0000-00002A3A0000}"/>
    <cellStyle name="Note 3 2 3 3 8" xfId="14184" xr:uid="{00000000-0005-0000-0000-00002B3A0000}"/>
    <cellStyle name="Note 3 2 3 3 9" xfId="14675" xr:uid="{00000000-0005-0000-0000-00002C3A0000}"/>
    <cellStyle name="Note 3 2 3 4" xfId="6536" xr:uid="{00000000-0005-0000-0000-00002D3A0000}"/>
    <cellStyle name="Note 3 2 3 4 2" xfId="14039" xr:uid="{00000000-0005-0000-0000-00002E3A0000}"/>
    <cellStyle name="Note 3 2 3 4 3" xfId="14874" xr:uid="{00000000-0005-0000-0000-00002F3A0000}"/>
    <cellStyle name="Note 3 2 3 4 4" xfId="13484" xr:uid="{00000000-0005-0000-0000-0000303A0000}"/>
    <cellStyle name="Note 3 2 3 4 5" xfId="16423" xr:uid="{00000000-0005-0000-0000-0000313A0000}"/>
    <cellStyle name="Note 3 2 3 4 6" xfId="18405" xr:uid="{00000000-0005-0000-0000-0000323A0000}"/>
    <cellStyle name="Note 3 2 3 5" xfId="6150" xr:uid="{00000000-0005-0000-0000-0000333A0000}"/>
    <cellStyle name="Note 3 2 3 5 2" xfId="13882" xr:uid="{00000000-0005-0000-0000-0000343A0000}"/>
    <cellStyle name="Note 3 2 3 5 3" xfId="12844" xr:uid="{00000000-0005-0000-0000-0000353A0000}"/>
    <cellStyle name="Note 3 2 3 5 4" xfId="12186" xr:uid="{00000000-0005-0000-0000-0000363A0000}"/>
    <cellStyle name="Note 3 2 3 5 5" xfId="17411" xr:uid="{00000000-0005-0000-0000-0000373A0000}"/>
    <cellStyle name="Note 3 2 3 5 6" xfId="14359" xr:uid="{00000000-0005-0000-0000-0000383A0000}"/>
    <cellStyle name="Note 3 2 3 6" xfId="11296" xr:uid="{00000000-0005-0000-0000-0000393A0000}"/>
    <cellStyle name="Note 3 2 3 6 2" xfId="15602" xr:uid="{00000000-0005-0000-0000-00003A3A0000}"/>
    <cellStyle name="Note 3 2 3 6 3" xfId="16681" xr:uid="{00000000-0005-0000-0000-00003B3A0000}"/>
    <cellStyle name="Note 3 2 3 6 4" xfId="17710" xr:uid="{00000000-0005-0000-0000-00003C3A0000}"/>
    <cellStyle name="Note 3 2 3 6 5" xfId="18680" xr:uid="{00000000-0005-0000-0000-00003D3A0000}"/>
    <cellStyle name="Note 3 2 3 6 6" xfId="19586" xr:uid="{00000000-0005-0000-0000-00003E3A0000}"/>
    <cellStyle name="Note 3 2 3 7" xfId="12263" xr:uid="{00000000-0005-0000-0000-00003F3A0000}"/>
    <cellStyle name="Note 3 2 3 8" xfId="169" xr:uid="{00000000-0005-0000-0000-0000403A0000}"/>
    <cellStyle name="Note 3 2 3 9" xfId="12045" xr:uid="{00000000-0005-0000-0000-0000413A0000}"/>
    <cellStyle name="Note 3 2 4" xfId="2140" xr:uid="{00000000-0005-0000-0000-0000423A0000}"/>
    <cellStyle name="Note 3 2 4 2" xfId="3442" xr:uid="{00000000-0005-0000-0000-0000433A0000}"/>
    <cellStyle name="Note 3 2 4 2 2" xfId="5837" xr:uid="{00000000-0005-0000-0000-0000443A0000}"/>
    <cellStyle name="Note 3 2 4 2 2 2" xfId="10933" xr:uid="{00000000-0005-0000-0000-0000453A0000}"/>
    <cellStyle name="Note 3 2 4 2 3" xfId="8545" xr:uid="{00000000-0005-0000-0000-0000463A0000}"/>
    <cellStyle name="Note 3 2 4 3" xfId="4645" xr:uid="{00000000-0005-0000-0000-0000473A0000}"/>
    <cellStyle name="Note 3 2 4 3 2" xfId="9741" xr:uid="{00000000-0005-0000-0000-0000483A0000}"/>
    <cellStyle name="Note 3 2 4 4" xfId="7294" xr:uid="{00000000-0005-0000-0000-0000493A0000}"/>
    <cellStyle name="Note 3 2 5" xfId="2403" xr:uid="{00000000-0005-0000-0000-00004A3A0000}"/>
    <cellStyle name="Note 3 2 5 2" xfId="4850" xr:uid="{00000000-0005-0000-0000-00004B3A0000}"/>
    <cellStyle name="Note 3 2 5 2 2" xfId="9946" xr:uid="{00000000-0005-0000-0000-00004C3A0000}"/>
    <cellStyle name="Note 3 2 5 3" xfId="7507" xr:uid="{00000000-0005-0000-0000-00004D3A0000}"/>
    <cellStyle name="Note 3 2 6" xfId="3667" xr:uid="{00000000-0005-0000-0000-00004E3A0000}"/>
    <cellStyle name="Note 3 2 6 2" xfId="8766" xr:uid="{00000000-0005-0000-0000-00004F3A0000}"/>
    <cellStyle name="Note 3 2 7" xfId="6247" xr:uid="{00000000-0005-0000-0000-0000503A0000}"/>
    <cellStyle name="Note 3 3" xfId="553" xr:uid="{00000000-0005-0000-0000-0000513A0000}"/>
    <cellStyle name="Note 3 3 2" xfId="2142" xr:uid="{00000000-0005-0000-0000-0000523A0000}"/>
    <cellStyle name="Note 3 3 2 2" xfId="3444" xr:uid="{00000000-0005-0000-0000-0000533A0000}"/>
    <cellStyle name="Note 3 3 2 2 2" xfId="5839" xr:uid="{00000000-0005-0000-0000-0000543A0000}"/>
    <cellStyle name="Note 3 3 2 2 2 2" xfId="10935" xr:uid="{00000000-0005-0000-0000-0000553A0000}"/>
    <cellStyle name="Note 3 3 2 2 3" xfId="8547" xr:uid="{00000000-0005-0000-0000-0000563A0000}"/>
    <cellStyle name="Note 3 3 2 3" xfId="4647" xr:uid="{00000000-0005-0000-0000-0000573A0000}"/>
    <cellStyle name="Note 3 3 2 3 2" xfId="9743" xr:uid="{00000000-0005-0000-0000-0000583A0000}"/>
    <cellStyle name="Note 3 3 2 4" xfId="7296" xr:uid="{00000000-0005-0000-0000-0000593A0000}"/>
    <cellStyle name="Note 3 3 3" xfId="2359" xr:uid="{00000000-0005-0000-0000-00005A3A0000}"/>
    <cellStyle name="Note 3 3 3 2" xfId="4806" xr:uid="{00000000-0005-0000-0000-00005B3A0000}"/>
    <cellStyle name="Note 3 3 3 2 2" xfId="9902" xr:uid="{00000000-0005-0000-0000-00005C3A0000}"/>
    <cellStyle name="Note 3 3 3 3" xfId="7463" xr:uid="{00000000-0005-0000-0000-00005D3A0000}"/>
    <cellStyle name="Note 3 3 4" xfId="3623" xr:uid="{00000000-0005-0000-0000-00005E3A0000}"/>
    <cellStyle name="Note 3 3 4 2" xfId="8722" xr:uid="{00000000-0005-0000-0000-00005F3A0000}"/>
    <cellStyle name="Note 3 3 5" xfId="6203" xr:uid="{00000000-0005-0000-0000-0000603A0000}"/>
    <cellStyle name="Note 3 4" xfId="893" xr:uid="{00000000-0005-0000-0000-0000613A0000}"/>
    <cellStyle name="Note 3 4 2" xfId="2143" xr:uid="{00000000-0005-0000-0000-0000623A0000}"/>
    <cellStyle name="Note 3 4 2 2" xfId="3445" xr:uid="{00000000-0005-0000-0000-0000633A0000}"/>
    <cellStyle name="Note 3 4 2 2 2" xfId="5840" xr:uid="{00000000-0005-0000-0000-0000643A0000}"/>
    <cellStyle name="Note 3 4 2 2 2 2" xfId="10936" xr:uid="{00000000-0005-0000-0000-0000653A0000}"/>
    <cellStyle name="Note 3 4 2 2 3" xfId="8548" xr:uid="{00000000-0005-0000-0000-0000663A0000}"/>
    <cellStyle name="Note 3 4 2 3" xfId="4648" xr:uid="{00000000-0005-0000-0000-0000673A0000}"/>
    <cellStyle name="Note 3 4 2 3 2" xfId="9744" xr:uid="{00000000-0005-0000-0000-0000683A0000}"/>
    <cellStyle name="Note 3 4 2 4" xfId="7297" xr:uid="{00000000-0005-0000-0000-0000693A0000}"/>
    <cellStyle name="Note 3 4 3" xfId="2598" xr:uid="{00000000-0005-0000-0000-00006A3A0000}"/>
    <cellStyle name="Note 3 4 3 2" xfId="5042" xr:uid="{00000000-0005-0000-0000-00006B3A0000}"/>
    <cellStyle name="Note 3 4 3 2 2" xfId="10138" xr:uid="{00000000-0005-0000-0000-00006C3A0000}"/>
    <cellStyle name="Note 3 4 3 3" xfId="7701" xr:uid="{00000000-0005-0000-0000-00006D3A0000}"/>
    <cellStyle name="Note 3 4 4" xfId="3859" xr:uid="{00000000-0005-0000-0000-00006E3A0000}"/>
    <cellStyle name="Note 3 4 4 2" xfId="8958" xr:uid="{00000000-0005-0000-0000-00006F3A0000}"/>
    <cellStyle name="Note 3 4 5" xfId="6444" xr:uid="{00000000-0005-0000-0000-0000703A0000}"/>
    <cellStyle name="Note 3 5" xfId="541" xr:uid="{00000000-0005-0000-0000-0000713A0000}"/>
    <cellStyle name="Note 3 5 2" xfId="2350" xr:uid="{00000000-0005-0000-0000-0000723A0000}"/>
    <cellStyle name="Note 3 5 2 2" xfId="4797" xr:uid="{00000000-0005-0000-0000-0000733A0000}"/>
    <cellStyle name="Note 3 5 2 2 2" xfId="9893" xr:uid="{00000000-0005-0000-0000-0000743A0000}"/>
    <cellStyle name="Note 3 5 2 3" xfId="7454" xr:uid="{00000000-0005-0000-0000-0000753A0000}"/>
    <cellStyle name="Note 3 5 3" xfId="3614" xr:uid="{00000000-0005-0000-0000-0000763A0000}"/>
    <cellStyle name="Note 3 5 3 2" xfId="8713" xr:uid="{00000000-0005-0000-0000-0000773A0000}"/>
    <cellStyle name="Note 3 5 4" xfId="6194" xr:uid="{00000000-0005-0000-0000-0000783A0000}"/>
    <cellStyle name="Note 3 6" xfId="1019" xr:uid="{00000000-0005-0000-0000-0000793A0000}"/>
    <cellStyle name="Note 3 6 10" xfId="12395" xr:uid="{00000000-0005-0000-0000-00007A3A0000}"/>
    <cellStyle name="Note 3 6 11" xfId="12157" xr:uid="{00000000-0005-0000-0000-00007B3A0000}"/>
    <cellStyle name="Note 3 6 2" xfId="2649" xr:uid="{00000000-0005-0000-0000-00007C3A0000}"/>
    <cellStyle name="Note 3 6 2 10" xfId="12111" xr:uid="{00000000-0005-0000-0000-00007D3A0000}"/>
    <cellStyle name="Note 3 6 2 2" xfId="6065" xr:uid="{00000000-0005-0000-0000-00007E3A0000}"/>
    <cellStyle name="Note 3 6 2 2 2" xfId="11161" xr:uid="{00000000-0005-0000-0000-00007F3A0000}"/>
    <cellStyle name="Note 3 6 2 2 2 2" xfId="15467" xr:uid="{00000000-0005-0000-0000-0000803A0000}"/>
    <cellStyle name="Note 3 6 2 2 2 3" xfId="16546" xr:uid="{00000000-0005-0000-0000-0000813A0000}"/>
    <cellStyle name="Note 3 6 2 2 2 4" xfId="17580" xr:uid="{00000000-0005-0000-0000-0000823A0000}"/>
    <cellStyle name="Note 3 6 2 2 2 5" xfId="18550" xr:uid="{00000000-0005-0000-0000-0000833A0000}"/>
    <cellStyle name="Note 3 6 2 2 2 6" xfId="19456" xr:uid="{00000000-0005-0000-0000-0000843A0000}"/>
    <cellStyle name="Note 3 6 2 2 3" xfId="11743" xr:uid="{00000000-0005-0000-0000-0000853A0000}"/>
    <cellStyle name="Note 3 6 2 2 3 2" xfId="16049" xr:uid="{00000000-0005-0000-0000-0000863A0000}"/>
    <cellStyle name="Note 3 6 2 2 3 3" xfId="17128" xr:uid="{00000000-0005-0000-0000-0000873A0000}"/>
    <cellStyle name="Note 3 6 2 2 3 4" xfId="18150" xr:uid="{00000000-0005-0000-0000-0000883A0000}"/>
    <cellStyle name="Note 3 6 2 2 3 5" xfId="19120" xr:uid="{00000000-0005-0000-0000-0000893A0000}"/>
    <cellStyle name="Note 3 6 2 2 3 6" xfId="20026" xr:uid="{00000000-0005-0000-0000-00008A3A0000}"/>
    <cellStyle name="Note 3 6 2 2 4" xfId="11915" xr:uid="{00000000-0005-0000-0000-00008B3A0000}"/>
    <cellStyle name="Note 3 6 2 2 4 2" xfId="16221" xr:uid="{00000000-0005-0000-0000-00008C3A0000}"/>
    <cellStyle name="Note 3 6 2 2 4 3" xfId="17300" xr:uid="{00000000-0005-0000-0000-00008D3A0000}"/>
    <cellStyle name="Note 3 6 2 2 4 4" xfId="18318" xr:uid="{00000000-0005-0000-0000-00008E3A0000}"/>
    <cellStyle name="Note 3 6 2 2 4 5" xfId="19288" xr:uid="{00000000-0005-0000-0000-00008F3A0000}"/>
    <cellStyle name="Note 3 6 2 2 4 6" xfId="20194" xr:uid="{00000000-0005-0000-0000-0000903A0000}"/>
    <cellStyle name="Note 3 6 2 2 5" xfId="13798" xr:uid="{00000000-0005-0000-0000-0000913A0000}"/>
    <cellStyle name="Note 3 6 2 2 6" xfId="14884" xr:uid="{00000000-0005-0000-0000-0000923A0000}"/>
    <cellStyle name="Note 3 6 2 2 7" xfId="12107" xr:uid="{00000000-0005-0000-0000-0000933A0000}"/>
    <cellStyle name="Note 3 6 2 2 8" xfId="14930" xr:uid="{00000000-0005-0000-0000-0000943A0000}"/>
    <cellStyle name="Note 3 6 2 2 9" xfId="15334" xr:uid="{00000000-0005-0000-0000-0000953A0000}"/>
    <cellStyle name="Note 3 6 2 3" xfId="7752" xr:uid="{00000000-0005-0000-0000-0000963A0000}"/>
    <cellStyle name="Note 3 6 2 3 2" xfId="14418" xr:uid="{00000000-0005-0000-0000-0000973A0000}"/>
    <cellStyle name="Note 3 6 2 3 3" xfId="14512" xr:uid="{00000000-0005-0000-0000-0000983A0000}"/>
    <cellStyle name="Note 3 6 2 3 4" xfId="15069" xr:uid="{00000000-0005-0000-0000-0000993A0000}"/>
    <cellStyle name="Note 3 6 2 3 5" xfId="14711" xr:uid="{00000000-0005-0000-0000-00009A3A0000}"/>
    <cellStyle name="Note 3 6 2 3 6" xfId="12287" xr:uid="{00000000-0005-0000-0000-00009B3A0000}"/>
    <cellStyle name="Note 3 6 2 4" xfId="11351" xr:uid="{00000000-0005-0000-0000-00009C3A0000}"/>
    <cellStyle name="Note 3 6 2 4 2" xfId="15657" xr:uid="{00000000-0005-0000-0000-00009D3A0000}"/>
    <cellStyle name="Note 3 6 2 4 3" xfId="16736" xr:uid="{00000000-0005-0000-0000-00009E3A0000}"/>
    <cellStyle name="Note 3 6 2 4 4" xfId="17765" xr:uid="{00000000-0005-0000-0000-00009F3A0000}"/>
    <cellStyle name="Note 3 6 2 4 5" xfId="18735" xr:uid="{00000000-0005-0000-0000-0000A03A0000}"/>
    <cellStyle name="Note 3 6 2 4 6" xfId="19641" xr:uid="{00000000-0005-0000-0000-0000A13A0000}"/>
    <cellStyle name="Note 3 6 2 5" xfId="11539" xr:uid="{00000000-0005-0000-0000-0000A23A0000}"/>
    <cellStyle name="Note 3 6 2 5 2" xfId="15845" xr:uid="{00000000-0005-0000-0000-0000A33A0000}"/>
    <cellStyle name="Note 3 6 2 5 3" xfId="16924" xr:uid="{00000000-0005-0000-0000-0000A43A0000}"/>
    <cellStyle name="Note 3 6 2 5 4" xfId="17949" xr:uid="{00000000-0005-0000-0000-0000A53A0000}"/>
    <cellStyle name="Note 3 6 2 5 5" xfId="18919" xr:uid="{00000000-0005-0000-0000-0000A63A0000}"/>
    <cellStyle name="Note 3 6 2 5 6" xfId="19825" xr:uid="{00000000-0005-0000-0000-0000A73A0000}"/>
    <cellStyle name="Note 3 6 2 6" xfId="12719" xr:uid="{00000000-0005-0000-0000-0000A83A0000}"/>
    <cellStyle name="Note 3 6 2 7" xfId="12105" xr:uid="{00000000-0005-0000-0000-0000A93A0000}"/>
    <cellStyle name="Note 3 6 2 8" xfId="12570" xr:uid="{00000000-0005-0000-0000-0000AA3A0000}"/>
    <cellStyle name="Note 3 6 2 9" xfId="14234" xr:uid="{00000000-0005-0000-0000-0000AB3A0000}"/>
    <cellStyle name="Note 3 6 3" xfId="5990" xr:uid="{00000000-0005-0000-0000-0000AC3A0000}"/>
    <cellStyle name="Note 3 6 3 2" xfId="11086" xr:uid="{00000000-0005-0000-0000-0000AD3A0000}"/>
    <cellStyle name="Note 3 6 3 2 2" xfId="15392" xr:uid="{00000000-0005-0000-0000-0000AE3A0000}"/>
    <cellStyle name="Note 3 6 3 2 3" xfId="16471" xr:uid="{00000000-0005-0000-0000-0000AF3A0000}"/>
    <cellStyle name="Note 3 6 3 2 4" xfId="17506" xr:uid="{00000000-0005-0000-0000-0000B03A0000}"/>
    <cellStyle name="Note 3 6 3 2 5" xfId="18476" xr:uid="{00000000-0005-0000-0000-0000B13A0000}"/>
    <cellStyle name="Note 3 6 3 2 6" xfId="19382" xr:uid="{00000000-0005-0000-0000-0000B23A0000}"/>
    <cellStyle name="Note 3 6 3 3" xfId="11668" xr:uid="{00000000-0005-0000-0000-0000B33A0000}"/>
    <cellStyle name="Note 3 6 3 3 2" xfId="15974" xr:uid="{00000000-0005-0000-0000-0000B43A0000}"/>
    <cellStyle name="Note 3 6 3 3 3" xfId="17053" xr:uid="{00000000-0005-0000-0000-0000B53A0000}"/>
    <cellStyle name="Note 3 6 3 3 4" xfId="18076" xr:uid="{00000000-0005-0000-0000-0000B63A0000}"/>
    <cellStyle name="Note 3 6 3 3 5" xfId="19046" xr:uid="{00000000-0005-0000-0000-0000B73A0000}"/>
    <cellStyle name="Note 3 6 3 3 6" xfId="19952" xr:uid="{00000000-0005-0000-0000-0000B83A0000}"/>
    <cellStyle name="Note 3 6 3 4" xfId="11840" xr:uid="{00000000-0005-0000-0000-0000B93A0000}"/>
    <cellStyle name="Note 3 6 3 4 2" xfId="16146" xr:uid="{00000000-0005-0000-0000-0000BA3A0000}"/>
    <cellStyle name="Note 3 6 3 4 3" xfId="17225" xr:uid="{00000000-0005-0000-0000-0000BB3A0000}"/>
    <cellStyle name="Note 3 6 3 4 4" xfId="18244" xr:uid="{00000000-0005-0000-0000-0000BC3A0000}"/>
    <cellStyle name="Note 3 6 3 4 5" xfId="19214" xr:uid="{00000000-0005-0000-0000-0000BD3A0000}"/>
    <cellStyle name="Note 3 6 3 4 6" xfId="20120" xr:uid="{00000000-0005-0000-0000-0000BE3A0000}"/>
    <cellStyle name="Note 3 6 3 5" xfId="13723" xr:uid="{00000000-0005-0000-0000-0000BF3A0000}"/>
    <cellStyle name="Note 3 6 3 6" xfId="13004" xr:uid="{00000000-0005-0000-0000-0000C03A0000}"/>
    <cellStyle name="Note 3 6 3 7" xfId="15292" xr:uid="{00000000-0005-0000-0000-0000C13A0000}"/>
    <cellStyle name="Note 3 6 3 8" xfId="12295" xr:uid="{00000000-0005-0000-0000-0000C23A0000}"/>
    <cellStyle name="Note 3 6 3 9" xfId="14372" xr:uid="{00000000-0005-0000-0000-0000C33A0000}"/>
    <cellStyle name="Note 3 6 4" xfId="6496" xr:uid="{00000000-0005-0000-0000-0000C43A0000}"/>
    <cellStyle name="Note 3 6 4 2" xfId="14009" xr:uid="{00000000-0005-0000-0000-0000C53A0000}"/>
    <cellStyle name="Note 3 6 4 3" xfId="14876" xr:uid="{00000000-0005-0000-0000-0000C63A0000}"/>
    <cellStyle name="Note 3 6 4 4" xfId="13070" xr:uid="{00000000-0005-0000-0000-0000C73A0000}"/>
    <cellStyle name="Note 3 6 4 5" xfId="14516" xr:uid="{00000000-0005-0000-0000-0000C83A0000}"/>
    <cellStyle name="Note 3 6 4 6" xfId="18408" xr:uid="{00000000-0005-0000-0000-0000C93A0000}"/>
    <cellStyle name="Note 3 6 5" xfId="6690" xr:uid="{00000000-0005-0000-0000-0000CA3A0000}"/>
    <cellStyle name="Note 3 6 5 2" xfId="14093" xr:uid="{00000000-0005-0000-0000-0000CB3A0000}"/>
    <cellStyle name="Note 3 6 5 3" xfId="14868" xr:uid="{00000000-0005-0000-0000-0000CC3A0000}"/>
    <cellStyle name="Note 3 6 5 4" xfId="14837" xr:uid="{00000000-0005-0000-0000-0000CD3A0000}"/>
    <cellStyle name="Note 3 6 5 5" xfId="14397" xr:uid="{00000000-0005-0000-0000-0000CE3A0000}"/>
    <cellStyle name="Note 3 6 5 6" xfId="14927" xr:uid="{00000000-0005-0000-0000-0000CF3A0000}"/>
    <cellStyle name="Note 3 6 6" xfId="11555" xr:uid="{00000000-0005-0000-0000-0000D03A0000}"/>
    <cellStyle name="Note 3 6 6 2" xfId="15861" xr:uid="{00000000-0005-0000-0000-0000D13A0000}"/>
    <cellStyle name="Note 3 6 6 3" xfId="16940" xr:uid="{00000000-0005-0000-0000-0000D23A0000}"/>
    <cellStyle name="Note 3 6 6 4" xfId="17965" xr:uid="{00000000-0005-0000-0000-0000D33A0000}"/>
    <cellStyle name="Note 3 6 6 5" xfId="18935" xr:uid="{00000000-0005-0000-0000-0000D43A0000}"/>
    <cellStyle name="Note 3 6 6 6" xfId="19841" xr:uid="{00000000-0005-0000-0000-0000D53A0000}"/>
    <cellStyle name="Note 3 6 7" xfId="12211" xr:uid="{00000000-0005-0000-0000-0000D63A0000}"/>
    <cellStyle name="Note 3 6 8" xfId="12119" xr:uid="{00000000-0005-0000-0000-0000D73A0000}"/>
    <cellStyle name="Note 3 6 9" xfId="14030" xr:uid="{00000000-0005-0000-0000-0000D83A0000}"/>
    <cellStyle name="Note 3 7" xfId="2139" xr:uid="{00000000-0005-0000-0000-0000D93A0000}"/>
    <cellStyle name="Note 3 7 2" xfId="3441" xr:uid="{00000000-0005-0000-0000-0000DA3A0000}"/>
    <cellStyle name="Note 3 7 2 2" xfId="5836" xr:uid="{00000000-0005-0000-0000-0000DB3A0000}"/>
    <cellStyle name="Note 3 7 2 2 2" xfId="10932" xr:uid="{00000000-0005-0000-0000-0000DC3A0000}"/>
    <cellStyle name="Note 3 7 2 3" xfId="8544" xr:uid="{00000000-0005-0000-0000-0000DD3A0000}"/>
    <cellStyle name="Note 3 7 3" xfId="4644" xr:uid="{00000000-0005-0000-0000-0000DE3A0000}"/>
    <cellStyle name="Note 3 7 3 2" xfId="9740" xr:uid="{00000000-0005-0000-0000-0000DF3A0000}"/>
    <cellStyle name="Note 3 7 4" xfId="7293" xr:uid="{00000000-0005-0000-0000-0000E03A0000}"/>
    <cellStyle name="Note 4" xfId="453" xr:uid="{00000000-0005-0000-0000-0000E13A0000}"/>
    <cellStyle name="Note 4 2" xfId="786" xr:uid="{00000000-0005-0000-0000-0000E23A0000}"/>
    <cellStyle name="Note 4 2 2" xfId="1111" xr:uid="{00000000-0005-0000-0000-0000E33A0000}"/>
    <cellStyle name="Note 4 2 2 2" xfId="2701" xr:uid="{00000000-0005-0000-0000-0000E43A0000}"/>
    <cellStyle name="Note 4 2 2 2 10" xfId="15052" xr:uid="{00000000-0005-0000-0000-0000E53A0000}"/>
    <cellStyle name="Note 4 2 2 2 11" xfId="18435" xr:uid="{00000000-0005-0000-0000-0000E63A0000}"/>
    <cellStyle name="Note 4 2 2 2 2" xfId="6101" xr:uid="{00000000-0005-0000-0000-0000E73A0000}"/>
    <cellStyle name="Note 4 2 2 2 2 2" xfId="11197" xr:uid="{00000000-0005-0000-0000-0000E83A0000}"/>
    <cellStyle name="Note 4 2 2 2 2 2 2" xfId="15503" xr:uid="{00000000-0005-0000-0000-0000E93A0000}"/>
    <cellStyle name="Note 4 2 2 2 2 2 3" xfId="16582" xr:uid="{00000000-0005-0000-0000-0000EA3A0000}"/>
    <cellStyle name="Note 4 2 2 2 2 2 4" xfId="17616" xr:uid="{00000000-0005-0000-0000-0000EB3A0000}"/>
    <cellStyle name="Note 4 2 2 2 2 2 5" xfId="18586" xr:uid="{00000000-0005-0000-0000-0000EC3A0000}"/>
    <cellStyle name="Note 4 2 2 2 2 2 6" xfId="19492" xr:uid="{00000000-0005-0000-0000-0000ED3A0000}"/>
    <cellStyle name="Note 4 2 2 2 2 3" xfId="11779" xr:uid="{00000000-0005-0000-0000-0000EE3A0000}"/>
    <cellStyle name="Note 4 2 2 2 2 3 2" xfId="16085" xr:uid="{00000000-0005-0000-0000-0000EF3A0000}"/>
    <cellStyle name="Note 4 2 2 2 2 3 3" xfId="17164" xr:uid="{00000000-0005-0000-0000-0000F03A0000}"/>
    <cellStyle name="Note 4 2 2 2 2 3 4" xfId="18186" xr:uid="{00000000-0005-0000-0000-0000F13A0000}"/>
    <cellStyle name="Note 4 2 2 2 2 3 5" xfId="19156" xr:uid="{00000000-0005-0000-0000-0000F23A0000}"/>
    <cellStyle name="Note 4 2 2 2 2 3 6" xfId="20062" xr:uid="{00000000-0005-0000-0000-0000F33A0000}"/>
    <cellStyle name="Note 4 2 2 2 2 4" xfId="11951" xr:uid="{00000000-0005-0000-0000-0000F43A0000}"/>
    <cellStyle name="Note 4 2 2 2 2 4 2" xfId="16257" xr:uid="{00000000-0005-0000-0000-0000F53A0000}"/>
    <cellStyle name="Note 4 2 2 2 2 4 3" xfId="17336" xr:uid="{00000000-0005-0000-0000-0000F63A0000}"/>
    <cellStyle name="Note 4 2 2 2 2 4 4" xfId="18354" xr:uid="{00000000-0005-0000-0000-0000F73A0000}"/>
    <cellStyle name="Note 4 2 2 2 2 4 5" xfId="19324" xr:uid="{00000000-0005-0000-0000-0000F83A0000}"/>
    <cellStyle name="Note 4 2 2 2 2 4 6" xfId="20230" xr:uid="{00000000-0005-0000-0000-0000F93A0000}"/>
    <cellStyle name="Note 4 2 2 2 2 5" xfId="13834" xr:uid="{00000000-0005-0000-0000-0000FA3A0000}"/>
    <cellStyle name="Note 4 2 2 2 2 6" xfId="12855" xr:uid="{00000000-0005-0000-0000-0000FB3A0000}"/>
    <cellStyle name="Note 4 2 2 2 2 7" xfId="13066" xr:uid="{00000000-0005-0000-0000-0000FC3A0000}"/>
    <cellStyle name="Note 4 2 2 2 2 8" xfId="15298" xr:uid="{00000000-0005-0000-0000-0000FD3A0000}"/>
    <cellStyle name="Note 4 2 2 2 2 9" xfId="14048" xr:uid="{00000000-0005-0000-0000-0000FE3A0000}"/>
    <cellStyle name="Note 4 2 2 2 3" xfId="5109" xr:uid="{00000000-0005-0000-0000-0000FF3A0000}"/>
    <cellStyle name="Note 4 2 2 2 3 2" xfId="10205" xr:uid="{00000000-0005-0000-0000-0000003B0000}"/>
    <cellStyle name="Note 4 2 2 2 3 2 2" xfId="15143" xr:uid="{00000000-0005-0000-0000-0000013B0000}"/>
    <cellStyle name="Note 4 2 2 2 3 2 3" xfId="14826" xr:uid="{00000000-0005-0000-0000-0000023B0000}"/>
    <cellStyle name="Note 4 2 2 2 3 2 4" xfId="14068" xr:uid="{00000000-0005-0000-0000-0000033B0000}"/>
    <cellStyle name="Note 4 2 2 2 3 2 5" xfId="12153" xr:uid="{00000000-0005-0000-0000-0000043B0000}"/>
    <cellStyle name="Note 4 2 2 2 3 2 6" xfId="13247" xr:uid="{00000000-0005-0000-0000-0000053B0000}"/>
    <cellStyle name="Note 4 2 2 2 3 3" xfId="11587" xr:uid="{00000000-0005-0000-0000-0000063B0000}"/>
    <cellStyle name="Note 4 2 2 2 3 3 2" xfId="15893" xr:uid="{00000000-0005-0000-0000-0000073B0000}"/>
    <cellStyle name="Note 4 2 2 2 3 3 3" xfId="16972" xr:uid="{00000000-0005-0000-0000-0000083B0000}"/>
    <cellStyle name="Note 4 2 2 2 3 3 4" xfId="17996" xr:uid="{00000000-0005-0000-0000-0000093B0000}"/>
    <cellStyle name="Note 4 2 2 2 3 3 5" xfId="18966" xr:uid="{00000000-0005-0000-0000-00000A3B0000}"/>
    <cellStyle name="Note 4 2 2 2 3 3 6" xfId="19872" xr:uid="{00000000-0005-0000-0000-00000B3B0000}"/>
    <cellStyle name="Note 4 2 2 2 3 4" xfId="6723" xr:uid="{00000000-0005-0000-0000-00000C3B0000}"/>
    <cellStyle name="Note 4 2 2 2 3 4 2" xfId="14108" xr:uid="{00000000-0005-0000-0000-00000D3B0000}"/>
    <cellStyle name="Note 4 2 2 2 3 4 3" xfId="14865" xr:uid="{00000000-0005-0000-0000-00000E3B0000}"/>
    <cellStyle name="Note 4 2 2 2 3 4 4" xfId="12292" xr:uid="{00000000-0005-0000-0000-00000F3B0000}"/>
    <cellStyle name="Note 4 2 2 2 3 4 5" xfId="14905" xr:uid="{00000000-0005-0000-0000-0000103B0000}"/>
    <cellStyle name="Note 4 2 2 2 3 4 6" xfId="18402" xr:uid="{00000000-0005-0000-0000-0000113B0000}"/>
    <cellStyle name="Note 4 2 2 2 3 5" xfId="13463" xr:uid="{00000000-0005-0000-0000-0000123B0000}"/>
    <cellStyle name="Note 4 2 2 2 3 6" xfId="12986" xr:uid="{00000000-0005-0000-0000-0000133B0000}"/>
    <cellStyle name="Note 4 2 2 2 3 7" xfId="14958" xr:uid="{00000000-0005-0000-0000-0000143B0000}"/>
    <cellStyle name="Note 4 2 2 2 3 8" xfId="14667" xr:uid="{00000000-0005-0000-0000-0000153B0000}"/>
    <cellStyle name="Note 4 2 2 2 3 9" xfId="17445" xr:uid="{00000000-0005-0000-0000-0000163B0000}"/>
    <cellStyle name="Note 4 2 2 2 4" xfId="7804" xr:uid="{00000000-0005-0000-0000-0000173B0000}"/>
    <cellStyle name="Note 4 2 2 2 4 2" xfId="14455" xr:uid="{00000000-0005-0000-0000-0000183B0000}"/>
    <cellStyle name="Note 4 2 2 2 4 3" xfId="15188" xr:uid="{00000000-0005-0000-0000-0000193B0000}"/>
    <cellStyle name="Note 4 2 2 2 4 4" xfId="16306" xr:uid="{00000000-0005-0000-0000-00001A3B0000}"/>
    <cellStyle name="Note 4 2 2 2 4 5" xfId="14842" xr:uid="{00000000-0005-0000-0000-00001B3B0000}"/>
    <cellStyle name="Note 4 2 2 2 4 6" xfId="12877" xr:uid="{00000000-0005-0000-0000-00001C3B0000}"/>
    <cellStyle name="Note 4 2 2 2 5" xfId="11387" xr:uid="{00000000-0005-0000-0000-00001D3B0000}"/>
    <cellStyle name="Note 4 2 2 2 5 2" xfId="15693" xr:uid="{00000000-0005-0000-0000-00001E3B0000}"/>
    <cellStyle name="Note 4 2 2 2 5 3" xfId="16772" xr:uid="{00000000-0005-0000-0000-00001F3B0000}"/>
    <cellStyle name="Note 4 2 2 2 5 4" xfId="17801" xr:uid="{00000000-0005-0000-0000-0000203B0000}"/>
    <cellStyle name="Note 4 2 2 2 5 5" xfId="18771" xr:uid="{00000000-0005-0000-0000-0000213B0000}"/>
    <cellStyle name="Note 4 2 2 2 5 6" xfId="19677" xr:uid="{00000000-0005-0000-0000-0000223B0000}"/>
    <cellStyle name="Note 4 2 2 2 6" xfId="11530" xr:uid="{00000000-0005-0000-0000-0000233B0000}"/>
    <cellStyle name="Note 4 2 2 2 6 2" xfId="15836" xr:uid="{00000000-0005-0000-0000-0000243B0000}"/>
    <cellStyle name="Note 4 2 2 2 6 3" xfId="16915" xr:uid="{00000000-0005-0000-0000-0000253B0000}"/>
    <cellStyle name="Note 4 2 2 2 6 4" xfId="17940" xr:uid="{00000000-0005-0000-0000-0000263B0000}"/>
    <cellStyle name="Note 4 2 2 2 6 5" xfId="18910" xr:uid="{00000000-0005-0000-0000-0000273B0000}"/>
    <cellStyle name="Note 4 2 2 2 6 6" xfId="19816" xr:uid="{00000000-0005-0000-0000-0000283B0000}"/>
    <cellStyle name="Note 4 2 2 2 7" xfId="12758" xr:uid="{00000000-0005-0000-0000-0000293B0000}"/>
    <cellStyle name="Note 4 2 2 2 8" xfId="15301" xr:uid="{00000000-0005-0000-0000-00002A3B0000}"/>
    <cellStyle name="Note 4 2 2 2 9" xfId="16396" xr:uid="{00000000-0005-0000-0000-00002B3B0000}"/>
    <cellStyle name="Note 4 2 2 3" xfId="3926" xr:uid="{00000000-0005-0000-0000-00002C3B0000}"/>
    <cellStyle name="Note 4 2 2 3 2" xfId="9025" xr:uid="{00000000-0005-0000-0000-00002D3B0000}"/>
    <cellStyle name="Note 4 2 2 3 2 2" xfId="14803" xr:uid="{00000000-0005-0000-0000-00002E3B0000}"/>
    <cellStyle name="Note 4 2 2 3 2 3" xfId="151" xr:uid="{00000000-0005-0000-0000-00002F3B0000}"/>
    <cellStyle name="Note 4 2 2 3 2 4" xfId="15344" xr:uid="{00000000-0005-0000-0000-0000303B0000}"/>
    <cellStyle name="Note 4 2 2 3 2 5" xfId="13144" xr:uid="{00000000-0005-0000-0000-0000313B0000}"/>
    <cellStyle name="Note 4 2 2 3 2 6" xfId="14116" xr:uid="{00000000-0005-0000-0000-0000323B0000}"/>
    <cellStyle name="Note 4 2 2 3 3" xfId="11493" xr:uid="{00000000-0005-0000-0000-0000333B0000}"/>
    <cellStyle name="Note 4 2 2 3 3 2" xfId="15799" xr:uid="{00000000-0005-0000-0000-0000343B0000}"/>
    <cellStyle name="Note 4 2 2 3 3 3" xfId="16878" xr:uid="{00000000-0005-0000-0000-0000353B0000}"/>
    <cellStyle name="Note 4 2 2 3 3 4" xfId="17904" xr:uid="{00000000-0005-0000-0000-0000363B0000}"/>
    <cellStyle name="Note 4 2 2 3 3 5" xfId="18874" xr:uid="{00000000-0005-0000-0000-0000373B0000}"/>
    <cellStyle name="Note 4 2 2 3 3 6" xfId="19780" xr:uid="{00000000-0005-0000-0000-0000383B0000}"/>
    <cellStyle name="Note 4 2 2 3 4" xfId="7156" xr:uid="{00000000-0005-0000-0000-0000393B0000}"/>
    <cellStyle name="Note 4 2 2 3 4 2" xfId="14225" xr:uid="{00000000-0005-0000-0000-00003A3B0000}"/>
    <cellStyle name="Note 4 2 2 3 4 3" xfId="15096" xr:uid="{00000000-0005-0000-0000-00003B3B0000}"/>
    <cellStyle name="Note 4 2 2 3 4 4" xfId="14332" xr:uid="{00000000-0005-0000-0000-00003C3B0000}"/>
    <cellStyle name="Note 4 2 2 3 4 5" xfId="13311" xr:uid="{00000000-0005-0000-0000-00003D3B0000}"/>
    <cellStyle name="Note 4 2 2 3 4 6" xfId="14863" xr:uid="{00000000-0005-0000-0000-00003E3B0000}"/>
    <cellStyle name="Note 4 2 2 3 5" xfId="13115" xr:uid="{00000000-0005-0000-0000-00003F3B0000}"/>
    <cellStyle name="Note 4 2 2 3 6" xfId="13252" xr:uid="{00000000-0005-0000-0000-0000403B0000}"/>
    <cellStyle name="Note 4 2 2 3 7" xfId="13242" xr:uid="{00000000-0005-0000-0000-0000413B0000}"/>
    <cellStyle name="Note 4 2 2 3 8" xfId="15340" xr:uid="{00000000-0005-0000-0000-0000423B0000}"/>
    <cellStyle name="Note 4 2 2 3 9" xfId="150" xr:uid="{00000000-0005-0000-0000-0000433B0000}"/>
    <cellStyle name="Note 4 2 3" xfId="1135" xr:uid="{00000000-0005-0000-0000-0000443B0000}"/>
    <cellStyle name="Note 4 2 3 10" xfId="16307" xr:uid="{00000000-0005-0000-0000-0000453B0000}"/>
    <cellStyle name="Note 4 2 3 11" xfId="15028" xr:uid="{00000000-0005-0000-0000-0000463B0000}"/>
    <cellStyle name="Note 4 2 3 2" xfId="2722" xr:uid="{00000000-0005-0000-0000-0000473B0000}"/>
    <cellStyle name="Note 4 2 3 2 10" xfId="15181" xr:uid="{00000000-0005-0000-0000-0000483B0000}"/>
    <cellStyle name="Note 4 2 3 2 2" xfId="6122" xr:uid="{00000000-0005-0000-0000-0000493B0000}"/>
    <cellStyle name="Note 4 2 3 2 2 2" xfId="11218" xr:uid="{00000000-0005-0000-0000-00004A3B0000}"/>
    <cellStyle name="Note 4 2 3 2 2 2 2" xfId="15524" xr:uid="{00000000-0005-0000-0000-00004B3B0000}"/>
    <cellStyle name="Note 4 2 3 2 2 2 3" xfId="16603" xr:uid="{00000000-0005-0000-0000-00004C3B0000}"/>
    <cellStyle name="Note 4 2 3 2 2 2 4" xfId="17637" xr:uid="{00000000-0005-0000-0000-00004D3B0000}"/>
    <cellStyle name="Note 4 2 3 2 2 2 5" xfId="18607" xr:uid="{00000000-0005-0000-0000-00004E3B0000}"/>
    <cellStyle name="Note 4 2 3 2 2 2 6" xfId="19513" xr:uid="{00000000-0005-0000-0000-00004F3B0000}"/>
    <cellStyle name="Note 4 2 3 2 2 3" xfId="11800" xr:uid="{00000000-0005-0000-0000-0000503B0000}"/>
    <cellStyle name="Note 4 2 3 2 2 3 2" xfId="16106" xr:uid="{00000000-0005-0000-0000-0000513B0000}"/>
    <cellStyle name="Note 4 2 3 2 2 3 3" xfId="17185" xr:uid="{00000000-0005-0000-0000-0000523B0000}"/>
    <cellStyle name="Note 4 2 3 2 2 3 4" xfId="18207" xr:uid="{00000000-0005-0000-0000-0000533B0000}"/>
    <cellStyle name="Note 4 2 3 2 2 3 5" xfId="19177" xr:uid="{00000000-0005-0000-0000-0000543B0000}"/>
    <cellStyle name="Note 4 2 3 2 2 3 6" xfId="20083" xr:uid="{00000000-0005-0000-0000-0000553B0000}"/>
    <cellStyle name="Note 4 2 3 2 2 4" xfId="11972" xr:uid="{00000000-0005-0000-0000-0000563B0000}"/>
    <cellStyle name="Note 4 2 3 2 2 4 2" xfId="16278" xr:uid="{00000000-0005-0000-0000-0000573B0000}"/>
    <cellStyle name="Note 4 2 3 2 2 4 3" xfId="17357" xr:uid="{00000000-0005-0000-0000-0000583B0000}"/>
    <cellStyle name="Note 4 2 3 2 2 4 4" xfId="18375" xr:uid="{00000000-0005-0000-0000-0000593B0000}"/>
    <cellStyle name="Note 4 2 3 2 2 4 5" xfId="19345" xr:uid="{00000000-0005-0000-0000-00005A3B0000}"/>
    <cellStyle name="Note 4 2 3 2 2 4 6" xfId="20251" xr:uid="{00000000-0005-0000-0000-00005B3B0000}"/>
    <cellStyle name="Note 4 2 3 2 2 5" xfId="13855" xr:uid="{00000000-0005-0000-0000-00005C3B0000}"/>
    <cellStyle name="Note 4 2 3 2 2 6" xfId="14551" xr:uid="{00000000-0005-0000-0000-00005D3B0000}"/>
    <cellStyle name="Note 4 2 3 2 2 7" xfId="13162" xr:uid="{00000000-0005-0000-0000-00005E3B0000}"/>
    <cellStyle name="Note 4 2 3 2 2 8" xfId="12960" xr:uid="{00000000-0005-0000-0000-00005F3B0000}"/>
    <cellStyle name="Note 4 2 3 2 2 9" xfId="18418" xr:uid="{00000000-0005-0000-0000-0000603B0000}"/>
    <cellStyle name="Note 4 2 3 2 3" xfId="7825" xr:uid="{00000000-0005-0000-0000-0000613B0000}"/>
    <cellStyle name="Note 4 2 3 2 3 2" xfId="14476" xr:uid="{00000000-0005-0000-0000-0000623B0000}"/>
    <cellStyle name="Note 4 2 3 2 3 3" xfId="13166" xr:uid="{00000000-0005-0000-0000-0000633B0000}"/>
    <cellStyle name="Note 4 2 3 2 3 4" xfId="14944" xr:uid="{00000000-0005-0000-0000-0000643B0000}"/>
    <cellStyle name="Note 4 2 3 2 3 5" xfId="15110" xr:uid="{00000000-0005-0000-0000-0000653B0000}"/>
    <cellStyle name="Note 4 2 3 2 3 6" xfId="12509" xr:uid="{00000000-0005-0000-0000-0000663B0000}"/>
    <cellStyle name="Note 4 2 3 2 4" xfId="11408" xr:uid="{00000000-0005-0000-0000-0000673B0000}"/>
    <cellStyle name="Note 4 2 3 2 4 2" xfId="15714" xr:uid="{00000000-0005-0000-0000-0000683B0000}"/>
    <cellStyle name="Note 4 2 3 2 4 3" xfId="16793" xr:uid="{00000000-0005-0000-0000-0000693B0000}"/>
    <cellStyle name="Note 4 2 3 2 4 4" xfId="17822" xr:uid="{00000000-0005-0000-0000-00006A3B0000}"/>
    <cellStyle name="Note 4 2 3 2 4 5" xfId="18792" xr:uid="{00000000-0005-0000-0000-00006B3B0000}"/>
    <cellStyle name="Note 4 2 3 2 4 6" xfId="19698" xr:uid="{00000000-0005-0000-0000-00006C3B0000}"/>
    <cellStyle name="Note 4 2 3 2 5" xfId="11616" xr:uid="{00000000-0005-0000-0000-00006D3B0000}"/>
    <cellStyle name="Note 4 2 3 2 5 2" xfId="15922" xr:uid="{00000000-0005-0000-0000-00006E3B0000}"/>
    <cellStyle name="Note 4 2 3 2 5 3" xfId="17001" xr:uid="{00000000-0005-0000-0000-00006F3B0000}"/>
    <cellStyle name="Note 4 2 3 2 5 4" xfId="18025" xr:uid="{00000000-0005-0000-0000-0000703B0000}"/>
    <cellStyle name="Note 4 2 3 2 5 5" xfId="18995" xr:uid="{00000000-0005-0000-0000-0000713B0000}"/>
    <cellStyle name="Note 4 2 3 2 5 6" xfId="19901" xr:uid="{00000000-0005-0000-0000-0000723B0000}"/>
    <cellStyle name="Note 4 2 3 2 6" xfId="12779" xr:uid="{00000000-0005-0000-0000-0000733B0000}"/>
    <cellStyle name="Note 4 2 3 2 7" xfId="14742" xr:uid="{00000000-0005-0000-0000-0000743B0000}"/>
    <cellStyle name="Note 4 2 3 2 8" xfId="13987" xr:uid="{00000000-0005-0000-0000-0000753B0000}"/>
    <cellStyle name="Note 4 2 3 2 9" xfId="14084" xr:uid="{00000000-0005-0000-0000-0000763B0000}"/>
    <cellStyle name="Note 4 2 3 3" xfId="6012" xr:uid="{00000000-0005-0000-0000-0000773B0000}"/>
    <cellStyle name="Note 4 2 3 3 2" xfId="11108" xr:uid="{00000000-0005-0000-0000-0000783B0000}"/>
    <cellStyle name="Note 4 2 3 3 2 2" xfId="15414" xr:uid="{00000000-0005-0000-0000-0000793B0000}"/>
    <cellStyle name="Note 4 2 3 3 2 3" xfId="16493" xr:uid="{00000000-0005-0000-0000-00007A3B0000}"/>
    <cellStyle name="Note 4 2 3 3 2 4" xfId="17528" xr:uid="{00000000-0005-0000-0000-00007B3B0000}"/>
    <cellStyle name="Note 4 2 3 3 2 5" xfId="18498" xr:uid="{00000000-0005-0000-0000-00007C3B0000}"/>
    <cellStyle name="Note 4 2 3 3 2 6" xfId="19404" xr:uid="{00000000-0005-0000-0000-00007D3B0000}"/>
    <cellStyle name="Note 4 2 3 3 3" xfId="11690" xr:uid="{00000000-0005-0000-0000-00007E3B0000}"/>
    <cellStyle name="Note 4 2 3 3 3 2" xfId="15996" xr:uid="{00000000-0005-0000-0000-00007F3B0000}"/>
    <cellStyle name="Note 4 2 3 3 3 3" xfId="17075" xr:uid="{00000000-0005-0000-0000-0000803B0000}"/>
    <cellStyle name="Note 4 2 3 3 3 4" xfId="18098" xr:uid="{00000000-0005-0000-0000-0000813B0000}"/>
    <cellStyle name="Note 4 2 3 3 3 5" xfId="19068" xr:uid="{00000000-0005-0000-0000-0000823B0000}"/>
    <cellStyle name="Note 4 2 3 3 3 6" xfId="19974" xr:uid="{00000000-0005-0000-0000-0000833B0000}"/>
    <cellStyle name="Note 4 2 3 3 4" xfId="11862" xr:uid="{00000000-0005-0000-0000-0000843B0000}"/>
    <cellStyle name="Note 4 2 3 3 4 2" xfId="16168" xr:uid="{00000000-0005-0000-0000-0000853B0000}"/>
    <cellStyle name="Note 4 2 3 3 4 3" xfId="17247" xr:uid="{00000000-0005-0000-0000-0000863B0000}"/>
    <cellStyle name="Note 4 2 3 3 4 4" xfId="18266" xr:uid="{00000000-0005-0000-0000-0000873B0000}"/>
    <cellStyle name="Note 4 2 3 3 4 5" xfId="19236" xr:uid="{00000000-0005-0000-0000-0000883B0000}"/>
    <cellStyle name="Note 4 2 3 3 4 6" xfId="20142" xr:uid="{00000000-0005-0000-0000-0000893B0000}"/>
    <cellStyle name="Note 4 2 3 3 5" xfId="13745" xr:uid="{00000000-0005-0000-0000-00008A3B0000}"/>
    <cellStyle name="Note 4 2 3 3 6" xfId="15369" xr:uid="{00000000-0005-0000-0000-00008B3B0000}"/>
    <cellStyle name="Note 4 2 3 3 7" xfId="16448" xr:uid="{00000000-0005-0000-0000-00008C3B0000}"/>
    <cellStyle name="Note 4 2 3 3 8" xfId="14193" xr:uid="{00000000-0005-0000-0000-00008D3B0000}"/>
    <cellStyle name="Note 4 2 3 3 9" xfId="14940" xr:uid="{00000000-0005-0000-0000-00008E3B0000}"/>
    <cellStyle name="Note 4 2 3 4" xfId="6537" xr:uid="{00000000-0005-0000-0000-00008F3B0000}"/>
    <cellStyle name="Note 4 2 3 4 2" xfId="14040" xr:uid="{00000000-0005-0000-0000-0000903B0000}"/>
    <cellStyle name="Note 4 2 3 4 3" xfId="13186" xr:uid="{00000000-0005-0000-0000-0000913B0000}"/>
    <cellStyle name="Note 4 2 3 4 4" xfId="14186" xr:uid="{00000000-0005-0000-0000-0000923B0000}"/>
    <cellStyle name="Note 4 2 3 4 5" xfId="14396" xr:uid="{00000000-0005-0000-0000-0000933B0000}"/>
    <cellStyle name="Note 4 2 3 4 6" xfId="14998" xr:uid="{00000000-0005-0000-0000-0000943B0000}"/>
    <cellStyle name="Note 4 2 3 5" xfId="6585" xr:uid="{00000000-0005-0000-0000-0000953B0000}"/>
    <cellStyle name="Note 4 2 3 5 2" xfId="14061" xr:uid="{00000000-0005-0000-0000-0000963B0000}"/>
    <cellStyle name="Note 4 2 3 5 3" xfId="14531" xr:uid="{00000000-0005-0000-0000-0000973B0000}"/>
    <cellStyle name="Note 4 2 3 5 4" xfId="12308" xr:uid="{00000000-0005-0000-0000-0000983B0000}"/>
    <cellStyle name="Note 4 2 3 5 5" xfId="14269" xr:uid="{00000000-0005-0000-0000-0000993B0000}"/>
    <cellStyle name="Note 4 2 3 5 6" xfId="13583" xr:uid="{00000000-0005-0000-0000-00009A3B0000}"/>
    <cellStyle name="Note 4 2 3 6" xfId="6168" xr:uid="{00000000-0005-0000-0000-00009B3B0000}"/>
    <cellStyle name="Note 4 2 3 6 2" xfId="13900" xr:uid="{00000000-0005-0000-0000-00009C3B0000}"/>
    <cellStyle name="Note 4 2 3 6 3" xfId="14889" xr:uid="{00000000-0005-0000-0000-00009D3B0000}"/>
    <cellStyle name="Note 4 2 3 6 4" xfId="13418" xr:uid="{00000000-0005-0000-0000-00009E3B0000}"/>
    <cellStyle name="Note 4 2 3 6 5" xfId="14961" xr:uid="{00000000-0005-0000-0000-00009F3B0000}"/>
    <cellStyle name="Note 4 2 3 6 6" xfId="18415" xr:uid="{00000000-0005-0000-0000-0000A03B0000}"/>
    <cellStyle name="Note 4 2 3 7" xfId="12264" xr:uid="{00000000-0005-0000-0000-0000A13B0000}"/>
    <cellStyle name="Note 4 2 3 8" xfId="14051" xr:uid="{00000000-0005-0000-0000-0000A23B0000}"/>
    <cellStyle name="Note 4 2 3 9" xfId="14529" xr:uid="{00000000-0005-0000-0000-0000A33B0000}"/>
    <cellStyle name="Note 4 2 4" xfId="2145" xr:uid="{00000000-0005-0000-0000-0000A43B0000}"/>
    <cellStyle name="Note 4 2 5" xfId="2567" xr:uid="{00000000-0005-0000-0000-0000A53B0000}"/>
    <cellStyle name="Note 4 2 5 2" xfId="5014" xr:uid="{00000000-0005-0000-0000-0000A63B0000}"/>
    <cellStyle name="Note 4 2 5 2 2" xfId="10110" xr:uid="{00000000-0005-0000-0000-0000A73B0000}"/>
    <cellStyle name="Note 4 2 5 3" xfId="7671" xr:uid="{00000000-0005-0000-0000-0000A83B0000}"/>
    <cellStyle name="Note 4 2 6" xfId="3831" xr:uid="{00000000-0005-0000-0000-0000A93B0000}"/>
    <cellStyle name="Note 4 2 6 2" xfId="8930" xr:uid="{00000000-0005-0000-0000-0000AA3B0000}"/>
    <cellStyle name="Note 4 2 7" xfId="6411" xr:uid="{00000000-0005-0000-0000-0000AB3B0000}"/>
    <cellStyle name="Note 4 3" xfId="754" xr:uid="{00000000-0005-0000-0000-0000AC3B0000}"/>
    <cellStyle name="Note 4 3 2" xfId="2146" xr:uid="{00000000-0005-0000-0000-0000AD3B0000}"/>
    <cellStyle name="Note 4 3 2 2" xfId="3447" xr:uid="{00000000-0005-0000-0000-0000AE3B0000}"/>
    <cellStyle name="Note 4 3 2 2 2" xfId="5842" xr:uid="{00000000-0005-0000-0000-0000AF3B0000}"/>
    <cellStyle name="Note 4 3 2 2 2 2" xfId="10938" xr:uid="{00000000-0005-0000-0000-0000B03B0000}"/>
    <cellStyle name="Note 4 3 2 2 3" xfId="8550" xr:uid="{00000000-0005-0000-0000-0000B13B0000}"/>
    <cellStyle name="Note 4 3 2 3" xfId="4650" xr:uid="{00000000-0005-0000-0000-0000B23B0000}"/>
    <cellStyle name="Note 4 3 2 3 2" xfId="9746" xr:uid="{00000000-0005-0000-0000-0000B33B0000}"/>
    <cellStyle name="Note 4 3 2 4" xfId="7299" xr:uid="{00000000-0005-0000-0000-0000B43B0000}"/>
    <cellStyle name="Note 4 3 3" xfId="2537" xr:uid="{00000000-0005-0000-0000-0000B53B0000}"/>
    <cellStyle name="Note 4 3 3 2" xfId="4984" xr:uid="{00000000-0005-0000-0000-0000B63B0000}"/>
    <cellStyle name="Note 4 3 3 2 2" xfId="10080" xr:uid="{00000000-0005-0000-0000-0000B73B0000}"/>
    <cellStyle name="Note 4 3 3 3" xfId="7641" xr:uid="{00000000-0005-0000-0000-0000B83B0000}"/>
    <cellStyle name="Note 4 3 4" xfId="3801" xr:uid="{00000000-0005-0000-0000-0000B93B0000}"/>
    <cellStyle name="Note 4 3 4 2" xfId="8900" xr:uid="{00000000-0005-0000-0000-0000BA3B0000}"/>
    <cellStyle name="Note 4 3 5" xfId="6381" xr:uid="{00000000-0005-0000-0000-0000BB3B0000}"/>
    <cellStyle name="Note 4 4" xfId="775" xr:uid="{00000000-0005-0000-0000-0000BC3B0000}"/>
    <cellStyle name="Note 4 4 2" xfId="2556" xr:uid="{00000000-0005-0000-0000-0000BD3B0000}"/>
    <cellStyle name="Note 4 4 2 2" xfId="5003" xr:uid="{00000000-0005-0000-0000-0000BE3B0000}"/>
    <cellStyle name="Note 4 4 2 2 2" xfId="10099" xr:uid="{00000000-0005-0000-0000-0000BF3B0000}"/>
    <cellStyle name="Note 4 4 2 3" xfId="7660" xr:uid="{00000000-0005-0000-0000-0000C03B0000}"/>
    <cellStyle name="Note 4 4 3" xfId="3820" xr:uid="{00000000-0005-0000-0000-0000C13B0000}"/>
    <cellStyle name="Note 4 4 3 2" xfId="8919" xr:uid="{00000000-0005-0000-0000-0000C23B0000}"/>
    <cellStyle name="Note 4 4 4" xfId="6400" xr:uid="{00000000-0005-0000-0000-0000C33B0000}"/>
    <cellStyle name="Note 4 5" xfId="676" xr:uid="{00000000-0005-0000-0000-0000C43B0000}"/>
    <cellStyle name="Note 4 5 2" xfId="2479" xr:uid="{00000000-0005-0000-0000-0000C53B0000}"/>
    <cellStyle name="Note 4 5 2 2" xfId="4926" xr:uid="{00000000-0005-0000-0000-0000C63B0000}"/>
    <cellStyle name="Note 4 5 2 2 2" xfId="10022" xr:uid="{00000000-0005-0000-0000-0000C73B0000}"/>
    <cellStyle name="Note 4 5 2 3" xfId="7583" xr:uid="{00000000-0005-0000-0000-0000C83B0000}"/>
    <cellStyle name="Note 4 5 3" xfId="3743" xr:uid="{00000000-0005-0000-0000-0000C93B0000}"/>
    <cellStyle name="Note 4 5 3 2" xfId="8842" xr:uid="{00000000-0005-0000-0000-0000CA3B0000}"/>
    <cellStyle name="Note 4 5 4" xfId="6323" xr:uid="{00000000-0005-0000-0000-0000CB3B0000}"/>
    <cellStyle name="Note 4 6" xfId="1020" xr:uid="{00000000-0005-0000-0000-0000CC3B0000}"/>
    <cellStyle name="Note 4 6 10" xfId="13227" xr:uid="{00000000-0005-0000-0000-0000CD3B0000}"/>
    <cellStyle name="Note 4 6 11" xfId="16407" xr:uid="{00000000-0005-0000-0000-0000CE3B0000}"/>
    <cellStyle name="Note 4 6 2" xfId="2650" xr:uid="{00000000-0005-0000-0000-0000CF3B0000}"/>
    <cellStyle name="Note 4 6 2 10" xfId="13157" xr:uid="{00000000-0005-0000-0000-0000D03B0000}"/>
    <cellStyle name="Note 4 6 2 2" xfId="6066" xr:uid="{00000000-0005-0000-0000-0000D13B0000}"/>
    <cellStyle name="Note 4 6 2 2 2" xfId="11162" xr:uid="{00000000-0005-0000-0000-0000D23B0000}"/>
    <cellStyle name="Note 4 6 2 2 2 2" xfId="15468" xr:uid="{00000000-0005-0000-0000-0000D33B0000}"/>
    <cellStyle name="Note 4 6 2 2 2 3" xfId="16547" xr:uid="{00000000-0005-0000-0000-0000D43B0000}"/>
    <cellStyle name="Note 4 6 2 2 2 4" xfId="17581" xr:uid="{00000000-0005-0000-0000-0000D53B0000}"/>
    <cellStyle name="Note 4 6 2 2 2 5" xfId="18551" xr:uid="{00000000-0005-0000-0000-0000D63B0000}"/>
    <cellStyle name="Note 4 6 2 2 2 6" xfId="19457" xr:uid="{00000000-0005-0000-0000-0000D73B0000}"/>
    <cellStyle name="Note 4 6 2 2 3" xfId="11744" xr:uid="{00000000-0005-0000-0000-0000D83B0000}"/>
    <cellStyle name="Note 4 6 2 2 3 2" xfId="16050" xr:uid="{00000000-0005-0000-0000-0000D93B0000}"/>
    <cellStyle name="Note 4 6 2 2 3 3" xfId="17129" xr:uid="{00000000-0005-0000-0000-0000DA3B0000}"/>
    <cellStyle name="Note 4 6 2 2 3 4" xfId="18151" xr:uid="{00000000-0005-0000-0000-0000DB3B0000}"/>
    <cellStyle name="Note 4 6 2 2 3 5" xfId="19121" xr:uid="{00000000-0005-0000-0000-0000DC3B0000}"/>
    <cellStyle name="Note 4 6 2 2 3 6" xfId="20027" xr:uid="{00000000-0005-0000-0000-0000DD3B0000}"/>
    <cellStyle name="Note 4 6 2 2 4" xfId="11916" xr:uid="{00000000-0005-0000-0000-0000DE3B0000}"/>
    <cellStyle name="Note 4 6 2 2 4 2" xfId="16222" xr:uid="{00000000-0005-0000-0000-0000DF3B0000}"/>
    <cellStyle name="Note 4 6 2 2 4 3" xfId="17301" xr:uid="{00000000-0005-0000-0000-0000E03B0000}"/>
    <cellStyle name="Note 4 6 2 2 4 4" xfId="18319" xr:uid="{00000000-0005-0000-0000-0000E13B0000}"/>
    <cellStyle name="Note 4 6 2 2 4 5" xfId="19289" xr:uid="{00000000-0005-0000-0000-0000E23B0000}"/>
    <cellStyle name="Note 4 6 2 2 4 6" xfId="20195" xr:uid="{00000000-0005-0000-0000-0000E33B0000}"/>
    <cellStyle name="Note 4 6 2 2 5" xfId="13799" xr:uid="{00000000-0005-0000-0000-0000E43B0000}"/>
    <cellStyle name="Note 4 6 2 2 6" xfId="13195" xr:uid="{00000000-0005-0000-0000-0000E53B0000}"/>
    <cellStyle name="Note 4 6 2 2 7" xfId="14594" xr:uid="{00000000-0005-0000-0000-0000E63B0000}"/>
    <cellStyle name="Note 4 6 2 2 8" xfId="16409" xr:uid="{00000000-0005-0000-0000-0000E73B0000}"/>
    <cellStyle name="Note 4 6 2 2 9" xfId="18449" xr:uid="{00000000-0005-0000-0000-0000E83B0000}"/>
    <cellStyle name="Note 4 6 2 3" xfId="7753" xr:uid="{00000000-0005-0000-0000-0000E93B0000}"/>
    <cellStyle name="Note 4 6 2 3 2" xfId="14419" xr:uid="{00000000-0005-0000-0000-0000EA3B0000}"/>
    <cellStyle name="Note 4 6 2 3 3" xfId="15193" xr:uid="{00000000-0005-0000-0000-0000EB3B0000}"/>
    <cellStyle name="Note 4 6 2 3 4" xfId="16311" xr:uid="{00000000-0005-0000-0000-0000EC3B0000}"/>
    <cellStyle name="Note 4 6 2 3 5" xfId="12474" xr:uid="{00000000-0005-0000-0000-0000ED3B0000}"/>
    <cellStyle name="Note 4 6 2 3 6" xfId="17461" xr:uid="{00000000-0005-0000-0000-0000EE3B0000}"/>
    <cellStyle name="Note 4 6 2 4" xfId="11352" xr:uid="{00000000-0005-0000-0000-0000EF3B0000}"/>
    <cellStyle name="Note 4 6 2 4 2" xfId="15658" xr:uid="{00000000-0005-0000-0000-0000F03B0000}"/>
    <cellStyle name="Note 4 6 2 4 3" xfId="16737" xr:uid="{00000000-0005-0000-0000-0000F13B0000}"/>
    <cellStyle name="Note 4 6 2 4 4" xfId="17766" xr:uid="{00000000-0005-0000-0000-0000F23B0000}"/>
    <cellStyle name="Note 4 6 2 4 5" xfId="18736" xr:uid="{00000000-0005-0000-0000-0000F33B0000}"/>
    <cellStyle name="Note 4 6 2 4 6" xfId="19642" xr:uid="{00000000-0005-0000-0000-0000F43B0000}"/>
    <cellStyle name="Note 4 6 2 5" xfId="11629" xr:uid="{00000000-0005-0000-0000-0000F53B0000}"/>
    <cellStyle name="Note 4 6 2 5 2" xfId="15935" xr:uid="{00000000-0005-0000-0000-0000F63B0000}"/>
    <cellStyle name="Note 4 6 2 5 3" xfId="17014" xr:uid="{00000000-0005-0000-0000-0000F73B0000}"/>
    <cellStyle name="Note 4 6 2 5 4" xfId="18038" xr:uid="{00000000-0005-0000-0000-0000F83B0000}"/>
    <cellStyle name="Note 4 6 2 5 5" xfId="19008" xr:uid="{00000000-0005-0000-0000-0000F93B0000}"/>
    <cellStyle name="Note 4 6 2 5 6" xfId="19914" xr:uid="{00000000-0005-0000-0000-0000FA3B0000}"/>
    <cellStyle name="Note 4 6 2 6" xfId="12720" xr:uid="{00000000-0005-0000-0000-0000FB3B0000}"/>
    <cellStyle name="Note 4 6 2 7" xfId="12183" xr:uid="{00000000-0005-0000-0000-0000FC3B0000}"/>
    <cellStyle name="Note 4 6 2 8" xfId="14356" xr:uid="{00000000-0005-0000-0000-0000FD3B0000}"/>
    <cellStyle name="Note 4 6 2 9" xfId="12460" xr:uid="{00000000-0005-0000-0000-0000FE3B0000}"/>
    <cellStyle name="Note 4 6 3" xfId="5991" xr:uid="{00000000-0005-0000-0000-0000FF3B0000}"/>
    <cellStyle name="Note 4 6 3 2" xfId="11087" xr:uid="{00000000-0005-0000-0000-0000003C0000}"/>
    <cellStyle name="Note 4 6 3 2 2" xfId="15393" xr:uid="{00000000-0005-0000-0000-0000013C0000}"/>
    <cellStyle name="Note 4 6 3 2 3" xfId="16472" xr:uid="{00000000-0005-0000-0000-0000023C0000}"/>
    <cellStyle name="Note 4 6 3 2 4" xfId="17507" xr:uid="{00000000-0005-0000-0000-0000033C0000}"/>
    <cellStyle name="Note 4 6 3 2 5" xfId="18477" xr:uid="{00000000-0005-0000-0000-0000043C0000}"/>
    <cellStyle name="Note 4 6 3 2 6" xfId="19383" xr:uid="{00000000-0005-0000-0000-0000053C0000}"/>
    <cellStyle name="Note 4 6 3 3" xfId="11669" xr:uid="{00000000-0005-0000-0000-0000063C0000}"/>
    <cellStyle name="Note 4 6 3 3 2" xfId="15975" xr:uid="{00000000-0005-0000-0000-0000073C0000}"/>
    <cellStyle name="Note 4 6 3 3 3" xfId="17054" xr:uid="{00000000-0005-0000-0000-0000083C0000}"/>
    <cellStyle name="Note 4 6 3 3 4" xfId="18077" xr:uid="{00000000-0005-0000-0000-0000093C0000}"/>
    <cellStyle name="Note 4 6 3 3 5" xfId="19047" xr:uid="{00000000-0005-0000-0000-00000A3C0000}"/>
    <cellStyle name="Note 4 6 3 3 6" xfId="19953" xr:uid="{00000000-0005-0000-0000-00000B3C0000}"/>
    <cellStyle name="Note 4 6 3 4" xfId="11841" xr:uid="{00000000-0005-0000-0000-00000C3C0000}"/>
    <cellStyle name="Note 4 6 3 4 2" xfId="16147" xr:uid="{00000000-0005-0000-0000-00000D3C0000}"/>
    <cellStyle name="Note 4 6 3 4 3" xfId="17226" xr:uid="{00000000-0005-0000-0000-00000E3C0000}"/>
    <cellStyle name="Note 4 6 3 4 4" xfId="18245" xr:uid="{00000000-0005-0000-0000-00000F3C0000}"/>
    <cellStyle name="Note 4 6 3 4 5" xfId="19215" xr:uid="{00000000-0005-0000-0000-0000103C0000}"/>
    <cellStyle name="Note 4 6 3 4 6" xfId="20121" xr:uid="{00000000-0005-0000-0000-0000113C0000}"/>
    <cellStyle name="Note 4 6 3 5" xfId="13724" xr:uid="{00000000-0005-0000-0000-0000123C0000}"/>
    <cellStyle name="Note 4 6 3 6" xfId="12603" xr:uid="{00000000-0005-0000-0000-0000133C0000}"/>
    <cellStyle name="Note 4 6 3 7" xfId="12936" xr:uid="{00000000-0005-0000-0000-0000143C0000}"/>
    <cellStyle name="Note 4 6 3 8" xfId="13946" xr:uid="{00000000-0005-0000-0000-0000153C0000}"/>
    <cellStyle name="Note 4 6 3 9" xfId="18425" xr:uid="{00000000-0005-0000-0000-0000163C0000}"/>
    <cellStyle name="Note 4 6 4" xfId="6497" xr:uid="{00000000-0005-0000-0000-0000173C0000}"/>
    <cellStyle name="Note 4 6 4 2" xfId="14010" xr:uid="{00000000-0005-0000-0000-0000183C0000}"/>
    <cellStyle name="Note 4 6 4 3" xfId="13189" xr:uid="{00000000-0005-0000-0000-0000193C0000}"/>
    <cellStyle name="Note 4 6 4 4" xfId="13593" xr:uid="{00000000-0005-0000-0000-00001A3C0000}"/>
    <cellStyle name="Note 4 6 4 5" xfId="12515" xr:uid="{00000000-0005-0000-0000-00001B3C0000}"/>
    <cellStyle name="Note 4 6 4 6" xfId="16353" xr:uid="{00000000-0005-0000-0000-00001C3C0000}"/>
    <cellStyle name="Note 4 6 5" xfId="6159" xr:uid="{00000000-0005-0000-0000-00001D3C0000}"/>
    <cellStyle name="Note 4 6 5 2" xfId="13891" xr:uid="{00000000-0005-0000-0000-00001E3C0000}"/>
    <cellStyle name="Note 4 6 5 3" xfId="14138" xr:uid="{00000000-0005-0000-0000-00001F3C0000}"/>
    <cellStyle name="Note 4 6 5 4" xfId="15199" xr:uid="{00000000-0005-0000-0000-0000203C0000}"/>
    <cellStyle name="Note 4 6 5 5" xfId="12020" xr:uid="{00000000-0005-0000-0000-0000213C0000}"/>
    <cellStyle name="Note 4 6 5 6" xfId="12529" xr:uid="{00000000-0005-0000-0000-0000223C0000}"/>
    <cellStyle name="Note 4 6 6" xfId="11644" xr:uid="{00000000-0005-0000-0000-0000233C0000}"/>
    <cellStyle name="Note 4 6 6 2" xfId="15950" xr:uid="{00000000-0005-0000-0000-0000243C0000}"/>
    <cellStyle name="Note 4 6 6 3" xfId="17029" xr:uid="{00000000-0005-0000-0000-0000253C0000}"/>
    <cellStyle name="Note 4 6 6 4" xfId="18053" xr:uid="{00000000-0005-0000-0000-0000263C0000}"/>
    <cellStyle name="Note 4 6 6 5" xfId="19023" xr:uid="{00000000-0005-0000-0000-0000273C0000}"/>
    <cellStyle name="Note 4 6 6 6" xfId="19929" xr:uid="{00000000-0005-0000-0000-0000283C0000}"/>
    <cellStyle name="Note 4 6 7" xfId="12212" xr:uid="{00000000-0005-0000-0000-0000293C0000}"/>
    <cellStyle name="Note 4 6 8" xfId="13966" xr:uid="{00000000-0005-0000-0000-00002A3C0000}"/>
    <cellStyle name="Note 4 6 9" xfId="13275" xr:uid="{00000000-0005-0000-0000-00002B3C0000}"/>
    <cellStyle name="Note 4 7" xfId="2144" xr:uid="{00000000-0005-0000-0000-00002C3C0000}"/>
    <cellStyle name="Note 4 7 2" xfId="3446" xr:uid="{00000000-0005-0000-0000-00002D3C0000}"/>
    <cellStyle name="Note 4 7 2 2" xfId="5841" xr:uid="{00000000-0005-0000-0000-00002E3C0000}"/>
    <cellStyle name="Note 4 7 2 2 2" xfId="10937" xr:uid="{00000000-0005-0000-0000-00002F3C0000}"/>
    <cellStyle name="Note 4 7 2 3" xfId="8549" xr:uid="{00000000-0005-0000-0000-0000303C0000}"/>
    <cellStyle name="Note 4 7 3" xfId="4649" xr:uid="{00000000-0005-0000-0000-0000313C0000}"/>
    <cellStyle name="Note 4 7 3 2" xfId="9745" xr:uid="{00000000-0005-0000-0000-0000323C0000}"/>
    <cellStyle name="Note 4 7 4" xfId="7298" xr:uid="{00000000-0005-0000-0000-0000333C0000}"/>
    <cellStyle name="Note 5" xfId="454" xr:uid="{00000000-0005-0000-0000-0000343C0000}"/>
    <cellStyle name="Note 5 2" xfId="773" xr:uid="{00000000-0005-0000-0000-0000353C0000}"/>
    <cellStyle name="Note 5 2 2" xfId="1112" xr:uid="{00000000-0005-0000-0000-0000363C0000}"/>
    <cellStyle name="Note 5 2 2 2" xfId="2702" xr:uid="{00000000-0005-0000-0000-0000373C0000}"/>
    <cellStyle name="Note 5 2 2 2 10" xfId="15289" xr:uid="{00000000-0005-0000-0000-0000383C0000}"/>
    <cellStyle name="Note 5 2 2 2 11" xfId="13196" xr:uid="{00000000-0005-0000-0000-0000393C0000}"/>
    <cellStyle name="Note 5 2 2 2 2" xfId="6102" xr:uid="{00000000-0005-0000-0000-00003A3C0000}"/>
    <cellStyle name="Note 5 2 2 2 2 2" xfId="11198" xr:uid="{00000000-0005-0000-0000-00003B3C0000}"/>
    <cellStyle name="Note 5 2 2 2 2 2 2" xfId="15504" xr:uid="{00000000-0005-0000-0000-00003C3C0000}"/>
    <cellStyle name="Note 5 2 2 2 2 2 3" xfId="16583" xr:uid="{00000000-0005-0000-0000-00003D3C0000}"/>
    <cellStyle name="Note 5 2 2 2 2 2 4" xfId="17617" xr:uid="{00000000-0005-0000-0000-00003E3C0000}"/>
    <cellStyle name="Note 5 2 2 2 2 2 5" xfId="18587" xr:uid="{00000000-0005-0000-0000-00003F3C0000}"/>
    <cellStyle name="Note 5 2 2 2 2 2 6" xfId="19493" xr:uid="{00000000-0005-0000-0000-0000403C0000}"/>
    <cellStyle name="Note 5 2 2 2 2 3" xfId="11780" xr:uid="{00000000-0005-0000-0000-0000413C0000}"/>
    <cellStyle name="Note 5 2 2 2 2 3 2" xfId="16086" xr:uid="{00000000-0005-0000-0000-0000423C0000}"/>
    <cellStyle name="Note 5 2 2 2 2 3 3" xfId="17165" xr:uid="{00000000-0005-0000-0000-0000433C0000}"/>
    <cellStyle name="Note 5 2 2 2 2 3 4" xfId="18187" xr:uid="{00000000-0005-0000-0000-0000443C0000}"/>
    <cellStyle name="Note 5 2 2 2 2 3 5" xfId="19157" xr:uid="{00000000-0005-0000-0000-0000453C0000}"/>
    <cellStyle name="Note 5 2 2 2 2 3 6" xfId="20063" xr:uid="{00000000-0005-0000-0000-0000463C0000}"/>
    <cellStyle name="Note 5 2 2 2 2 4" xfId="11952" xr:uid="{00000000-0005-0000-0000-0000473C0000}"/>
    <cellStyle name="Note 5 2 2 2 2 4 2" xfId="16258" xr:uid="{00000000-0005-0000-0000-0000483C0000}"/>
    <cellStyle name="Note 5 2 2 2 2 4 3" xfId="17337" xr:uid="{00000000-0005-0000-0000-0000493C0000}"/>
    <cellStyle name="Note 5 2 2 2 2 4 4" xfId="18355" xr:uid="{00000000-0005-0000-0000-00004A3C0000}"/>
    <cellStyle name="Note 5 2 2 2 2 4 5" xfId="19325" xr:uid="{00000000-0005-0000-0000-00004B3C0000}"/>
    <cellStyle name="Note 5 2 2 2 2 4 6" xfId="20231" xr:uid="{00000000-0005-0000-0000-00004C3C0000}"/>
    <cellStyle name="Note 5 2 2 2 2 5" xfId="13835" xr:uid="{00000000-0005-0000-0000-00004D3C0000}"/>
    <cellStyle name="Note 5 2 2 2 2 6" xfId="12379" xr:uid="{00000000-0005-0000-0000-00004E3C0000}"/>
    <cellStyle name="Note 5 2 2 2 2 7" xfId="14995" xr:uid="{00000000-0005-0000-0000-00004F3C0000}"/>
    <cellStyle name="Note 5 2 2 2 2 8" xfId="12968" xr:uid="{00000000-0005-0000-0000-0000503C0000}"/>
    <cellStyle name="Note 5 2 2 2 2 9" xfId="14245" xr:uid="{00000000-0005-0000-0000-0000513C0000}"/>
    <cellStyle name="Note 5 2 2 2 3" xfId="5110" xr:uid="{00000000-0005-0000-0000-0000523C0000}"/>
    <cellStyle name="Note 5 2 2 2 3 2" xfId="10206" xr:uid="{00000000-0005-0000-0000-0000533C0000}"/>
    <cellStyle name="Note 5 2 2 2 3 2 2" xfId="15144" xr:uid="{00000000-0005-0000-0000-0000543C0000}"/>
    <cellStyle name="Note 5 2 2 2 3 2 3" xfId="13139" xr:uid="{00000000-0005-0000-0000-0000553C0000}"/>
    <cellStyle name="Note 5 2 2 2 3 2 4" xfId="12448" xr:uid="{00000000-0005-0000-0000-0000563C0000}"/>
    <cellStyle name="Note 5 2 2 2 3 2 5" xfId="12442" xr:uid="{00000000-0005-0000-0000-0000573C0000}"/>
    <cellStyle name="Note 5 2 2 2 3 2 6" xfId="14649" xr:uid="{00000000-0005-0000-0000-0000583C0000}"/>
    <cellStyle name="Note 5 2 2 2 3 3" xfId="11588" xr:uid="{00000000-0005-0000-0000-0000593C0000}"/>
    <cellStyle name="Note 5 2 2 2 3 3 2" xfId="15894" xr:uid="{00000000-0005-0000-0000-00005A3C0000}"/>
    <cellStyle name="Note 5 2 2 2 3 3 3" xfId="16973" xr:uid="{00000000-0005-0000-0000-00005B3C0000}"/>
    <cellStyle name="Note 5 2 2 2 3 3 4" xfId="17997" xr:uid="{00000000-0005-0000-0000-00005C3C0000}"/>
    <cellStyle name="Note 5 2 2 2 3 3 5" xfId="18967" xr:uid="{00000000-0005-0000-0000-00005D3C0000}"/>
    <cellStyle name="Note 5 2 2 2 3 3 6" xfId="19873" xr:uid="{00000000-0005-0000-0000-00005E3C0000}"/>
    <cellStyle name="Note 5 2 2 2 3 4" xfId="6532" xr:uid="{00000000-0005-0000-0000-00005F3C0000}"/>
    <cellStyle name="Note 5 2 2 2 3 4 2" xfId="14035" xr:uid="{00000000-0005-0000-0000-0000603C0000}"/>
    <cellStyle name="Note 5 2 2 2 3 4 3" xfId="13528" xr:uid="{00000000-0005-0000-0000-0000613C0000}"/>
    <cellStyle name="Note 5 2 2 2 3 4 4" xfId="13927" xr:uid="{00000000-0005-0000-0000-0000623C0000}"/>
    <cellStyle name="Note 5 2 2 2 3 4 5" xfId="13494" xr:uid="{00000000-0005-0000-0000-0000633C0000}"/>
    <cellStyle name="Note 5 2 2 2 3 4 6" xfId="12461" xr:uid="{00000000-0005-0000-0000-0000643C0000}"/>
    <cellStyle name="Note 5 2 2 2 3 5" xfId="13464" xr:uid="{00000000-0005-0000-0000-0000653C0000}"/>
    <cellStyle name="Note 5 2 2 2 3 6" xfId="12583" xr:uid="{00000000-0005-0000-0000-0000663C0000}"/>
    <cellStyle name="Note 5 2 2 2 3 7" xfId="13300" xr:uid="{00000000-0005-0000-0000-0000673C0000}"/>
    <cellStyle name="Note 5 2 2 2 3 8" xfId="16366" xr:uid="{00000000-0005-0000-0000-0000683C0000}"/>
    <cellStyle name="Note 5 2 2 2 3 9" xfId="16453" xr:uid="{00000000-0005-0000-0000-0000693C0000}"/>
    <cellStyle name="Note 5 2 2 2 4" xfId="7805" xr:uid="{00000000-0005-0000-0000-00006A3C0000}"/>
    <cellStyle name="Note 5 2 2 2 4 2" xfId="14456" xr:uid="{00000000-0005-0000-0000-00006B3C0000}"/>
    <cellStyle name="Note 5 2 2 2 4 3" xfId="13509" xr:uid="{00000000-0005-0000-0000-00006C3C0000}"/>
    <cellStyle name="Note 5 2 2 2 4 4" xfId="14915" xr:uid="{00000000-0005-0000-0000-00006D3C0000}"/>
    <cellStyle name="Note 5 2 2 2 4 5" xfId="17382" xr:uid="{00000000-0005-0000-0000-00006E3C0000}"/>
    <cellStyle name="Note 5 2 2 2 4 6" xfId="16403" xr:uid="{00000000-0005-0000-0000-00006F3C0000}"/>
    <cellStyle name="Note 5 2 2 2 5" xfId="11388" xr:uid="{00000000-0005-0000-0000-0000703C0000}"/>
    <cellStyle name="Note 5 2 2 2 5 2" xfId="15694" xr:uid="{00000000-0005-0000-0000-0000713C0000}"/>
    <cellStyle name="Note 5 2 2 2 5 3" xfId="16773" xr:uid="{00000000-0005-0000-0000-0000723C0000}"/>
    <cellStyle name="Note 5 2 2 2 5 4" xfId="17802" xr:uid="{00000000-0005-0000-0000-0000733C0000}"/>
    <cellStyle name="Note 5 2 2 2 5 5" xfId="18772" xr:uid="{00000000-0005-0000-0000-0000743C0000}"/>
    <cellStyle name="Note 5 2 2 2 5 6" xfId="19678" xr:uid="{00000000-0005-0000-0000-0000753C0000}"/>
    <cellStyle name="Note 5 2 2 2 6" xfId="11621" xr:uid="{00000000-0005-0000-0000-0000763C0000}"/>
    <cellStyle name="Note 5 2 2 2 6 2" xfId="15927" xr:uid="{00000000-0005-0000-0000-0000773C0000}"/>
    <cellStyle name="Note 5 2 2 2 6 3" xfId="17006" xr:uid="{00000000-0005-0000-0000-0000783C0000}"/>
    <cellStyle name="Note 5 2 2 2 6 4" xfId="18030" xr:uid="{00000000-0005-0000-0000-0000793C0000}"/>
    <cellStyle name="Note 5 2 2 2 6 5" xfId="19000" xr:uid="{00000000-0005-0000-0000-00007A3C0000}"/>
    <cellStyle name="Note 5 2 2 2 6 6" xfId="19906" xr:uid="{00000000-0005-0000-0000-00007B3C0000}"/>
    <cellStyle name="Note 5 2 2 2 7" xfId="12759" xr:uid="{00000000-0005-0000-0000-00007C3C0000}"/>
    <cellStyle name="Note 5 2 2 2 8" xfId="13630" xr:uid="{00000000-0005-0000-0000-00007D3C0000}"/>
    <cellStyle name="Note 5 2 2 2 9" xfId="12390" xr:uid="{00000000-0005-0000-0000-00007E3C0000}"/>
    <cellStyle name="Note 5 2 2 3" xfId="3927" xr:uid="{00000000-0005-0000-0000-00007F3C0000}"/>
    <cellStyle name="Note 5 2 2 3 2" xfId="9026" xr:uid="{00000000-0005-0000-0000-0000803C0000}"/>
    <cellStyle name="Note 5 2 2 3 2 2" xfId="14804" xr:uid="{00000000-0005-0000-0000-0000813C0000}"/>
    <cellStyle name="Note 5 2 2 3 2 3" xfId="14067" xr:uid="{00000000-0005-0000-0000-0000823C0000}"/>
    <cellStyle name="Note 5 2 2 3 2 4" xfId="14119" xr:uid="{00000000-0005-0000-0000-0000833C0000}"/>
    <cellStyle name="Note 5 2 2 3 2 5" xfId="15263" xr:uid="{00000000-0005-0000-0000-0000843C0000}"/>
    <cellStyle name="Note 5 2 2 3 2 6" xfId="15217" xr:uid="{00000000-0005-0000-0000-0000853C0000}"/>
    <cellStyle name="Note 5 2 2 3 3" xfId="11494" xr:uid="{00000000-0005-0000-0000-0000863C0000}"/>
    <cellStyle name="Note 5 2 2 3 3 2" xfId="15800" xr:uid="{00000000-0005-0000-0000-0000873C0000}"/>
    <cellStyle name="Note 5 2 2 3 3 3" xfId="16879" xr:uid="{00000000-0005-0000-0000-0000883C0000}"/>
    <cellStyle name="Note 5 2 2 3 3 4" xfId="17905" xr:uid="{00000000-0005-0000-0000-0000893C0000}"/>
    <cellStyle name="Note 5 2 2 3 3 5" xfId="18875" xr:uid="{00000000-0005-0000-0000-00008A3C0000}"/>
    <cellStyle name="Note 5 2 2 3 3 6" xfId="19781" xr:uid="{00000000-0005-0000-0000-00008B3C0000}"/>
    <cellStyle name="Note 5 2 2 3 4" xfId="6182" xr:uid="{00000000-0005-0000-0000-00008C3C0000}"/>
    <cellStyle name="Note 5 2 2 3 4 2" xfId="13914" xr:uid="{00000000-0005-0000-0000-00008D3C0000}"/>
    <cellStyle name="Note 5 2 2 3 4 3" xfId="12369" xr:uid="{00000000-0005-0000-0000-00008E3C0000}"/>
    <cellStyle name="Note 5 2 2 3 4 4" xfId="14246" xr:uid="{00000000-0005-0000-0000-00008F3C0000}"/>
    <cellStyle name="Note 5 2 2 3 4 5" xfId="17407" xr:uid="{00000000-0005-0000-0000-0000903C0000}"/>
    <cellStyle name="Note 5 2 2 3 4 6" xfId="14918" xr:uid="{00000000-0005-0000-0000-0000913C0000}"/>
    <cellStyle name="Note 5 2 2 3 5" xfId="13116" xr:uid="{00000000-0005-0000-0000-0000923C0000}"/>
    <cellStyle name="Note 5 2 2 3 6" xfId="14598" xr:uid="{00000000-0005-0000-0000-0000933C0000}"/>
    <cellStyle name="Note 5 2 2 3 7" xfId="11996" xr:uid="{00000000-0005-0000-0000-0000943C0000}"/>
    <cellStyle name="Note 5 2 2 3 8" xfId="14203" xr:uid="{00000000-0005-0000-0000-0000953C0000}"/>
    <cellStyle name="Note 5 2 2 3 9" xfId="15269" xr:uid="{00000000-0005-0000-0000-0000963C0000}"/>
    <cellStyle name="Note 5 2 3" xfId="1136" xr:uid="{00000000-0005-0000-0000-0000973C0000}"/>
    <cellStyle name="Note 5 2 3 10" xfId="12365" xr:uid="{00000000-0005-0000-0000-0000983C0000}"/>
    <cellStyle name="Note 5 2 3 11" xfId="14636" xr:uid="{00000000-0005-0000-0000-0000993C0000}"/>
    <cellStyle name="Note 5 2 3 2" xfId="2723" xr:uid="{00000000-0005-0000-0000-00009A3C0000}"/>
    <cellStyle name="Note 5 2 3 2 10" xfId="12260" xr:uid="{00000000-0005-0000-0000-00009B3C0000}"/>
    <cellStyle name="Note 5 2 3 2 2" xfId="6123" xr:uid="{00000000-0005-0000-0000-00009C3C0000}"/>
    <cellStyle name="Note 5 2 3 2 2 2" xfId="11219" xr:uid="{00000000-0005-0000-0000-00009D3C0000}"/>
    <cellStyle name="Note 5 2 3 2 2 2 2" xfId="15525" xr:uid="{00000000-0005-0000-0000-00009E3C0000}"/>
    <cellStyle name="Note 5 2 3 2 2 2 3" xfId="16604" xr:uid="{00000000-0005-0000-0000-00009F3C0000}"/>
    <cellStyle name="Note 5 2 3 2 2 2 4" xfId="17638" xr:uid="{00000000-0005-0000-0000-0000A03C0000}"/>
    <cellStyle name="Note 5 2 3 2 2 2 5" xfId="18608" xr:uid="{00000000-0005-0000-0000-0000A13C0000}"/>
    <cellStyle name="Note 5 2 3 2 2 2 6" xfId="19514" xr:uid="{00000000-0005-0000-0000-0000A23C0000}"/>
    <cellStyle name="Note 5 2 3 2 2 3" xfId="11801" xr:uid="{00000000-0005-0000-0000-0000A33C0000}"/>
    <cellStyle name="Note 5 2 3 2 2 3 2" xfId="16107" xr:uid="{00000000-0005-0000-0000-0000A43C0000}"/>
    <cellStyle name="Note 5 2 3 2 2 3 3" xfId="17186" xr:uid="{00000000-0005-0000-0000-0000A53C0000}"/>
    <cellStyle name="Note 5 2 3 2 2 3 4" xfId="18208" xr:uid="{00000000-0005-0000-0000-0000A63C0000}"/>
    <cellStyle name="Note 5 2 3 2 2 3 5" xfId="19178" xr:uid="{00000000-0005-0000-0000-0000A73C0000}"/>
    <cellStyle name="Note 5 2 3 2 2 3 6" xfId="20084" xr:uid="{00000000-0005-0000-0000-0000A83C0000}"/>
    <cellStyle name="Note 5 2 3 2 2 4" xfId="11973" xr:uid="{00000000-0005-0000-0000-0000A93C0000}"/>
    <cellStyle name="Note 5 2 3 2 2 4 2" xfId="16279" xr:uid="{00000000-0005-0000-0000-0000AA3C0000}"/>
    <cellStyle name="Note 5 2 3 2 2 4 3" xfId="17358" xr:uid="{00000000-0005-0000-0000-0000AB3C0000}"/>
    <cellStyle name="Note 5 2 3 2 2 4 4" xfId="18376" xr:uid="{00000000-0005-0000-0000-0000AC3C0000}"/>
    <cellStyle name="Note 5 2 3 2 2 4 5" xfId="19346" xr:uid="{00000000-0005-0000-0000-0000AD3C0000}"/>
    <cellStyle name="Note 5 2 3 2 2 4 6" xfId="20252" xr:uid="{00000000-0005-0000-0000-0000AE3C0000}"/>
    <cellStyle name="Note 5 2 3 2 2 5" xfId="13856" xr:uid="{00000000-0005-0000-0000-0000AF3C0000}"/>
    <cellStyle name="Note 5 2 3 2 2 6" xfId="15228" xr:uid="{00000000-0005-0000-0000-0000B03C0000}"/>
    <cellStyle name="Note 5 2 3 2 2 7" xfId="16340" xr:uid="{00000000-0005-0000-0000-0000B13C0000}"/>
    <cellStyle name="Note 5 2 3 2 2 8" xfId="15260" xr:uid="{00000000-0005-0000-0000-0000B23C0000}"/>
    <cellStyle name="Note 5 2 3 2 2 9" xfId="13619" xr:uid="{00000000-0005-0000-0000-0000B33C0000}"/>
    <cellStyle name="Note 5 2 3 2 3" xfId="7826" xr:uid="{00000000-0005-0000-0000-0000B43C0000}"/>
    <cellStyle name="Note 5 2 3 2 3 2" xfId="14477" xr:uid="{00000000-0005-0000-0000-0000B53C0000}"/>
    <cellStyle name="Note 5 2 3 2 3 3" xfId="14509" xr:uid="{00000000-0005-0000-0000-0000B63C0000}"/>
    <cellStyle name="Note 5 2 3 2 3 4" xfId="12101" xr:uid="{00000000-0005-0000-0000-0000B73C0000}"/>
    <cellStyle name="Note 5 2 3 2 3 5" xfId="14860" xr:uid="{00000000-0005-0000-0000-0000B83C0000}"/>
    <cellStyle name="Note 5 2 3 2 3 6" xfId="159" xr:uid="{00000000-0005-0000-0000-0000B93C0000}"/>
    <cellStyle name="Note 5 2 3 2 4" xfId="11409" xr:uid="{00000000-0005-0000-0000-0000BA3C0000}"/>
    <cellStyle name="Note 5 2 3 2 4 2" xfId="15715" xr:uid="{00000000-0005-0000-0000-0000BB3C0000}"/>
    <cellStyle name="Note 5 2 3 2 4 3" xfId="16794" xr:uid="{00000000-0005-0000-0000-0000BC3C0000}"/>
    <cellStyle name="Note 5 2 3 2 4 4" xfId="17823" xr:uid="{00000000-0005-0000-0000-0000BD3C0000}"/>
    <cellStyle name="Note 5 2 3 2 4 5" xfId="18793" xr:uid="{00000000-0005-0000-0000-0000BE3C0000}"/>
    <cellStyle name="Note 5 2 3 2 4 6" xfId="19699" xr:uid="{00000000-0005-0000-0000-0000BF3C0000}"/>
    <cellStyle name="Note 5 2 3 2 5" xfId="11428" xr:uid="{00000000-0005-0000-0000-0000C03C0000}"/>
    <cellStyle name="Note 5 2 3 2 5 2" xfId="15734" xr:uid="{00000000-0005-0000-0000-0000C13C0000}"/>
    <cellStyle name="Note 5 2 3 2 5 3" xfId="16813" xr:uid="{00000000-0005-0000-0000-0000C23C0000}"/>
    <cellStyle name="Note 5 2 3 2 5 4" xfId="17841" xr:uid="{00000000-0005-0000-0000-0000C33C0000}"/>
    <cellStyle name="Note 5 2 3 2 5 5" xfId="18811" xr:uid="{00000000-0005-0000-0000-0000C43C0000}"/>
    <cellStyle name="Note 5 2 3 2 5 6" xfId="19717" xr:uid="{00000000-0005-0000-0000-0000C53C0000}"/>
    <cellStyle name="Note 5 2 3 2 6" xfId="12780" xr:uid="{00000000-0005-0000-0000-0000C63C0000}"/>
    <cellStyle name="Note 5 2 3 2 7" xfId="13057" xr:uid="{00000000-0005-0000-0000-0000C73C0000}"/>
    <cellStyle name="Note 5 2 3 2 8" xfId="13261" xr:uid="{00000000-0005-0000-0000-0000C83C0000}"/>
    <cellStyle name="Note 5 2 3 2 9" xfId="14207" xr:uid="{00000000-0005-0000-0000-0000C93C0000}"/>
    <cellStyle name="Note 5 2 3 3" xfId="6013" xr:uid="{00000000-0005-0000-0000-0000CA3C0000}"/>
    <cellStyle name="Note 5 2 3 3 2" xfId="11109" xr:uid="{00000000-0005-0000-0000-0000CB3C0000}"/>
    <cellStyle name="Note 5 2 3 3 2 2" xfId="15415" xr:uid="{00000000-0005-0000-0000-0000CC3C0000}"/>
    <cellStyle name="Note 5 2 3 3 2 3" xfId="16494" xr:uid="{00000000-0005-0000-0000-0000CD3C0000}"/>
    <cellStyle name="Note 5 2 3 3 2 4" xfId="17529" xr:uid="{00000000-0005-0000-0000-0000CE3C0000}"/>
    <cellStyle name="Note 5 2 3 3 2 5" xfId="18499" xr:uid="{00000000-0005-0000-0000-0000CF3C0000}"/>
    <cellStyle name="Note 5 2 3 3 2 6" xfId="19405" xr:uid="{00000000-0005-0000-0000-0000D03C0000}"/>
    <cellStyle name="Note 5 2 3 3 3" xfId="11691" xr:uid="{00000000-0005-0000-0000-0000D13C0000}"/>
    <cellStyle name="Note 5 2 3 3 3 2" xfId="15997" xr:uid="{00000000-0005-0000-0000-0000D23C0000}"/>
    <cellStyle name="Note 5 2 3 3 3 3" xfId="17076" xr:uid="{00000000-0005-0000-0000-0000D33C0000}"/>
    <cellStyle name="Note 5 2 3 3 3 4" xfId="18099" xr:uid="{00000000-0005-0000-0000-0000D43C0000}"/>
    <cellStyle name="Note 5 2 3 3 3 5" xfId="19069" xr:uid="{00000000-0005-0000-0000-0000D53C0000}"/>
    <cellStyle name="Note 5 2 3 3 3 6" xfId="19975" xr:uid="{00000000-0005-0000-0000-0000D63C0000}"/>
    <cellStyle name="Note 5 2 3 3 4" xfId="11863" xr:uid="{00000000-0005-0000-0000-0000D73C0000}"/>
    <cellStyle name="Note 5 2 3 3 4 2" xfId="16169" xr:uid="{00000000-0005-0000-0000-0000D83C0000}"/>
    <cellStyle name="Note 5 2 3 3 4 3" xfId="17248" xr:uid="{00000000-0005-0000-0000-0000D93C0000}"/>
    <cellStyle name="Note 5 2 3 3 4 4" xfId="18267" xr:uid="{00000000-0005-0000-0000-0000DA3C0000}"/>
    <cellStyle name="Note 5 2 3 3 4 5" xfId="19237" xr:uid="{00000000-0005-0000-0000-0000DB3C0000}"/>
    <cellStyle name="Note 5 2 3 3 4 6" xfId="20143" xr:uid="{00000000-0005-0000-0000-0000DC3C0000}"/>
    <cellStyle name="Note 5 2 3 3 5" xfId="13746" xr:uid="{00000000-0005-0000-0000-0000DD3C0000}"/>
    <cellStyle name="Note 5 2 3 3 6" xfId="13701" xr:uid="{00000000-0005-0000-0000-0000DE3C0000}"/>
    <cellStyle name="Note 5 2 3 3 7" xfId="12386" xr:uid="{00000000-0005-0000-0000-0000DF3C0000}"/>
    <cellStyle name="Note 5 2 3 3 8" xfId="14328" xr:uid="{00000000-0005-0000-0000-0000E03C0000}"/>
    <cellStyle name="Note 5 2 3 3 9" xfId="12031" xr:uid="{00000000-0005-0000-0000-0000E13C0000}"/>
    <cellStyle name="Note 5 2 3 4" xfId="6538" xr:uid="{00000000-0005-0000-0000-0000E23C0000}"/>
    <cellStyle name="Note 5 2 3 4 2" xfId="14041" xr:uid="{00000000-0005-0000-0000-0000E33C0000}"/>
    <cellStyle name="Note 5 2 3 4 3" xfId="14533" xr:uid="{00000000-0005-0000-0000-0000E43C0000}"/>
    <cellStyle name="Note 5 2 3 4 4" xfId="13049" xr:uid="{00000000-0005-0000-0000-0000E53C0000}"/>
    <cellStyle name="Note 5 2 3 4 5" xfId="14179" xr:uid="{00000000-0005-0000-0000-0000E63C0000}"/>
    <cellStyle name="Note 5 2 3 4 6" xfId="13079" xr:uid="{00000000-0005-0000-0000-0000E73C0000}"/>
    <cellStyle name="Note 5 2 3 5" xfId="6149" xr:uid="{00000000-0005-0000-0000-0000E83C0000}"/>
    <cellStyle name="Note 5 2 3 5 2" xfId="13881" xr:uid="{00000000-0005-0000-0000-0000E93C0000}"/>
    <cellStyle name="Note 5 2 3 5 3" xfId="13537" xr:uid="{00000000-0005-0000-0000-0000EA3C0000}"/>
    <cellStyle name="Note 5 2 3 5 4" xfId="14909" xr:uid="{00000000-0005-0000-0000-0000EB3C0000}"/>
    <cellStyle name="Note 5 2 3 5 5" xfId="14946" xr:uid="{00000000-0005-0000-0000-0000EC3C0000}"/>
    <cellStyle name="Note 5 2 3 5 6" xfId="12174" xr:uid="{00000000-0005-0000-0000-0000ED3C0000}"/>
    <cellStyle name="Note 5 2 3 6" xfId="6186" xr:uid="{00000000-0005-0000-0000-0000EE3C0000}"/>
    <cellStyle name="Note 5 2 3 6 2" xfId="13918" xr:uid="{00000000-0005-0000-0000-0000EF3C0000}"/>
    <cellStyle name="Note 5 2 3 6 3" xfId="13200" xr:uid="{00000000-0005-0000-0000-0000F03C0000}"/>
    <cellStyle name="Note 5 2 3 6 4" xfId="12894" xr:uid="{00000000-0005-0000-0000-0000F13C0000}"/>
    <cellStyle name="Note 5 2 3 6 5" xfId="16319" xr:uid="{00000000-0005-0000-0000-0000F23C0000}"/>
    <cellStyle name="Note 5 2 3 6 6" xfId="12972" xr:uid="{00000000-0005-0000-0000-0000F33C0000}"/>
    <cellStyle name="Note 5 2 3 7" xfId="12265" xr:uid="{00000000-0005-0000-0000-0000F43C0000}"/>
    <cellStyle name="Note 5 2 3 8" xfId="14822" xr:uid="{00000000-0005-0000-0000-0000F53C0000}"/>
    <cellStyle name="Note 5 2 3 9" xfId="15068" xr:uid="{00000000-0005-0000-0000-0000F63C0000}"/>
    <cellStyle name="Note 5 2 4" xfId="2554" xr:uid="{00000000-0005-0000-0000-0000F73C0000}"/>
    <cellStyle name="Note 5 2 4 2" xfId="5001" xr:uid="{00000000-0005-0000-0000-0000F83C0000}"/>
    <cellStyle name="Note 5 2 4 2 2" xfId="10097" xr:uid="{00000000-0005-0000-0000-0000F93C0000}"/>
    <cellStyle name="Note 5 2 4 3" xfId="7658" xr:uid="{00000000-0005-0000-0000-0000FA3C0000}"/>
    <cellStyle name="Note 5 2 5" xfId="3818" xr:uid="{00000000-0005-0000-0000-0000FB3C0000}"/>
    <cellStyle name="Note 5 2 5 2" xfId="8917" xr:uid="{00000000-0005-0000-0000-0000FC3C0000}"/>
    <cellStyle name="Note 5 2 6" xfId="6398" xr:uid="{00000000-0005-0000-0000-0000FD3C0000}"/>
    <cellStyle name="Note 5 3" xfId="933" xr:uid="{00000000-0005-0000-0000-0000FE3C0000}"/>
    <cellStyle name="Note 5 3 2" xfId="2632" xr:uid="{00000000-0005-0000-0000-0000FF3C0000}"/>
    <cellStyle name="Note 5 3 2 2" xfId="5076" xr:uid="{00000000-0005-0000-0000-0000003D0000}"/>
    <cellStyle name="Note 5 3 2 2 2" xfId="10172" xr:uid="{00000000-0005-0000-0000-0000013D0000}"/>
    <cellStyle name="Note 5 3 2 3" xfId="7735" xr:uid="{00000000-0005-0000-0000-0000023D0000}"/>
    <cellStyle name="Note 5 3 3" xfId="3893" xr:uid="{00000000-0005-0000-0000-0000033D0000}"/>
    <cellStyle name="Note 5 3 3 2" xfId="8992" xr:uid="{00000000-0005-0000-0000-0000043D0000}"/>
    <cellStyle name="Note 5 3 4" xfId="6478" xr:uid="{00000000-0005-0000-0000-0000053D0000}"/>
    <cellStyle name="Note 5 4" xfId="1021" xr:uid="{00000000-0005-0000-0000-0000063D0000}"/>
    <cellStyle name="Note 5 4 10" xfId="13490" xr:uid="{00000000-0005-0000-0000-0000073D0000}"/>
    <cellStyle name="Note 5 4 11" xfId="15176" xr:uid="{00000000-0005-0000-0000-0000083D0000}"/>
    <cellStyle name="Note 5 4 2" xfId="2651" xr:uid="{00000000-0005-0000-0000-0000093D0000}"/>
    <cellStyle name="Note 5 4 2 10" xfId="14334" xr:uid="{00000000-0005-0000-0000-00000A3D0000}"/>
    <cellStyle name="Note 5 4 2 2" xfId="6067" xr:uid="{00000000-0005-0000-0000-00000B3D0000}"/>
    <cellStyle name="Note 5 4 2 2 2" xfId="11163" xr:uid="{00000000-0005-0000-0000-00000C3D0000}"/>
    <cellStyle name="Note 5 4 2 2 2 2" xfId="15469" xr:uid="{00000000-0005-0000-0000-00000D3D0000}"/>
    <cellStyle name="Note 5 4 2 2 2 3" xfId="16548" xr:uid="{00000000-0005-0000-0000-00000E3D0000}"/>
    <cellStyle name="Note 5 4 2 2 2 4" xfId="17582" xr:uid="{00000000-0005-0000-0000-00000F3D0000}"/>
    <cellStyle name="Note 5 4 2 2 2 5" xfId="18552" xr:uid="{00000000-0005-0000-0000-0000103D0000}"/>
    <cellStyle name="Note 5 4 2 2 2 6" xfId="19458" xr:uid="{00000000-0005-0000-0000-0000113D0000}"/>
    <cellStyle name="Note 5 4 2 2 3" xfId="11745" xr:uid="{00000000-0005-0000-0000-0000123D0000}"/>
    <cellStyle name="Note 5 4 2 2 3 2" xfId="16051" xr:uid="{00000000-0005-0000-0000-0000133D0000}"/>
    <cellStyle name="Note 5 4 2 2 3 3" xfId="17130" xr:uid="{00000000-0005-0000-0000-0000143D0000}"/>
    <cellStyle name="Note 5 4 2 2 3 4" xfId="18152" xr:uid="{00000000-0005-0000-0000-0000153D0000}"/>
    <cellStyle name="Note 5 4 2 2 3 5" xfId="19122" xr:uid="{00000000-0005-0000-0000-0000163D0000}"/>
    <cellStyle name="Note 5 4 2 2 3 6" xfId="20028" xr:uid="{00000000-0005-0000-0000-0000173D0000}"/>
    <cellStyle name="Note 5 4 2 2 4" xfId="11917" xr:uid="{00000000-0005-0000-0000-0000183D0000}"/>
    <cellStyle name="Note 5 4 2 2 4 2" xfId="16223" xr:uid="{00000000-0005-0000-0000-0000193D0000}"/>
    <cellStyle name="Note 5 4 2 2 4 3" xfId="17302" xr:uid="{00000000-0005-0000-0000-00001A3D0000}"/>
    <cellStyle name="Note 5 4 2 2 4 4" xfId="18320" xr:uid="{00000000-0005-0000-0000-00001B3D0000}"/>
    <cellStyle name="Note 5 4 2 2 4 5" xfId="19290" xr:uid="{00000000-0005-0000-0000-00001C3D0000}"/>
    <cellStyle name="Note 5 4 2 2 4 6" xfId="20196" xr:uid="{00000000-0005-0000-0000-00001D3D0000}"/>
    <cellStyle name="Note 5 4 2 2 5" xfId="13800" xr:uid="{00000000-0005-0000-0000-00001E3D0000}"/>
    <cellStyle name="Note 5 4 2 2 6" xfId="14539" xr:uid="{00000000-0005-0000-0000-00001F3D0000}"/>
    <cellStyle name="Note 5 4 2 2 7" xfId="15186" xr:uid="{00000000-0005-0000-0000-0000203D0000}"/>
    <cellStyle name="Note 5 4 2 2 8" xfId="14922" xr:uid="{00000000-0005-0000-0000-0000213D0000}"/>
    <cellStyle name="Note 5 4 2 2 9" xfId="14941" xr:uid="{00000000-0005-0000-0000-0000223D0000}"/>
    <cellStyle name="Note 5 4 2 3" xfId="7754" xr:uid="{00000000-0005-0000-0000-0000233D0000}"/>
    <cellStyle name="Note 5 4 2 3 2" xfId="14420" xr:uid="{00000000-0005-0000-0000-0000243D0000}"/>
    <cellStyle name="Note 5 4 2 3 3" xfId="13513" xr:uid="{00000000-0005-0000-0000-0000253D0000}"/>
    <cellStyle name="Note 5 4 2 3 4" xfId="13224" xr:uid="{00000000-0005-0000-0000-0000263D0000}"/>
    <cellStyle name="Note 5 4 2 3 5" xfId="13636" xr:uid="{00000000-0005-0000-0000-0000273D0000}"/>
    <cellStyle name="Note 5 4 2 3 6" xfId="13362" xr:uid="{00000000-0005-0000-0000-0000283D0000}"/>
    <cellStyle name="Note 5 4 2 4" xfId="11353" xr:uid="{00000000-0005-0000-0000-0000293D0000}"/>
    <cellStyle name="Note 5 4 2 4 2" xfId="15659" xr:uid="{00000000-0005-0000-0000-00002A3D0000}"/>
    <cellStyle name="Note 5 4 2 4 3" xfId="16738" xr:uid="{00000000-0005-0000-0000-00002B3D0000}"/>
    <cellStyle name="Note 5 4 2 4 4" xfId="17767" xr:uid="{00000000-0005-0000-0000-00002C3D0000}"/>
    <cellStyle name="Note 5 4 2 4 5" xfId="18737" xr:uid="{00000000-0005-0000-0000-00002D3D0000}"/>
    <cellStyle name="Note 5 4 2 4 6" xfId="19643" xr:uid="{00000000-0005-0000-0000-00002E3D0000}"/>
    <cellStyle name="Note 5 4 2 5" xfId="11441" xr:uid="{00000000-0005-0000-0000-00002F3D0000}"/>
    <cellStyle name="Note 5 4 2 5 2" xfId="15747" xr:uid="{00000000-0005-0000-0000-0000303D0000}"/>
    <cellStyle name="Note 5 4 2 5 3" xfId="16826" xr:uid="{00000000-0005-0000-0000-0000313D0000}"/>
    <cellStyle name="Note 5 4 2 5 4" xfId="17854" xr:uid="{00000000-0005-0000-0000-0000323D0000}"/>
    <cellStyle name="Note 5 4 2 5 5" xfId="18824" xr:uid="{00000000-0005-0000-0000-0000333D0000}"/>
    <cellStyle name="Note 5 4 2 5 6" xfId="19730" xr:uid="{00000000-0005-0000-0000-0000343D0000}"/>
    <cellStyle name="Note 5 4 2 6" xfId="12721" xr:uid="{00000000-0005-0000-0000-0000353D0000}"/>
    <cellStyle name="Note 5 4 2 7" xfId="12057" xr:uid="{00000000-0005-0000-0000-0000363D0000}"/>
    <cellStyle name="Note 5 4 2 8" xfId="15367" xr:uid="{00000000-0005-0000-0000-0000373D0000}"/>
    <cellStyle name="Note 5 4 2 9" xfId="15064" xr:uid="{00000000-0005-0000-0000-0000383D0000}"/>
    <cellStyle name="Note 5 4 3" xfId="5992" xr:uid="{00000000-0005-0000-0000-0000393D0000}"/>
    <cellStyle name="Note 5 4 3 2" xfId="11088" xr:uid="{00000000-0005-0000-0000-00003A3D0000}"/>
    <cellStyle name="Note 5 4 3 2 2" xfId="15394" xr:uid="{00000000-0005-0000-0000-00003B3D0000}"/>
    <cellStyle name="Note 5 4 3 2 3" xfId="16473" xr:uid="{00000000-0005-0000-0000-00003C3D0000}"/>
    <cellStyle name="Note 5 4 3 2 4" xfId="17508" xr:uid="{00000000-0005-0000-0000-00003D3D0000}"/>
    <cellStyle name="Note 5 4 3 2 5" xfId="18478" xr:uid="{00000000-0005-0000-0000-00003E3D0000}"/>
    <cellStyle name="Note 5 4 3 2 6" xfId="19384" xr:uid="{00000000-0005-0000-0000-00003F3D0000}"/>
    <cellStyle name="Note 5 4 3 3" xfId="11670" xr:uid="{00000000-0005-0000-0000-0000403D0000}"/>
    <cellStyle name="Note 5 4 3 3 2" xfId="15976" xr:uid="{00000000-0005-0000-0000-0000413D0000}"/>
    <cellStyle name="Note 5 4 3 3 3" xfId="17055" xr:uid="{00000000-0005-0000-0000-0000423D0000}"/>
    <cellStyle name="Note 5 4 3 3 4" xfId="18078" xr:uid="{00000000-0005-0000-0000-0000433D0000}"/>
    <cellStyle name="Note 5 4 3 3 5" xfId="19048" xr:uid="{00000000-0005-0000-0000-0000443D0000}"/>
    <cellStyle name="Note 5 4 3 3 6" xfId="19954" xr:uid="{00000000-0005-0000-0000-0000453D0000}"/>
    <cellStyle name="Note 5 4 3 4" xfId="11842" xr:uid="{00000000-0005-0000-0000-0000463D0000}"/>
    <cellStyle name="Note 5 4 3 4 2" xfId="16148" xr:uid="{00000000-0005-0000-0000-0000473D0000}"/>
    <cellStyle name="Note 5 4 3 4 3" xfId="17227" xr:uid="{00000000-0005-0000-0000-0000483D0000}"/>
    <cellStyle name="Note 5 4 3 4 4" xfId="18246" xr:uid="{00000000-0005-0000-0000-0000493D0000}"/>
    <cellStyle name="Note 5 4 3 4 5" xfId="19216" xr:uid="{00000000-0005-0000-0000-00004A3D0000}"/>
    <cellStyle name="Note 5 4 3 4 6" xfId="20122" xr:uid="{00000000-0005-0000-0000-00004B3D0000}"/>
    <cellStyle name="Note 5 4 3 5" xfId="13725" xr:uid="{00000000-0005-0000-0000-00004C3D0000}"/>
    <cellStyle name="Note 5 4 3 6" xfId="14307" xr:uid="{00000000-0005-0000-0000-00004D3D0000}"/>
    <cellStyle name="Note 5 4 3 7" xfId="14097" xr:uid="{00000000-0005-0000-0000-00004E3D0000}"/>
    <cellStyle name="Note 5 4 3 8" xfId="14257" xr:uid="{00000000-0005-0000-0000-00004F3D0000}"/>
    <cellStyle name="Note 5 4 3 9" xfId="14265" xr:uid="{00000000-0005-0000-0000-0000503D0000}"/>
    <cellStyle name="Note 5 4 4" xfId="6498" xr:uid="{00000000-0005-0000-0000-0000513D0000}"/>
    <cellStyle name="Note 5 4 4 2" xfId="14011" xr:uid="{00000000-0005-0000-0000-0000523D0000}"/>
    <cellStyle name="Note 5 4 4 3" xfId="14534" xr:uid="{00000000-0005-0000-0000-0000533D0000}"/>
    <cellStyle name="Note 5 4 4 4" xfId="14078" xr:uid="{00000000-0005-0000-0000-0000543D0000}"/>
    <cellStyle name="Note 5 4 4 5" xfId="12514" xr:uid="{00000000-0005-0000-0000-0000553D0000}"/>
    <cellStyle name="Note 5 4 4 6" xfId="13617" xr:uid="{00000000-0005-0000-0000-0000563D0000}"/>
    <cellStyle name="Note 5 4 5" xfId="6689" xr:uid="{00000000-0005-0000-0000-0000573D0000}"/>
    <cellStyle name="Note 5 4 5 2" xfId="14092" xr:uid="{00000000-0005-0000-0000-0000583D0000}"/>
    <cellStyle name="Note 5 4 5 3" xfId="14114" xr:uid="{00000000-0005-0000-0000-0000593D0000}"/>
    <cellStyle name="Note 5 4 5 4" xfId="12830" xr:uid="{00000000-0005-0000-0000-00005A3D0000}"/>
    <cellStyle name="Note 5 4 5 5" xfId="17396" xr:uid="{00000000-0005-0000-0000-00005B3D0000}"/>
    <cellStyle name="Note 5 4 5 6" xfId="13389" xr:uid="{00000000-0005-0000-0000-00005C3D0000}"/>
    <cellStyle name="Note 5 4 6" xfId="11454" xr:uid="{00000000-0005-0000-0000-00005D3D0000}"/>
    <cellStyle name="Note 5 4 6 2" xfId="15760" xr:uid="{00000000-0005-0000-0000-00005E3D0000}"/>
    <cellStyle name="Note 5 4 6 3" xfId="16839" xr:uid="{00000000-0005-0000-0000-00005F3D0000}"/>
    <cellStyle name="Note 5 4 6 4" xfId="17867" xr:uid="{00000000-0005-0000-0000-0000603D0000}"/>
    <cellStyle name="Note 5 4 6 5" xfId="18837" xr:uid="{00000000-0005-0000-0000-0000613D0000}"/>
    <cellStyle name="Note 5 4 6 6" xfId="19743" xr:uid="{00000000-0005-0000-0000-0000623D0000}"/>
    <cellStyle name="Note 5 4 7" xfId="12213" xr:uid="{00000000-0005-0000-0000-0000633D0000}"/>
    <cellStyle name="Note 5 4 8" xfId="14765" xr:uid="{00000000-0005-0000-0000-0000643D0000}"/>
    <cellStyle name="Note 5 4 9" xfId="14757" xr:uid="{00000000-0005-0000-0000-0000653D0000}"/>
    <cellStyle name="Note 5 5" xfId="2147" xr:uid="{00000000-0005-0000-0000-0000663D0000}"/>
    <cellStyle name="Note 6" xfId="455" xr:uid="{00000000-0005-0000-0000-0000673D0000}"/>
    <cellStyle name="Note 6 2" xfId="575" xr:uid="{00000000-0005-0000-0000-0000683D0000}"/>
    <cellStyle name="Note 6 2 2" xfId="1113" xr:uid="{00000000-0005-0000-0000-0000693D0000}"/>
    <cellStyle name="Note 6 2 2 2" xfId="2703" xr:uid="{00000000-0005-0000-0000-00006A3D0000}"/>
    <cellStyle name="Note 6 2 2 2 10" xfId="13955" xr:uid="{00000000-0005-0000-0000-00006B3D0000}"/>
    <cellStyle name="Note 6 2 2 2 11" xfId="12913" xr:uid="{00000000-0005-0000-0000-00006C3D0000}"/>
    <cellStyle name="Note 6 2 2 2 2" xfId="6103" xr:uid="{00000000-0005-0000-0000-00006D3D0000}"/>
    <cellStyle name="Note 6 2 2 2 2 2" xfId="11199" xr:uid="{00000000-0005-0000-0000-00006E3D0000}"/>
    <cellStyle name="Note 6 2 2 2 2 2 2" xfId="15505" xr:uid="{00000000-0005-0000-0000-00006F3D0000}"/>
    <cellStyle name="Note 6 2 2 2 2 2 3" xfId="16584" xr:uid="{00000000-0005-0000-0000-0000703D0000}"/>
    <cellStyle name="Note 6 2 2 2 2 2 4" xfId="17618" xr:uid="{00000000-0005-0000-0000-0000713D0000}"/>
    <cellStyle name="Note 6 2 2 2 2 2 5" xfId="18588" xr:uid="{00000000-0005-0000-0000-0000723D0000}"/>
    <cellStyle name="Note 6 2 2 2 2 2 6" xfId="19494" xr:uid="{00000000-0005-0000-0000-0000733D0000}"/>
    <cellStyle name="Note 6 2 2 2 2 3" xfId="11781" xr:uid="{00000000-0005-0000-0000-0000743D0000}"/>
    <cellStyle name="Note 6 2 2 2 2 3 2" xfId="16087" xr:uid="{00000000-0005-0000-0000-0000753D0000}"/>
    <cellStyle name="Note 6 2 2 2 2 3 3" xfId="17166" xr:uid="{00000000-0005-0000-0000-0000763D0000}"/>
    <cellStyle name="Note 6 2 2 2 2 3 4" xfId="18188" xr:uid="{00000000-0005-0000-0000-0000773D0000}"/>
    <cellStyle name="Note 6 2 2 2 2 3 5" xfId="19158" xr:uid="{00000000-0005-0000-0000-0000783D0000}"/>
    <cellStyle name="Note 6 2 2 2 2 3 6" xfId="20064" xr:uid="{00000000-0005-0000-0000-0000793D0000}"/>
    <cellStyle name="Note 6 2 2 2 2 4" xfId="11953" xr:uid="{00000000-0005-0000-0000-00007A3D0000}"/>
    <cellStyle name="Note 6 2 2 2 2 4 2" xfId="16259" xr:uid="{00000000-0005-0000-0000-00007B3D0000}"/>
    <cellStyle name="Note 6 2 2 2 2 4 3" xfId="17338" xr:uid="{00000000-0005-0000-0000-00007C3D0000}"/>
    <cellStyle name="Note 6 2 2 2 2 4 4" xfId="18356" xr:uid="{00000000-0005-0000-0000-00007D3D0000}"/>
    <cellStyle name="Note 6 2 2 2 2 4 5" xfId="19326" xr:uid="{00000000-0005-0000-0000-00007E3D0000}"/>
    <cellStyle name="Note 6 2 2 2 2 4 6" xfId="20232" xr:uid="{00000000-0005-0000-0000-00007F3D0000}"/>
    <cellStyle name="Note 6 2 2 2 2 5" xfId="13836" xr:uid="{00000000-0005-0000-0000-0000803D0000}"/>
    <cellStyle name="Note 6 2 2 2 2 6" xfId="12378" xr:uid="{00000000-0005-0000-0000-0000813D0000}"/>
    <cellStyle name="Note 6 2 2 2 2 7" xfId="14252" xr:uid="{00000000-0005-0000-0000-0000823D0000}"/>
    <cellStyle name="Note 6 2 2 2 2 8" xfId="17416" xr:uid="{00000000-0005-0000-0000-0000833D0000}"/>
    <cellStyle name="Note 6 2 2 2 2 9" xfId="13564" xr:uid="{00000000-0005-0000-0000-0000843D0000}"/>
    <cellStyle name="Note 6 2 2 2 3" xfId="5111" xr:uid="{00000000-0005-0000-0000-0000853D0000}"/>
    <cellStyle name="Note 6 2 2 2 3 2" xfId="10207" xr:uid="{00000000-0005-0000-0000-0000863D0000}"/>
    <cellStyle name="Note 6 2 2 2 3 2 2" xfId="15145" xr:uid="{00000000-0005-0000-0000-0000873D0000}"/>
    <cellStyle name="Note 6 2 2 2 3 2 3" xfId="14483" xr:uid="{00000000-0005-0000-0000-0000883D0000}"/>
    <cellStyle name="Note 6 2 2 2 3 2 4" xfId="12812" xr:uid="{00000000-0005-0000-0000-0000893D0000}"/>
    <cellStyle name="Note 6 2 2 2 3 2 5" xfId="12001" xr:uid="{00000000-0005-0000-0000-00008A3D0000}"/>
    <cellStyle name="Note 6 2 2 2 3 2 6" xfId="13666" xr:uid="{00000000-0005-0000-0000-00008B3D0000}"/>
    <cellStyle name="Note 6 2 2 2 3 3" xfId="11589" xr:uid="{00000000-0005-0000-0000-00008C3D0000}"/>
    <cellStyle name="Note 6 2 2 2 3 3 2" xfId="15895" xr:uid="{00000000-0005-0000-0000-00008D3D0000}"/>
    <cellStyle name="Note 6 2 2 2 3 3 3" xfId="16974" xr:uid="{00000000-0005-0000-0000-00008E3D0000}"/>
    <cellStyle name="Note 6 2 2 2 3 3 4" xfId="17998" xr:uid="{00000000-0005-0000-0000-00008F3D0000}"/>
    <cellStyle name="Note 6 2 2 2 3 3 5" xfId="18968" xr:uid="{00000000-0005-0000-0000-0000903D0000}"/>
    <cellStyle name="Note 6 2 2 2 3 3 6" xfId="19874" xr:uid="{00000000-0005-0000-0000-0000913D0000}"/>
    <cellStyle name="Note 6 2 2 2 3 4" xfId="6533" xr:uid="{00000000-0005-0000-0000-0000923D0000}"/>
    <cellStyle name="Note 6 2 2 2 3 4 2" xfId="14036" xr:uid="{00000000-0005-0000-0000-0000933D0000}"/>
    <cellStyle name="Note 6 2 2 2 3 4 3" xfId="12835" xr:uid="{00000000-0005-0000-0000-0000943D0000}"/>
    <cellStyle name="Note 6 2 2 2 3 4 4" xfId="12252" xr:uid="{00000000-0005-0000-0000-0000953D0000}"/>
    <cellStyle name="Note 6 2 2 2 3 4 5" xfId="17400" xr:uid="{00000000-0005-0000-0000-0000963D0000}"/>
    <cellStyle name="Note 6 2 2 2 3 4 6" xfId="14243" xr:uid="{00000000-0005-0000-0000-0000973D0000}"/>
    <cellStyle name="Note 6 2 2 2 3 5" xfId="13465" xr:uid="{00000000-0005-0000-0000-0000983D0000}"/>
    <cellStyle name="Note 6 2 2 2 3 6" xfId="14293" xr:uid="{00000000-0005-0000-0000-0000993D0000}"/>
    <cellStyle name="Note 6 2 2 2 3 7" xfId="13033" xr:uid="{00000000-0005-0000-0000-00009A3D0000}"/>
    <cellStyle name="Note 6 2 2 2 3 8" xfId="12990" xr:uid="{00000000-0005-0000-0000-00009B3D0000}"/>
    <cellStyle name="Note 6 2 2 2 3 9" xfId="13422" xr:uid="{00000000-0005-0000-0000-00009C3D0000}"/>
    <cellStyle name="Note 6 2 2 2 4" xfId="7806" xr:uid="{00000000-0005-0000-0000-00009D3D0000}"/>
    <cellStyle name="Note 6 2 2 2 4 2" xfId="14457" xr:uid="{00000000-0005-0000-0000-00009E3D0000}"/>
    <cellStyle name="Note 6 2 2 2 4 3" xfId="12811" xr:uid="{00000000-0005-0000-0000-00009F3D0000}"/>
    <cellStyle name="Note 6 2 2 2 4 4" xfId="12080" xr:uid="{00000000-0005-0000-0000-0000A03D0000}"/>
    <cellStyle name="Note 6 2 2 2 4 5" xfId="13317" xr:uid="{00000000-0005-0000-0000-0000A13D0000}"/>
    <cellStyle name="Note 6 2 2 2 4 6" xfId="13447" xr:uid="{00000000-0005-0000-0000-0000A23D0000}"/>
    <cellStyle name="Note 6 2 2 2 5" xfId="11389" xr:uid="{00000000-0005-0000-0000-0000A33D0000}"/>
    <cellStyle name="Note 6 2 2 2 5 2" xfId="15695" xr:uid="{00000000-0005-0000-0000-0000A43D0000}"/>
    <cellStyle name="Note 6 2 2 2 5 3" xfId="16774" xr:uid="{00000000-0005-0000-0000-0000A53D0000}"/>
    <cellStyle name="Note 6 2 2 2 5 4" xfId="17803" xr:uid="{00000000-0005-0000-0000-0000A63D0000}"/>
    <cellStyle name="Note 6 2 2 2 5 5" xfId="18773" xr:uid="{00000000-0005-0000-0000-0000A73D0000}"/>
    <cellStyle name="Note 6 2 2 2 5 6" xfId="19679" xr:uid="{00000000-0005-0000-0000-0000A83D0000}"/>
    <cellStyle name="Note 6 2 2 2 6" xfId="11433" xr:uid="{00000000-0005-0000-0000-0000A93D0000}"/>
    <cellStyle name="Note 6 2 2 2 6 2" xfId="15739" xr:uid="{00000000-0005-0000-0000-0000AA3D0000}"/>
    <cellStyle name="Note 6 2 2 2 6 3" xfId="16818" xr:uid="{00000000-0005-0000-0000-0000AB3D0000}"/>
    <cellStyle name="Note 6 2 2 2 6 4" xfId="17846" xr:uid="{00000000-0005-0000-0000-0000AC3D0000}"/>
    <cellStyle name="Note 6 2 2 2 6 5" xfId="18816" xr:uid="{00000000-0005-0000-0000-0000AD3D0000}"/>
    <cellStyle name="Note 6 2 2 2 6 6" xfId="19722" xr:uid="{00000000-0005-0000-0000-0000AE3D0000}"/>
    <cellStyle name="Note 6 2 2 2 7" xfId="12760" xr:uid="{00000000-0005-0000-0000-0000AF3D0000}"/>
    <cellStyle name="Note 6 2 2 2 8" xfId="12923" xr:uid="{00000000-0005-0000-0000-0000B03D0000}"/>
    <cellStyle name="Note 6 2 2 2 9" xfId="15074" xr:uid="{00000000-0005-0000-0000-0000B13D0000}"/>
    <cellStyle name="Note 6 2 2 3" xfId="3928" xr:uid="{00000000-0005-0000-0000-0000B23D0000}"/>
    <cellStyle name="Note 6 2 2 3 2" xfId="9027" xr:uid="{00000000-0005-0000-0000-0000B33D0000}"/>
    <cellStyle name="Note 6 2 2 3 2 2" xfId="14805" xr:uid="{00000000-0005-0000-0000-0000B43D0000}"/>
    <cellStyle name="Note 6 2 2 3 2 3" xfId="14840" xr:uid="{00000000-0005-0000-0000-0000B53D0000}"/>
    <cellStyle name="Note 6 2 2 3 2 4" xfId="14784" xr:uid="{00000000-0005-0000-0000-0000B63D0000}"/>
    <cellStyle name="Note 6 2 2 3 2 5" xfId="14069" xr:uid="{00000000-0005-0000-0000-0000B73D0000}"/>
    <cellStyle name="Note 6 2 2 3 2 6" xfId="12899" xr:uid="{00000000-0005-0000-0000-0000B83D0000}"/>
    <cellStyle name="Note 6 2 2 3 3" xfId="11495" xr:uid="{00000000-0005-0000-0000-0000B93D0000}"/>
    <cellStyle name="Note 6 2 2 3 3 2" xfId="15801" xr:uid="{00000000-0005-0000-0000-0000BA3D0000}"/>
    <cellStyle name="Note 6 2 2 3 3 3" xfId="16880" xr:uid="{00000000-0005-0000-0000-0000BB3D0000}"/>
    <cellStyle name="Note 6 2 2 3 3 4" xfId="17906" xr:uid="{00000000-0005-0000-0000-0000BC3D0000}"/>
    <cellStyle name="Note 6 2 2 3 3 5" xfId="18876" xr:uid="{00000000-0005-0000-0000-0000BD3D0000}"/>
    <cellStyle name="Note 6 2 2 3 3 6" xfId="19782" xr:uid="{00000000-0005-0000-0000-0000BE3D0000}"/>
    <cellStyle name="Note 6 2 2 3 4" xfId="7157" xr:uid="{00000000-0005-0000-0000-0000BF3D0000}"/>
    <cellStyle name="Note 6 2 2 3 4 2" xfId="14226" xr:uid="{00000000-0005-0000-0000-0000C03D0000}"/>
    <cellStyle name="Note 6 2 2 3 4 3" xfId="13414" xr:uid="{00000000-0005-0000-0000-0000C13D0000}"/>
    <cellStyle name="Note 6 2 2 3 4 4" xfId="14576" xr:uid="{00000000-0005-0000-0000-0000C23D0000}"/>
    <cellStyle name="Note 6 2 2 3 4 5" xfId="15004" xr:uid="{00000000-0005-0000-0000-0000C33D0000}"/>
    <cellStyle name="Note 6 2 2 3 4 6" xfId="14204" xr:uid="{00000000-0005-0000-0000-0000C43D0000}"/>
    <cellStyle name="Note 6 2 2 3 5" xfId="13117" xr:uid="{00000000-0005-0000-0000-0000C53D0000}"/>
    <cellStyle name="Note 6 2 2 3 6" xfId="15281" xr:uid="{00000000-0005-0000-0000-0000C63D0000}"/>
    <cellStyle name="Note 6 2 2 3 7" xfId="16378" xr:uid="{00000000-0005-0000-0000-0000C73D0000}"/>
    <cellStyle name="Note 6 2 2 3 8" xfId="12542" xr:uid="{00000000-0005-0000-0000-0000C83D0000}"/>
    <cellStyle name="Note 6 2 2 3 9" xfId="18428" xr:uid="{00000000-0005-0000-0000-0000C93D0000}"/>
    <cellStyle name="Note 6 2 3" xfId="1137" xr:uid="{00000000-0005-0000-0000-0000CA3D0000}"/>
    <cellStyle name="Note 6 2 3 10" xfId="13299" xr:uid="{00000000-0005-0000-0000-0000CB3D0000}"/>
    <cellStyle name="Note 6 2 3 11" xfId="14242" xr:uid="{00000000-0005-0000-0000-0000CC3D0000}"/>
    <cellStyle name="Note 6 2 3 2" xfId="2724" xr:uid="{00000000-0005-0000-0000-0000CD3D0000}"/>
    <cellStyle name="Note 6 2 3 2 10" xfId="12624" xr:uid="{00000000-0005-0000-0000-0000CE3D0000}"/>
    <cellStyle name="Note 6 2 3 2 2" xfId="6124" xr:uid="{00000000-0005-0000-0000-0000CF3D0000}"/>
    <cellStyle name="Note 6 2 3 2 2 2" xfId="11220" xr:uid="{00000000-0005-0000-0000-0000D03D0000}"/>
    <cellStyle name="Note 6 2 3 2 2 2 2" xfId="15526" xr:uid="{00000000-0005-0000-0000-0000D13D0000}"/>
    <cellStyle name="Note 6 2 3 2 2 2 3" xfId="16605" xr:uid="{00000000-0005-0000-0000-0000D23D0000}"/>
    <cellStyle name="Note 6 2 3 2 2 2 4" xfId="17639" xr:uid="{00000000-0005-0000-0000-0000D33D0000}"/>
    <cellStyle name="Note 6 2 3 2 2 2 5" xfId="18609" xr:uid="{00000000-0005-0000-0000-0000D43D0000}"/>
    <cellStyle name="Note 6 2 3 2 2 2 6" xfId="19515" xr:uid="{00000000-0005-0000-0000-0000D53D0000}"/>
    <cellStyle name="Note 6 2 3 2 2 3" xfId="11802" xr:uid="{00000000-0005-0000-0000-0000D63D0000}"/>
    <cellStyle name="Note 6 2 3 2 2 3 2" xfId="16108" xr:uid="{00000000-0005-0000-0000-0000D73D0000}"/>
    <cellStyle name="Note 6 2 3 2 2 3 3" xfId="17187" xr:uid="{00000000-0005-0000-0000-0000D83D0000}"/>
    <cellStyle name="Note 6 2 3 2 2 3 4" xfId="18209" xr:uid="{00000000-0005-0000-0000-0000D93D0000}"/>
    <cellStyle name="Note 6 2 3 2 2 3 5" xfId="19179" xr:uid="{00000000-0005-0000-0000-0000DA3D0000}"/>
    <cellStyle name="Note 6 2 3 2 2 3 6" xfId="20085" xr:uid="{00000000-0005-0000-0000-0000DB3D0000}"/>
    <cellStyle name="Note 6 2 3 2 2 4" xfId="11974" xr:uid="{00000000-0005-0000-0000-0000DC3D0000}"/>
    <cellStyle name="Note 6 2 3 2 2 4 2" xfId="16280" xr:uid="{00000000-0005-0000-0000-0000DD3D0000}"/>
    <cellStyle name="Note 6 2 3 2 2 4 3" xfId="17359" xr:uid="{00000000-0005-0000-0000-0000DE3D0000}"/>
    <cellStyle name="Note 6 2 3 2 2 4 4" xfId="18377" xr:uid="{00000000-0005-0000-0000-0000DF3D0000}"/>
    <cellStyle name="Note 6 2 3 2 2 4 5" xfId="19347" xr:uid="{00000000-0005-0000-0000-0000E03D0000}"/>
    <cellStyle name="Note 6 2 3 2 2 4 6" xfId="20253" xr:uid="{00000000-0005-0000-0000-0000E13D0000}"/>
    <cellStyle name="Note 6 2 3 2 2 5" xfId="13857" xr:uid="{00000000-0005-0000-0000-0000E23D0000}"/>
    <cellStyle name="Note 6 2 3 2 2 6" xfId="13545" xr:uid="{00000000-0005-0000-0000-0000E33D0000}"/>
    <cellStyle name="Note 6 2 3 2 2 7" xfId="13222" xr:uid="{00000000-0005-0000-0000-0000E43D0000}"/>
    <cellStyle name="Note 6 2 3 2 2 8" xfId="16372" xr:uid="{00000000-0005-0000-0000-0000E53D0000}"/>
    <cellStyle name="Note 6 2 3 2 2 9" xfId="13953" xr:uid="{00000000-0005-0000-0000-0000E63D0000}"/>
    <cellStyle name="Note 6 2 3 2 3" xfId="7827" xr:uid="{00000000-0005-0000-0000-0000E73D0000}"/>
    <cellStyle name="Note 6 2 3 2 3 2" xfId="14478" xr:uid="{00000000-0005-0000-0000-0000E83D0000}"/>
    <cellStyle name="Note 6 2 3 2 3 3" xfId="15190" xr:uid="{00000000-0005-0000-0000-0000E93D0000}"/>
    <cellStyle name="Note 6 2 3 2 3 4" xfId="16308" xr:uid="{00000000-0005-0000-0000-0000EA3D0000}"/>
    <cellStyle name="Note 6 2 3 2 3 5" xfId="14836" xr:uid="{00000000-0005-0000-0000-0000EB3D0000}"/>
    <cellStyle name="Note 6 2 3 2 3 6" xfId="17470" xr:uid="{00000000-0005-0000-0000-0000EC3D0000}"/>
    <cellStyle name="Note 6 2 3 2 4" xfId="11410" xr:uid="{00000000-0005-0000-0000-0000ED3D0000}"/>
    <cellStyle name="Note 6 2 3 2 4 2" xfId="15716" xr:uid="{00000000-0005-0000-0000-0000EE3D0000}"/>
    <cellStyle name="Note 6 2 3 2 4 3" xfId="16795" xr:uid="{00000000-0005-0000-0000-0000EF3D0000}"/>
    <cellStyle name="Note 6 2 3 2 4 4" xfId="17824" xr:uid="{00000000-0005-0000-0000-0000F03D0000}"/>
    <cellStyle name="Note 6 2 3 2 4 5" xfId="18794" xr:uid="{00000000-0005-0000-0000-0000F13D0000}"/>
    <cellStyle name="Note 6 2 3 2 4 6" xfId="19700" xr:uid="{00000000-0005-0000-0000-0000F23D0000}"/>
    <cellStyle name="Note 6 2 3 2 5" xfId="11265" xr:uid="{00000000-0005-0000-0000-0000F33D0000}"/>
    <cellStyle name="Note 6 2 3 2 5 2" xfId="15571" xr:uid="{00000000-0005-0000-0000-0000F43D0000}"/>
    <cellStyle name="Note 6 2 3 2 5 3" xfId="16650" xr:uid="{00000000-0005-0000-0000-0000F53D0000}"/>
    <cellStyle name="Note 6 2 3 2 5 4" xfId="17680" xr:uid="{00000000-0005-0000-0000-0000F63D0000}"/>
    <cellStyle name="Note 6 2 3 2 5 5" xfId="18650" xr:uid="{00000000-0005-0000-0000-0000F73D0000}"/>
    <cellStyle name="Note 6 2 3 2 5 6" xfId="19556" xr:uid="{00000000-0005-0000-0000-0000F83D0000}"/>
    <cellStyle name="Note 6 2 3 2 6" xfId="12781" xr:uid="{00000000-0005-0000-0000-0000F93D0000}"/>
    <cellStyle name="Note 6 2 3 2 7" xfId="14353" xr:uid="{00000000-0005-0000-0000-0000FA3D0000}"/>
    <cellStyle name="Note 6 2 3 2 8" xfId="14775" xr:uid="{00000000-0005-0000-0000-0000FB3D0000}"/>
    <cellStyle name="Note 6 2 3 2 9" xfId="14741" xr:uid="{00000000-0005-0000-0000-0000FC3D0000}"/>
    <cellStyle name="Note 6 2 3 3" xfId="6014" xr:uid="{00000000-0005-0000-0000-0000FD3D0000}"/>
    <cellStyle name="Note 6 2 3 3 2" xfId="11110" xr:uid="{00000000-0005-0000-0000-0000FE3D0000}"/>
    <cellStyle name="Note 6 2 3 3 2 2" xfId="15416" xr:uid="{00000000-0005-0000-0000-0000FF3D0000}"/>
    <cellStyle name="Note 6 2 3 3 2 3" xfId="16495" xr:uid="{00000000-0005-0000-0000-0000003E0000}"/>
    <cellStyle name="Note 6 2 3 3 2 4" xfId="17530" xr:uid="{00000000-0005-0000-0000-0000013E0000}"/>
    <cellStyle name="Note 6 2 3 3 2 5" xfId="18500" xr:uid="{00000000-0005-0000-0000-0000023E0000}"/>
    <cellStyle name="Note 6 2 3 3 2 6" xfId="19406" xr:uid="{00000000-0005-0000-0000-0000033E0000}"/>
    <cellStyle name="Note 6 2 3 3 3" xfId="11692" xr:uid="{00000000-0005-0000-0000-0000043E0000}"/>
    <cellStyle name="Note 6 2 3 3 3 2" xfId="15998" xr:uid="{00000000-0005-0000-0000-0000053E0000}"/>
    <cellStyle name="Note 6 2 3 3 3 3" xfId="17077" xr:uid="{00000000-0005-0000-0000-0000063E0000}"/>
    <cellStyle name="Note 6 2 3 3 3 4" xfId="18100" xr:uid="{00000000-0005-0000-0000-0000073E0000}"/>
    <cellStyle name="Note 6 2 3 3 3 5" xfId="19070" xr:uid="{00000000-0005-0000-0000-0000083E0000}"/>
    <cellStyle name="Note 6 2 3 3 3 6" xfId="19976" xr:uid="{00000000-0005-0000-0000-0000093E0000}"/>
    <cellStyle name="Note 6 2 3 3 4" xfId="11864" xr:uid="{00000000-0005-0000-0000-00000A3E0000}"/>
    <cellStyle name="Note 6 2 3 3 4 2" xfId="16170" xr:uid="{00000000-0005-0000-0000-00000B3E0000}"/>
    <cellStyle name="Note 6 2 3 3 4 3" xfId="17249" xr:uid="{00000000-0005-0000-0000-00000C3E0000}"/>
    <cellStyle name="Note 6 2 3 3 4 4" xfId="18268" xr:uid="{00000000-0005-0000-0000-00000D3E0000}"/>
    <cellStyle name="Note 6 2 3 3 4 5" xfId="19238" xr:uid="{00000000-0005-0000-0000-00000E3E0000}"/>
    <cellStyle name="Note 6 2 3 3 4 6" xfId="20144" xr:uid="{00000000-0005-0000-0000-00000F3E0000}"/>
    <cellStyle name="Note 6 2 3 3 5" xfId="13747" xr:uid="{00000000-0005-0000-0000-0000103E0000}"/>
    <cellStyle name="Note 6 2 3 3 6" xfId="13001" xr:uid="{00000000-0005-0000-0000-0000113E0000}"/>
    <cellStyle name="Note 6 2 3 3 7" xfId="12911" xr:uid="{00000000-0005-0000-0000-0000123E0000}"/>
    <cellStyle name="Note 6 2 3 3 8" xfId="12241" xr:uid="{00000000-0005-0000-0000-0000133E0000}"/>
    <cellStyle name="Note 6 2 3 3 9" xfId="14615" xr:uid="{00000000-0005-0000-0000-0000143E0000}"/>
    <cellStyle name="Note 6 2 3 4" xfId="6539" xr:uid="{00000000-0005-0000-0000-0000153E0000}"/>
    <cellStyle name="Note 6 2 3 4 2" xfId="14042" xr:uid="{00000000-0005-0000-0000-0000163E0000}"/>
    <cellStyle name="Note 6 2 3 4 3" xfId="15206" xr:uid="{00000000-0005-0000-0000-0000173E0000}"/>
    <cellStyle name="Note 6 2 3 4 4" xfId="16322" xr:uid="{00000000-0005-0000-0000-0000183E0000}"/>
    <cellStyle name="Note 6 2 3 4 5" xfId="12611" xr:uid="{00000000-0005-0000-0000-0000193E0000}"/>
    <cellStyle name="Note 6 2 3 4 6" xfId="13306" xr:uid="{00000000-0005-0000-0000-00001A3E0000}"/>
    <cellStyle name="Note 6 2 3 5" xfId="6584" xr:uid="{00000000-0005-0000-0000-00001B3E0000}"/>
    <cellStyle name="Note 6 2 3 5 2" xfId="14060" xr:uid="{00000000-0005-0000-0000-00001C3E0000}"/>
    <cellStyle name="Note 6 2 3 5 3" xfId="13184" xr:uid="{00000000-0005-0000-0000-00001D3E0000}"/>
    <cellStyle name="Note 6 2 3 5 4" xfId="12896" xr:uid="{00000000-0005-0000-0000-00001E3E0000}"/>
    <cellStyle name="Note 6 2 3 5 5" xfId="16355" xr:uid="{00000000-0005-0000-0000-00001F3E0000}"/>
    <cellStyle name="Note 6 2 3 5 6" xfId="12014" xr:uid="{00000000-0005-0000-0000-0000203E0000}"/>
    <cellStyle name="Note 6 2 3 6" xfId="11551" xr:uid="{00000000-0005-0000-0000-0000213E0000}"/>
    <cellStyle name="Note 6 2 3 6 2" xfId="15857" xr:uid="{00000000-0005-0000-0000-0000223E0000}"/>
    <cellStyle name="Note 6 2 3 6 3" xfId="16936" xr:uid="{00000000-0005-0000-0000-0000233E0000}"/>
    <cellStyle name="Note 6 2 3 6 4" xfId="17961" xr:uid="{00000000-0005-0000-0000-0000243E0000}"/>
    <cellStyle name="Note 6 2 3 6 5" xfId="18931" xr:uid="{00000000-0005-0000-0000-0000253E0000}"/>
    <cellStyle name="Note 6 2 3 6 6" xfId="19837" xr:uid="{00000000-0005-0000-0000-0000263E0000}"/>
    <cellStyle name="Note 6 2 3 7" xfId="12266" xr:uid="{00000000-0005-0000-0000-0000273E0000}"/>
    <cellStyle name="Note 6 2 3 8" xfId="13135" xr:uid="{00000000-0005-0000-0000-0000283E0000}"/>
    <cellStyle name="Note 6 2 3 9" xfId="14599" xr:uid="{00000000-0005-0000-0000-0000293E0000}"/>
    <cellStyle name="Note 6 2 4" xfId="2381" xr:uid="{00000000-0005-0000-0000-00002A3E0000}"/>
    <cellStyle name="Note 6 2 4 2" xfId="4828" xr:uid="{00000000-0005-0000-0000-00002B3E0000}"/>
    <cellStyle name="Note 6 2 4 2 2" xfId="9924" xr:uid="{00000000-0005-0000-0000-00002C3E0000}"/>
    <cellStyle name="Note 6 2 4 3" xfId="7485" xr:uid="{00000000-0005-0000-0000-00002D3E0000}"/>
    <cellStyle name="Note 6 2 5" xfId="3645" xr:uid="{00000000-0005-0000-0000-00002E3E0000}"/>
    <cellStyle name="Note 6 2 5 2" xfId="8744" xr:uid="{00000000-0005-0000-0000-00002F3E0000}"/>
    <cellStyle name="Note 6 2 6" xfId="6225" xr:uid="{00000000-0005-0000-0000-0000303E0000}"/>
    <cellStyle name="Note 6 3" xfId="1022" xr:uid="{00000000-0005-0000-0000-0000313E0000}"/>
    <cellStyle name="Note 6 3 10" xfId="12019" xr:uid="{00000000-0005-0000-0000-0000323E0000}"/>
    <cellStyle name="Note 6 3 11" xfId="12965" xr:uid="{00000000-0005-0000-0000-0000333E0000}"/>
    <cellStyle name="Note 6 3 2" xfId="2652" xr:uid="{00000000-0005-0000-0000-0000343E0000}"/>
    <cellStyle name="Note 6 3 2 10" xfId="13391" xr:uid="{00000000-0005-0000-0000-0000353E0000}"/>
    <cellStyle name="Note 6 3 2 2" xfId="6068" xr:uid="{00000000-0005-0000-0000-0000363E0000}"/>
    <cellStyle name="Note 6 3 2 2 2" xfId="11164" xr:uid="{00000000-0005-0000-0000-0000373E0000}"/>
    <cellStyle name="Note 6 3 2 2 2 2" xfId="15470" xr:uid="{00000000-0005-0000-0000-0000383E0000}"/>
    <cellStyle name="Note 6 3 2 2 2 3" xfId="16549" xr:uid="{00000000-0005-0000-0000-0000393E0000}"/>
    <cellStyle name="Note 6 3 2 2 2 4" xfId="17583" xr:uid="{00000000-0005-0000-0000-00003A3E0000}"/>
    <cellStyle name="Note 6 3 2 2 2 5" xfId="18553" xr:uid="{00000000-0005-0000-0000-00003B3E0000}"/>
    <cellStyle name="Note 6 3 2 2 2 6" xfId="19459" xr:uid="{00000000-0005-0000-0000-00003C3E0000}"/>
    <cellStyle name="Note 6 3 2 2 3" xfId="11746" xr:uid="{00000000-0005-0000-0000-00003D3E0000}"/>
    <cellStyle name="Note 6 3 2 2 3 2" xfId="16052" xr:uid="{00000000-0005-0000-0000-00003E3E0000}"/>
    <cellStyle name="Note 6 3 2 2 3 3" xfId="17131" xr:uid="{00000000-0005-0000-0000-00003F3E0000}"/>
    <cellStyle name="Note 6 3 2 2 3 4" xfId="18153" xr:uid="{00000000-0005-0000-0000-0000403E0000}"/>
    <cellStyle name="Note 6 3 2 2 3 5" xfId="19123" xr:uid="{00000000-0005-0000-0000-0000413E0000}"/>
    <cellStyle name="Note 6 3 2 2 3 6" xfId="20029" xr:uid="{00000000-0005-0000-0000-0000423E0000}"/>
    <cellStyle name="Note 6 3 2 2 4" xfId="11918" xr:uid="{00000000-0005-0000-0000-0000433E0000}"/>
    <cellStyle name="Note 6 3 2 2 4 2" xfId="16224" xr:uid="{00000000-0005-0000-0000-0000443E0000}"/>
    <cellStyle name="Note 6 3 2 2 4 3" xfId="17303" xr:uid="{00000000-0005-0000-0000-0000453E0000}"/>
    <cellStyle name="Note 6 3 2 2 4 4" xfId="18321" xr:uid="{00000000-0005-0000-0000-0000463E0000}"/>
    <cellStyle name="Note 6 3 2 2 4 5" xfId="19291" xr:uid="{00000000-0005-0000-0000-0000473E0000}"/>
    <cellStyle name="Note 6 3 2 2 4 6" xfId="20197" xr:uid="{00000000-0005-0000-0000-0000483E0000}"/>
    <cellStyle name="Note 6 3 2 2 5" xfId="13801" xr:uid="{00000000-0005-0000-0000-0000493E0000}"/>
    <cellStyle name="Note 6 3 2 2 6" xfId="15213" xr:uid="{00000000-0005-0000-0000-00004A3E0000}"/>
    <cellStyle name="Note 6 3 2 2 7" xfId="16330" xr:uid="{00000000-0005-0000-0000-00004B3E0000}"/>
    <cellStyle name="Note 6 3 2 2 8" xfId="13956" xr:uid="{00000000-0005-0000-0000-00004C3E0000}"/>
    <cellStyle name="Note 6 3 2 2 9" xfId="12435" xr:uid="{00000000-0005-0000-0000-00004D3E0000}"/>
    <cellStyle name="Note 6 3 2 3" xfId="7755" xr:uid="{00000000-0005-0000-0000-00004E3E0000}"/>
    <cellStyle name="Note 6 3 2 3 2" xfId="14421" xr:uid="{00000000-0005-0000-0000-00004F3E0000}"/>
    <cellStyle name="Note 6 3 2 3 3" xfId="12816" xr:uid="{00000000-0005-0000-0000-0000503E0000}"/>
    <cellStyle name="Note 6 3 2 3 4" xfId="12097" xr:uid="{00000000-0005-0000-0000-0000513E0000}"/>
    <cellStyle name="Note 6 3 2 3 5" xfId="12889" xr:uid="{00000000-0005-0000-0000-0000523E0000}"/>
    <cellStyle name="Note 6 3 2 3 6" xfId="17464" xr:uid="{00000000-0005-0000-0000-0000533E0000}"/>
    <cellStyle name="Note 6 3 2 4" xfId="11354" xr:uid="{00000000-0005-0000-0000-0000543E0000}"/>
    <cellStyle name="Note 6 3 2 4 2" xfId="15660" xr:uid="{00000000-0005-0000-0000-0000553E0000}"/>
    <cellStyle name="Note 6 3 2 4 3" xfId="16739" xr:uid="{00000000-0005-0000-0000-0000563E0000}"/>
    <cellStyle name="Note 6 3 2 4 4" xfId="17768" xr:uid="{00000000-0005-0000-0000-0000573E0000}"/>
    <cellStyle name="Note 6 3 2 4 5" xfId="18738" xr:uid="{00000000-0005-0000-0000-0000583E0000}"/>
    <cellStyle name="Note 6 3 2 4 6" xfId="19644" xr:uid="{00000000-0005-0000-0000-0000593E0000}"/>
    <cellStyle name="Note 6 3 2 5" xfId="11540" xr:uid="{00000000-0005-0000-0000-00005A3E0000}"/>
    <cellStyle name="Note 6 3 2 5 2" xfId="15846" xr:uid="{00000000-0005-0000-0000-00005B3E0000}"/>
    <cellStyle name="Note 6 3 2 5 3" xfId="16925" xr:uid="{00000000-0005-0000-0000-00005C3E0000}"/>
    <cellStyle name="Note 6 3 2 5 4" xfId="17950" xr:uid="{00000000-0005-0000-0000-00005D3E0000}"/>
    <cellStyle name="Note 6 3 2 5 5" xfId="18920" xr:uid="{00000000-0005-0000-0000-00005E3E0000}"/>
    <cellStyle name="Note 6 3 2 5 6" xfId="19826" xr:uid="{00000000-0005-0000-0000-00005F3E0000}"/>
    <cellStyle name="Note 6 3 2 6" xfId="12722" xr:uid="{00000000-0005-0000-0000-0000603E0000}"/>
    <cellStyle name="Note 6 3 2 7" xfId="160" xr:uid="{00000000-0005-0000-0000-0000613E0000}"/>
    <cellStyle name="Note 6 3 2 8" xfId="12567" xr:uid="{00000000-0005-0000-0000-0000623E0000}"/>
    <cellStyle name="Note 6 3 2 9" xfId="14541" xr:uid="{00000000-0005-0000-0000-0000633E0000}"/>
    <cellStyle name="Note 6 3 3" xfId="5993" xr:uid="{00000000-0005-0000-0000-0000643E0000}"/>
    <cellStyle name="Note 6 3 3 2" xfId="11089" xr:uid="{00000000-0005-0000-0000-0000653E0000}"/>
    <cellStyle name="Note 6 3 3 2 2" xfId="15395" xr:uid="{00000000-0005-0000-0000-0000663E0000}"/>
    <cellStyle name="Note 6 3 3 2 3" xfId="16474" xr:uid="{00000000-0005-0000-0000-0000673E0000}"/>
    <cellStyle name="Note 6 3 3 2 4" xfId="17509" xr:uid="{00000000-0005-0000-0000-0000683E0000}"/>
    <cellStyle name="Note 6 3 3 2 5" xfId="18479" xr:uid="{00000000-0005-0000-0000-0000693E0000}"/>
    <cellStyle name="Note 6 3 3 2 6" xfId="19385" xr:uid="{00000000-0005-0000-0000-00006A3E0000}"/>
    <cellStyle name="Note 6 3 3 3" xfId="11671" xr:uid="{00000000-0005-0000-0000-00006B3E0000}"/>
    <cellStyle name="Note 6 3 3 3 2" xfId="15977" xr:uid="{00000000-0005-0000-0000-00006C3E0000}"/>
    <cellStyle name="Note 6 3 3 3 3" xfId="17056" xr:uid="{00000000-0005-0000-0000-00006D3E0000}"/>
    <cellStyle name="Note 6 3 3 3 4" xfId="18079" xr:uid="{00000000-0005-0000-0000-00006E3E0000}"/>
    <cellStyle name="Note 6 3 3 3 5" xfId="19049" xr:uid="{00000000-0005-0000-0000-00006F3E0000}"/>
    <cellStyle name="Note 6 3 3 3 6" xfId="19955" xr:uid="{00000000-0005-0000-0000-0000703E0000}"/>
    <cellStyle name="Note 6 3 3 4" xfId="11843" xr:uid="{00000000-0005-0000-0000-0000713E0000}"/>
    <cellStyle name="Note 6 3 3 4 2" xfId="16149" xr:uid="{00000000-0005-0000-0000-0000723E0000}"/>
    <cellStyle name="Note 6 3 3 4 3" xfId="17228" xr:uid="{00000000-0005-0000-0000-0000733E0000}"/>
    <cellStyle name="Note 6 3 3 4 4" xfId="18247" xr:uid="{00000000-0005-0000-0000-0000743E0000}"/>
    <cellStyle name="Note 6 3 3 4 5" xfId="19217" xr:uid="{00000000-0005-0000-0000-0000753E0000}"/>
    <cellStyle name="Note 6 3 3 4 6" xfId="20123" xr:uid="{00000000-0005-0000-0000-0000763E0000}"/>
    <cellStyle name="Note 6 3 3 5" xfId="13726" xr:uid="{00000000-0005-0000-0000-0000773E0000}"/>
    <cellStyle name="Note 6 3 3 6" xfId="15034" xr:uid="{00000000-0005-0000-0000-0000783E0000}"/>
    <cellStyle name="Note 6 3 3 7" xfId="13958" xr:uid="{00000000-0005-0000-0000-0000793E0000}"/>
    <cellStyle name="Note 6 3 3 8" xfId="12800" xr:uid="{00000000-0005-0000-0000-00007A3E0000}"/>
    <cellStyle name="Note 6 3 3 9" xfId="12901" xr:uid="{00000000-0005-0000-0000-00007B3E0000}"/>
    <cellStyle name="Note 6 3 4" xfId="6499" xr:uid="{00000000-0005-0000-0000-00007C3E0000}"/>
    <cellStyle name="Note 6 3 4 2" xfId="14012" xr:uid="{00000000-0005-0000-0000-00007D3E0000}"/>
    <cellStyle name="Note 6 3 4 3" xfId="15207" xr:uid="{00000000-0005-0000-0000-00007E3E0000}"/>
    <cellStyle name="Note 6 3 4 4" xfId="16323" xr:uid="{00000000-0005-0000-0000-00007F3E0000}"/>
    <cellStyle name="Note 6 3 4 5" xfId="13151" xr:uid="{00000000-0005-0000-0000-0000803E0000}"/>
    <cellStyle name="Note 6 3 4 6" xfId="14882" xr:uid="{00000000-0005-0000-0000-0000813E0000}"/>
    <cellStyle name="Note 6 3 5" xfId="6158" xr:uid="{00000000-0005-0000-0000-0000823E0000}"/>
    <cellStyle name="Note 6 3 5 2" xfId="13890" xr:uid="{00000000-0005-0000-0000-0000833E0000}"/>
    <cellStyle name="Note 6 3 5 3" xfId="12372" xr:uid="{00000000-0005-0000-0000-0000843E0000}"/>
    <cellStyle name="Note 6 3 5 4" xfId="14638" xr:uid="{00000000-0005-0000-0000-0000853E0000}"/>
    <cellStyle name="Note 6 3 5 5" xfId="17409" xr:uid="{00000000-0005-0000-0000-0000863E0000}"/>
    <cellStyle name="Note 6 3 5 6" xfId="15218" xr:uid="{00000000-0005-0000-0000-0000873E0000}"/>
    <cellStyle name="Note 6 3 6" xfId="11300" xr:uid="{00000000-0005-0000-0000-0000883E0000}"/>
    <cellStyle name="Note 6 3 6 2" xfId="15606" xr:uid="{00000000-0005-0000-0000-0000893E0000}"/>
    <cellStyle name="Note 6 3 6 3" xfId="16685" xr:uid="{00000000-0005-0000-0000-00008A3E0000}"/>
    <cellStyle name="Note 6 3 6 4" xfId="17714" xr:uid="{00000000-0005-0000-0000-00008B3E0000}"/>
    <cellStyle name="Note 6 3 6 5" xfId="18684" xr:uid="{00000000-0005-0000-0000-00008C3E0000}"/>
    <cellStyle name="Note 6 3 6 6" xfId="19590" xr:uid="{00000000-0005-0000-0000-00008D3E0000}"/>
    <cellStyle name="Note 6 3 7" xfId="12214" xr:uid="{00000000-0005-0000-0000-00008E3E0000}"/>
    <cellStyle name="Note 6 3 8" xfId="13078" xr:uid="{00000000-0005-0000-0000-00008F3E0000}"/>
    <cellStyle name="Note 6 3 9" xfId="13609" xr:uid="{00000000-0005-0000-0000-0000903E0000}"/>
    <cellStyle name="Note 6 4" xfId="2148" xr:uid="{00000000-0005-0000-0000-0000913E0000}"/>
    <cellStyle name="Note 7" xfId="456" xr:uid="{00000000-0005-0000-0000-0000923E0000}"/>
    <cellStyle name="Note 7 2" xfId="557" xr:uid="{00000000-0005-0000-0000-0000933E0000}"/>
    <cellStyle name="Note 7 2 2" xfId="1114" xr:uid="{00000000-0005-0000-0000-0000943E0000}"/>
    <cellStyle name="Note 7 2 2 2" xfId="2704" xr:uid="{00000000-0005-0000-0000-0000953E0000}"/>
    <cellStyle name="Note 7 2 2 2 10" xfId="13624" xr:uid="{00000000-0005-0000-0000-0000963E0000}"/>
    <cellStyle name="Note 7 2 2 2 11" xfId="12907" xr:uid="{00000000-0005-0000-0000-0000973E0000}"/>
    <cellStyle name="Note 7 2 2 2 2" xfId="6104" xr:uid="{00000000-0005-0000-0000-0000983E0000}"/>
    <cellStyle name="Note 7 2 2 2 2 2" xfId="11200" xr:uid="{00000000-0005-0000-0000-0000993E0000}"/>
    <cellStyle name="Note 7 2 2 2 2 2 2" xfId="15506" xr:uid="{00000000-0005-0000-0000-00009A3E0000}"/>
    <cellStyle name="Note 7 2 2 2 2 2 3" xfId="16585" xr:uid="{00000000-0005-0000-0000-00009B3E0000}"/>
    <cellStyle name="Note 7 2 2 2 2 2 4" xfId="17619" xr:uid="{00000000-0005-0000-0000-00009C3E0000}"/>
    <cellStyle name="Note 7 2 2 2 2 2 5" xfId="18589" xr:uid="{00000000-0005-0000-0000-00009D3E0000}"/>
    <cellStyle name="Note 7 2 2 2 2 2 6" xfId="19495" xr:uid="{00000000-0005-0000-0000-00009E3E0000}"/>
    <cellStyle name="Note 7 2 2 2 2 3" xfId="11782" xr:uid="{00000000-0005-0000-0000-00009F3E0000}"/>
    <cellStyle name="Note 7 2 2 2 2 3 2" xfId="16088" xr:uid="{00000000-0005-0000-0000-0000A03E0000}"/>
    <cellStyle name="Note 7 2 2 2 2 3 3" xfId="17167" xr:uid="{00000000-0005-0000-0000-0000A13E0000}"/>
    <cellStyle name="Note 7 2 2 2 2 3 4" xfId="18189" xr:uid="{00000000-0005-0000-0000-0000A23E0000}"/>
    <cellStyle name="Note 7 2 2 2 2 3 5" xfId="19159" xr:uid="{00000000-0005-0000-0000-0000A33E0000}"/>
    <cellStyle name="Note 7 2 2 2 2 3 6" xfId="20065" xr:uid="{00000000-0005-0000-0000-0000A43E0000}"/>
    <cellStyle name="Note 7 2 2 2 2 4" xfId="11954" xr:uid="{00000000-0005-0000-0000-0000A53E0000}"/>
    <cellStyle name="Note 7 2 2 2 2 4 2" xfId="16260" xr:uid="{00000000-0005-0000-0000-0000A63E0000}"/>
    <cellStyle name="Note 7 2 2 2 2 4 3" xfId="17339" xr:uid="{00000000-0005-0000-0000-0000A73E0000}"/>
    <cellStyle name="Note 7 2 2 2 2 4 4" xfId="18357" xr:uid="{00000000-0005-0000-0000-0000A83E0000}"/>
    <cellStyle name="Note 7 2 2 2 2 4 5" xfId="19327" xr:uid="{00000000-0005-0000-0000-0000A93E0000}"/>
    <cellStyle name="Note 7 2 2 2 2 4 6" xfId="20233" xr:uid="{00000000-0005-0000-0000-0000AA3E0000}"/>
    <cellStyle name="Note 7 2 2 2 2 5" xfId="13837" xr:uid="{00000000-0005-0000-0000-0000AB3E0000}"/>
    <cellStyle name="Note 7 2 2 2 2 6" xfId="14140" xr:uid="{00000000-0005-0000-0000-0000AC3E0000}"/>
    <cellStyle name="Note 7 2 2 2 2 7" xfId="12826" xr:uid="{00000000-0005-0000-0000-0000AD3E0000}"/>
    <cellStyle name="Note 7 2 2 2 2 8" xfId="12955" xr:uid="{00000000-0005-0000-0000-0000AE3E0000}"/>
    <cellStyle name="Note 7 2 2 2 2 9" xfId="14975" xr:uid="{00000000-0005-0000-0000-0000AF3E0000}"/>
    <cellStyle name="Note 7 2 2 2 3" xfId="5112" xr:uid="{00000000-0005-0000-0000-0000B03E0000}"/>
    <cellStyle name="Note 7 2 2 2 3 2" xfId="10208" xr:uid="{00000000-0005-0000-0000-0000B13E0000}"/>
    <cellStyle name="Note 7 2 2 2 3 2 2" xfId="15146" xr:uid="{00000000-0005-0000-0000-0000B23E0000}"/>
    <cellStyle name="Note 7 2 2 2 3 2 3" xfId="15167" xr:uid="{00000000-0005-0000-0000-0000B33E0000}"/>
    <cellStyle name="Note 7 2 2 2 3 2 4" xfId="14352" xr:uid="{00000000-0005-0000-0000-0000B43E0000}"/>
    <cellStyle name="Note 7 2 2 2 3 2 5" xfId="12572" xr:uid="{00000000-0005-0000-0000-0000B53E0000}"/>
    <cellStyle name="Note 7 2 2 2 3 2 6" xfId="13695" xr:uid="{00000000-0005-0000-0000-0000B63E0000}"/>
    <cellStyle name="Note 7 2 2 2 3 3" xfId="11590" xr:uid="{00000000-0005-0000-0000-0000B73E0000}"/>
    <cellStyle name="Note 7 2 2 2 3 3 2" xfId="15896" xr:uid="{00000000-0005-0000-0000-0000B83E0000}"/>
    <cellStyle name="Note 7 2 2 2 3 3 3" xfId="16975" xr:uid="{00000000-0005-0000-0000-0000B93E0000}"/>
    <cellStyle name="Note 7 2 2 2 3 3 4" xfId="17999" xr:uid="{00000000-0005-0000-0000-0000BA3E0000}"/>
    <cellStyle name="Note 7 2 2 2 3 3 5" xfId="18969" xr:uid="{00000000-0005-0000-0000-0000BB3E0000}"/>
    <cellStyle name="Note 7 2 2 2 3 3 6" xfId="19875" xr:uid="{00000000-0005-0000-0000-0000BC3E0000}"/>
    <cellStyle name="Note 7 2 2 2 3 4" xfId="11512" xr:uid="{00000000-0005-0000-0000-0000BD3E0000}"/>
    <cellStyle name="Note 7 2 2 2 3 4 2" xfId="15818" xr:uid="{00000000-0005-0000-0000-0000BE3E0000}"/>
    <cellStyle name="Note 7 2 2 2 3 4 3" xfId="16897" xr:uid="{00000000-0005-0000-0000-0000BF3E0000}"/>
    <cellStyle name="Note 7 2 2 2 3 4 4" xfId="17923" xr:uid="{00000000-0005-0000-0000-0000C03E0000}"/>
    <cellStyle name="Note 7 2 2 2 3 4 5" xfId="18893" xr:uid="{00000000-0005-0000-0000-0000C13E0000}"/>
    <cellStyle name="Note 7 2 2 2 3 4 6" xfId="19799" xr:uid="{00000000-0005-0000-0000-0000C23E0000}"/>
    <cellStyle name="Note 7 2 2 2 3 5" xfId="13466" xr:uid="{00000000-0005-0000-0000-0000C33E0000}"/>
    <cellStyle name="Note 7 2 2 2 3 6" xfId="15023" xr:uid="{00000000-0005-0000-0000-0000C43E0000}"/>
    <cellStyle name="Note 7 2 2 2 3 7" xfId="1149" xr:uid="{00000000-0005-0000-0000-0000C53E0000}"/>
    <cellStyle name="Note 7 2 2 2 3 8" xfId="17478" xr:uid="{00000000-0005-0000-0000-0000C63E0000}"/>
    <cellStyle name="Note 7 2 2 2 3 9" xfId="12790" xr:uid="{00000000-0005-0000-0000-0000C73E0000}"/>
    <cellStyle name="Note 7 2 2 2 4" xfId="7807" xr:uid="{00000000-0005-0000-0000-0000C83E0000}"/>
    <cellStyle name="Note 7 2 2 2 4 2" xfId="14458" xr:uid="{00000000-0005-0000-0000-0000C93E0000}"/>
    <cellStyle name="Note 7 2 2 2 4 3" xfId="12311" xr:uid="{00000000-0005-0000-0000-0000CA3E0000}"/>
    <cellStyle name="Note 7 2 2 2 4 4" xfId="12547" xr:uid="{00000000-0005-0000-0000-0000CB3E0000}"/>
    <cellStyle name="Note 7 2 2 2 4 5" xfId="14241" xr:uid="{00000000-0005-0000-0000-0000CC3E0000}"/>
    <cellStyle name="Note 7 2 2 2 4 6" xfId="12507" xr:uid="{00000000-0005-0000-0000-0000CD3E0000}"/>
    <cellStyle name="Note 7 2 2 2 5" xfId="11390" xr:uid="{00000000-0005-0000-0000-0000CE3E0000}"/>
    <cellStyle name="Note 7 2 2 2 5 2" xfId="15696" xr:uid="{00000000-0005-0000-0000-0000CF3E0000}"/>
    <cellStyle name="Note 7 2 2 2 5 3" xfId="16775" xr:uid="{00000000-0005-0000-0000-0000D03E0000}"/>
    <cellStyle name="Note 7 2 2 2 5 4" xfId="17804" xr:uid="{00000000-0005-0000-0000-0000D13E0000}"/>
    <cellStyle name="Note 7 2 2 2 5 5" xfId="18774" xr:uid="{00000000-0005-0000-0000-0000D23E0000}"/>
    <cellStyle name="Note 7 2 2 2 5 6" xfId="19680" xr:uid="{00000000-0005-0000-0000-0000D33E0000}"/>
    <cellStyle name="Note 7 2 2 2 6" xfId="11270" xr:uid="{00000000-0005-0000-0000-0000D43E0000}"/>
    <cellStyle name="Note 7 2 2 2 6 2" xfId="15576" xr:uid="{00000000-0005-0000-0000-0000D53E0000}"/>
    <cellStyle name="Note 7 2 2 2 6 3" xfId="16655" xr:uid="{00000000-0005-0000-0000-0000D63E0000}"/>
    <cellStyle name="Note 7 2 2 2 6 4" xfId="17685" xr:uid="{00000000-0005-0000-0000-0000D73E0000}"/>
    <cellStyle name="Note 7 2 2 2 6 5" xfId="18655" xr:uid="{00000000-0005-0000-0000-0000D83E0000}"/>
    <cellStyle name="Note 7 2 2 2 6 6" xfId="19561" xr:uid="{00000000-0005-0000-0000-0000D93E0000}"/>
    <cellStyle name="Note 7 2 2 2 7" xfId="12761" xr:uid="{00000000-0005-0000-0000-0000DA3E0000}"/>
    <cellStyle name="Note 7 2 2 2 8" xfId="12480" xr:uid="{00000000-0005-0000-0000-0000DB3E0000}"/>
    <cellStyle name="Note 7 2 2 2 9" xfId="14633" xr:uid="{00000000-0005-0000-0000-0000DC3E0000}"/>
    <cellStyle name="Note 7 2 2 3" xfId="3929" xr:uid="{00000000-0005-0000-0000-0000DD3E0000}"/>
    <cellStyle name="Note 7 2 2 3 2" xfId="9028" xr:uid="{00000000-0005-0000-0000-0000DE3E0000}"/>
    <cellStyle name="Note 7 2 2 3 2 2" xfId="14806" xr:uid="{00000000-0005-0000-0000-0000DF3E0000}"/>
    <cellStyle name="Note 7 2 2 3 2 3" xfId="13153" xr:uid="{00000000-0005-0000-0000-0000E03E0000}"/>
    <cellStyle name="Note 7 2 2 3 2 4" xfId="13250" xr:uid="{00000000-0005-0000-0000-0000E13E0000}"/>
    <cellStyle name="Note 7 2 2 3 2 5" xfId="16384" xr:uid="{00000000-0005-0000-0000-0000E23E0000}"/>
    <cellStyle name="Note 7 2 2 3 2 6" xfId="17462" xr:uid="{00000000-0005-0000-0000-0000E33E0000}"/>
    <cellStyle name="Note 7 2 2 3 3" xfId="11496" xr:uid="{00000000-0005-0000-0000-0000E43E0000}"/>
    <cellStyle name="Note 7 2 2 3 3 2" xfId="15802" xr:uid="{00000000-0005-0000-0000-0000E53E0000}"/>
    <cellStyle name="Note 7 2 2 3 3 3" xfId="16881" xr:uid="{00000000-0005-0000-0000-0000E63E0000}"/>
    <cellStyle name="Note 7 2 2 3 3 4" xfId="17907" xr:uid="{00000000-0005-0000-0000-0000E73E0000}"/>
    <cellStyle name="Note 7 2 2 3 3 5" xfId="18877" xr:uid="{00000000-0005-0000-0000-0000E83E0000}"/>
    <cellStyle name="Note 7 2 2 3 3 6" xfId="19783" xr:uid="{00000000-0005-0000-0000-0000E93E0000}"/>
    <cellStyle name="Note 7 2 2 3 4" xfId="11248" xr:uid="{00000000-0005-0000-0000-0000EA3E0000}"/>
    <cellStyle name="Note 7 2 2 3 4 2" xfId="15554" xr:uid="{00000000-0005-0000-0000-0000EB3E0000}"/>
    <cellStyle name="Note 7 2 2 3 4 3" xfId="16633" xr:uid="{00000000-0005-0000-0000-0000EC3E0000}"/>
    <cellStyle name="Note 7 2 2 3 4 4" xfId="17665" xr:uid="{00000000-0005-0000-0000-0000ED3E0000}"/>
    <cellStyle name="Note 7 2 2 3 4 5" xfId="18635" xr:uid="{00000000-0005-0000-0000-0000EE3E0000}"/>
    <cellStyle name="Note 7 2 2 3 4 6" xfId="19541" xr:uid="{00000000-0005-0000-0000-0000EF3E0000}"/>
    <cellStyle name="Note 7 2 2 3 5" xfId="13118" xr:uid="{00000000-0005-0000-0000-0000F03E0000}"/>
    <cellStyle name="Note 7 2 2 3 6" xfId="13602" xr:uid="{00000000-0005-0000-0000-0000F13E0000}"/>
    <cellStyle name="Note 7 2 2 3 7" xfId="12023" xr:uid="{00000000-0005-0000-0000-0000F23E0000}"/>
    <cellStyle name="Note 7 2 2 3 8" xfId="13667" xr:uid="{00000000-0005-0000-0000-0000F33E0000}"/>
    <cellStyle name="Note 7 2 2 3 9" xfId="15349" xr:uid="{00000000-0005-0000-0000-0000F43E0000}"/>
    <cellStyle name="Note 7 2 3" xfId="1138" xr:uid="{00000000-0005-0000-0000-0000F53E0000}"/>
    <cellStyle name="Note 7 2 3 10" xfId="16397" xr:uid="{00000000-0005-0000-0000-0000F63E0000}"/>
    <cellStyle name="Note 7 2 3 11" xfId="13246" xr:uid="{00000000-0005-0000-0000-0000F73E0000}"/>
    <cellStyle name="Note 7 2 3 2" xfId="2725" xr:uid="{00000000-0005-0000-0000-0000F83E0000}"/>
    <cellStyle name="Note 7 2 3 2 10" xfId="12388" xr:uid="{00000000-0005-0000-0000-0000F93E0000}"/>
    <cellStyle name="Note 7 2 3 2 2" xfId="6125" xr:uid="{00000000-0005-0000-0000-0000FA3E0000}"/>
    <cellStyle name="Note 7 2 3 2 2 2" xfId="11221" xr:uid="{00000000-0005-0000-0000-0000FB3E0000}"/>
    <cellStyle name="Note 7 2 3 2 2 2 2" xfId="15527" xr:uid="{00000000-0005-0000-0000-0000FC3E0000}"/>
    <cellStyle name="Note 7 2 3 2 2 2 3" xfId="16606" xr:uid="{00000000-0005-0000-0000-0000FD3E0000}"/>
    <cellStyle name="Note 7 2 3 2 2 2 4" xfId="17640" xr:uid="{00000000-0005-0000-0000-0000FE3E0000}"/>
    <cellStyle name="Note 7 2 3 2 2 2 5" xfId="18610" xr:uid="{00000000-0005-0000-0000-0000FF3E0000}"/>
    <cellStyle name="Note 7 2 3 2 2 2 6" xfId="19516" xr:uid="{00000000-0005-0000-0000-0000003F0000}"/>
    <cellStyle name="Note 7 2 3 2 2 3" xfId="11803" xr:uid="{00000000-0005-0000-0000-0000013F0000}"/>
    <cellStyle name="Note 7 2 3 2 2 3 2" xfId="16109" xr:uid="{00000000-0005-0000-0000-0000023F0000}"/>
    <cellStyle name="Note 7 2 3 2 2 3 3" xfId="17188" xr:uid="{00000000-0005-0000-0000-0000033F0000}"/>
    <cellStyle name="Note 7 2 3 2 2 3 4" xfId="18210" xr:uid="{00000000-0005-0000-0000-0000043F0000}"/>
    <cellStyle name="Note 7 2 3 2 2 3 5" xfId="19180" xr:uid="{00000000-0005-0000-0000-0000053F0000}"/>
    <cellStyle name="Note 7 2 3 2 2 3 6" xfId="20086" xr:uid="{00000000-0005-0000-0000-0000063F0000}"/>
    <cellStyle name="Note 7 2 3 2 2 4" xfId="11975" xr:uid="{00000000-0005-0000-0000-0000073F0000}"/>
    <cellStyle name="Note 7 2 3 2 2 4 2" xfId="16281" xr:uid="{00000000-0005-0000-0000-0000083F0000}"/>
    <cellStyle name="Note 7 2 3 2 2 4 3" xfId="17360" xr:uid="{00000000-0005-0000-0000-0000093F0000}"/>
    <cellStyle name="Note 7 2 3 2 2 4 4" xfId="18378" xr:uid="{00000000-0005-0000-0000-00000A3F0000}"/>
    <cellStyle name="Note 7 2 3 2 2 4 5" xfId="19348" xr:uid="{00000000-0005-0000-0000-00000B3F0000}"/>
    <cellStyle name="Note 7 2 3 2 2 4 6" xfId="20254" xr:uid="{00000000-0005-0000-0000-00000C3F0000}"/>
    <cellStyle name="Note 7 2 3 2 2 5" xfId="13858" xr:uid="{00000000-0005-0000-0000-00000D3F0000}"/>
    <cellStyle name="Note 7 2 3 2 2 6" xfId="12852" xr:uid="{00000000-0005-0000-0000-00000E3F0000}"/>
    <cellStyle name="Note 7 2 3 2 2 7" xfId="12242" xr:uid="{00000000-0005-0000-0000-00000F3F0000}"/>
    <cellStyle name="Note 7 2 3 2 2 8" xfId="12874" xr:uid="{00000000-0005-0000-0000-0000103F0000}"/>
    <cellStyle name="Note 7 2 3 2 2 9" xfId="12627" xr:uid="{00000000-0005-0000-0000-0000113F0000}"/>
    <cellStyle name="Note 7 2 3 2 3" xfId="7828" xr:uid="{00000000-0005-0000-0000-0000123F0000}"/>
    <cellStyle name="Note 7 2 3 2 3 2" xfId="14479" xr:uid="{00000000-0005-0000-0000-0000133F0000}"/>
    <cellStyle name="Note 7 2 3 2 3 3" xfId="13510" xr:uid="{00000000-0005-0000-0000-0000143F0000}"/>
    <cellStyle name="Note 7 2 3 2 3 4" xfId="13567" xr:uid="{00000000-0005-0000-0000-0000153F0000}"/>
    <cellStyle name="Note 7 2 3 2 3 5" xfId="14033" xr:uid="{00000000-0005-0000-0000-0000163F0000}"/>
    <cellStyle name="Note 7 2 3 2 3 6" xfId="14622" xr:uid="{00000000-0005-0000-0000-0000173F0000}"/>
    <cellStyle name="Note 7 2 3 2 4" xfId="11411" xr:uid="{00000000-0005-0000-0000-0000183F0000}"/>
    <cellStyle name="Note 7 2 3 2 4 2" xfId="15717" xr:uid="{00000000-0005-0000-0000-0000193F0000}"/>
    <cellStyle name="Note 7 2 3 2 4 3" xfId="16796" xr:uid="{00000000-0005-0000-0000-00001A3F0000}"/>
    <cellStyle name="Note 7 2 3 2 4 4" xfId="17825" xr:uid="{00000000-0005-0000-0000-00001B3F0000}"/>
    <cellStyle name="Note 7 2 3 2 4 5" xfId="18795" xr:uid="{00000000-0005-0000-0000-00001C3F0000}"/>
    <cellStyle name="Note 7 2 3 2 4 6" xfId="19701" xr:uid="{00000000-0005-0000-0000-00001D3F0000}"/>
    <cellStyle name="Note 7 2 3 2 5" xfId="11524" xr:uid="{00000000-0005-0000-0000-00001E3F0000}"/>
    <cellStyle name="Note 7 2 3 2 5 2" xfId="15830" xr:uid="{00000000-0005-0000-0000-00001F3F0000}"/>
    <cellStyle name="Note 7 2 3 2 5 3" xfId="16909" xr:uid="{00000000-0005-0000-0000-0000203F0000}"/>
    <cellStyle name="Note 7 2 3 2 5 4" xfId="17934" xr:uid="{00000000-0005-0000-0000-0000213F0000}"/>
    <cellStyle name="Note 7 2 3 2 5 5" xfId="18904" xr:uid="{00000000-0005-0000-0000-0000223F0000}"/>
    <cellStyle name="Note 7 2 3 2 5 6" xfId="19810" xr:uid="{00000000-0005-0000-0000-0000233F0000}"/>
    <cellStyle name="Note 7 2 3 2 6" xfId="12782" xr:uid="{00000000-0005-0000-0000-0000243F0000}"/>
    <cellStyle name="Note 7 2 3 2 7" xfId="15073" xr:uid="{00000000-0005-0000-0000-0000253F0000}"/>
    <cellStyle name="Note 7 2 3 2 8" xfId="14487" xr:uid="{00000000-0005-0000-0000-0000263F0000}"/>
    <cellStyle name="Note 7 2 3 2 9" xfId="12964" xr:uid="{00000000-0005-0000-0000-0000273F0000}"/>
    <cellStyle name="Note 7 2 3 3" xfId="6015" xr:uid="{00000000-0005-0000-0000-0000283F0000}"/>
    <cellStyle name="Note 7 2 3 3 2" xfId="11111" xr:uid="{00000000-0005-0000-0000-0000293F0000}"/>
    <cellStyle name="Note 7 2 3 3 2 2" xfId="15417" xr:uid="{00000000-0005-0000-0000-00002A3F0000}"/>
    <cellStyle name="Note 7 2 3 3 2 3" xfId="16496" xr:uid="{00000000-0005-0000-0000-00002B3F0000}"/>
    <cellStyle name="Note 7 2 3 3 2 4" xfId="17531" xr:uid="{00000000-0005-0000-0000-00002C3F0000}"/>
    <cellStyle name="Note 7 2 3 3 2 5" xfId="18501" xr:uid="{00000000-0005-0000-0000-00002D3F0000}"/>
    <cellStyle name="Note 7 2 3 3 2 6" xfId="19407" xr:uid="{00000000-0005-0000-0000-00002E3F0000}"/>
    <cellStyle name="Note 7 2 3 3 3" xfId="11693" xr:uid="{00000000-0005-0000-0000-00002F3F0000}"/>
    <cellStyle name="Note 7 2 3 3 3 2" xfId="15999" xr:uid="{00000000-0005-0000-0000-0000303F0000}"/>
    <cellStyle name="Note 7 2 3 3 3 3" xfId="17078" xr:uid="{00000000-0005-0000-0000-0000313F0000}"/>
    <cellStyle name="Note 7 2 3 3 3 4" xfId="18101" xr:uid="{00000000-0005-0000-0000-0000323F0000}"/>
    <cellStyle name="Note 7 2 3 3 3 5" xfId="19071" xr:uid="{00000000-0005-0000-0000-0000333F0000}"/>
    <cellStyle name="Note 7 2 3 3 3 6" xfId="19977" xr:uid="{00000000-0005-0000-0000-0000343F0000}"/>
    <cellStyle name="Note 7 2 3 3 4" xfId="11865" xr:uid="{00000000-0005-0000-0000-0000353F0000}"/>
    <cellStyle name="Note 7 2 3 3 4 2" xfId="16171" xr:uid="{00000000-0005-0000-0000-0000363F0000}"/>
    <cellStyle name="Note 7 2 3 3 4 3" xfId="17250" xr:uid="{00000000-0005-0000-0000-0000373F0000}"/>
    <cellStyle name="Note 7 2 3 3 4 4" xfId="18269" xr:uid="{00000000-0005-0000-0000-0000383F0000}"/>
    <cellStyle name="Note 7 2 3 3 4 5" xfId="19239" xr:uid="{00000000-0005-0000-0000-0000393F0000}"/>
    <cellStyle name="Note 7 2 3 3 4 6" xfId="20145" xr:uid="{00000000-0005-0000-0000-00003A3F0000}"/>
    <cellStyle name="Note 7 2 3 3 5" xfId="13748" xr:uid="{00000000-0005-0000-0000-00003B3F0000}"/>
    <cellStyle name="Note 7 2 3 3 6" xfId="12600" xr:uid="{00000000-0005-0000-0000-00003C3F0000}"/>
    <cellStyle name="Note 7 2 3 3 7" xfId="14223" xr:uid="{00000000-0005-0000-0000-00003D3F0000}"/>
    <cellStyle name="Note 7 2 3 3 8" xfId="17489" xr:uid="{00000000-0005-0000-0000-00003E3F0000}"/>
    <cellStyle name="Note 7 2 3 3 9" xfId="12187" xr:uid="{00000000-0005-0000-0000-00003F3F0000}"/>
    <cellStyle name="Note 7 2 3 4" xfId="6540" xr:uid="{00000000-0005-0000-0000-0000403F0000}"/>
    <cellStyle name="Note 7 2 3 4 2" xfId="14043" xr:uid="{00000000-0005-0000-0000-0000413F0000}"/>
    <cellStyle name="Note 7 2 3 4 3" xfId="13527" xr:uid="{00000000-0005-0000-0000-0000423F0000}"/>
    <cellStyle name="Note 7 2 3 4 4" xfId="12410" xr:uid="{00000000-0005-0000-0000-0000433F0000}"/>
    <cellStyle name="Note 7 2 3 4 5" xfId="13137" xr:uid="{00000000-0005-0000-0000-0000443F0000}"/>
    <cellStyle name="Note 7 2 3 4 6" xfId="12933" xr:uid="{00000000-0005-0000-0000-0000453F0000}"/>
    <cellStyle name="Note 7 2 3 5" xfId="6148" xr:uid="{00000000-0005-0000-0000-0000463F0000}"/>
    <cellStyle name="Note 7 2 3 5 2" xfId="13880" xr:uid="{00000000-0005-0000-0000-0000473F0000}"/>
    <cellStyle name="Note 7 2 3 5 3" xfId="15220" xr:uid="{00000000-0005-0000-0000-0000483F0000}"/>
    <cellStyle name="Note 7 2 3 5 4" xfId="16333" xr:uid="{00000000-0005-0000-0000-0000493F0000}"/>
    <cellStyle name="Note 7 2 3 5 5" xfId="12104" xr:uid="{00000000-0005-0000-0000-00004A3F0000}"/>
    <cellStyle name="Note 7 2 3 5 6" xfId="15113" xr:uid="{00000000-0005-0000-0000-00004B3F0000}"/>
    <cellStyle name="Note 7 2 3 6" xfId="11640" xr:uid="{00000000-0005-0000-0000-00004C3F0000}"/>
    <cellStyle name="Note 7 2 3 6 2" xfId="15946" xr:uid="{00000000-0005-0000-0000-00004D3F0000}"/>
    <cellStyle name="Note 7 2 3 6 3" xfId="17025" xr:uid="{00000000-0005-0000-0000-00004E3F0000}"/>
    <cellStyle name="Note 7 2 3 6 4" xfId="18049" xr:uid="{00000000-0005-0000-0000-00004F3F0000}"/>
    <cellStyle name="Note 7 2 3 6 5" xfId="19019" xr:uid="{00000000-0005-0000-0000-0000503F0000}"/>
    <cellStyle name="Note 7 2 3 6 6" xfId="19925" xr:uid="{00000000-0005-0000-0000-0000513F0000}"/>
    <cellStyle name="Note 7 2 3 7" xfId="12267" xr:uid="{00000000-0005-0000-0000-0000523F0000}"/>
    <cellStyle name="Note 7 2 3 8" xfId="14482" xr:uid="{00000000-0005-0000-0000-0000533F0000}"/>
    <cellStyle name="Note 7 2 3 9" xfId="15189" xr:uid="{00000000-0005-0000-0000-0000543F0000}"/>
    <cellStyle name="Note 7 2 4" xfId="2363" xr:uid="{00000000-0005-0000-0000-0000553F0000}"/>
    <cellStyle name="Note 7 2 4 2" xfId="4810" xr:uid="{00000000-0005-0000-0000-0000563F0000}"/>
    <cellStyle name="Note 7 2 4 2 2" xfId="9906" xr:uid="{00000000-0005-0000-0000-0000573F0000}"/>
    <cellStyle name="Note 7 2 4 3" xfId="7467" xr:uid="{00000000-0005-0000-0000-0000583F0000}"/>
    <cellStyle name="Note 7 2 5" xfId="3627" xr:uid="{00000000-0005-0000-0000-0000593F0000}"/>
    <cellStyle name="Note 7 2 5 2" xfId="8726" xr:uid="{00000000-0005-0000-0000-00005A3F0000}"/>
    <cellStyle name="Note 7 2 6" xfId="6207" xr:uid="{00000000-0005-0000-0000-00005B3F0000}"/>
    <cellStyle name="Note 7 3" xfId="1023" xr:uid="{00000000-0005-0000-0000-00005C3F0000}"/>
    <cellStyle name="Note 7 3 10" xfId="12117" xr:uid="{00000000-0005-0000-0000-00005D3F0000}"/>
    <cellStyle name="Note 7 3 11" xfId="13347" xr:uid="{00000000-0005-0000-0000-00005E3F0000}"/>
    <cellStyle name="Note 7 3 2" xfId="2653" xr:uid="{00000000-0005-0000-0000-00005F3F0000}"/>
    <cellStyle name="Note 7 3 2 10" xfId="12953" xr:uid="{00000000-0005-0000-0000-0000603F0000}"/>
    <cellStyle name="Note 7 3 2 2" xfId="6069" xr:uid="{00000000-0005-0000-0000-0000613F0000}"/>
    <cellStyle name="Note 7 3 2 2 2" xfId="11165" xr:uid="{00000000-0005-0000-0000-0000623F0000}"/>
    <cellStyle name="Note 7 3 2 2 2 2" xfId="15471" xr:uid="{00000000-0005-0000-0000-0000633F0000}"/>
    <cellStyle name="Note 7 3 2 2 2 3" xfId="16550" xr:uid="{00000000-0005-0000-0000-0000643F0000}"/>
    <cellStyle name="Note 7 3 2 2 2 4" xfId="17584" xr:uid="{00000000-0005-0000-0000-0000653F0000}"/>
    <cellStyle name="Note 7 3 2 2 2 5" xfId="18554" xr:uid="{00000000-0005-0000-0000-0000663F0000}"/>
    <cellStyle name="Note 7 3 2 2 2 6" xfId="19460" xr:uid="{00000000-0005-0000-0000-0000673F0000}"/>
    <cellStyle name="Note 7 3 2 2 3" xfId="11747" xr:uid="{00000000-0005-0000-0000-0000683F0000}"/>
    <cellStyle name="Note 7 3 2 2 3 2" xfId="16053" xr:uid="{00000000-0005-0000-0000-0000693F0000}"/>
    <cellStyle name="Note 7 3 2 2 3 3" xfId="17132" xr:uid="{00000000-0005-0000-0000-00006A3F0000}"/>
    <cellStyle name="Note 7 3 2 2 3 4" xfId="18154" xr:uid="{00000000-0005-0000-0000-00006B3F0000}"/>
    <cellStyle name="Note 7 3 2 2 3 5" xfId="19124" xr:uid="{00000000-0005-0000-0000-00006C3F0000}"/>
    <cellStyle name="Note 7 3 2 2 3 6" xfId="20030" xr:uid="{00000000-0005-0000-0000-00006D3F0000}"/>
    <cellStyle name="Note 7 3 2 2 4" xfId="11919" xr:uid="{00000000-0005-0000-0000-00006E3F0000}"/>
    <cellStyle name="Note 7 3 2 2 4 2" xfId="16225" xr:uid="{00000000-0005-0000-0000-00006F3F0000}"/>
    <cellStyle name="Note 7 3 2 2 4 3" xfId="17304" xr:uid="{00000000-0005-0000-0000-0000703F0000}"/>
    <cellStyle name="Note 7 3 2 2 4 4" xfId="18322" xr:uid="{00000000-0005-0000-0000-0000713F0000}"/>
    <cellStyle name="Note 7 3 2 2 4 5" xfId="19292" xr:uid="{00000000-0005-0000-0000-0000723F0000}"/>
    <cellStyle name="Note 7 3 2 2 4 6" xfId="20198" xr:uid="{00000000-0005-0000-0000-0000733F0000}"/>
    <cellStyle name="Note 7 3 2 2 5" xfId="13802" xr:uid="{00000000-0005-0000-0000-0000743F0000}"/>
    <cellStyle name="Note 7 3 2 2 6" xfId="13535" xr:uid="{00000000-0005-0000-0000-0000753F0000}"/>
    <cellStyle name="Note 7 3 2 2 7" xfId="14911" xr:uid="{00000000-0005-0000-0000-0000763F0000}"/>
    <cellStyle name="Note 7 3 2 2 8" xfId="16365" xr:uid="{00000000-0005-0000-0000-0000773F0000}"/>
    <cellStyle name="Note 7 3 2 2 9" xfId="13230" xr:uid="{00000000-0005-0000-0000-0000783F0000}"/>
    <cellStyle name="Note 7 3 2 3" xfId="7756" xr:uid="{00000000-0005-0000-0000-0000793F0000}"/>
    <cellStyle name="Note 7 3 2 3 2" xfId="14422" xr:uid="{00000000-0005-0000-0000-00007A3F0000}"/>
    <cellStyle name="Note 7 3 2 3 3" xfId="12314" xr:uid="{00000000-0005-0000-0000-00007B3F0000}"/>
    <cellStyle name="Note 7 3 2 3 4" xfId="12543" xr:uid="{00000000-0005-0000-0000-00007C3F0000}"/>
    <cellStyle name="Note 7 3 2 3 5" xfId="13198" xr:uid="{00000000-0005-0000-0000-00007D3F0000}"/>
    <cellStyle name="Note 7 3 2 3 6" xfId="16376" xr:uid="{00000000-0005-0000-0000-00007E3F0000}"/>
    <cellStyle name="Note 7 3 2 4" xfId="11355" xr:uid="{00000000-0005-0000-0000-00007F3F0000}"/>
    <cellStyle name="Note 7 3 2 4 2" xfId="15661" xr:uid="{00000000-0005-0000-0000-0000803F0000}"/>
    <cellStyle name="Note 7 3 2 4 3" xfId="16740" xr:uid="{00000000-0005-0000-0000-0000813F0000}"/>
    <cellStyle name="Note 7 3 2 4 4" xfId="17769" xr:uid="{00000000-0005-0000-0000-0000823F0000}"/>
    <cellStyle name="Note 7 3 2 4 5" xfId="18739" xr:uid="{00000000-0005-0000-0000-0000833F0000}"/>
    <cellStyle name="Note 7 3 2 4 6" xfId="19645" xr:uid="{00000000-0005-0000-0000-0000843F0000}"/>
    <cellStyle name="Note 7 3 2 5" xfId="11630" xr:uid="{00000000-0005-0000-0000-0000853F0000}"/>
    <cellStyle name="Note 7 3 2 5 2" xfId="15936" xr:uid="{00000000-0005-0000-0000-0000863F0000}"/>
    <cellStyle name="Note 7 3 2 5 3" xfId="17015" xr:uid="{00000000-0005-0000-0000-0000873F0000}"/>
    <cellStyle name="Note 7 3 2 5 4" xfId="18039" xr:uid="{00000000-0005-0000-0000-0000883F0000}"/>
    <cellStyle name="Note 7 3 2 5 5" xfId="19009" xr:uid="{00000000-0005-0000-0000-0000893F0000}"/>
    <cellStyle name="Note 7 3 2 5 6" xfId="19915" xr:uid="{00000000-0005-0000-0000-00008A3F0000}"/>
    <cellStyle name="Note 7 3 2 6" xfId="12723" xr:uid="{00000000-0005-0000-0000-00008B3F0000}"/>
    <cellStyle name="Note 7 3 2 7" xfId="12492" xr:uid="{00000000-0005-0000-0000-00008C3F0000}"/>
    <cellStyle name="Note 7 3 2 8" xfId="13045" xr:uid="{00000000-0005-0000-0000-00008D3F0000}"/>
    <cellStyle name="Note 7 3 2 9" xfId="12941" xr:uid="{00000000-0005-0000-0000-00008E3F0000}"/>
    <cellStyle name="Note 7 3 3" xfId="5994" xr:uid="{00000000-0005-0000-0000-00008F3F0000}"/>
    <cellStyle name="Note 7 3 3 2" xfId="11090" xr:uid="{00000000-0005-0000-0000-0000903F0000}"/>
    <cellStyle name="Note 7 3 3 2 2" xfId="15396" xr:uid="{00000000-0005-0000-0000-0000913F0000}"/>
    <cellStyle name="Note 7 3 3 2 3" xfId="16475" xr:uid="{00000000-0005-0000-0000-0000923F0000}"/>
    <cellStyle name="Note 7 3 3 2 4" xfId="17510" xr:uid="{00000000-0005-0000-0000-0000933F0000}"/>
    <cellStyle name="Note 7 3 3 2 5" xfId="18480" xr:uid="{00000000-0005-0000-0000-0000943F0000}"/>
    <cellStyle name="Note 7 3 3 2 6" xfId="19386" xr:uid="{00000000-0005-0000-0000-0000953F0000}"/>
    <cellStyle name="Note 7 3 3 3" xfId="11672" xr:uid="{00000000-0005-0000-0000-0000963F0000}"/>
    <cellStyle name="Note 7 3 3 3 2" xfId="15978" xr:uid="{00000000-0005-0000-0000-0000973F0000}"/>
    <cellStyle name="Note 7 3 3 3 3" xfId="17057" xr:uid="{00000000-0005-0000-0000-0000983F0000}"/>
    <cellStyle name="Note 7 3 3 3 4" xfId="18080" xr:uid="{00000000-0005-0000-0000-0000993F0000}"/>
    <cellStyle name="Note 7 3 3 3 5" xfId="19050" xr:uid="{00000000-0005-0000-0000-00009A3F0000}"/>
    <cellStyle name="Note 7 3 3 3 6" xfId="19956" xr:uid="{00000000-0005-0000-0000-00009B3F0000}"/>
    <cellStyle name="Note 7 3 3 4" xfId="11844" xr:uid="{00000000-0005-0000-0000-00009C3F0000}"/>
    <cellStyle name="Note 7 3 3 4 2" xfId="16150" xr:uid="{00000000-0005-0000-0000-00009D3F0000}"/>
    <cellStyle name="Note 7 3 3 4 3" xfId="17229" xr:uid="{00000000-0005-0000-0000-00009E3F0000}"/>
    <cellStyle name="Note 7 3 3 4 4" xfId="18248" xr:uid="{00000000-0005-0000-0000-00009F3F0000}"/>
    <cellStyle name="Note 7 3 3 4 5" xfId="19218" xr:uid="{00000000-0005-0000-0000-0000A03F0000}"/>
    <cellStyle name="Note 7 3 3 4 6" xfId="20124" xr:uid="{00000000-0005-0000-0000-0000A13F0000}"/>
    <cellStyle name="Note 7 3 3 5" xfId="13727" xr:uid="{00000000-0005-0000-0000-0000A23F0000}"/>
    <cellStyle name="Note 7 3 3 6" xfId="13358" xr:uid="{00000000-0005-0000-0000-0000A33F0000}"/>
    <cellStyle name="Note 7 3 3 7" xfId="12879" xr:uid="{00000000-0005-0000-0000-0000A43F0000}"/>
    <cellStyle name="Note 7 3 3 8" xfId="12890" xr:uid="{00000000-0005-0000-0000-0000A53F0000}"/>
    <cellStyle name="Note 7 3 3 9" xfId="17458" xr:uid="{00000000-0005-0000-0000-0000A63F0000}"/>
    <cellStyle name="Note 7 3 4" xfId="6500" xr:uid="{00000000-0005-0000-0000-0000A73F0000}"/>
    <cellStyle name="Note 7 3 4 2" xfId="14013" xr:uid="{00000000-0005-0000-0000-0000A83F0000}"/>
    <cellStyle name="Note 7 3 4 3" xfId="13529" xr:uid="{00000000-0005-0000-0000-0000A93F0000}"/>
    <cellStyle name="Note 7 3 4 4" xfId="14333" xr:uid="{00000000-0005-0000-0000-0000AA3F0000}"/>
    <cellStyle name="Note 7 3 4 5" xfId="15177" xr:uid="{00000000-0005-0000-0000-0000AB3F0000}"/>
    <cellStyle name="Note 7 3 4 6" xfId="12027" xr:uid="{00000000-0005-0000-0000-0000AC3F0000}"/>
    <cellStyle name="Note 7 3 5" xfId="6688" xr:uid="{00000000-0005-0000-0000-0000AD3F0000}"/>
    <cellStyle name="Note 7 3 5 2" xfId="14091" xr:uid="{00000000-0005-0000-0000-0000AE3F0000}"/>
    <cellStyle name="Note 7 3 5 3" xfId="12832" xr:uid="{00000000-0005-0000-0000-0000AF3F0000}"/>
    <cellStyle name="Note 7 3 5 4" xfId="12059" xr:uid="{00000000-0005-0000-0000-0000B03F0000}"/>
    <cellStyle name="Note 7 3 5 5" xfId="12635" xr:uid="{00000000-0005-0000-0000-0000B13F0000}"/>
    <cellStyle name="Note 7 3 5 6" xfId="12949" xr:uid="{00000000-0005-0000-0000-0000B23F0000}"/>
    <cellStyle name="Note 7 3 6" xfId="11556" xr:uid="{00000000-0005-0000-0000-0000B33F0000}"/>
    <cellStyle name="Note 7 3 6 2" xfId="15862" xr:uid="{00000000-0005-0000-0000-0000B43F0000}"/>
    <cellStyle name="Note 7 3 6 3" xfId="16941" xr:uid="{00000000-0005-0000-0000-0000B53F0000}"/>
    <cellStyle name="Note 7 3 6 4" xfId="17966" xr:uid="{00000000-0005-0000-0000-0000B63F0000}"/>
    <cellStyle name="Note 7 3 6 5" xfId="18936" xr:uid="{00000000-0005-0000-0000-0000B73F0000}"/>
    <cellStyle name="Note 7 3 6 6" xfId="19842" xr:uid="{00000000-0005-0000-0000-0000B83F0000}"/>
    <cellStyle name="Note 7 3 7" xfId="12215" xr:uid="{00000000-0005-0000-0000-0000B93F0000}"/>
    <cellStyle name="Note 7 3 8" xfId="14382" xr:uid="{00000000-0005-0000-0000-0000BA3F0000}"/>
    <cellStyle name="Note 7 3 9" xfId="13425" xr:uid="{00000000-0005-0000-0000-0000BB3F0000}"/>
    <cellStyle name="Note 7 4" xfId="2149" xr:uid="{00000000-0005-0000-0000-0000BC3F0000}"/>
    <cellStyle name="Note 8" xfId="457" xr:uid="{00000000-0005-0000-0000-0000BD3F0000}"/>
    <cellStyle name="Note 8 2" xfId="1024" xr:uid="{00000000-0005-0000-0000-0000BE3F0000}"/>
    <cellStyle name="Note 8 2 10" xfId="15077" xr:uid="{00000000-0005-0000-0000-0000BF3F0000}"/>
    <cellStyle name="Note 8 2 11" xfId="12842" xr:uid="{00000000-0005-0000-0000-0000C03F0000}"/>
    <cellStyle name="Note 8 2 12" xfId="14959" xr:uid="{00000000-0005-0000-0000-0000C13F0000}"/>
    <cellStyle name="Note 8 2 2" xfId="1115" xr:uid="{00000000-0005-0000-0000-0000C23F0000}"/>
    <cellStyle name="Note 8 2 2 2" xfId="2705" xr:uid="{00000000-0005-0000-0000-0000C33F0000}"/>
    <cellStyle name="Note 8 2 2 2 10" xfId="14132" xr:uid="{00000000-0005-0000-0000-0000C43F0000}"/>
    <cellStyle name="Note 8 2 2 2 11" xfId="13612" xr:uid="{00000000-0005-0000-0000-0000C53F0000}"/>
    <cellStyle name="Note 8 2 2 2 2" xfId="6105" xr:uid="{00000000-0005-0000-0000-0000C63F0000}"/>
    <cellStyle name="Note 8 2 2 2 2 2" xfId="11201" xr:uid="{00000000-0005-0000-0000-0000C73F0000}"/>
    <cellStyle name="Note 8 2 2 2 2 2 2" xfId="15507" xr:uid="{00000000-0005-0000-0000-0000C83F0000}"/>
    <cellStyle name="Note 8 2 2 2 2 2 3" xfId="16586" xr:uid="{00000000-0005-0000-0000-0000C93F0000}"/>
    <cellStyle name="Note 8 2 2 2 2 2 4" xfId="17620" xr:uid="{00000000-0005-0000-0000-0000CA3F0000}"/>
    <cellStyle name="Note 8 2 2 2 2 2 5" xfId="18590" xr:uid="{00000000-0005-0000-0000-0000CB3F0000}"/>
    <cellStyle name="Note 8 2 2 2 2 2 6" xfId="19496" xr:uid="{00000000-0005-0000-0000-0000CC3F0000}"/>
    <cellStyle name="Note 8 2 2 2 2 3" xfId="11783" xr:uid="{00000000-0005-0000-0000-0000CD3F0000}"/>
    <cellStyle name="Note 8 2 2 2 2 3 2" xfId="16089" xr:uid="{00000000-0005-0000-0000-0000CE3F0000}"/>
    <cellStyle name="Note 8 2 2 2 2 3 3" xfId="17168" xr:uid="{00000000-0005-0000-0000-0000CF3F0000}"/>
    <cellStyle name="Note 8 2 2 2 2 3 4" xfId="18190" xr:uid="{00000000-0005-0000-0000-0000D03F0000}"/>
    <cellStyle name="Note 8 2 2 2 2 3 5" xfId="19160" xr:uid="{00000000-0005-0000-0000-0000D13F0000}"/>
    <cellStyle name="Note 8 2 2 2 2 3 6" xfId="20066" xr:uid="{00000000-0005-0000-0000-0000D23F0000}"/>
    <cellStyle name="Note 8 2 2 2 2 4" xfId="11955" xr:uid="{00000000-0005-0000-0000-0000D33F0000}"/>
    <cellStyle name="Note 8 2 2 2 2 4 2" xfId="16261" xr:uid="{00000000-0005-0000-0000-0000D43F0000}"/>
    <cellStyle name="Note 8 2 2 2 2 4 3" xfId="17340" xr:uid="{00000000-0005-0000-0000-0000D53F0000}"/>
    <cellStyle name="Note 8 2 2 2 2 4 4" xfId="18358" xr:uid="{00000000-0005-0000-0000-0000D63F0000}"/>
    <cellStyle name="Note 8 2 2 2 2 4 5" xfId="19328" xr:uid="{00000000-0005-0000-0000-0000D73F0000}"/>
    <cellStyle name="Note 8 2 2 2 2 4 6" xfId="20234" xr:uid="{00000000-0005-0000-0000-0000D83F0000}"/>
    <cellStyle name="Note 8 2 2 2 2 5" xfId="13838" xr:uid="{00000000-0005-0000-0000-0000D93F0000}"/>
    <cellStyle name="Note 8 2 2 2 2 6" xfId="14893" xr:uid="{00000000-0005-0000-0000-0000DA3F0000}"/>
    <cellStyle name="Note 8 2 2 2 2 7" xfId="12290" xr:uid="{00000000-0005-0000-0000-0000DB3F0000}"/>
    <cellStyle name="Note 8 2 2 2 2 8" xfId="14700" xr:uid="{00000000-0005-0000-0000-0000DC3F0000}"/>
    <cellStyle name="Note 8 2 2 2 2 9" xfId="13438" xr:uid="{00000000-0005-0000-0000-0000DD3F0000}"/>
    <cellStyle name="Note 8 2 2 2 3" xfId="5113" xr:uid="{00000000-0005-0000-0000-0000DE3F0000}"/>
    <cellStyle name="Note 8 2 2 2 3 2" xfId="10209" xr:uid="{00000000-0005-0000-0000-0000DF3F0000}"/>
    <cellStyle name="Note 8 2 2 2 3 2 2" xfId="15147" xr:uid="{00000000-0005-0000-0000-0000E03F0000}"/>
    <cellStyle name="Note 8 2 2 2 3 2 3" xfId="13487" xr:uid="{00000000-0005-0000-0000-0000E13F0000}"/>
    <cellStyle name="Note 8 2 2 2 3 2 4" xfId="13351" xr:uid="{00000000-0005-0000-0000-0000E23F0000}"/>
    <cellStyle name="Note 8 2 2 2 3 2 5" xfId="13500" xr:uid="{00000000-0005-0000-0000-0000E33F0000}"/>
    <cellStyle name="Note 8 2 2 2 3 2 6" xfId="15103" xr:uid="{00000000-0005-0000-0000-0000E43F0000}"/>
    <cellStyle name="Note 8 2 2 2 3 3" xfId="11591" xr:uid="{00000000-0005-0000-0000-0000E53F0000}"/>
    <cellStyle name="Note 8 2 2 2 3 3 2" xfId="15897" xr:uid="{00000000-0005-0000-0000-0000E63F0000}"/>
    <cellStyle name="Note 8 2 2 2 3 3 3" xfId="16976" xr:uid="{00000000-0005-0000-0000-0000E73F0000}"/>
    <cellStyle name="Note 8 2 2 2 3 3 4" xfId="18000" xr:uid="{00000000-0005-0000-0000-0000E83F0000}"/>
    <cellStyle name="Note 8 2 2 2 3 3 5" xfId="18970" xr:uid="{00000000-0005-0000-0000-0000E93F0000}"/>
    <cellStyle name="Note 8 2 2 2 3 3 6" xfId="19876" xr:uid="{00000000-0005-0000-0000-0000EA3F0000}"/>
    <cellStyle name="Note 8 2 2 2 3 4" xfId="11606" xr:uid="{00000000-0005-0000-0000-0000EB3F0000}"/>
    <cellStyle name="Note 8 2 2 2 3 4 2" xfId="15912" xr:uid="{00000000-0005-0000-0000-0000EC3F0000}"/>
    <cellStyle name="Note 8 2 2 2 3 4 3" xfId="16991" xr:uid="{00000000-0005-0000-0000-0000ED3F0000}"/>
    <cellStyle name="Note 8 2 2 2 3 4 4" xfId="18015" xr:uid="{00000000-0005-0000-0000-0000EE3F0000}"/>
    <cellStyle name="Note 8 2 2 2 3 4 5" xfId="18985" xr:uid="{00000000-0005-0000-0000-0000EF3F0000}"/>
    <cellStyle name="Note 8 2 2 2 3 4 6" xfId="19891" xr:uid="{00000000-0005-0000-0000-0000F03F0000}"/>
    <cellStyle name="Note 8 2 2 2 3 5" xfId="13467" xr:uid="{00000000-0005-0000-0000-0000F13F0000}"/>
    <cellStyle name="Note 8 2 2 2 3 6" xfId="13348" xr:uid="{00000000-0005-0000-0000-0000F23F0000}"/>
    <cellStyle name="Note 8 2 2 2 3 7" xfId="15264" xr:uid="{00000000-0005-0000-0000-0000F33F0000}"/>
    <cellStyle name="Note 8 2 2 2 3 8" xfId="13518" xr:uid="{00000000-0005-0000-0000-0000F43F0000}"/>
    <cellStyle name="Note 8 2 2 2 3 9" xfId="14612" xr:uid="{00000000-0005-0000-0000-0000F53F0000}"/>
    <cellStyle name="Note 8 2 2 2 4" xfId="7808" xr:uid="{00000000-0005-0000-0000-0000F63F0000}"/>
    <cellStyle name="Note 8 2 2 2 4 2" xfId="14459" xr:uid="{00000000-0005-0000-0000-0000F73F0000}"/>
    <cellStyle name="Note 8 2 2 2 4 3" xfId="13982" xr:uid="{00000000-0005-0000-0000-0000F83F0000}"/>
    <cellStyle name="Note 8 2 2 2 4 4" xfId="14879" xr:uid="{00000000-0005-0000-0000-0000F93F0000}"/>
    <cellStyle name="Note 8 2 2 2 4 5" xfId="14235" xr:uid="{00000000-0005-0000-0000-0000FA3F0000}"/>
    <cellStyle name="Note 8 2 2 2 4 6" xfId="18394" xr:uid="{00000000-0005-0000-0000-0000FB3F0000}"/>
    <cellStyle name="Note 8 2 2 2 5" xfId="11391" xr:uid="{00000000-0005-0000-0000-0000FC3F0000}"/>
    <cellStyle name="Note 8 2 2 2 5 2" xfId="15697" xr:uid="{00000000-0005-0000-0000-0000FD3F0000}"/>
    <cellStyle name="Note 8 2 2 2 5 3" xfId="16776" xr:uid="{00000000-0005-0000-0000-0000FE3F0000}"/>
    <cellStyle name="Note 8 2 2 2 5 4" xfId="17805" xr:uid="{00000000-0005-0000-0000-0000FF3F0000}"/>
    <cellStyle name="Note 8 2 2 2 5 5" xfId="18775" xr:uid="{00000000-0005-0000-0000-000000400000}"/>
    <cellStyle name="Note 8 2 2 2 5 6" xfId="19681" xr:uid="{00000000-0005-0000-0000-000001400000}"/>
    <cellStyle name="Note 8 2 2 2 6" xfId="11529" xr:uid="{00000000-0005-0000-0000-000002400000}"/>
    <cellStyle name="Note 8 2 2 2 6 2" xfId="15835" xr:uid="{00000000-0005-0000-0000-000003400000}"/>
    <cellStyle name="Note 8 2 2 2 6 3" xfId="16914" xr:uid="{00000000-0005-0000-0000-000004400000}"/>
    <cellStyle name="Note 8 2 2 2 6 4" xfId="17939" xr:uid="{00000000-0005-0000-0000-000005400000}"/>
    <cellStyle name="Note 8 2 2 2 6 5" xfId="18909" xr:uid="{00000000-0005-0000-0000-000006400000}"/>
    <cellStyle name="Note 8 2 2 2 6 6" xfId="19815" xr:uid="{00000000-0005-0000-0000-000007400000}"/>
    <cellStyle name="Note 8 2 2 2 7" xfId="12762" xr:uid="{00000000-0005-0000-0000-000008400000}"/>
    <cellStyle name="Note 8 2 2 2 8" xfId="14213" xr:uid="{00000000-0005-0000-0000-000009400000}"/>
    <cellStyle name="Note 8 2 2 2 9" xfId="13058" xr:uid="{00000000-0005-0000-0000-00000A400000}"/>
    <cellStyle name="Note 8 2 2 3" xfId="3930" xr:uid="{00000000-0005-0000-0000-00000B400000}"/>
    <cellStyle name="Note 8 2 2 3 2" xfId="9029" xr:uid="{00000000-0005-0000-0000-00000C400000}"/>
    <cellStyle name="Note 8 2 2 3 2 2" xfId="14807" xr:uid="{00000000-0005-0000-0000-00000D400000}"/>
    <cellStyle name="Note 8 2 2 3 2 3" xfId="14496" xr:uid="{00000000-0005-0000-0000-00000E400000}"/>
    <cellStyle name="Note 8 2 2 3 2 4" xfId="12151" xr:uid="{00000000-0005-0000-0000-00000F400000}"/>
    <cellStyle name="Note 8 2 2 3 2 5" xfId="13665" xr:uid="{00000000-0005-0000-0000-000010400000}"/>
    <cellStyle name="Note 8 2 2 3 2 6" xfId="173" xr:uid="{00000000-0005-0000-0000-000011400000}"/>
    <cellStyle name="Note 8 2 2 3 3" xfId="11497" xr:uid="{00000000-0005-0000-0000-000012400000}"/>
    <cellStyle name="Note 8 2 2 3 3 2" xfId="15803" xr:uid="{00000000-0005-0000-0000-000013400000}"/>
    <cellStyle name="Note 8 2 2 3 3 3" xfId="16882" xr:uid="{00000000-0005-0000-0000-000014400000}"/>
    <cellStyle name="Note 8 2 2 3 3 4" xfId="17908" xr:uid="{00000000-0005-0000-0000-000015400000}"/>
    <cellStyle name="Note 8 2 2 3 3 5" xfId="18878" xr:uid="{00000000-0005-0000-0000-000016400000}"/>
    <cellStyle name="Note 8 2 2 3 3 6" xfId="19784" xr:uid="{00000000-0005-0000-0000-000017400000}"/>
    <cellStyle name="Note 8 2 2 3 4" xfId="6183" xr:uid="{00000000-0005-0000-0000-000018400000}"/>
    <cellStyle name="Note 8 2 2 3 4 2" xfId="13915" xr:uid="{00000000-0005-0000-0000-000019400000}"/>
    <cellStyle name="Note 8 2 2 3 4 3" xfId="12368" xr:uid="{00000000-0005-0000-0000-00001A400000}"/>
    <cellStyle name="Note 8 2 2 3 4 4" xfId="12538" xr:uid="{00000000-0005-0000-0000-00001B400000}"/>
    <cellStyle name="Note 8 2 2 3 4 5" xfId="12076" xr:uid="{00000000-0005-0000-0000-00001C400000}"/>
    <cellStyle name="Note 8 2 2 3 4 6" xfId="15007" xr:uid="{00000000-0005-0000-0000-00001D400000}"/>
    <cellStyle name="Note 8 2 2 3 5" xfId="13119" xr:uid="{00000000-0005-0000-0000-00001E400000}"/>
    <cellStyle name="Note 8 2 2 3 6" xfId="12900" xr:uid="{00000000-0005-0000-0000-00001F400000}"/>
    <cellStyle name="Note 8 2 2 3 7" xfId="12918" xr:uid="{00000000-0005-0000-0000-000020400000}"/>
    <cellStyle name="Note 8 2 2 3 8" xfId="12916" xr:uid="{00000000-0005-0000-0000-000021400000}"/>
    <cellStyle name="Note 8 2 2 3 9" xfId="12090" xr:uid="{00000000-0005-0000-0000-000022400000}"/>
    <cellStyle name="Note 8 2 3" xfId="2654" xr:uid="{00000000-0005-0000-0000-000023400000}"/>
    <cellStyle name="Note 8 2 3 10" xfId="13138" xr:uid="{00000000-0005-0000-0000-000024400000}"/>
    <cellStyle name="Note 8 2 3 2" xfId="6070" xr:uid="{00000000-0005-0000-0000-000025400000}"/>
    <cellStyle name="Note 8 2 3 2 2" xfId="11166" xr:uid="{00000000-0005-0000-0000-000026400000}"/>
    <cellStyle name="Note 8 2 3 2 2 2" xfId="15472" xr:uid="{00000000-0005-0000-0000-000027400000}"/>
    <cellStyle name="Note 8 2 3 2 2 3" xfId="16551" xr:uid="{00000000-0005-0000-0000-000028400000}"/>
    <cellStyle name="Note 8 2 3 2 2 4" xfId="17585" xr:uid="{00000000-0005-0000-0000-000029400000}"/>
    <cellStyle name="Note 8 2 3 2 2 5" xfId="18555" xr:uid="{00000000-0005-0000-0000-00002A400000}"/>
    <cellStyle name="Note 8 2 3 2 2 6" xfId="19461" xr:uid="{00000000-0005-0000-0000-00002B400000}"/>
    <cellStyle name="Note 8 2 3 2 3" xfId="11748" xr:uid="{00000000-0005-0000-0000-00002C400000}"/>
    <cellStyle name="Note 8 2 3 2 3 2" xfId="16054" xr:uid="{00000000-0005-0000-0000-00002D400000}"/>
    <cellStyle name="Note 8 2 3 2 3 3" xfId="17133" xr:uid="{00000000-0005-0000-0000-00002E400000}"/>
    <cellStyle name="Note 8 2 3 2 3 4" xfId="18155" xr:uid="{00000000-0005-0000-0000-00002F400000}"/>
    <cellStyle name="Note 8 2 3 2 3 5" xfId="19125" xr:uid="{00000000-0005-0000-0000-000030400000}"/>
    <cellStyle name="Note 8 2 3 2 3 6" xfId="20031" xr:uid="{00000000-0005-0000-0000-000031400000}"/>
    <cellStyle name="Note 8 2 3 2 4" xfId="11920" xr:uid="{00000000-0005-0000-0000-000032400000}"/>
    <cellStyle name="Note 8 2 3 2 4 2" xfId="16226" xr:uid="{00000000-0005-0000-0000-000033400000}"/>
    <cellStyle name="Note 8 2 3 2 4 3" xfId="17305" xr:uid="{00000000-0005-0000-0000-000034400000}"/>
    <cellStyle name="Note 8 2 3 2 4 4" xfId="18323" xr:uid="{00000000-0005-0000-0000-000035400000}"/>
    <cellStyle name="Note 8 2 3 2 4 5" xfId="19293" xr:uid="{00000000-0005-0000-0000-000036400000}"/>
    <cellStyle name="Note 8 2 3 2 4 6" xfId="20199" xr:uid="{00000000-0005-0000-0000-000037400000}"/>
    <cellStyle name="Note 8 2 3 2 5" xfId="13803" xr:uid="{00000000-0005-0000-0000-000038400000}"/>
    <cellStyle name="Note 8 2 3 2 6" xfId="12841" xr:uid="{00000000-0005-0000-0000-000039400000}"/>
    <cellStyle name="Note 8 2 3 2 7" xfId="12251" xr:uid="{00000000-0005-0000-0000-00003A400000}"/>
    <cellStyle name="Note 8 2 3 2 8" xfId="12164" xr:uid="{00000000-0005-0000-0000-00003B400000}"/>
    <cellStyle name="Note 8 2 3 2 9" xfId="15116" xr:uid="{00000000-0005-0000-0000-00003C400000}"/>
    <cellStyle name="Note 8 2 3 3" xfId="7757" xr:uid="{00000000-0005-0000-0000-00003D400000}"/>
    <cellStyle name="Note 8 2 3 3 2" xfId="14423" xr:uid="{00000000-0005-0000-0000-00003E400000}"/>
    <cellStyle name="Note 8 2 3 3 3" xfId="12130" xr:uid="{00000000-0005-0000-0000-00003F400000}"/>
    <cellStyle name="Note 8 2 3 3 4" xfId="14401" xr:uid="{00000000-0005-0000-0000-000040400000}"/>
    <cellStyle name="Note 8 2 3 3 5" xfId="17381" xr:uid="{00000000-0005-0000-0000-000041400000}"/>
    <cellStyle name="Note 8 2 3 3 6" xfId="13015" xr:uid="{00000000-0005-0000-0000-000042400000}"/>
    <cellStyle name="Note 8 2 3 4" xfId="11356" xr:uid="{00000000-0005-0000-0000-000043400000}"/>
    <cellStyle name="Note 8 2 3 4 2" xfId="15662" xr:uid="{00000000-0005-0000-0000-000044400000}"/>
    <cellStyle name="Note 8 2 3 4 3" xfId="16741" xr:uid="{00000000-0005-0000-0000-000045400000}"/>
    <cellStyle name="Note 8 2 3 4 4" xfId="17770" xr:uid="{00000000-0005-0000-0000-000046400000}"/>
    <cellStyle name="Note 8 2 3 4 5" xfId="18740" xr:uid="{00000000-0005-0000-0000-000047400000}"/>
    <cellStyle name="Note 8 2 3 4 6" xfId="19646" xr:uid="{00000000-0005-0000-0000-000048400000}"/>
    <cellStyle name="Note 8 2 3 5" xfId="11442" xr:uid="{00000000-0005-0000-0000-000049400000}"/>
    <cellStyle name="Note 8 2 3 5 2" xfId="15748" xr:uid="{00000000-0005-0000-0000-00004A400000}"/>
    <cellStyle name="Note 8 2 3 5 3" xfId="16827" xr:uid="{00000000-0005-0000-0000-00004B400000}"/>
    <cellStyle name="Note 8 2 3 5 4" xfId="17855" xr:uid="{00000000-0005-0000-0000-00004C400000}"/>
    <cellStyle name="Note 8 2 3 5 5" xfId="18825" xr:uid="{00000000-0005-0000-0000-00004D400000}"/>
    <cellStyle name="Note 8 2 3 5 6" xfId="19731" xr:uid="{00000000-0005-0000-0000-00004E400000}"/>
    <cellStyle name="Note 8 2 3 6" xfId="12724" xr:uid="{00000000-0005-0000-0000-00004F400000}"/>
    <cellStyle name="Note 8 2 3 7" xfId="12491" xr:uid="{00000000-0005-0000-0000-000050400000}"/>
    <cellStyle name="Note 8 2 3 8" xfId="14730" xr:uid="{00000000-0005-0000-0000-000051400000}"/>
    <cellStyle name="Note 8 2 3 9" xfId="14237" xr:uid="{00000000-0005-0000-0000-000052400000}"/>
    <cellStyle name="Note 8 2 4" xfId="5995" xr:uid="{00000000-0005-0000-0000-000053400000}"/>
    <cellStyle name="Note 8 2 4 2" xfId="11091" xr:uid="{00000000-0005-0000-0000-000054400000}"/>
    <cellStyle name="Note 8 2 4 2 2" xfId="15397" xr:uid="{00000000-0005-0000-0000-000055400000}"/>
    <cellStyle name="Note 8 2 4 2 3" xfId="16476" xr:uid="{00000000-0005-0000-0000-000056400000}"/>
    <cellStyle name="Note 8 2 4 2 4" xfId="17511" xr:uid="{00000000-0005-0000-0000-000057400000}"/>
    <cellStyle name="Note 8 2 4 2 5" xfId="18481" xr:uid="{00000000-0005-0000-0000-000058400000}"/>
    <cellStyle name="Note 8 2 4 2 6" xfId="19387" xr:uid="{00000000-0005-0000-0000-000059400000}"/>
    <cellStyle name="Note 8 2 4 3" xfId="11673" xr:uid="{00000000-0005-0000-0000-00005A400000}"/>
    <cellStyle name="Note 8 2 4 3 2" xfId="15979" xr:uid="{00000000-0005-0000-0000-00005B400000}"/>
    <cellStyle name="Note 8 2 4 3 3" xfId="17058" xr:uid="{00000000-0005-0000-0000-00005C400000}"/>
    <cellStyle name="Note 8 2 4 3 4" xfId="18081" xr:uid="{00000000-0005-0000-0000-00005D400000}"/>
    <cellStyle name="Note 8 2 4 3 5" xfId="19051" xr:uid="{00000000-0005-0000-0000-00005E400000}"/>
    <cellStyle name="Note 8 2 4 3 6" xfId="19957" xr:uid="{00000000-0005-0000-0000-00005F400000}"/>
    <cellStyle name="Note 8 2 4 4" xfId="11845" xr:uid="{00000000-0005-0000-0000-000060400000}"/>
    <cellStyle name="Note 8 2 4 4 2" xfId="16151" xr:uid="{00000000-0005-0000-0000-000061400000}"/>
    <cellStyle name="Note 8 2 4 4 3" xfId="17230" xr:uid="{00000000-0005-0000-0000-000062400000}"/>
    <cellStyle name="Note 8 2 4 4 4" xfId="18249" xr:uid="{00000000-0005-0000-0000-000063400000}"/>
    <cellStyle name="Note 8 2 4 4 5" xfId="19219" xr:uid="{00000000-0005-0000-0000-000064400000}"/>
    <cellStyle name="Note 8 2 4 4 6" xfId="20125" xr:uid="{00000000-0005-0000-0000-000065400000}"/>
    <cellStyle name="Note 8 2 4 5" xfId="13728" xr:uid="{00000000-0005-0000-0000-000066400000}"/>
    <cellStyle name="Note 8 2 4 6" xfId="14689" xr:uid="{00000000-0005-0000-0000-000067400000}"/>
    <cellStyle name="Note 8 2 4 7" xfId="15178" xr:uid="{00000000-0005-0000-0000-000068400000}"/>
    <cellStyle name="Note 8 2 4 8" xfId="15058" xr:uid="{00000000-0005-0000-0000-000069400000}"/>
    <cellStyle name="Note 8 2 4 9" xfId="14342" xr:uid="{00000000-0005-0000-0000-00006A400000}"/>
    <cellStyle name="Note 8 2 5" xfId="6501" xr:uid="{00000000-0005-0000-0000-00006B400000}"/>
    <cellStyle name="Note 8 2 5 2" xfId="14014" xr:uid="{00000000-0005-0000-0000-00006C400000}"/>
    <cellStyle name="Note 8 2 5 3" xfId="12836" xr:uid="{00000000-0005-0000-0000-00006D400000}"/>
    <cellStyle name="Note 8 2 5 4" xfId="12184" xr:uid="{00000000-0005-0000-0000-00006E400000}"/>
    <cellStyle name="Note 8 2 5 5" xfId="16373" xr:uid="{00000000-0005-0000-0000-00006F400000}"/>
    <cellStyle name="Note 8 2 5 6" xfId="13499" xr:uid="{00000000-0005-0000-0000-000070400000}"/>
    <cellStyle name="Note 8 2 6" xfId="6157" xr:uid="{00000000-0005-0000-0000-000071400000}"/>
    <cellStyle name="Note 8 2 6 2" xfId="13889" xr:uid="{00000000-0005-0000-0000-000072400000}"/>
    <cellStyle name="Note 8 2 6 3" xfId="12848" xr:uid="{00000000-0005-0000-0000-000073400000}"/>
    <cellStyle name="Note 8 2 6 4" xfId="12122" xr:uid="{00000000-0005-0000-0000-000074400000}"/>
    <cellStyle name="Note 8 2 6 5" xfId="14869" xr:uid="{00000000-0005-0000-0000-000075400000}"/>
    <cellStyle name="Note 8 2 6 6" xfId="12112" xr:uid="{00000000-0005-0000-0000-000076400000}"/>
    <cellStyle name="Note 8 2 7" xfId="11645" xr:uid="{00000000-0005-0000-0000-000077400000}"/>
    <cellStyle name="Note 8 2 7 2" xfId="15951" xr:uid="{00000000-0005-0000-0000-000078400000}"/>
    <cellStyle name="Note 8 2 7 3" xfId="17030" xr:uid="{00000000-0005-0000-0000-000079400000}"/>
    <cellStyle name="Note 8 2 7 4" xfId="18054" xr:uid="{00000000-0005-0000-0000-00007A400000}"/>
    <cellStyle name="Note 8 2 7 5" xfId="19024" xr:uid="{00000000-0005-0000-0000-00007B400000}"/>
    <cellStyle name="Note 8 2 7 6" xfId="19930" xr:uid="{00000000-0005-0000-0000-00007C400000}"/>
    <cellStyle name="Note 8 2 8" xfId="12216" xr:uid="{00000000-0005-0000-0000-00007D400000}"/>
    <cellStyle name="Note 8 2 9" xfId="15101" xr:uid="{00000000-0005-0000-0000-00007E400000}"/>
    <cellStyle name="Note 9" xfId="999" xr:uid="{00000000-0005-0000-0000-00007F400000}"/>
    <cellStyle name="Note 9 2" xfId="1042" xr:uid="{00000000-0005-0000-0000-000080400000}"/>
    <cellStyle name="Note 9 2 2" xfId="2672" xr:uid="{00000000-0005-0000-0000-000081400000}"/>
    <cellStyle name="Note 9 2 2 2" xfId="5081" xr:uid="{00000000-0005-0000-0000-000082400000}"/>
    <cellStyle name="Note 9 2 2 2 2" xfId="10177" xr:uid="{00000000-0005-0000-0000-000083400000}"/>
    <cellStyle name="Note 9 2 2 3" xfId="7775" xr:uid="{00000000-0005-0000-0000-000084400000}"/>
    <cellStyle name="Note 9 2 3" xfId="3898" xr:uid="{00000000-0005-0000-0000-000085400000}"/>
    <cellStyle name="Note 9 2 3 2" xfId="8997" xr:uid="{00000000-0005-0000-0000-000086400000}"/>
    <cellStyle name="Note 9 2 4" xfId="6519" xr:uid="{00000000-0005-0000-0000-000087400000}"/>
    <cellStyle name="Note 9 3" xfId="2633" xr:uid="{00000000-0005-0000-0000-000088400000}"/>
    <cellStyle name="Note 9 3 2" xfId="5077" xr:uid="{00000000-0005-0000-0000-000089400000}"/>
    <cellStyle name="Note 9 3 2 2" xfId="10173" xr:uid="{00000000-0005-0000-0000-00008A400000}"/>
    <cellStyle name="Note 9 3 3" xfId="7736" xr:uid="{00000000-0005-0000-0000-00008B400000}"/>
    <cellStyle name="Note 9 4" xfId="3894" xr:uid="{00000000-0005-0000-0000-00008C400000}"/>
    <cellStyle name="Note 9 4 2" xfId="8993" xr:uid="{00000000-0005-0000-0000-00008D400000}"/>
    <cellStyle name="Note 9 5" xfId="6480" xr:uid="{00000000-0005-0000-0000-00008E400000}"/>
    <cellStyle name="Output" xfId="117" builtinId="21" customBuiltin="1"/>
    <cellStyle name="Output 2" xfId="55" xr:uid="{00000000-0005-0000-0000-000090400000}"/>
    <cellStyle name="Output 2 2" xfId="523" xr:uid="{00000000-0005-0000-0000-000091400000}"/>
    <cellStyle name="Output 2 2 2" xfId="860" xr:uid="{00000000-0005-0000-0000-000092400000}"/>
    <cellStyle name="Output 2 2 3" xfId="2337" xr:uid="{00000000-0005-0000-0000-000093400000}"/>
    <cellStyle name="Output 2 2 3 10" xfId="12637" xr:uid="{00000000-0005-0000-0000-000094400000}"/>
    <cellStyle name="Output 2 2 3 11" xfId="18439" xr:uid="{00000000-0005-0000-0000-000095400000}"/>
    <cellStyle name="Output 2 2 3 2" xfId="6046" xr:uid="{00000000-0005-0000-0000-000096400000}"/>
    <cellStyle name="Output 2 2 3 2 2" xfId="11142" xr:uid="{00000000-0005-0000-0000-000097400000}"/>
    <cellStyle name="Output 2 2 3 2 2 2" xfId="15448" xr:uid="{00000000-0005-0000-0000-000098400000}"/>
    <cellStyle name="Output 2 2 3 2 2 3" xfId="16527" xr:uid="{00000000-0005-0000-0000-000099400000}"/>
    <cellStyle name="Output 2 2 3 2 2 4" xfId="17561" xr:uid="{00000000-0005-0000-0000-00009A400000}"/>
    <cellStyle name="Output 2 2 3 2 2 5" xfId="18531" xr:uid="{00000000-0005-0000-0000-00009B400000}"/>
    <cellStyle name="Output 2 2 3 2 2 6" xfId="19437" xr:uid="{00000000-0005-0000-0000-00009C400000}"/>
    <cellStyle name="Output 2 2 3 2 3" xfId="11724" xr:uid="{00000000-0005-0000-0000-00009D400000}"/>
    <cellStyle name="Output 2 2 3 2 3 2" xfId="16030" xr:uid="{00000000-0005-0000-0000-00009E400000}"/>
    <cellStyle name="Output 2 2 3 2 3 3" xfId="17109" xr:uid="{00000000-0005-0000-0000-00009F400000}"/>
    <cellStyle name="Output 2 2 3 2 3 4" xfId="18131" xr:uid="{00000000-0005-0000-0000-0000A0400000}"/>
    <cellStyle name="Output 2 2 3 2 3 5" xfId="19101" xr:uid="{00000000-0005-0000-0000-0000A1400000}"/>
    <cellStyle name="Output 2 2 3 2 3 6" xfId="20007" xr:uid="{00000000-0005-0000-0000-0000A2400000}"/>
    <cellStyle name="Output 2 2 3 2 4" xfId="11896" xr:uid="{00000000-0005-0000-0000-0000A3400000}"/>
    <cellStyle name="Output 2 2 3 2 4 2" xfId="16202" xr:uid="{00000000-0005-0000-0000-0000A4400000}"/>
    <cellStyle name="Output 2 2 3 2 4 3" xfId="17281" xr:uid="{00000000-0005-0000-0000-0000A5400000}"/>
    <cellStyle name="Output 2 2 3 2 4 4" xfId="18299" xr:uid="{00000000-0005-0000-0000-0000A6400000}"/>
    <cellStyle name="Output 2 2 3 2 4 5" xfId="19269" xr:uid="{00000000-0005-0000-0000-0000A7400000}"/>
    <cellStyle name="Output 2 2 3 2 4 6" xfId="20175" xr:uid="{00000000-0005-0000-0000-0000A8400000}"/>
    <cellStyle name="Output 2 2 3 2 5" xfId="13779" xr:uid="{00000000-0005-0000-0000-0000A9400000}"/>
    <cellStyle name="Output 2 2 3 2 6" xfId="12989" xr:uid="{00000000-0005-0000-0000-0000AA400000}"/>
    <cellStyle name="Output 2 2 3 2 7" xfId="14201" xr:uid="{00000000-0005-0000-0000-0000AB400000}"/>
    <cellStyle name="Output 2 2 3 2 8" xfId="14172" xr:uid="{00000000-0005-0000-0000-0000AC400000}"/>
    <cellStyle name="Output 2 2 3 2 9" xfId="14886" xr:uid="{00000000-0005-0000-0000-0000AD400000}"/>
    <cellStyle name="Output 2 2 3 3" xfId="4789" xr:uid="{00000000-0005-0000-0000-0000AE400000}"/>
    <cellStyle name="Output 2 2 3 3 2" xfId="9885" xr:uid="{00000000-0005-0000-0000-0000AF400000}"/>
    <cellStyle name="Output 2 2 3 3 2 2" xfId="15040" xr:uid="{00000000-0005-0000-0000-0000B0400000}"/>
    <cellStyle name="Output 2 2 3 3 2 3" xfId="1150" xr:uid="{00000000-0005-0000-0000-0000B1400000}"/>
    <cellStyle name="Output 2 2 3 3 2 4" xfId="15014" xr:uid="{00000000-0005-0000-0000-0000B2400000}"/>
    <cellStyle name="Output 2 2 3 3 2 5" xfId="14852" xr:uid="{00000000-0005-0000-0000-0000B3400000}"/>
    <cellStyle name="Output 2 2 3 3 2 6" xfId="13039" xr:uid="{00000000-0005-0000-0000-0000B4400000}"/>
    <cellStyle name="Output 2 2 3 3 3" xfId="11566" xr:uid="{00000000-0005-0000-0000-0000B5400000}"/>
    <cellStyle name="Output 2 2 3 3 3 2" xfId="15872" xr:uid="{00000000-0005-0000-0000-0000B6400000}"/>
    <cellStyle name="Output 2 2 3 3 3 3" xfId="16951" xr:uid="{00000000-0005-0000-0000-0000B7400000}"/>
    <cellStyle name="Output 2 2 3 3 3 4" xfId="17975" xr:uid="{00000000-0005-0000-0000-0000B8400000}"/>
    <cellStyle name="Output 2 2 3 3 3 5" xfId="18945" xr:uid="{00000000-0005-0000-0000-0000B9400000}"/>
    <cellStyle name="Output 2 2 3 3 3 6" xfId="19851" xr:uid="{00000000-0005-0000-0000-0000BA400000}"/>
    <cellStyle name="Output 2 2 3 3 4" xfId="6179" xr:uid="{00000000-0005-0000-0000-0000BB400000}"/>
    <cellStyle name="Output 2 2 3 3 4 2" xfId="13911" xr:uid="{00000000-0005-0000-0000-0000BC400000}"/>
    <cellStyle name="Output 2 2 3 3 4 3" xfId="13539" xr:uid="{00000000-0005-0000-0000-0000BD400000}"/>
    <cellStyle name="Output 2 2 3 3 4 4" xfId="14569" xr:uid="{00000000-0005-0000-0000-0000BE400000}"/>
    <cellStyle name="Output 2 2 3 3 4 5" xfId="14276" xr:uid="{00000000-0005-0000-0000-0000BF400000}"/>
    <cellStyle name="Output 2 2 3 3 4 6" xfId="17427" xr:uid="{00000000-0005-0000-0000-0000C0400000}"/>
    <cellStyle name="Output 2 2 3 3 5" xfId="13369" xr:uid="{00000000-0005-0000-0000-0000C1400000}"/>
    <cellStyle name="Output 2 2 3 3 6" xfId="14177" xr:uid="{00000000-0005-0000-0000-0000C2400000}"/>
    <cellStyle name="Output 2 2 3 3 7" xfId="12327" xr:uid="{00000000-0005-0000-0000-0000C3400000}"/>
    <cellStyle name="Output 2 2 3 3 8" xfId="14329" xr:uid="{00000000-0005-0000-0000-0000C4400000}"/>
    <cellStyle name="Output 2 2 3 3 9" xfId="14979" xr:uid="{00000000-0005-0000-0000-0000C5400000}"/>
    <cellStyle name="Output 2 2 3 4" xfId="7446" xr:uid="{00000000-0005-0000-0000-0000C6400000}"/>
    <cellStyle name="Output 2 2 3 4 2" xfId="14321" xr:uid="{00000000-0005-0000-0000-0000C7400000}"/>
    <cellStyle name="Output 2 2 3 4 3" xfId="13928" xr:uid="{00000000-0005-0000-0000-0000C8400000}"/>
    <cellStyle name="Output 2 2 3 4 4" xfId="15122" xr:uid="{00000000-0005-0000-0000-0000C9400000}"/>
    <cellStyle name="Output 2 2 3 4 5" xfId="12048" xr:uid="{00000000-0005-0000-0000-0000CA400000}"/>
    <cellStyle name="Output 2 2 3 4 6" xfId="14656" xr:uid="{00000000-0005-0000-0000-0000CB400000}"/>
    <cellStyle name="Output 2 2 3 5" xfId="11327" xr:uid="{00000000-0005-0000-0000-0000CC400000}"/>
    <cellStyle name="Output 2 2 3 5 2" xfId="15633" xr:uid="{00000000-0005-0000-0000-0000CD400000}"/>
    <cellStyle name="Output 2 2 3 5 3" xfId="16712" xr:uid="{00000000-0005-0000-0000-0000CE400000}"/>
    <cellStyle name="Output 2 2 3 5 4" xfId="17741" xr:uid="{00000000-0005-0000-0000-0000CF400000}"/>
    <cellStyle name="Output 2 2 3 5 5" xfId="18711" xr:uid="{00000000-0005-0000-0000-0000D0400000}"/>
    <cellStyle name="Output 2 2 3 5 6" xfId="19617" xr:uid="{00000000-0005-0000-0000-0000D1400000}"/>
    <cellStyle name="Output 2 2 3 6" xfId="11545" xr:uid="{00000000-0005-0000-0000-0000D2400000}"/>
    <cellStyle name="Output 2 2 3 6 2" xfId="15851" xr:uid="{00000000-0005-0000-0000-0000D3400000}"/>
    <cellStyle name="Output 2 2 3 6 3" xfId="16930" xr:uid="{00000000-0005-0000-0000-0000D4400000}"/>
    <cellStyle name="Output 2 2 3 6 4" xfId="17955" xr:uid="{00000000-0005-0000-0000-0000D5400000}"/>
    <cellStyle name="Output 2 2 3 6 5" xfId="18925" xr:uid="{00000000-0005-0000-0000-0000D6400000}"/>
    <cellStyle name="Output 2 2 3 6 6" xfId="19831" xr:uid="{00000000-0005-0000-0000-0000D7400000}"/>
    <cellStyle name="Output 2 2 3 7" xfId="12618" xr:uid="{00000000-0005-0000-0000-0000D8400000}"/>
    <cellStyle name="Output 2 2 3 8" xfId="15311" xr:uid="{00000000-0005-0000-0000-0000D9400000}"/>
    <cellStyle name="Output 2 2 3 9" xfId="16405" xr:uid="{00000000-0005-0000-0000-0000DA400000}"/>
    <cellStyle name="Output 2 2 4" xfId="3606" xr:uid="{00000000-0005-0000-0000-0000DB400000}"/>
    <cellStyle name="Output 2 2 4 2" xfId="8705" xr:uid="{00000000-0005-0000-0000-0000DC400000}"/>
    <cellStyle name="Output 2 2 4 2 2" xfId="14706" xr:uid="{00000000-0005-0000-0000-0000DD400000}"/>
    <cellStyle name="Output 2 2 4 2 3" xfId="12741" xr:uid="{00000000-0005-0000-0000-0000DE400000}"/>
    <cellStyle name="Output 2 2 4 2 4" xfId="14770" xr:uid="{00000000-0005-0000-0000-0000DF400000}"/>
    <cellStyle name="Output 2 2 4 2 5" xfId="12533" xr:uid="{00000000-0005-0000-0000-0000E0400000}"/>
    <cellStyle name="Output 2 2 4 2 6" xfId="12047" xr:uid="{00000000-0005-0000-0000-0000E1400000}"/>
    <cellStyle name="Output 2 2 4 3" xfId="11471" xr:uid="{00000000-0005-0000-0000-0000E2400000}"/>
    <cellStyle name="Output 2 2 4 3 2" xfId="15777" xr:uid="{00000000-0005-0000-0000-0000E3400000}"/>
    <cellStyle name="Output 2 2 4 3 3" xfId="16856" xr:uid="{00000000-0005-0000-0000-0000E4400000}"/>
    <cellStyle name="Output 2 2 4 3 4" xfId="17883" xr:uid="{00000000-0005-0000-0000-0000E5400000}"/>
    <cellStyle name="Output 2 2 4 3 5" xfId="18853" xr:uid="{00000000-0005-0000-0000-0000E6400000}"/>
    <cellStyle name="Output 2 2 4 3 6" xfId="19759" xr:uid="{00000000-0005-0000-0000-0000E7400000}"/>
    <cellStyle name="Output 2 2 4 4" xfId="11611" xr:uid="{00000000-0005-0000-0000-0000E8400000}"/>
    <cellStyle name="Output 2 2 4 4 2" xfId="15917" xr:uid="{00000000-0005-0000-0000-0000E9400000}"/>
    <cellStyle name="Output 2 2 4 4 3" xfId="16996" xr:uid="{00000000-0005-0000-0000-0000EA400000}"/>
    <cellStyle name="Output 2 2 4 4 4" xfId="18020" xr:uid="{00000000-0005-0000-0000-0000EB400000}"/>
    <cellStyle name="Output 2 2 4 4 5" xfId="18990" xr:uid="{00000000-0005-0000-0000-0000EC400000}"/>
    <cellStyle name="Output 2 2 4 4 6" xfId="19896" xr:uid="{00000000-0005-0000-0000-0000ED400000}"/>
    <cellStyle name="Output 2 2 4 5" xfId="13021" xr:uid="{00000000-0005-0000-0000-0000EE400000}"/>
    <cellStyle name="Output 2 2 4 6" xfId="12647" xr:uid="{00000000-0005-0000-0000-0000EF400000}"/>
    <cellStyle name="Output 2 2 4 7" xfId="14624" xr:uid="{00000000-0005-0000-0000-0000F0400000}"/>
    <cellStyle name="Output 2 2 4 8" xfId="16415" xr:uid="{00000000-0005-0000-0000-0000F1400000}"/>
    <cellStyle name="Output 2 2 4 9" xfId="12456" xr:uid="{00000000-0005-0000-0000-0000F2400000}"/>
    <cellStyle name="Output 2 3" xfId="1025" xr:uid="{00000000-0005-0000-0000-0000F3400000}"/>
    <cellStyle name="Output 2 3 10" xfId="14171" xr:uid="{00000000-0005-0000-0000-0000F4400000}"/>
    <cellStyle name="Output 2 3 11" xfId="14066" xr:uid="{00000000-0005-0000-0000-0000F5400000}"/>
    <cellStyle name="Output 2 3 12" xfId="15091" xr:uid="{00000000-0005-0000-0000-0000F6400000}"/>
    <cellStyle name="Output 2 3 2" xfId="1116" xr:uid="{00000000-0005-0000-0000-0000F7400000}"/>
    <cellStyle name="Output 2 3 2 2" xfId="2706" xr:uid="{00000000-0005-0000-0000-0000F8400000}"/>
    <cellStyle name="Output 2 3 2 2 10" xfId="17451" xr:uid="{00000000-0005-0000-0000-0000F9400000}"/>
    <cellStyle name="Output 2 3 2 2 11" xfId="12499" xr:uid="{00000000-0005-0000-0000-0000FA400000}"/>
    <cellStyle name="Output 2 3 2 2 2" xfId="6106" xr:uid="{00000000-0005-0000-0000-0000FB400000}"/>
    <cellStyle name="Output 2 3 2 2 2 2" xfId="11202" xr:uid="{00000000-0005-0000-0000-0000FC400000}"/>
    <cellStyle name="Output 2 3 2 2 2 2 2" xfId="15508" xr:uid="{00000000-0005-0000-0000-0000FD400000}"/>
    <cellStyle name="Output 2 3 2 2 2 2 3" xfId="16587" xr:uid="{00000000-0005-0000-0000-0000FE400000}"/>
    <cellStyle name="Output 2 3 2 2 2 2 4" xfId="17621" xr:uid="{00000000-0005-0000-0000-0000FF400000}"/>
    <cellStyle name="Output 2 3 2 2 2 2 5" xfId="18591" xr:uid="{00000000-0005-0000-0000-000000410000}"/>
    <cellStyle name="Output 2 3 2 2 2 2 6" xfId="19497" xr:uid="{00000000-0005-0000-0000-000001410000}"/>
    <cellStyle name="Output 2 3 2 2 2 3" xfId="11784" xr:uid="{00000000-0005-0000-0000-000002410000}"/>
    <cellStyle name="Output 2 3 2 2 2 3 2" xfId="16090" xr:uid="{00000000-0005-0000-0000-000003410000}"/>
    <cellStyle name="Output 2 3 2 2 2 3 3" xfId="17169" xr:uid="{00000000-0005-0000-0000-000004410000}"/>
    <cellStyle name="Output 2 3 2 2 2 3 4" xfId="18191" xr:uid="{00000000-0005-0000-0000-000005410000}"/>
    <cellStyle name="Output 2 3 2 2 2 3 5" xfId="19161" xr:uid="{00000000-0005-0000-0000-000006410000}"/>
    <cellStyle name="Output 2 3 2 2 2 3 6" xfId="20067" xr:uid="{00000000-0005-0000-0000-000007410000}"/>
    <cellStyle name="Output 2 3 2 2 2 4" xfId="11956" xr:uid="{00000000-0005-0000-0000-000008410000}"/>
    <cellStyle name="Output 2 3 2 2 2 4 2" xfId="16262" xr:uid="{00000000-0005-0000-0000-000009410000}"/>
    <cellStyle name="Output 2 3 2 2 2 4 3" xfId="17341" xr:uid="{00000000-0005-0000-0000-00000A410000}"/>
    <cellStyle name="Output 2 3 2 2 2 4 4" xfId="18359" xr:uid="{00000000-0005-0000-0000-00000B410000}"/>
    <cellStyle name="Output 2 3 2 2 2 4 5" xfId="19329" xr:uid="{00000000-0005-0000-0000-00000C410000}"/>
    <cellStyle name="Output 2 3 2 2 2 4 6" xfId="20235" xr:uid="{00000000-0005-0000-0000-00000D410000}"/>
    <cellStyle name="Output 2 3 2 2 2 5" xfId="13839" xr:uid="{00000000-0005-0000-0000-00000E410000}"/>
    <cellStyle name="Output 2 3 2 2 2 6" xfId="13205" xr:uid="{00000000-0005-0000-0000-00000F410000}"/>
    <cellStyle name="Output 2 3 2 2 2 7" xfId="12437" xr:uid="{00000000-0005-0000-0000-000010410000}"/>
    <cellStyle name="Output 2 3 2 2 2 8" xfId="12693" xr:uid="{00000000-0005-0000-0000-000011410000}"/>
    <cellStyle name="Output 2 3 2 2 2 9" xfId="18421" xr:uid="{00000000-0005-0000-0000-000012410000}"/>
    <cellStyle name="Output 2 3 2 2 3" xfId="5114" xr:uid="{00000000-0005-0000-0000-000013410000}"/>
    <cellStyle name="Output 2 3 2 2 3 2" xfId="10210" xr:uid="{00000000-0005-0000-0000-000014410000}"/>
    <cellStyle name="Output 2 3 2 2 3 2 2" xfId="15148" xr:uid="{00000000-0005-0000-0000-000015410000}"/>
    <cellStyle name="Output 2 3 2 2 3 2 3" xfId="12785" xr:uid="{00000000-0005-0000-0000-000016410000}"/>
    <cellStyle name="Output 2 3 2 2 3 2 4" xfId="13629" xr:uid="{00000000-0005-0000-0000-000017410000}"/>
    <cellStyle name="Output 2 3 2 2 3 2 5" xfId="13640" xr:uid="{00000000-0005-0000-0000-000018410000}"/>
    <cellStyle name="Output 2 3 2 2 3 2 6" xfId="13032" xr:uid="{00000000-0005-0000-0000-000019410000}"/>
    <cellStyle name="Output 2 3 2 2 3 3" xfId="11592" xr:uid="{00000000-0005-0000-0000-00001A410000}"/>
    <cellStyle name="Output 2 3 2 2 3 3 2" xfId="15898" xr:uid="{00000000-0005-0000-0000-00001B410000}"/>
    <cellStyle name="Output 2 3 2 2 3 3 3" xfId="16977" xr:uid="{00000000-0005-0000-0000-00001C410000}"/>
    <cellStyle name="Output 2 3 2 2 3 3 4" xfId="18001" xr:uid="{00000000-0005-0000-0000-00001D410000}"/>
    <cellStyle name="Output 2 3 2 2 3 3 5" xfId="18971" xr:uid="{00000000-0005-0000-0000-00001E410000}"/>
    <cellStyle name="Output 2 3 2 2 3 3 6" xfId="19877" xr:uid="{00000000-0005-0000-0000-00001F410000}"/>
    <cellStyle name="Output 2 3 2 2 3 4" xfId="11412" xr:uid="{00000000-0005-0000-0000-000020410000}"/>
    <cellStyle name="Output 2 3 2 2 3 4 2" xfId="15718" xr:uid="{00000000-0005-0000-0000-000021410000}"/>
    <cellStyle name="Output 2 3 2 2 3 4 3" xfId="16797" xr:uid="{00000000-0005-0000-0000-000022410000}"/>
    <cellStyle name="Output 2 3 2 2 3 4 4" xfId="17826" xr:uid="{00000000-0005-0000-0000-000023410000}"/>
    <cellStyle name="Output 2 3 2 2 3 4 5" xfId="18796" xr:uid="{00000000-0005-0000-0000-000024410000}"/>
    <cellStyle name="Output 2 3 2 2 3 4 6" xfId="19702" xr:uid="{00000000-0005-0000-0000-000025410000}"/>
    <cellStyle name="Output 2 3 2 2 3 5" xfId="13468" xr:uid="{00000000-0005-0000-0000-000026410000}"/>
    <cellStyle name="Output 2 3 2 2 3 6" xfId="14679" xr:uid="{00000000-0005-0000-0000-000027410000}"/>
    <cellStyle name="Output 2 3 2 2 3 7" xfId="13947" xr:uid="{00000000-0005-0000-0000-000028410000}"/>
    <cellStyle name="Output 2 3 2 2 3 8" xfId="12524" xr:uid="{00000000-0005-0000-0000-000029410000}"/>
    <cellStyle name="Output 2 3 2 2 3 9" xfId="12165" xr:uid="{00000000-0005-0000-0000-00002A410000}"/>
    <cellStyle name="Output 2 3 2 2 4" xfId="7809" xr:uid="{00000000-0005-0000-0000-00002B410000}"/>
    <cellStyle name="Output 2 3 2 2 4 2" xfId="14460" xr:uid="{00000000-0005-0000-0000-00002C410000}"/>
    <cellStyle name="Output 2 3 2 2 4 3" xfId="14774" xr:uid="{00000000-0005-0000-0000-00002D410000}"/>
    <cellStyle name="Output 2 3 2 2 4 4" xfId="15175" xr:uid="{00000000-0005-0000-0000-00002E410000}"/>
    <cellStyle name="Output 2 3 2 2 4 5" xfId="16331" xr:uid="{00000000-0005-0000-0000-00002F410000}"/>
    <cellStyle name="Output 2 3 2 2 4 6" xfId="14150" xr:uid="{00000000-0005-0000-0000-000030410000}"/>
    <cellStyle name="Output 2 3 2 2 5" xfId="11392" xr:uid="{00000000-0005-0000-0000-000031410000}"/>
    <cellStyle name="Output 2 3 2 2 5 2" xfId="15698" xr:uid="{00000000-0005-0000-0000-000032410000}"/>
    <cellStyle name="Output 2 3 2 2 5 3" xfId="16777" xr:uid="{00000000-0005-0000-0000-000033410000}"/>
    <cellStyle name="Output 2 3 2 2 5 4" xfId="17806" xr:uid="{00000000-0005-0000-0000-000034410000}"/>
    <cellStyle name="Output 2 3 2 2 5 5" xfId="18776" xr:uid="{00000000-0005-0000-0000-000035410000}"/>
    <cellStyle name="Output 2 3 2 2 5 6" xfId="19682" xr:uid="{00000000-0005-0000-0000-000036410000}"/>
    <cellStyle name="Output 2 3 2 2 6" xfId="11620" xr:uid="{00000000-0005-0000-0000-000037410000}"/>
    <cellStyle name="Output 2 3 2 2 6 2" xfId="15926" xr:uid="{00000000-0005-0000-0000-000038410000}"/>
    <cellStyle name="Output 2 3 2 2 6 3" xfId="17005" xr:uid="{00000000-0005-0000-0000-000039410000}"/>
    <cellStyle name="Output 2 3 2 2 6 4" xfId="18029" xr:uid="{00000000-0005-0000-0000-00003A410000}"/>
    <cellStyle name="Output 2 3 2 2 6 5" xfId="18999" xr:uid="{00000000-0005-0000-0000-00003B410000}"/>
    <cellStyle name="Output 2 3 2 2 6 6" xfId="19905" xr:uid="{00000000-0005-0000-0000-00003C410000}"/>
    <cellStyle name="Output 2 3 2 2 7" xfId="12763" xr:uid="{00000000-0005-0000-0000-00003D410000}"/>
    <cellStyle name="Output 2 3 2 2 8" xfId="14970" xr:uid="{00000000-0005-0000-0000-00003E410000}"/>
    <cellStyle name="Output 2 3 2 2 9" xfId="14491" xr:uid="{00000000-0005-0000-0000-00003F410000}"/>
    <cellStyle name="Output 2 3 2 3" xfId="3931" xr:uid="{00000000-0005-0000-0000-000040410000}"/>
    <cellStyle name="Output 2 3 2 3 2" xfId="9030" xr:uid="{00000000-0005-0000-0000-000041410000}"/>
    <cellStyle name="Output 2 3 2 3 2 2" xfId="14808" xr:uid="{00000000-0005-0000-0000-000042410000}"/>
    <cellStyle name="Output 2 3 2 3 2 3" xfId="15174" xr:uid="{00000000-0005-0000-0000-000043410000}"/>
    <cellStyle name="Output 2 3 2 3 2 4" xfId="12082" xr:uid="{00000000-0005-0000-0000-000044410000}"/>
    <cellStyle name="Output 2 3 2 3 2 5" xfId="13134" xr:uid="{00000000-0005-0000-0000-000045410000}"/>
    <cellStyle name="Output 2 3 2 3 2 6" xfId="13436" xr:uid="{00000000-0005-0000-0000-000046410000}"/>
    <cellStyle name="Output 2 3 2 3 3" xfId="11498" xr:uid="{00000000-0005-0000-0000-000047410000}"/>
    <cellStyle name="Output 2 3 2 3 3 2" xfId="15804" xr:uid="{00000000-0005-0000-0000-000048410000}"/>
    <cellStyle name="Output 2 3 2 3 3 3" xfId="16883" xr:uid="{00000000-0005-0000-0000-000049410000}"/>
    <cellStyle name="Output 2 3 2 3 3 4" xfId="17909" xr:uid="{00000000-0005-0000-0000-00004A410000}"/>
    <cellStyle name="Output 2 3 2 3 3 5" xfId="18879" xr:uid="{00000000-0005-0000-0000-00004B410000}"/>
    <cellStyle name="Output 2 3 2 3 3 6" xfId="19785" xr:uid="{00000000-0005-0000-0000-00004C410000}"/>
    <cellStyle name="Output 2 3 2 3 4" xfId="6534" xr:uid="{00000000-0005-0000-0000-00004D410000}"/>
    <cellStyle name="Output 2 3 2 3 4 2" xfId="14037" xr:uid="{00000000-0005-0000-0000-00004E410000}"/>
    <cellStyle name="Output 2 3 2 3 4 3" xfId="12358" xr:uid="{00000000-0005-0000-0000-00004F410000}"/>
    <cellStyle name="Output 2 3 2 3 4 4" xfId="14255" xr:uid="{00000000-0005-0000-0000-000050410000}"/>
    <cellStyle name="Output 2 3 2 3 4 5" xfId="14059" xr:uid="{00000000-0005-0000-0000-000051410000}"/>
    <cellStyle name="Output 2 3 2 3 4 6" xfId="16369" xr:uid="{00000000-0005-0000-0000-000052410000}"/>
    <cellStyle name="Output 2 3 2 3 5" xfId="13120" xr:uid="{00000000-0005-0000-0000-000053410000}"/>
    <cellStyle name="Output 2 3 2 3 6" xfId="14190" xr:uid="{00000000-0005-0000-0000-000054410000}"/>
    <cellStyle name="Output 2 3 2 3 7" xfId="12324" xr:uid="{00000000-0005-0000-0000-000055410000}"/>
    <cellStyle name="Output 2 3 2 3 8" xfId="13957" xr:uid="{00000000-0005-0000-0000-000056410000}"/>
    <cellStyle name="Output 2 3 2 3 9" xfId="15255" xr:uid="{00000000-0005-0000-0000-000057410000}"/>
    <cellStyle name="Output 2 3 3" xfId="2655" xr:uid="{00000000-0005-0000-0000-000058410000}"/>
    <cellStyle name="Output 2 3 3 10" xfId="12246" xr:uid="{00000000-0005-0000-0000-000059410000}"/>
    <cellStyle name="Output 2 3 3 2" xfId="6071" xr:uid="{00000000-0005-0000-0000-00005A410000}"/>
    <cellStyle name="Output 2 3 3 2 2" xfId="11167" xr:uid="{00000000-0005-0000-0000-00005B410000}"/>
    <cellStyle name="Output 2 3 3 2 2 2" xfId="15473" xr:uid="{00000000-0005-0000-0000-00005C410000}"/>
    <cellStyle name="Output 2 3 3 2 2 3" xfId="16552" xr:uid="{00000000-0005-0000-0000-00005D410000}"/>
    <cellStyle name="Output 2 3 3 2 2 4" xfId="17586" xr:uid="{00000000-0005-0000-0000-00005E410000}"/>
    <cellStyle name="Output 2 3 3 2 2 5" xfId="18556" xr:uid="{00000000-0005-0000-0000-00005F410000}"/>
    <cellStyle name="Output 2 3 3 2 2 6" xfId="19462" xr:uid="{00000000-0005-0000-0000-000060410000}"/>
    <cellStyle name="Output 2 3 3 2 3" xfId="11749" xr:uid="{00000000-0005-0000-0000-000061410000}"/>
    <cellStyle name="Output 2 3 3 2 3 2" xfId="16055" xr:uid="{00000000-0005-0000-0000-000062410000}"/>
    <cellStyle name="Output 2 3 3 2 3 3" xfId="17134" xr:uid="{00000000-0005-0000-0000-000063410000}"/>
    <cellStyle name="Output 2 3 3 2 3 4" xfId="18156" xr:uid="{00000000-0005-0000-0000-000064410000}"/>
    <cellStyle name="Output 2 3 3 2 3 5" xfId="19126" xr:uid="{00000000-0005-0000-0000-000065410000}"/>
    <cellStyle name="Output 2 3 3 2 3 6" xfId="20032" xr:uid="{00000000-0005-0000-0000-000066410000}"/>
    <cellStyle name="Output 2 3 3 2 4" xfId="11921" xr:uid="{00000000-0005-0000-0000-000067410000}"/>
    <cellStyle name="Output 2 3 3 2 4 2" xfId="16227" xr:uid="{00000000-0005-0000-0000-000068410000}"/>
    <cellStyle name="Output 2 3 3 2 4 3" xfId="17306" xr:uid="{00000000-0005-0000-0000-000069410000}"/>
    <cellStyle name="Output 2 3 3 2 4 4" xfId="18324" xr:uid="{00000000-0005-0000-0000-00006A410000}"/>
    <cellStyle name="Output 2 3 3 2 4 5" xfId="19294" xr:uid="{00000000-0005-0000-0000-00006B410000}"/>
    <cellStyle name="Output 2 3 3 2 4 6" xfId="20200" xr:uid="{00000000-0005-0000-0000-00006C410000}"/>
    <cellStyle name="Output 2 3 3 2 5" xfId="13804" xr:uid="{00000000-0005-0000-0000-00006D410000}"/>
    <cellStyle name="Output 2 3 3 2 6" xfId="12367" xr:uid="{00000000-0005-0000-0000-00006E410000}"/>
    <cellStyle name="Output 2 3 3 2 7" xfId="14254" xr:uid="{00000000-0005-0000-0000-00006F410000}"/>
    <cellStyle name="Output 2 3 3 2 8" xfId="17476" xr:uid="{00000000-0005-0000-0000-000070410000}"/>
    <cellStyle name="Output 2 3 3 2 9" xfId="14497" xr:uid="{00000000-0005-0000-0000-000071410000}"/>
    <cellStyle name="Output 2 3 3 3" xfId="7758" xr:uid="{00000000-0005-0000-0000-000072410000}"/>
    <cellStyle name="Output 2 3 3 3 2" xfId="14424" xr:uid="{00000000-0005-0000-0000-000073410000}"/>
    <cellStyle name="Output 2 3 3 3 3" xfId="13937" xr:uid="{00000000-0005-0000-0000-000074410000}"/>
    <cellStyle name="Output 2 3 3 3 4" xfId="15215" xr:uid="{00000000-0005-0000-0000-000075410000}"/>
    <cellStyle name="Output 2 3 3 3 5" xfId="12236" xr:uid="{00000000-0005-0000-0000-000076410000}"/>
    <cellStyle name="Output 2 3 3 3 6" xfId="12561" xr:uid="{00000000-0005-0000-0000-000077410000}"/>
    <cellStyle name="Output 2 3 3 4" xfId="11357" xr:uid="{00000000-0005-0000-0000-000078410000}"/>
    <cellStyle name="Output 2 3 3 4 2" xfId="15663" xr:uid="{00000000-0005-0000-0000-000079410000}"/>
    <cellStyle name="Output 2 3 3 4 3" xfId="16742" xr:uid="{00000000-0005-0000-0000-00007A410000}"/>
    <cellStyle name="Output 2 3 3 4 4" xfId="17771" xr:uid="{00000000-0005-0000-0000-00007B410000}"/>
    <cellStyle name="Output 2 3 3 4 5" xfId="18741" xr:uid="{00000000-0005-0000-0000-00007C410000}"/>
    <cellStyle name="Output 2 3 3 4 6" xfId="19647" xr:uid="{00000000-0005-0000-0000-00007D410000}"/>
    <cellStyle name="Output 2 3 3 5" xfId="11278" xr:uid="{00000000-0005-0000-0000-00007E410000}"/>
    <cellStyle name="Output 2 3 3 5 2" xfId="15584" xr:uid="{00000000-0005-0000-0000-00007F410000}"/>
    <cellStyle name="Output 2 3 3 5 3" xfId="16663" xr:uid="{00000000-0005-0000-0000-000080410000}"/>
    <cellStyle name="Output 2 3 3 5 4" xfId="17693" xr:uid="{00000000-0005-0000-0000-000081410000}"/>
    <cellStyle name="Output 2 3 3 5 5" xfId="18663" xr:uid="{00000000-0005-0000-0000-000082410000}"/>
    <cellStyle name="Output 2 3 3 5 6" xfId="19569" xr:uid="{00000000-0005-0000-0000-000083410000}"/>
    <cellStyle name="Output 2 3 3 6" xfId="12725" xr:uid="{00000000-0005-0000-0000-000084410000}"/>
    <cellStyle name="Output 2 3 3 7" xfId="12490" xr:uid="{00000000-0005-0000-0000-000085410000}"/>
    <cellStyle name="Output 2 3 3 8" xfId="13933" xr:uid="{00000000-0005-0000-0000-000086410000}"/>
    <cellStyle name="Output 2 3 3 9" xfId="14369" xr:uid="{00000000-0005-0000-0000-000087410000}"/>
    <cellStyle name="Output 2 3 4" xfId="5996" xr:uid="{00000000-0005-0000-0000-000088410000}"/>
    <cellStyle name="Output 2 3 4 2" xfId="11092" xr:uid="{00000000-0005-0000-0000-000089410000}"/>
    <cellStyle name="Output 2 3 4 2 2" xfId="15398" xr:uid="{00000000-0005-0000-0000-00008A410000}"/>
    <cellStyle name="Output 2 3 4 2 3" xfId="16477" xr:uid="{00000000-0005-0000-0000-00008B410000}"/>
    <cellStyle name="Output 2 3 4 2 4" xfId="17512" xr:uid="{00000000-0005-0000-0000-00008C410000}"/>
    <cellStyle name="Output 2 3 4 2 5" xfId="18482" xr:uid="{00000000-0005-0000-0000-00008D410000}"/>
    <cellStyle name="Output 2 3 4 2 6" xfId="19388" xr:uid="{00000000-0005-0000-0000-00008E410000}"/>
    <cellStyle name="Output 2 3 4 3" xfId="11674" xr:uid="{00000000-0005-0000-0000-00008F410000}"/>
    <cellStyle name="Output 2 3 4 3 2" xfId="15980" xr:uid="{00000000-0005-0000-0000-000090410000}"/>
    <cellStyle name="Output 2 3 4 3 3" xfId="17059" xr:uid="{00000000-0005-0000-0000-000091410000}"/>
    <cellStyle name="Output 2 3 4 3 4" xfId="18082" xr:uid="{00000000-0005-0000-0000-000092410000}"/>
    <cellStyle name="Output 2 3 4 3 5" xfId="19052" xr:uid="{00000000-0005-0000-0000-000093410000}"/>
    <cellStyle name="Output 2 3 4 3 6" xfId="19958" xr:uid="{00000000-0005-0000-0000-000094410000}"/>
    <cellStyle name="Output 2 3 4 4" xfId="11846" xr:uid="{00000000-0005-0000-0000-000095410000}"/>
    <cellStyle name="Output 2 3 4 4 2" xfId="16152" xr:uid="{00000000-0005-0000-0000-000096410000}"/>
    <cellStyle name="Output 2 3 4 4 3" xfId="17231" xr:uid="{00000000-0005-0000-0000-000097410000}"/>
    <cellStyle name="Output 2 3 4 4 4" xfId="18250" xr:uid="{00000000-0005-0000-0000-000098410000}"/>
    <cellStyle name="Output 2 3 4 4 5" xfId="19220" xr:uid="{00000000-0005-0000-0000-000099410000}"/>
    <cellStyle name="Output 2 3 4 4 6" xfId="20126" xr:uid="{00000000-0005-0000-0000-00009A410000}"/>
    <cellStyle name="Output 2 3 4 5" xfId="13729" xr:uid="{00000000-0005-0000-0000-00009B410000}"/>
    <cellStyle name="Output 2 3 4 6" xfId="15371" xr:uid="{00000000-0005-0000-0000-00009C410000}"/>
    <cellStyle name="Output 2 3 4 7" xfId="16450" xr:uid="{00000000-0005-0000-0000-00009D410000}"/>
    <cellStyle name="Output 2 3 4 8" xfId="17417" xr:uid="{00000000-0005-0000-0000-00009E410000}"/>
    <cellStyle name="Output 2 3 4 9" xfId="13601" xr:uid="{00000000-0005-0000-0000-00009F410000}"/>
    <cellStyle name="Output 2 3 5" xfId="6502" xr:uid="{00000000-0005-0000-0000-0000A0410000}"/>
    <cellStyle name="Output 2 3 5 2" xfId="14015" xr:uid="{00000000-0005-0000-0000-0000A1410000}"/>
    <cellStyle name="Output 2 3 5 3" xfId="14126" xr:uid="{00000000-0005-0000-0000-0000A2410000}"/>
    <cellStyle name="Output 2 3 5 4" xfId="14522" xr:uid="{00000000-0005-0000-0000-0000A3410000}"/>
    <cellStyle name="Output 2 3 5 5" xfId="15308" xr:uid="{00000000-0005-0000-0000-0000A4410000}"/>
    <cellStyle name="Output 2 3 5 6" xfId="12321" xr:uid="{00000000-0005-0000-0000-0000A5410000}"/>
    <cellStyle name="Output 2 3 6" xfId="6687" xr:uid="{00000000-0005-0000-0000-0000A6410000}"/>
    <cellStyle name="Output 2 3 6 2" xfId="14090" xr:uid="{00000000-0005-0000-0000-0000A7410000}"/>
    <cellStyle name="Output 2 3 6 3" xfId="13524" xr:uid="{00000000-0005-0000-0000-0000A8410000}"/>
    <cellStyle name="Output 2 3 6 4" xfId="15249" xr:uid="{00000000-0005-0000-0000-0000A9410000}"/>
    <cellStyle name="Output 2 3 6 5" xfId="13431" xr:uid="{00000000-0005-0000-0000-0000AA410000}"/>
    <cellStyle name="Output 2 3 6 6" xfId="13035" xr:uid="{00000000-0005-0000-0000-0000AB410000}"/>
    <cellStyle name="Output 2 3 7" xfId="11455" xr:uid="{00000000-0005-0000-0000-0000AC410000}"/>
    <cellStyle name="Output 2 3 7 2" xfId="15761" xr:uid="{00000000-0005-0000-0000-0000AD410000}"/>
    <cellStyle name="Output 2 3 7 3" xfId="16840" xr:uid="{00000000-0005-0000-0000-0000AE410000}"/>
    <cellStyle name="Output 2 3 7 4" xfId="17868" xr:uid="{00000000-0005-0000-0000-0000AF410000}"/>
    <cellStyle name="Output 2 3 7 5" xfId="18838" xr:uid="{00000000-0005-0000-0000-0000B0410000}"/>
    <cellStyle name="Output 2 3 7 6" xfId="19744" xr:uid="{00000000-0005-0000-0000-0000B1410000}"/>
    <cellStyle name="Output 2 3 8" xfId="12217" xr:uid="{00000000-0005-0000-0000-0000B2410000}"/>
    <cellStyle name="Output 2 3 9" xfId="13420" xr:uid="{00000000-0005-0000-0000-0000B3410000}"/>
    <cellStyle name="Output 2 4" xfId="2150" xr:uid="{00000000-0005-0000-0000-0000B4410000}"/>
    <cellStyle name="Output 2 5" xfId="163" xr:uid="{00000000-0005-0000-0000-0000B5410000}"/>
    <cellStyle name="Output 3" xfId="458" xr:uid="{00000000-0005-0000-0000-0000B6410000}"/>
    <cellStyle name="Output 3 2" xfId="861" xr:uid="{00000000-0005-0000-0000-0000B7410000}"/>
    <cellStyle name="Output 3 3" xfId="1026" xr:uid="{00000000-0005-0000-0000-0000B8410000}"/>
    <cellStyle name="Output 3 3 10" xfId="12185" xr:uid="{00000000-0005-0000-0000-0000B9410000}"/>
    <cellStyle name="Output 3 3 11" xfId="14206" xr:uid="{00000000-0005-0000-0000-0000BA410000}"/>
    <cellStyle name="Output 3 3 12" xfId="13491" xr:uid="{00000000-0005-0000-0000-0000BB410000}"/>
    <cellStyle name="Output 3 3 2" xfId="1117" xr:uid="{00000000-0005-0000-0000-0000BC410000}"/>
    <cellStyle name="Output 3 3 2 2" xfId="2707" xr:uid="{00000000-0005-0000-0000-0000BD410000}"/>
    <cellStyle name="Output 3 3 2 2 10" xfId="13576" xr:uid="{00000000-0005-0000-0000-0000BE410000}"/>
    <cellStyle name="Output 3 3 2 2 11" xfId="12562" xr:uid="{00000000-0005-0000-0000-0000BF410000}"/>
    <cellStyle name="Output 3 3 2 2 2" xfId="6107" xr:uid="{00000000-0005-0000-0000-0000C0410000}"/>
    <cellStyle name="Output 3 3 2 2 2 2" xfId="11203" xr:uid="{00000000-0005-0000-0000-0000C1410000}"/>
    <cellStyle name="Output 3 3 2 2 2 2 2" xfId="15509" xr:uid="{00000000-0005-0000-0000-0000C2410000}"/>
    <cellStyle name="Output 3 3 2 2 2 2 3" xfId="16588" xr:uid="{00000000-0005-0000-0000-0000C3410000}"/>
    <cellStyle name="Output 3 3 2 2 2 2 4" xfId="17622" xr:uid="{00000000-0005-0000-0000-0000C4410000}"/>
    <cellStyle name="Output 3 3 2 2 2 2 5" xfId="18592" xr:uid="{00000000-0005-0000-0000-0000C5410000}"/>
    <cellStyle name="Output 3 3 2 2 2 2 6" xfId="19498" xr:uid="{00000000-0005-0000-0000-0000C6410000}"/>
    <cellStyle name="Output 3 3 2 2 2 3" xfId="11785" xr:uid="{00000000-0005-0000-0000-0000C7410000}"/>
    <cellStyle name="Output 3 3 2 2 2 3 2" xfId="16091" xr:uid="{00000000-0005-0000-0000-0000C8410000}"/>
    <cellStyle name="Output 3 3 2 2 2 3 3" xfId="17170" xr:uid="{00000000-0005-0000-0000-0000C9410000}"/>
    <cellStyle name="Output 3 3 2 2 2 3 4" xfId="18192" xr:uid="{00000000-0005-0000-0000-0000CA410000}"/>
    <cellStyle name="Output 3 3 2 2 2 3 5" xfId="19162" xr:uid="{00000000-0005-0000-0000-0000CB410000}"/>
    <cellStyle name="Output 3 3 2 2 2 3 6" xfId="20068" xr:uid="{00000000-0005-0000-0000-0000CC410000}"/>
    <cellStyle name="Output 3 3 2 2 2 4" xfId="11957" xr:uid="{00000000-0005-0000-0000-0000CD410000}"/>
    <cellStyle name="Output 3 3 2 2 2 4 2" xfId="16263" xr:uid="{00000000-0005-0000-0000-0000CE410000}"/>
    <cellStyle name="Output 3 3 2 2 2 4 3" xfId="17342" xr:uid="{00000000-0005-0000-0000-0000CF410000}"/>
    <cellStyle name="Output 3 3 2 2 2 4 4" xfId="18360" xr:uid="{00000000-0005-0000-0000-0000D0410000}"/>
    <cellStyle name="Output 3 3 2 2 2 4 5" xfId="19330" xr:uid="{00000000-0005-0000-0000-0000D1410000}"/>
    <cellStyle name="Output 3 3 2 2 2 4 6" xfId="20236" xr:uid="{00000000-0005-0000-0000-0000D2410000}"/>
    <cellStyle name="Output 3 3 2 2 2 5" xfId="13840" xr:uid="{00000000-0005-0000-0000-0000D3410000}"/>
    <cellStyle name="Output 3 3 2 2 2 6" xfId="14548" xr:uid="{00000000-0005-0000-0000-0000D4410000}"/>
    <cellStyle name="Output 3 3 2 2 2 7" xfId="11998" xr:uid="{00000000-0005-0000-0000-0000D5410000}"/>
    <cellStyle name="Output 3 3 2 2 2 8" xfId="13663" xr:uid="{00000000-0005-0000-0000-0000D6410000}"/>
    <cellStyle name="Output 3 3 2 2 2 9" xfId="13921" xr:uid="{00000000-0005-0000-0000-0000D7410000}"/>
    <cellStyle name="Output 3 3 2 2 3" xfId="5115" xr:uid="{00000000-0005-0000-0000-0000D8410000}"/>
    <cellStyle name="Output 3 3 2 2 3 2" xfId="10211" xr:uid="{00000000-0005-0000-0000-0000D9410000}"/>
    <cellStyle name="Output 3 3 2 2 3 2 2" xfId="15149" xr:uid="{00000000-0005-0000-0000-0000DA410000}"/>
    <cellStyle name="Output 3 3 2 2 3 2 3" xfId="12276" xr:uid="{00000000-0005-0000-0000-0000DB410000}"/>
    <cellStyle name="Output 3 3 2 2 3 2 4" xfId="12919" xr:uid="{00000000-0005-0000-0000-0000DC410000}"/>
    <cellStyle name="Output 3 3 2 2 3 2 5" xfId="13554" xr:uid="{00000000-0005-0000-0000-0000DD410000}"/>
    <cellStyle name="Output 3 3 2 2 3 2 6" xfId="15049" xr:uid="{00000000-0005-0000-0000-0000DE410000}"/>
    <cellStyle name="Output 3 3 2 2 3 3" xfId="11593" xr:uid="{00000000-0005-0000-0000-0000DF410000}"/>
    <cellStyle name="Output 3 3 2 2 3 3 2" xfId="15899" xr:uid="{00000000-0005-0000-0000-0000E0410000}"/>
    <cellStyle name="Output 3 3 2 2 3 3 3" xfId="16978" xr:uid="{00000000-0005-0000-0000-0000E1410000}"/>
    <cellStyle name="Output 3 3 2 2 3 3 4" xfId="18002" xr:uid="{00000000-0005-0000-0000-0000E2410000}"/>
    <cellStyle name="Output 3 3 2 2 3 3 5" xfId="18972" xr:uid="{00000000-0005-0000-0000-0000E3410000}"/>
    <cellStyle name="Output 3 3 2 2 3 3 6" xfId="19878" xr:uid="{00000000-0005-0000-0000-0000E4410000}"/>
    <cellStyle name="Output 3 3 2 2 3 4" xfId="11240" xr:uid="{00000000-0005-0000-0000-0000E5410000}"/>
    <cellStyle name="Output 3 3 2 2 3 4 2" xfId="15546" xr:uid="{00000000-0005-0000-0000-0000E6410000}"/>
    <cellStyle name="Output 3 3 2 2 3 4 3" xfId="16625" xr:uid="{00000000-0005-0000-0000-0000E7410000}"/>
    <cellStyle name="Output 3 3 2 2 3 4 4" xfId="17657" xr:uid="{00000000-0005-0000-0000-0000E8410000}"/>
    <cellStyle name="Output 3 3 2 2 3 4 5" xfId="18627" xr:uid="{00000000-0005-0000-0000-0000E9410000}"/>
    <cellStyle name="Output 3 3 2 2 3 4 6" xfId="19533" xr:uid="{00000000-0005-0000-0000-0000EA410000}"/>
    <cellStyle name="Output 3 3 2 2 3 5" xfId="13469" xr:uid="{00000000-0005-0000-0000-0000EB410000}"/>
    <cellStyle name="Output 3 3 2 2 3 6" xfId="15360" xr:uid="{00000000-0005-0000-0000-0000EC410000}"/>
    <cellStyle name="Output 3 3 2 2 3 7" xfId="16441" xr:uid="{00000000-0005-0000-0000-0000ED410000}"/>
    <cellStyle name="Output 3 3 2 2 3 8" xfId="13648" xr:uid="{00000000-0005-0000-0000-0000EE410000}"/>
    <cellStyle name="Output 3 3 2 2 3 9" xfId="18453" xr:uid="{00000000-0005-0000-0000-0000EF410000}"/>
    <cellStyle name="Output 3 3 2 2 4" xfId="7810" xr:uid="{00000000-0005-0000-0000-0000F0410000}"/>
    <cellStyle name="Output 3 3 2 2 4 2" xfId="14461" xr:uid="{00000000-0005-0000-0000-0000F1410000}"/>
    <cellStyle name="Output 3 3 2 2 4 3" xfId="13085" xr:uid="{00000000-0005-0000-0000-0000F2410000}"/>
    <cellStyle name="Output 3 3 2 2 4 4" xfId="15276" xr:uid="{00000000-0005-0000-0000-0000F3410000}"/>
    <cellStyle name="Output 3 3 2 2 4 5" xfId="12238" xr:uid="{00000000-0005-0000-0000-0000F4410000}"/>
    <cellStyle name="Output 3 3 2 2 4 6" xfId="13580" xr:uid="{00000000-0005-0000-0000-0000F5410000}"/>
    <cellStyle name="Output 3 3 2 2 5" xfId="11393" xr:uid="{00000000-0005-0000-0000-0000F6410000}"/>
    <cellStyle name="Output 3 3 2 2 5 2" xfId="15699" xr:uid="{00000000-0005-0000-0000-0000F7410000}"/>
    <cellStyle name="Output 3 3 2 2 5 3" xfId="16778" xr:uid="{00000000-0005-0000-0000-0000F8410000}"/>
    <cellStyle name="Output 3 3 2 2 5 4" xfId="17807" xr:uid="{00000000-0005-0000-0000-0000F9410000}"/>
    <cellStyle name="Output 3 3 2 2 5 5" xfId="18777" xr:uid="{00000000-0005-0000-0000-0000FA410000}"/>
    <cellStyle name="Output 3 3 2 2 5 6" xfId="19683" xr:uid="{00000000-0005-0000-0000-0000FB410000}"/>
    <cellStyle name="Output 3 3 2 2 6" xfId="11432" xr:uid="{00000000-0005-0000-0000-0000FC410000}"/>
    <cellStyle name="Output 3 3 2 2 6 2" xfId="15738" xr:uid="{00000000-0005-0000-0000-0000FD410000}"/>
    <cellStyle name="Output 3 3 2 2 6 3" xfId="16817" xr:uid="{00000000-0005-0000-0000-0000FE410000}"/>
    <cellStyle name="Output 3 3 2 2 6 4" xfId="17845" xr:uid="{00000000-0005-0000-0000-0000FF410000}"/>
    <cellStyle name="Output 3 3 2 2 6 5" xfId="18815" xr:uid="{00000000-0005-0000-0000-000000420000}"/>
    <cellStyle name="Output 3 3 2 2 6 6" xfId="19721" xr:uid="{00000000-0005-0000-0000-000001420000}"/>
    <cellStyle name="Output 3 3 2 2 7" xfId="12764" xr:uid="{00000000-0005-0000-0000-000002420000}"/>
    <cellStyle name="Output 3 3 2 2 8" xfId="13284" xr:uid="{00000000-0005-0000-0000-000003420000}"/>
    <cellStyle name="Output 3 3 2 2 9" xfId="12886" xr:uid="{00000000-0005-0000-0000-000004420000}"/>
    <cellStyle name="Output 3 3 2 3" xfId="3932" xr:uid="{00000000-0005-0000-0000-000005420000}"/>
    <cellStyle name="Output 3 3 2 3 2" xfId="9031" xr:uid="{00000000-0005-0000-0000-000006420000}"/>
    <cellStyle name="Output 3 3 2 3 2 2" xfId="14809" xr:uid="{00000000-0005-0000-0000-000007420000}"/>
    <cellStyle name="Output 3 3 2 3 2 3" xfId="13498" xr:uid="{00000000-0005-0000-0000-000008420000}"/>
    <cellStyle name="Output 3 3 2 3 2 4" xfId="12414" xr:uid="{00000000-0005-0000-0000-000009420000}"/>
    <cellStyle name="Output 3 3 2 3 2 5" xfId="14754" xr:uid="{00000000-0005-0000-0000-00000A420000}"/>
    <cellStyle name="Output 3 3 2 3 2 6" xfId="15166" xr:uid="{00000000-0005-0000-0000-00000B420000}"/>
    <cellStyle name="Output 3 3 2 3 3" xfId="11499" xr:uid="{00000000-0005-0000-0000-00000C420000}"/>
    <cellStyle name="Output 3 3 2 3 3 2" xfId="15805" xr:uid="{00000000-0005-0000-0000-00000D420000}"/>
    <cellStyle name="Output 3 3 2 3 3 3" xfId="16884" xr:uid="{00000000-0005-0000-0000-00000E420000}"/>
    <cellStyle name="Output 3 3 2 3 3 4" xfId="17910" xr:uid="{00000000-0005-0000-0000-00000F420000}"/>
    <cellStyle name="Output 3 3 2 3 3 5" xfId="18880" xr:uid="{00000000-0005-0000-0000-000010420000}"/>
    <cellStyle name="Output 3 3 2 3 3 6" xfId="19786" xr:uid="{00000000-0005-0000-0000-000011420000}"/>
    <cellStyle name="Output 3 3 2 3 4" xfId="11238" xr:uid="{00000000-0005-0000-0000-000012420000}"/>
    <cellStyle name="Output 3 3 2 3 4 2" xfId="15544" xr:uid="{00000000-0005-0000-0000-000013420000}"/>
    <cellStyle name="Output 3 3 2 3 4 3" xfId="16623" xr:uid="{00000000-0005-0000-0000-000014420000}"/>
    <cellStyle name="Output 3 3 2 3 4 4" xfId="17655" xr:uid="{00000000-0005-0000-0000-000015420000}"/>
    <cellStyle name="Output 3 3 2 3 4 5" xfId="18625" xr:uid="{00000000-0005-0000-0000-000016420000}"/>
    <cellStyle name="Output 3 3 2 3 4 6" xfId="19531" xr:uid="{00000000-0005-0000-0000-000017420000}"/>
    <cellStyle name="Output 3 3 2 3 5" xfId="13121" xr:uid="{00000000-0005-0000-0000-000018420000}"/>
    <cellStyle name="Output 3 3 2 3 6" xfId="14949" xr:uid="{00000000-0005-0000-0000-000019420000}"/>
    <cellStyle name="Output 3 3 2 3 7" xfId="12288" xr:uid="{00000000-0005-0000-0000-00001A420000}"/>
    <cellStyle name="Output 3 3 2 3 8" xfId="17442" xr:uid="{00000000-0005-0000-0000-00001B420000}"/>
    <cellStyle name="Output 3 3 2 3 9" xfId="13967" xr:uid="{00000000-0005-0000-0000-00001C420000}"/>
    <cellStyle name="Output 3 3 3" xfId="2656" xr:uid="{00000000-0005-0000-0000-00001D420000}"/>
    <cellStyle name="Output 3 3 3 10" xfId="12526" xr:uid="{00000000-0005-0000-0000-00001E420000}"/>
    <cellStyle name="Output 3 3 3 2" xfId="6072" xr:uid="{00000000-0005-0000-0000-00001F420000}"/>
    <cellStyle name="Output 3 3 3 2 2" xfId="11168" xr:uid="{00000000-0005-0000-0000-000020420000}"/>
    <cellStyle name="Output 3 3 3 2 2 2" xfId="15474" xr:uid="{00000000-0005-0000-0000-000021420000}"/>
    <cellStyle name="Output 3 3 3 2 2 3" xfId="16553" xr:uid="{00000000-0005-0000-0000-000022420000}"/>
    <cellStyle name="Output 3 3 3 2 2 4" xfId="17587" xr:uid="{00000000-0005-0000-0000-000023420000}"/>
    <cellStyle name="Output 3 3 3 2 2 5" xfId="18557" xr:uid="{00000000-0005-0000-0000-000024420000}"/>
    <cellStyle name="Output 3 3 3 2 2 6" xfId="19463" xr:uid="{00000000-0005-0000-0000-000025420000}"/>
    <cellStyle name="Output 3 3 3 2 3" xfId="11750" xr:uid="{00000000-0005-0000-0000-000026420000}"/>
    <cellStyle name="Output 3 3 3 2 3 2" xfId="16056" xr:uid="{00000000-0005-0000-0000-000027420000}"/>
    <cellStyle name="Output 3 3 3 2 3 3" xfId="17135" xr:uid="{00000000-0005-0000-0000-000028420000}"/>
    <cellStyle name="Output 3 3 3 2 3 4" xfId="18157" xr:uid="{00000000-0005-0000-0000-000029420000}"/>
    <cellStyle name="Output 3 3 3 2 3 5" xfId="19127" xr:uid="{00000000-0005-0000-0000-00002A420000}"/>
    <cellStyle name="Output 3 3 3 2 3 6" xfId="20033" xr:uid="{00000000-0005-0000-0000-00002B420000}"/>
    <cellStyle name="Output 3 3 3 2 4" xfId="11922" xr:uid="{00000000-0005-0000-0000-00002C420000}"/>
    <cellStyle name="Output 3 3 3 2 4 2" xfId="16228" xr:uid="{00000000-0005-0000-0000-00002D420000}"/>
    <cellStyle name="Output 3 3 3 2 4 3" xfId="17307" xr:uid="{00000000-0005-0000-0000-00002E420000}"/>
    <cellStyle name="Output 3 3 3 2 4 4" xfId="18325" xr:uid="{00000000-0005-0000-0000-00002F420000}"/>
    <cellStyle name="Output 3 3 3 2 4 5" xfId="19295" xr:uid="{00000000-0005-0000-0000-000030420000}"/>
    <cellStyle name="Output 3 3 3 2 4 6" xfId="20201" xr:uid="{00000000-0005-0000-0000-000031420000}"/>
    <cellStyle name="Output 3 3 3 2 5" xfId="13805" xr:uid="{00000000-0005-0000-0000-000032420000}"/>
    <cellStyle name="Output 3 3 3 2 6" xfId="14148" xr:uid="{00000000-0005-0000-0000-000033420000}"/>
    <cellStyle name="Output 3 3 3 2 7" xfId="12341" xr:uid="{00000000-0005-0000-0000-000034420000}"/>
    <cellStyle name="Output 3 3 3 2 8" xfId="12339" xr:uid="{00000000-0005-0000-0000-000035420000}"/>
    <cellStyle name="Output 3 3 3 2 9" xfId="14823" xr:uid="{00000000-0005-0000-0000-000036420000}"/>
    <cellStyle name="Output 3 3 3 3" xfId="7759" xr:uid="{00000000-0005-0000-0000-000037420000}"/>
    <cellStyle name="Output 3 3 3 3 2" xfId="14425" xr:uid="{00000000-0005-0000-0000-000038420000}"/>
    <cellStyle name="Output 3 3 3 3 3" xfId="14733" xr:uid="{00000000-0005-0000-0000-000039420000}"/>
    <cellStyle name="Output 3 3 3 3 4" xfId="12297" xr:uid="{00000000-0005-0000-0000-00003A420000}"/>
    <cellStyle name="Output 3 3 3 3 5" xfId="12948" xr:uid="{00000000-0005-0000-0000-00003B420000}"/>
    <cellStyle name="Output 3 3 3 3 6" xfId="13092" xr:uid="{00000000-0005-0000-0000-00003C420000}"/>
    <cellStyle name="Output 3 3 3 4" xfId="11358" xr:uid="{00000000-0005-0000-0000-00003D420000}"/>
    <cellStyle name="Output 3 3 3 4 2" xfId="15664" xr:uid="{00000000-0005-0000-0000-00003E420000}"/>
    <cellStyle name="Output 3 3 3 4 3" xfId="16743" xr:uid="{00000000-0005-0000-0000-00003F420000}"/>
    <cellStyle name="Output 3 3 3 4 4" xfId="17772" xr:uid="{00000000-0005-0000-0000-000040420000}"/>
    <cellStyle name="Output 3 3 3 4 5" xfId="18742" xr:uid="{00000000-0005-0000-0000-000041420000}"/>
    <cellStyle name="Output 3 3 3 4 6" xfId="19648" xr:uid="{00000000-0005-0000-0000-000042420000}"/>
    <cellStyle name="Output 3 3 3 5" xfId="11277" xr:uid="{00000000-0005-0000-0000-000043420000}"/>
    <cellStyle name="Output 3 3 3 5 2" xfId="15583" xr:uid="{00000000-0005-0000-0000-000044420000}"/>
    <cellStyle name="Output 3 3 3 5 3" xfId="16662" xr:uid="{00000000-0005-0000-0000-000045420000}"/>
    <cellStyle name="Output 3 3 3 5 4" xfId="17692" xr:uid="{00000000-0005-0000-0000-000046420000}"/>
    <cellStyle name="Output 3 3 3 5 5" xfId="18662" xr:uid="{00000000-0005-0000-0000-000047420000}"/>
    <cellStyle name="Output 3 3 3 5 6" xfId="19568" xr:uid="{00000000-0005-0000-0000-000048420000}"/>
    <cellStyle name="Output 3 3 3 6" xfId="12726" xr:uid="{00000000-0005-0000-0000-000049420000}"/>
    <cellStyle name="Output 3 3 3 7" xfId="12489" xr:uid="{00000000-0005-0000-0000-00004A420000}"/>
    <cellStyle name="Output 3 3 3 8" xfId="12520" xr:uid="{00000000-0005-0000-0000-00004B420000}"/>
    <cellStyle name="Output 3 3 3 9" xfId="13036" xr:uid="{00000000-0005-0000-0000-00004C420000}"/>
    <cellStyle name="Output 3 3 4" xfId="5997" xr:uid="{00000000-0005-0000-0000-00004D420000}"/>
    <cellStyle name="Output 3 3 4 2" xfId="11093" xr:uid="{00000000-0005-0000-0000-00004E420000}"/>
    <cellStyle name="Output 3 3 4 2 2" xfId="15399" xr:uid="{00000000-0005-0000-0000-00004F420000}"/>
    <cellStyle name="Output 3 3 4 2 3" xfId="16478" xr:uid="{00000000-0005-0000-0000-000050420000}"/>
    <cellStyle name="Output 3 3 4 2 4" xfId="17513" xr:uid="{00000000-0005-0000-0000-000051420000}"/>
    <cellStyle name="Output 3 3 4 2 5" xfId="18483" xr:uid="{00000000-0005-0000-0000-000052420000}"/>
    <cellStyle name="Output 3 3 4 2 6" xfId="19389" xr:uid="{00000000-0005-0000-0000-000053420000}"/>
    <cellStyle name="Output 3 3 4 3" xfId="11675" xr:uid="{00000000-0005-0000-0000-000054420000}"/>
    <cellStyle name="Output 3 3 4 3 2" xfId="15981" xr:uid="{00000000-0005-0000-0000-000055420000}"/>
    <cellStyle name="Output 3 3 4 3 3" xfId="17060" xr:uid="{00000000-0005-0000-0000-000056420000}"/>
    <cellStyle name="Output 3 3 4 3 4" xfId="18083" xr:uid="{00000000-0005-0000-0000-000057420000}"/>
    <cellStyle name="Output 3 3 4 3 5" xfId="19053" xr:uid="{00000000-0005-0000-0000-000058420000}"/>
    <cellStyle name="Output 3 3 4 3 6" xfId="19959" xr:uid="{00000000-0005-0000-0000-000059420000}"/>
    <cellStyle name="Output 3 3 4 4" xfId="11847" xr:uid="{00000000-0005-0000-0000-00005A420000}"/>
    <cellStyle name="Output 3 3 4 4 2" xfId="16153" xr:uid="{00000000-0005-0000-0000-00005B420000}"/>
    <cellStyle name="Output 3 3 4 4 3" xfId="17232" xr:uid="{00000000-0005-0000-0000-00005C420000}"/>
    <cellStyle name="Output 3 3 4 4 4" xfId="18251" xr:uid="{00000000-0005-0000-0000-00005D420000}"/>
    <cellStyle name="Output 3 3 4 4 5" xfId="19221" xr:uid="{00000000-0005-0000-0000-00005E420000}"/>
    <cellStyle name="Output 3 3 4 4 6" xfId="20127" xr:uid="{00000000-0005-0000-0000-00005F420000}"/>
    <cellStyle name="Output 3 3 4 5" xfId="13730" xr:uid="{00000000-0005-0000-0000-000060420000}"/>
    <cellStyle name="Output 3 3 4 6" xfId="13703" xr:uid="{00000000-0005-0000-0000-000061420000}"/>
    <cellStyle name="Output 3 3 4 7" xfId="14557" xr:uid="{00000000-0005-0000-0000-000062420000}"/>
    <cellStyle name="Output 3 3 4 8" xfId="14698" xr:uid="{00000000-0005-0000-0000-000063420000}"/>
    <cellStyle name="Output 3 3 4 9" xfId="12259" xr:uid="{00000000-0005-0000-0000-000064420000}"/>
    <cellStyle name="Output 3 3 5" xfId="6503" xr:uid="{00000000-0005-0000-0000-000065420000}"/>
    <cellStyle name="Output 3 3 5 2" xfId="14016" xr:uid="{00000000-0005-0000-0000-000066420000}"/>
    <cellStyle name="Output 3 3 5 3" xfId="14877" xr:uid="{00000000-0005-0000-0000-000067420000}"/>
    <cellStyle name="Output 3 3 5 4" xfId="14371" xr:uid="{00000000-0005-0000-0000-000068420000}"/>
    <cellStyle name="Output 3 3 5 5" xfId="17399" xr:uid="{00000000-0005-0000-0000-000069420000}"/>
    <cellStyle name="Output 3 3 5 6" xfId="13594" xr:uid="{00000000-0005-0000-0000-00006A420000}"/>
    <cellStyle name="Output 3 3 6" xfId="6156" xr:uid="{00000000-0005-0000-0000-00006B420000}"/>
    <cellStyle name="Output 3 3 6 2" xfId="13888" xr:uid="{00000000-0005-0000-0000-00006C420000}"/>
    <cellStyle name="Output 3 3 6 3" xfId="13541" xr:uid="{00000000-0005-0000-0000-00006D420000}"/>
    <cellStyle name="Output 3 3 6 4" xfId="13562" xr:uid="{00000000-0005-0000-0000-00006E420000}"/>
    <cellStyle name="Output 3 3 6 5" xfId="13313" xr:uid="{00000000-0005-0000-0000-00006F420000}"/>
    <cellStyle name="Output 3 3 6 6" xfId="15000" xr:uid="{00000000-0005-0000-0000-000070420000}"/>
    <cellStyle name="Output 3 3 7" xfId="11301" xr:uid="{00000000-0005-0000-0000-000071420000}"/>
    <cellStyle name="Output 3 3 7 2" xfId="15607" xr:uid="{00000000-0005-0000-0000-000072420000}"/>
    <cellStyle name="Output 3 3 7 3" xfId="16686" xr:uid="{00000000-0005-0000-0000-000073420000}"/>
    <cellStyle name="Output 3 3 7 4" xfId="17715" xr:uid="{00000000-0005-0000-0000-000074420000}"/>
    <cellStyle name="Output 3 3 7 5" xfId="18685" xr:uid="{00000000-0005-0000-0000-000075420000}"/>
    <cellStyle name="Output 3 3 7 6" xfId="19591" xr:uid="{00000000-0005-0000-0000-000076420000}"/>
    <cellStyle name="Output 3 3 8" xfId="12218" xr:uid="{00000000-0005-0000-0000-000077420000}"/>
    <cellStyle name="Output 3 3 9" xfId="12682" xr:uid="{00000000-0005-0000-0000-000078420000}"/>
    <cellStyle name="Output 4" xfId="459" xr:uid="{00000000-0005-0000-0000-000079420000}"/>
    <cellStyle name="Output 4 2" xfId="1027" xr:uid="{00000000-0005-0000-0000-00007A420000}"/>
    <cellStyle name="Output 4 2 10" xfId="13934" xr:uid="{00000000-0005-0000-0000-00007B420000}"/>
    <cellStyle name="Output 4 2 11" xfId="13327" xr:uid="{00000000-0005-0000-0000-00007C420000}"/>
    <cellStyle name="Output 4 2 12" xfId="15376" xr:uid="{00000000-0005-0000-0000-00007D420000}"/>
    <cellStyle name="Output 4 2 2" xfId="1118" xr:uid="{00000000-0005-0000-0000-00007E420000}"/>
    <cellStyle name="Output 4 2 2 2" xfId="2708" xr:uid="{00000000-0005-0000-0000-00007F420000}"/>
    <cellStyle name="Output 4 2 2 2 10" xfId="13330" xr:uid="{00000000-0005-0000-0000-000080420000}"/>
    <cellStyle name="Output 4 2 2 2 11" xfId="12796" xr:uid="{00000000-0005-0000-0000-000081420000}"/>
    <cellStyle name="Output 4 2 2 2 2" xfId="6108" xr:uid="{00000000-0005-0000-0000-000082420000}"/>
    <cellStyle name="Output 4 2 2 2 2 2" xfId="11204" xr:uid="{00000000-0005-0000-0000-000083420000}"/>
    <cellStyle name="Output 4 2 2 2 2 2 2" xfId="15510" xr:uid="{00000000-0005-0000-0000-000084420000}"/>
    <cellStyle name="Output 4 2 2 2 2 2 3" xfId="16589" xr:uid="{00000000-0005-0000-0000-000085420000}"/>
    <cellStyle name="Output 4 2 2 2 2 2 4" xfId="17623" xr:uid="{00000000-0005-0000-0000-000086420000}"/>
    <cellStyle name="Output 4 2 2 2 2 2 5" xfId="18593" xr:uid="{00000000-0005-0000-0000-000087420000}"/>
    <cellStyle name="Output 4 2 2 2 2 2 6" xfId="19499" xr:uid="{00000000-0005-0000-0000-000088420000}"/>
    <cellStyle name="Output 4 2 2 2 2 3" xfId="11786" xr:uid="{00000000-0005-0000-0000-000089420000}"/>
    <cellStyle name="Output 4 2 2 2 2 3 2" xfId="16092" xr:uid="{00000000-0005-0000-0000-00008A420000}"/>
    <cellStyle name="Output 4 2 2 2 2 3 3" xfId="17171" xr:uid="{00000000-0005-0000-0000-00008B420000}"/>
    <cellStyle name="Output 4 2 2 2 2 3 4" xfId="18193" xr:uid="{00000000-0005-0000-0000-00008C420000}"/>
    <cellStyle name="Output 4 2 2 2 2 3 5" xfId="19163" xr:uid="{00000000-0005-0000-0000-00008D420000}"/>
    <cellStyle name="Output 4 2 2 2 2 3 6" xfId="20069" xr:uid="{00000000-0005-0000-0000-00008E420000}"/>
    <cellStyle name="Output 4 2 2 2 2 4" xfId="11958" xr:uid="{00000000-0005-0000-0000-00008F420000}"/>
    <cellStyle name="Output 4 2 2 2 2 4 2" xfId="16264" xr:uid="{00000000-0005-0000-0000-000090420000}"/>
    <cellStyle name="Output 4 2 2 2 2 4 3" xfId="17343" xr:uid="{00000000-0005-0000-0000-000091420000}"/>
    <cellStyle name="Output 4 2 2 2 2 4 4" xfId="18361" xr:uid="{00000000-0005-0000-0000-000092420000}"/>
    <cellStyle name="Output 4 2 2 2 2 4 5" xfId="19331" xr:uid="{00000000-0005-0000-0000-000093420000}"/>
    <cellStyle name="Output 4 2 2 2 2 4 6" xfId="20237" xr:uid="{00000000-0005-0000-0000-000094420000}"/>
    <cellStyle name="Output 4 2 2 2 2 5" xfId="13841" xr:uid="{00000000-0005-0000-0000-000095420000}"/>
    <cellStyle name="Output 4 2 2 2 2 6" xfId="15225" xr:uid="{00000000-0005-0000-0000-000096420000}"/>
    <cellStyle name="Output 4 2 2 2 2 7" xfId="16338" xr:uid="{00000000-0005-0000-0000-000097420000}"/>
    <cellStyle name="Output 4 2 2 2 2 8" xfId="15310" xr:uid="{00000000-0005-0000-0000-000098420000}"/>
    <cellStyle name="Output 4 2 2 2 2 9" xfId="13286" xr:uid="{00000000-0005-0000-0000-000099420000}"/>
    <cellStyle name="Output 4 2 2 2 3" xfId="5116" xr:uid="{00000000-0005-0000-0000-00009A420000}"/>
    <cellStyle name="Output 4 2 2 2 3 2" xfId="10212" xr:uid="{00000000-0005-0000-0000-00009B420000}"/>
    <cellStyle name="Output 4 2 2 2 3 2 2" xfId="15150" xr:uid="{00000000-0005-0000-0000-00009C420000}"/>
    <cellStyle name="Output 4 2 2 2 3 2 3" xfId="13961" xr:uid="{00000000-0005-0000-0000-00009D420000}"/>
    <cellStyle name="Output 4 2 2 2 3 2 4" xfId="14682" xr:uid="{00000000-0005-0000-0000-00009E420000}"/>
    <cellStyle name="Output 4 2 2 2 3 2 5" xfId="12075" xr:uid="{00000000-0005-0000-0000-00009F420000}"/>
    <cellStyle name="Output 4 2 2 2 3 2 6" xfId="13303" xr:uid="{00000000-0005-0000-0000-0000A0420000}"/>
    <cellStyle name="Output 4 2 2 2 3 3" xfId="11594" xr:uid="{00000000-0005-0000-0000-0000A1420000}"/>
    <cellStyle name="Output 4 2 2 2 3 3 2" xfId="15900" xr:uid="{00000000-0005-0000-0000-0000A2420000}"/>
    <cellStyle name="Output 4 2 2 2 3 3 3" xfId="16979" xr:uid="{00000000-0005-0000-0000-0000A3420000}"/>
    <cellStyle name="Output 4 2 2 2 3 3 4" xfId="18003" xr:uid="{00000000-0005-0000-0000-0000A4420000}"/>
    <cellStyle name="Output 4 2 2 2 3 3 5" xfId="18973" xr:uid="{00000000-0005-0000-0000-0000A5420000}"/>
    <cellStyle name="Output 4 2 2 2 3 3 6" xfId="19879" xr:uid="{00000000-0005-0000-0000-0000A6420000}"/>
    <cellStyle name="Output 4 2 2 2 3 4" xfId="11476" xr:uid="{00000000-0005-0000-0000-0000A7420000}"/>
    <cellStyle name="Output 4 2 2 2 3 4 2" xfId="15782" xr:uid="{00000000-0005-0000-0000-0000A8420000}"/>
    <cellStyle name="Output 4 2 2 2 3 4 3" xfId="16861" xr:uid="{00000000-0005-0000-0000-0000A9420000}"/>
    <cellStyle name="Output 4 2 2 2 3 4 4" xfId="17888" xr:uid="{00000000-0005-0000-0000-0000AA420000}"/>
    <cellStyle name="Output 4 2 2 2 3 4 5" xfId="18858" xr:uid="{00000000-0005-0000-0000-0000AB420000}"/>
    <cellStyle name="Output 4 2 2 2 3 4 6" xfId="19764" xr:uid="{00000000-0005-0000-0000-0000AC420000}"/>
    <cellStyle name="Output 4 2 2 2 3 5" xfId="13470" xr:uid="{00000000-0005-0000-0000-0000AD420000}"/>
    <cellStyle name="Output 4 2 2 2 3 6" xfId="13692" xr:uid="{00000000-0005-0000-0000-0000AE420000}"/>
    <cellStyle name="Output 4 2 2 2 3 7" xfId="14151" xr:uid="{00000000-0005-0000-0000-0000AF420000}"/>
    <cellStyle name="Output 4 2 2 2 3 8" xfId="14582" xr:uid="{00000000-0005-0000-0000-0000B0420000}"/>
    <cellStyle name="Output 4 2 2 2 3 9" xfId="12035" xr:uid="{00000000-0005-0000-0000-0000B1420000}"/>
    <cellStyle name="Output 4 2 2 2 4" xfId="7811" xr:uid="{00000000-0005-0000-0000-0000B2420000}"/>
    <cellStyle name="Output 4 2 2 2 4 2" xfId="14462" xr:uid="{00000000-0005-0000-0000-0000B3420000}"/>
    <cellStyle name="Output 4 2 2 2 4 3" xfId="14394" xr:uid="{00000000-0005-0000-0000-0000B4420000}"/>
    <cellStyle name="Output 4 2 2 2 4 4" xfId="12694" xr:uid="{00000000-0005-0000-0000-0000B5420000}"/>
    <cellStyle name="Output 4 2 2 2 4 5" xfId="13586" xr:uid="{00000000-0005-0000-0000-0000B6420000}"/>
    <cellStyle name="Output 4 2 2 2 4 6" xfId="13005" xr:uid="{00000000-0005-0000-0000-0000B7420000}"/>
    <cellStyle name="Output 4 2 2 2 5" xfId="11394" xr:uid="{00000000-0005-0000-0000-0000B8420000}"/>
    <cellStyle name="Output 4 2 2 2 5 2" xfId="15700" xr:uid="{00000000-0005-0000-0000-0000B9420000}"/>
    <cellStyle name="Output 4 2 2 2 5 3" xfId="16779" xr:uid="{00000000-0005-0000-0000-0000BA420000}"/>
    <cellStyle name="Output 4 2 2 2 5 4" xfId="17808" xr:uid="{00000000-0005-0000-0000-0000BB420000}"/>
    <cellStyle name="Output 4 2 2 2 5 5" xfId="18778" xr:uid="{00000000-0005-0000-0000-0000BC420000}"/>
    <cellStyle name="Output 4 2 2 2 5 6" xfId="19684" xr:uid="{00000000-0005-0000-0000-0000BD420000}"/>
    <cellStyle name="Output 4 2 2 2 6" xfId="11269" xr:uid="{00000000-0005-0000-0000-0000BE420000}"/>
    <cellStyle name="Output 4 2 2 2 6 2" xfId="15575" xr:uid="{00000000-0005-0000-0000-0000BF420000}"/>
    <cellStyle name="Output 4 2 2 2 6 3" xfId="16654" xr:uid="{00000000-0005-0000-0000-0000C0420000}"/>
    <cellStyle name="Output 4 2 2 2 6 4" xfId="17684" xr:uid="{00000000-0005-0000-0000-0000C1420000}"/>
    <cellStyle name="Output 4 2 2 2 6 5" xfId="18654" xr:uid="{00000000-0005-0000-0000-0000C2420000}"/>
    <cellStyle name="Output 4 2 2 2 6 6" xfId="19560" xr:uid="{00000000-0005-0000-0000-0000C3420000}"/>
    <cellStyle name="Output 4 2 2 2 7" xfId="12765" xr:uid="{00000000-0005-0000-0000-0000C4420000}"/>
    <cellStyle name="Output 4 2 2 2 8" xfId="14620" xr:uid="{00000000-0005-0000-0000-0000C5420000}"/>
    <cellStyle name="Output 4 2 2 2 9" xfId="13935" xr:uid="{00000000-0005-0000-0000-0000C6420000}"/>
    <cellStyle name="Output 4 2 2 3" xfId="3933" xr:uid="{00000000-0005-0000-0000-0000C7420000}"/>
    <cellStyle name="Output 4 2 2 3 2" xfId="9032" xr:uid="{00000000-0005-0000-0000-0000C8420000}"/>
    <cellStyle name="Output 4 2 2 3 2 2" xfId="14810" xr:uid="{00000000-0005-0000-0000-0000C9420000}"/>
    <cellStyle name="Output 4 2 2 3 2 3" xfId="12798" xr:uid="{00000000-0005-0000-0000-0000CA420000}"/>
    <cellStyle name="Output 4 2 2 3 2 4" xfId="12099" xr:uid="{00000000-0005-0000-0000-0000CB420000}"/>
    <cellStyle name="Output 4 2 2 3 2 5" xfId="14398" xr:uid="{00000000-0005-0000-0000-0000CC420000}"/>
    <cellStyle name="Output 4 2 2 3 2 6" xfId="13578" xr:uid="{00000000-0005-0000-0000-0000CD420000}"/>
    <cellStyle name="Output 4 2 2 3 3" xfId="11500" xr:uid="{00000000-0005-0000-0000-0000CE420000}"/>
    <cellStyle name="Output 4 2 2 3 3 2" xfId="15806" xr:uid="{00000000-0005-0000-0000-0000CF420000}"/>
    <cellStyle name="Output 4 2 2 3 3 3" xfId="16885" xr:uid="{00000000-0005-0000-0000-0000D0420000}"/>
    <cellStyle name="Output 4 2 2 3 3 4" xfId="17911" xr:uid="{00000000-0005-0000-0000-0000D1420000}"/>
    <cellStyle name="Output 4 2 2 3 3 5" xfId="18881" xr:uid="{00000000-0005-0000-0000-0000D2420000}"/>
    <cellStyle name="Output 4 2 2 3 3 6" xfId="19787" xr:uid="{00000000-0005-0000-0000-0000D3420000}"/>
    <cellStyle name="Output 4 2 2 3 4" xfId="6972" xr:uid="{00000000-0005-0000-0000-0000D4420000}"/>
    <cellStyle name="Output 4 2 2 3 4 2" xfId="14183" xr:uid="{00000000-0005-0000-0000-0000D5420000}"/>
    <cellStyle name="Output 4 2 2 3 4 3" xfId="12138" xr:uid="{00000000-0005-0000-0000-0000D6420000}"/>
    <cellStyle name="Output 4 2 2 3 4 4" xfId="12678" xr:uid="{00000000-0005-0000-0000-0000D7420000}"/>
    <cellStyle name="Output 4 2 2 3 4 5" xfId="16426" xr:uid="{00000000-0005-0000-0000-0000D8420000}"/>
    <cellStyle name="Output 4 2 2 3 4 6" xfId="17465" xr:uid="{00000000-0005-0000-0000-0000D9420000}"/>
    <cellStyle name="Output 4 2 2 3 5" xfId="13122" xr:uid="{00000000-0005-0000-0000-0000DA420000}"/>
    <cellStyle name="Output 4 2 2 3 6" xfId="13254" xr:uid="{00000000-0005-0000-0000-0000DB420000}"/>
    <cellStyle name="Output 4 2 2 3 7" xfId="12888" xr:uid="{00000000-0005-0000-0000-0000DC420000}"/>
    <cellStyle name="Output 4 2 2 3 8" xfId="15006" xr:uid="{00000000-0005-0000-0000-0000DD420000}"/>
    <cellStyle name="Output 4 2 2 3 9" xfId="14871" xr:uid="{00000000-0005-0000-0000-0000DE420000}"/>
    <cellStyle name="Output 4 2 3" xfId="2657" xr:uid="{00000000-0005-0000-0000-0000DF420000}"/>
    <cellStyle name="Output 4 2 3 10" xfId="14056" xr:uid="{00000000-0005-0000-0000-0000E0420000}"/>
    <cellStyle name="Output 4 2 3 2" xfId="6073" xr:uid="{00000000-0005-0000-0000-0000E1420000}"/>
    <cellStyle name="Output 4 2 3 2 2" xfId="11169" xr:uid="{00000000-0005-0000-0000-0000E2420000}"/>
    <cellStyle name="Output 4 2 3 2 2 2" xfId="15475" xr:uid="{00000000-0005-0000-0000-0000E3420000}"/>
    <cellStyle name="Output 4 2 3 2 2 3" xfId="16554" xr:uid="{00000000-0005-0000-0000-0000E4420000}"/>
    <cellStyle name="Output 4 2 3 2 2 4" xfId="17588" xr:uid="{00000000-0005-0000-0000-0000E5420000}"/>
    <cellStyle name="Output 4 2 3 2 2 5" xfId="18558" xr:uid="{00000000-0005-0000-0000-0000E6420000}"/>
    <cellStyle name="Output 4 2 3 2 2 6" xfId="19464" xr:uid="{00000000-0005-0000-0000-0000E7420000}"/>
    <cellStyle name="Output 4 2 3 2 3" xfId="11751" xr:uid="{00000000-0005-0000-0000-0000E8420000}"/>
    <cellStyle name="Output 4 2 3 2 3 2" xfId="16057" xr:uid="{00000000-0005-0000-0000-0000E9420000}"/>
    <cellStyle name="Output 4 2 3 2 3 3" xfId="17136" xr:uid="{00000000-0005-0000-0000-0000EA420000}"/>
    <cellStyle name="Output 4 2 3 2 3 4" xfId="18158" xr:uid="{00000000-0005-0000-0000-0000EB420000}"/>
    <cellStyle name="Output 4 2 3 2 3 5" xfId="19128" xr:uid="{00000000-0005-0000-0000-0000EC420000}"/>
    <cellStyle name="Output 4 2 3 2 3 6" xfId="20034" xr:uid="{00000000-0005-0000-0000-0000ED420000}"/>
    <cellStyle name="Output 4 2 3 2 4" xfId="11923" xr:uid="{00000000-0005-0000-0000-0000EE420000}"/>
    <cellStyle name="Output 4 2 3 2 4 2" xfId="16229" xr:uid="{00000000-0005-0000-0000-0000EF420000}"/>
    <cellStyle name="Output 4 2 3 2 4 3" xfId="17308" xr:uid="{00000000-0005-0000-0000-0000F0420000}"/>
    <cellStyle name="Output 4 2 3 2 4 4" xfId="18326" xr:uid="{00000000-0005-0000-0000-0000F1420000}"/>
    <cellStyle name="Output 4 2 3 2 4 5" xfId="19296" xr:uid="{00000000-0005-0000-0000-0000F2420000}"/>
    <cellStyle name="Output 4 2 3 2 4 6" xfId="20202" xr:uid="{00000000-0005-0000-0000-0000F3420000}"/>
    <cellStyle name="Output 4 2 3 2 5" xfId="13806" xr:uid="{00000000-0005-0000-0000-0000F4420000}"/>
    <cellStyle name="Output 4 2 3 2 6" xfId="14901" xr:uid="{00000000-0005-0000-0000-0000F5420000}"/>
    <cellStyle name="Output 4 2 3 2 7" xfId="12074" xr:uid="{00000000-0005-0000-0000-0000F6420000}"/>
    <cellStyle name="Output 4 2 3 2 8" xfId="12008" xr:uid="{00000000-0005-0000-0000-0000F7420000}"/>
    <cellStyle name="Output 4 2 3 2 9" xfId="12975" xr:uid="{00000000-0005-0000-0000-0000F8420000}"/>
    <cellStyle name="Output 4 2 3 3" xfId="7760" xr:uid="{00000000-0005-0000-0000-0000F9420000}"/>
    <cellStyle name="Output 4 2 3 3 2" xfId="14426" xr:uid="{00000000-0005-0000-0000-0000FA420000}"/>
    <cellStyle name="Output 4 2 3 3 3" xfId="13048" xr:uid="{00000000-0005-0000-0000-0000FB420000}"/>
    <cellStyle name="Output 4 2 3 3 4" xfId="13265" xr:uid="{00000000-0005-0000-0000-0000FC420000}"/>
    <cellStyle name="Output 4 2 3 3 5" xfId="14985" xr:uid="{00000000-0005-0000-0000-0000FD420000}"/>
    <cellStyle name="Output 4 2 3 3 6" xfId="18393" xr:uid="{00000000-0005-0000-0000-0000FE420000}"/>
    <cellStyle name="Output 4 2 3 4" xfId="11359" xr:uid="{00000000-0005-0000-0000-0000FF420000}"/>
    <cellStyle name="Output 4 2 3 4 2" xfId="15665" xr:uid="{00000000-0005-0000-0000-000000430000}"/>
    <cellStyle name="Output 4 2 3 4 3" xfId="16744" xr:uid="{00000000-0005-0000-0000-000001430000}"/>
    <cellStyle name="Output 4 2 3 4 4" xfId="17773" xr:uid="{00000000-0005-0000-0000-000002430000}"/>
    <cellStyle name="Output 4 2 3 4 5" xfId="18743" xr:uid="{00000000-0005-0000-0000-000003430000}"/>
    <cellStyle name="Output 4 2 3 4 6" xfId="19649" xr:uid="{00000000-0005-0000-0000-000004430000}"/>
    <cellStyle name="Output 4 2 3 5" xfId="11535" xr:uid="{00000000-0005-0000-0000-000005430000}"/>
    <cellStyle name="Output 4 2 3 5 2" xfId="15841" xr:uid="{00000000-0005-0000-0000-000006430000}"/>
    <cellStyle name="Output 4 2 3 5 3" xfId="16920" xr:uid="{00000000-0005-0000-0000-000007430000}"/>
    <cellStyle name="Output 4 2 3 5 4" xfId="17945" xr:uid="{00000000-0005-0000-0000-000008430000}"/>
    <cellStyle name="Output 4 2 3 5 5" xfId="18915" xr:uid="{00000000-0005-0000-0000-000009430000}"/>
    <cellStyle name="Output 4 2 3 5 6" xfId="19821" xr:uid="{00000000-0005-0000-0000-00000A430000}"/>
    <cellStyle name="Output 4 2 3 6" xfId="12727" xr:uid="{00000000-0005-0000-0000-00000B430000}"/>
    <cellStyle name="Output 4 2 3 7" xfId="12488" xr:uid="{00000000-0005-0000-0000-00000C430000}"/>
    <cellStyle name="Output 4 2 3 8" xfId="12521" xr:uid="{00000000-0005-0000-0000-00000D430000}"/>
    <cellStyle name="Output 4 2 3 9" xfId="15234" xr:uid="{00000000-0005-0000-0000-00000E430000}"/>
    <cellStyle name="Output 4 2 4" xfId="5998" xr:uid="{00000000-0005-0000-0000-00000F430000}"/>
    <cellStyle name="Output 4 2 4 2" xfId="11094" xr:uid="{00000000-0005-0000-0000-000010430000}"/>
    <cellStyle name="Output 4 2 4 2 2" xfId="15400" xr:uid="{00000000-0005-0000-0000-000011430000}"/>
    <cellStyle name="Output 4 2 4 2 3" xfId="16479" xr:uid="{00000000-0005-0000-0000-000012430000}"/>
    <cellStyle name="Output 4 2 4 2 4" xfId="17514" xr:uid="{00000000-0005-0000-0000-000013430000}"/>
    <cellStyle name="Output 4 2 4 2 5" xfId="18484" xr:uid="{00000000-0005-0000-0000-000014430000}"/>
    <cellStyle name="Output 4 2 4 2 6" xfId="19390" xr:uid="{00000000-0005-0000-0000-000015430000}"/>
    <cellStyle name="Output 4 2 4 3" xfId="11676" xr:uid="{00000000-0005-0000-0000-000016430000}"/>
    <cellStyle name="Output 4 2 4 3 2" xfId="15982" xr:uid="{00000000-0005-0000-0000-000017430000}"/>
    <cellStyle name="Output 4 2 4 3 3" xfId="17061" xr:uid="{00000000-0005-0000-0000-000018430000}"/>
    <cellStyle name="Output 4 2 4 3 4" xfId="18084" xr:uid="{00000000-0005-0000-0000-000019430000}"/>
    <cellStyle name="Output 4 2 4 3 5" xfId="19054" xr:uid="{00000000-0005-0000-0000-00001A430000}"/>
    <cellStyle name="Output 4 2 4 3 6" xfId="19960" xr:uid="{00000000-0005-0000-0000-00001B430000}"/>
    <cellStyle name="Output 4 2 4 4" xfId="11848" xr:uid="{00000000-0005-0000-0000-00001C430000}"/>
    <cellStyle name="Output 4 2 4 4 2" xfId="16154" xr:uid="{00000000-0005-0000-0000-00001D430000}"/>
    <cellStyle name="Output 4 2 4 4 3" xfId="17233" xr:uid="{00000000-0005-0000-0000-00001E430000}"/>
    <cellStyle name="Output 4 2 4 4 4" xfId="18252" xr:uid="{00000000-0005-0000-0000-00001F430000}"/>
    <cellStyle name="Output 4 2 4 4 5" xfId="19222" xr:uid="{00000000-0005-0000-0000-000020430000}"/>
    <cellStyle name="Output 4 2 4 4 6" xfId="20128" xr:uid="{00000000-0005-0000-0000-000021430000}"/>
    <cellStyle name="Output 4 2 4 5" xfId="13731" xr:uid="{00000000-0005-0000-0000-000022430000}"/>
    <cellStyle name="Output 4 2 4 6" xfId="13003" xr:uid="{00000000-0005-0000-0000-000023430000}"/>
    <cellStyle name="Output 4 2 4 7" xfId="13268" xr:uid="{00000000-0005-0000-0000-000024430000}"/>
    <cellStyle name="Output 4 2 4 8" xfId="14294" xr:uid="{00000000-0005-0000-0000-000025430000}"/>
    <cellStyle name="Output 4 2 4 9" xfId="12397" xr:uid="{00000000-0005-0000-0000-000026430000}"/>
    <cellStyle name="Output 4 2 5" xfId="6504" xr:uid="{00000000-0005-0000-0000-000027430000}"/>
    <cellStyle name="Output 4 2 5 2" xfId="14017" xr:uid="{00000000-0005-0000-0000-000028430000}"/>
    <cellStyle name="Output 4 2 5 3" xfId="13190" xr:uid="{00000000-0005-0000-0000-000029430000}"/>
    <cellStyle name="Output 4 2 5 4" xfId="12893" xr:uid="{00000000-0005-0000-0000-00002A430000}"/>
    <cellStyle name="Output 4 2 5 5" xfId="14824" xr:uid="{00000000-0005-0000-0000-00002B430000}"/>
    <cellStyle name="Output 4 2 5 6" xfId="13674" xr:uid="{00000000-0005-0000-0000-00002C430000}"/>
    <cellStyle name="Output 4 2 6" xfId="6685" xr:uid="{00000000-0005-0000-0000-00002D430000}"/>
    <cellStyle name="Output 4 2 6 2" xfId="14089" xr:uid="{00000000-0005-0000-0000-00002E430000}"/>
    <cellStyle name="Output 4 2 6 3" xfId="14527" xr:uid="{00000000-0005-0000-0000-00002F430000}"/>
    <cellStyle name="Output 4 2 6 4" xfId="12071" xr:uid="{00000000-0005-0000-0000-000030430000}"/>
    <cellStyle name="Output 4 2 6 5" xfId="12831" xr:uid="{00000000-0005-0000-0000-000031430000}"/>
    <cellStyle name="Output 4 2 6 6" xfId="12999" xr:uid="{00000000-0005-0000-0000-000032430000}"/>
    <cellStyle name="Output 4 2 7" xfId="6170" xr:uid="{00000000-0005-0000-0000-000033430000}"/>
    <cellStyle name="Output 4 2 7 2" xfId="13902" xr:uid="{00000000-0005-0000-0000-000034430000}"/>
    <cellStyle name="Output 4 2 7 3" xfId="14544" xr:uid="{00000000-0005-0000-0000-000035430000}"/>
    <cellStyle name="Output 4 2 7 4" xfId="12810" xr:uid="{00000000-0005-0000-0000-000036430000}"/>
    <cellStyle name="Output 4 2 7 5" xfId="16417" xr:uid="{00000000-0005-0000-0000-000037430000}"/>
    <cellStyle name="Output 4 2 7 6" xfId="13152" xr:uid="{00000000-0005-0000-0000-000038430000}"/>
    <cellStyle name="Output 4 2 8" xfId="12219" xr:uid="{00000000-0005-0000-0000-000039430000}"/>
    <cellStyle name="Output 4 2 9" xfId="14264" xr:uid="{00000000-0005-0000-0000-00003A430000}"/>
    <cellStyle name="Output 5" xfId="460" xr:uid="{00000000-0005-0000-0000-00003B430000}"/>
    <cellStyle name="Output 5 2" xfId="1028" xr:uid="{00000000-0005-0000-0000-00003C430000}"/>
    <cellStyle name="Output 5 2 10" xfId="14832" xr:uid="{00000000-0005-0000-0000-00003D430000}"/>
    <cellStyle name="Output 5 2 11" xfId="17463" xr:uid="{00000000-0005-0000-0000-00003E430000}"/>
    <cellStyle name="Output 5 2 12" xfId="12033" xr:uid="{00000000-0005-0000-0000-00003F430000}"/>
    <cellStyle name="Output 5 2 2" xfId="1119" xr:uid="{00000000-0005-0000-0000-000040430000}"/>
    <cellStyle name="Output 5 2 2 2" xfId="2709" xr:uid="{00000000-0005-0000-0000-000041430000}"/>
    <cellStyle name="Output 5 2 2 2 10" xfId="13052" xr:uid="{00000000-0005-0000-0000-000042430000}"/>
    <cellStyle name="Output 5 2 2 2 11" xfId="18437" xr:uid="{00000000-0005-0000-0000-000043430000}"/>
    <cellStyle name="Output 5 2 2 2 2" xfId="6109" xr:uid="{00000000-0005-0000-0000-000044430000}"/>
    <cellStyle name="Output 5 2 2 2 2 2" xfId="11205" xr:uid="{00000000-0005-0000-0000-000045430000}"/>
    <cellStyle name="Output 5 2 2 2 2 2 2" xfId="15511" xr:uid="{00000000-0005-0000-0000-000046430000}"/>
    <cellStyle name="Output 5 2 2 2 2 2 3" xfId="16590" xr:uid="{00000000-0005-0000-0000-000047430000}"/>
    <cellStyle name="Output 5 2 2 2 2 2 4" xfId="17624" xr:uid="{00000000-0005-0000-0000-000048430000}"/>
    <cellStyle name="Output 5 2 2 2 2 2 5" xfId="18594" xr:uid="{00000000-0005-0000-0000-000049430000}"/>
    <cellStyle name="Output 5 2 2 2 2 2 6" xfId="19500" xr:uid="{00000000-0005-0000-0000-00004A430000}"/>
    <cellStyle name="Output 5 2 2 2 2 3" xfId="11787" xr:uid="{00000000-0005-0000-0000-00004B430000}"/>
    <cellStyle name="Output 5 2 2 2 2 3 2" xfId="16093" xr:uid="{00000000-0005-0000-0000-00004C430000}"/>
    <cellStyle name="Output 5 2 2 2 2 3 3" xfId="17172" xr:uid="{00000000-0005-0000-0000-00004D430000}"/>
    <cellStyle name="Output 5 2 2 2 2 3 4" xfId="18194" xr:uid="{00000000-0005-0000-0000-00004E430000}"/>
    <cellStyle name="Output 5 2 2 2 2 3 5" xfId="19164" xr:uid="{00000000-0005-0000-0000-00004F430000}"/>
    <cellStyle name="Output 5 2 2 2 2 3 6" xfId="20070" xr:uid="{00000000-0005-0000-0000-000050430000}"/>
    <cellStyle name="Output 5 2 2 2 2 4" xfId="11959" xr:uid="{00000000-0005-0000-0000-000051430000}"/>
    <cellStyle name="Output 5 2 2 2 2 4 2" xfId="16265" xr:uid="{00000000-0005-0000-0000-000052430000}"/>
    <cellStyle name="Output 5 2 2 2 2 4 3" xfId="17344" xr:uid="{00000000-0005-0000-0000-000053430000}"/>
    <cellStyle name="Output 5 2 2 2 2 4 4" xfId="18362" xr:uid="{00000000-0005-0000-0000-000054430000}"/>
    <cellStyle name="Output 5 2 2 2 2 4 5" xfId="19332" xr:uid="{00000000-0005-0000-0000-000055430000}"/>
    <cellStyle name="Output 5 2 2 2 2 4 6" xfId="20238" xr:uid="{00000000-0005-0000-0000-000056430000}"/>
    <cellStyle name="Output 5 2 2 2 2 5" xfId="13842" xr:uid="{00000000-0005-0000-0000-000057430000}"/>
    <cellStyle name="Output 5 2 2 2 2 6" xfId="13542" xr:uid="{00000000-0005-0000-0000-000058430000}"/>
    <cellStyle name="Output 5 2 2 2 2 7" xfId="12868" xr:uid="{00000000-0005-0000-0000-000059430000}"/>
    <cellStyle name="Output 5 2 2 2 2 8" xfId="166" xr:uid="{00000000-0005-0000-0000-00005A430000}"/>
    <cellStyle name="Output 5 2 2 2 2 9" xfId="11992" xr:uid="{00000000-0005-0000-0000-00005B430000}"/>
    <cellStyle name="Output 5 2 2 2 3" xfId="5117" xr:uid="{00000000-0005-0000-0000-00005C430000}"/>
    <cellStyle name="Output 5 2 2 2 3 2" xfId="10213" xr:uid="{00000000-0005-0000-0000-00005D430000}"/>
    <cellStyle name="Output 5 2 2 2 3 2 2" xfId="15151" xr:uid="{00000000-0005-0000-0000-00005E430000}"/>
    <cellStyle name="Output 5 2 2 2 3 2 3" xfId="14761" xr:uid="{00000000-0005-0000-0000-00005F430000}"/>
    <cellStyle name="Output 5 2 2 2 3 2 4" xfId="13082" xr:uid="{00000000-0005-0000-0000-000060430000}"/>
    <cellStyle name="Output 5 2 2 2 3 2 5" xfId="13050" xr:uid="{00000000-0005-0000-0000-000061430000}"/>
    <cellStyle name="Output 5 2 2 2 3 2 6" xfId="149" xr:uid="{00000000-0005-0000-0000-000062430000}"/>
    <cellStyle name="Output 5 2 2 2 3 3" xfId="11595" xr:uid="{00000000-0005-0000-0000-000063430000}"/>
    <cellStyle name="Output 5 2 2 2 3 3 2" xfId="15901" xr:uid="{00000000-0005-0000-0000-000064430000}"/>
    <cellStyle name="Output 5 2 2 2 3 3 3" xfId="16980" xr:uid="{00000000-0005-0000-0000-000065430000}"/>
    <cellStyle name="Output 5 2 2 2 3 3 4" xfId="18004" xr:uid="{00000000-0005-0000-0000-000066430000}"/>
    <cellStyle name="Output 5 2 2 2 3 3 5" xfId="18974" xr:uid="{00000000-0005-0000-0000-000067430000}"/>
    <cellStyle name="Output 5 2 2 2 3 3 6" xfId="19880" xr:uid="{00000000-0005-0000-0000-000068430000}"/>
    <cellStyle name="Output 5 2 2 2 3 4" xfId="11571" xr:uid="{00000000-0005-0000-0000-000069430000}"/>
    <cellStyle name="Output 5 2 2 2 3 4 2" xfId="15877" xr:uid="{00000000-0005-0000-0000-00006A430000}"/>
    <cellStyle name="Output 5 2 2 2 3 4 3" xfId="16956" xr:uid="{00000000-0005-0000-0000-00006B430000}"/>
    <cellStyle name="Output 5 2 2 2 3 4 4" xfId="17980" xr:uid="{00000000-0005-0000-0000-00006C430000}"/>
    <cellStyle name="Output 5 2 2 2 3 4 5" xfId="18950" xr:uid="{00000000-0005-0000-0000-00006D430000}"/>
    <cellStyle name="Output 5 2 2 2 3 4 6" xfId="19856" xr:uid="{00000000-0005-0000-0000-00006E430000}"/>
    <cellStyle name="Output 5 2 2 2 3 5" xfId="13471" xr:uid="{00000000-0005-0000-0000-00006F430000}"/>
    <cellStyle name="Output 5 2 2 2 3 6" xfId="12993" xr:uid="{00000000-0005-0000-0000-000070430000}"/>
    <cellStyle name="Output 5 2 2 2 3 7" xfId="12464" xr:uid="{00000000-0005-0000-0000-000071430000}"/>
    <cellStyle name="Output 5 2 2 2 3 8" xfId="12296" xr:uid="{00000000-0005-0000-0000-000072430000}"/>
    <cellStyle name="Output 5 2 2 2 3 9" xfId="12795" xr:uid="{00000000-0005-0000-0000-000073430000}"/>
    <cellStyle name="Output 5 2 2 2 4" xfId="7812" xr:uid="{00000000-0005-0000-0000-000074430000}"/>
    <cellStyle name="Output 5 2 2 2 4 2" xfId="14463" xr:uid="{00000000-0005-0000-0000-000075430000}"/>
    <cellStyle name="Output 5 2 2 2 4 3" xfId="15111" xr:uid="{00000000-0005-0000-0000-000076430000}"/>
    <cellStyle name="Output 5 2 2 2 4 4" xfId="13399" xr:uid="{00000000-0005-0000-0000-000077430000}"/>
    <cellStyle name="Output 5 2 2 2 4 5" xfId="12967" xr:uid="{00000000-0005-0000-0000-000078430000}"/>
    <cellStyle name="Output 5 2 2 2 4 6" xfId="12411" xr:uid="{00000000-0005-0000-0000-000079430000}"/>
    <cellStyle name="Output 5 2 2 2 5" xfId="11395" xr:uid="{00000000-0005-0000-0000-00007A430000}"/>
    <cellStyle name="Output 5 2 2 2 5 2" xfId="15701" xr:uid="{00000000-0005-0000-0000-00007B430000}"/>
    <cellStyle name="Output 5 2 2 2 5 3" xfId="16780" xr:uid="{00000000-0005-0000-0000-00007C430000}"/>
    <cellStyle name="Output 5 2 2 2 5 4" xfId="17809" xr:uid="{00000000-0005-0000-0000-00007D430000}"/>
    <cellStyle name="Output 5 2 2 2 5 5" xfId="18779" xr:uid="{00000000-0005-0000-0000-00007E430000}"/>
    <cellStyle name="Output 5 2 2 2 5 6" xfId="19685" xr:uid="{00000000-0005-0000-0000-00007F430000}"/>
    <cellStyle name="Output 5 2 2 2 6" xfId="11527" xr:uid="{00000000-0005-0000-0000-000080430000}"/>
    <cellStyle name="Output 5 2 2 2 6 2" xfId="15833" xr:uid="{00000000-0005-0000-0000-000081430000}"/>
    <cellStyle name="Output 5 2 2 2 6 3" xfId="16912" xr:uid="{00000000-0005-0000-0000-000082430000}"/>
    <cellStyle name="Output 5 2 2 2 6 4" xfId="17937" xr:uid="{00000000-0005-0000-0000-000083430000}"/>
    <cellStyle name="Output 5 2 2 2 6 5" xfId="18907" xr:uid="{00000000-0005-0000-0000-000084430000}"/>
    <cellStyle name="Output 5 2 2 2 6 6" xfId="19813" xr:uid="{00000000-0005-0000-0000-000085430000}"/>
    <cellStyle name="Output 5 2 2 2 7" xfId="12766" xr:uid="{00000000-0005-0000-0000-000086430000}"/>
    <cellStyle name="Output 5 2 2 2 8" xfId="15303" xr:uid="{00000000-0005-0000-0000-000087430000}"/>
    <cellStyle name="Output 5 2 2 2 9" xfId="16399" xr:uid="{00000000-0005-0000-0000-000088430000}"/>
    <cellStyle name="Output 5 2 2 3" xfId="3934" xr:uid="{00000000-0005-0000-0000-000089430000}"/>
    <cellStyle name="Output 5 2 2 3 2" xfId="9033" xr:uid="{00000000-0005-0000-0000-00008A430000}"/>
    <cellStyle name="Output 5 2 2 3 2 2" xfId="14811" xr:uid="{00000000-0005-0000-0000-00008B430000}"/>
    <cellStyle name="Output 5 2 2 3 2 3" xfId="12293" xr:uid="{00000000-0005-0000-0000-00008C430000}"/>
    <cellStyle name="Output 5 2 2 3 2 4" xfId="15093" xr:uid="{00000000-0005-0000-0000-00008D430000}"/>
    <cellStyle name="Output 5 2 2 3 2 5" xfId="14853" xr:uid="{00000000-0005-0000-0000-00008E430000}"/>
    <cellStyle name="Output 5 2 2 3 2 6" xfId="14999" xr:uid="{00000000-0005-0000-0000-00008F430000}"/>
    <cellStyle name="Output 5 2 2 3 3" xfId="11501" xr:uid="{00000000-0005-0000-0000-000090430000}"/>
    <cellStyle name="Output 5 2 2 3 3 2" xfId="15807" xr:uid="{00000000-0005-0000-0000-000091430000}"/>
    <cellStyle name="Output 5 2 2 3 3 3" xfId="16886" xr:uid="{00000000-0005-0000-0000-000092430000}"/>
    <cellStyle name="Output 5 2 2 3 3 4" xfId="17912" xr:uid="{00000000-0005-0000-0000-000093430000}"/>
    <cellStyle name="Output 5 2 2 3 3 5" xfId="18882" xr:uid="{00000000-0005-0000-0000-000094430000}"/>
    <cellStyle name="Output 5 2 2 3 3 6" xfId="19788" xr:uid="{00000000-0005-0000-0000-000095430000}"/>
    <cellStyle name="Output 5 2 2 3 4" xfId="7158" xr:uid="{00000000-0005-0000-0000-000096430000}"/>
    <cellStyle name="Output 5 2 2 3 4 2" xfId="14227" xr:uid="{00000000-0005-0000-0000-000097430000}"/>
    <cellStyle name="Output 5 2 2 3 4 3" xfId="12673" xr:uid="{00000000-0005-0000-0000-000098430000}"/>
    <cellStyle name="Output 5 2 2 3 4 4" xfId="13093" xr:uid="{00000000-0005-0000-0000-000099430000}"/>
    <cellStyle name="Output 5 2 2 3 4 5" xfId="15300" xr:uid="{00000000-0005-0000-0000-00009A430000}"/>
    <cellStyle name="Output 5 2 2 3 4 6" xfId="12294" xr:uid="{00000000-0005-0000-0000-00009B430000}"/>
    <cellStyle name="Output 5 2 2 3 5" xfId="13123" xr:uid="{00000000-0005-0000-0000-00009C430000}"/>
    <cellStyle name="Output 5 2 2 3 6" xfId="14601" xr:uid="{00000000-0005-0000-0000-00009D430000}"/>
    <cellStyle name="Output 5 2 2 3 7" xfId="14500" xr:uid="{00000000-0005-0000-0000-00009E430000}"/>
    <cellStyle name="Output 5 2 2 3 8" xfId="14589" xr:uid="{00000000-0005-0000-0000-00009F430000}"/>
    <cellStyle name="Output 5 2 2 3 9" xfId="14493" xr:uid="{00000000-0005-0000-0000-0000A0430000}"/>
    <cellStyle name="Output 5 2 3" xfId="2658" xr:uid="{00000000-0005-0000-0000-0000A1430000}"/>
    <cellStyle name="Output 5 2 3 10" xfId="15121" xr:uid="{00000000-0005-0000-0000-0000A2430000}"/>
    <cellStyle name="Output 5 2 3 2" xfId="6074" xr:uid="{00000000-0005-0000-0000-0000A3430000}"/>
    <cellStyle name="Output 5 2 3 2 2" xfId="11170" xr:uid="{00000000-0005-0000-0000-0000A4430000}"/>
    <cellStyle name="Output 5 2 3 2 2 2" xfId="15476" xr:uid="{00000000-0005-0000-0000-0000A5430000}"/>
    <cellStyle name="Output 5 2 3 2 2 3" xfId="16555" xr:uid="{00000000-0005-0000-0000-0000A6430000}"/>
    <cellStyle name="Output 5 2 3 2 2 4" xfId="17589" xr:uid="{00000000-0005-0000-0000-0000A7430000}"/>
    <cellStyle name="Output 5 2 3 2 2 5" xfId="18559" xr:uid="{00000000-0005-0000-0000-0000A8430000}"/>
    <cellStyle name="Output 5 2 3 2 2 6" xfId="19465" xr:uid="{00000000-0005-0000-0000-0000A9430000}"/>
    <cellStyle name="Output 5 2 3 2 3" xfId="11752" xr:uid="{00000000-0005-0000-0000-0000AA430000}"/>
    <cellStyle name="Output 5 2 3 2 3 2" xfId="16058" xr:uid="{00000000-0005-0000-0000-0000AB430000}"/>
    <cellStyle name="Output 5 2 3 2 3 3" xfId="17137" xr:uid="{00000000-0005-0000-0000-0000AC430000}"/>
    <cellStyle name="Output 5 2 3 2 3 4" xfId="18159" xr:uid="{00000000-0005-0000-0000-0000AD430000}"/>
    <cellStyle name="Output 5 2 3 2 3 5" xfId="19129" xr:uid="{00000000-0005-0000-0000-0000AE430000}"/>
    <cellStyle name="Output 5 2 3 2 3 6" xfId="20035" xr:uid="{00000000-0005-0000-0000-0000AF430000}"/>
    <cellStyle name="Output 5 2 3 2 4" xfId="11924" xr:uid="{00000000-0005-0000-0000-0000B0430000}"/>
    <cellStyle name="Output 5 2 3 2 4 2" xfId="16230" xr:uid="{00000000-0005-0000-0000-0000B1430000}"/>
    <cellStyle name="Output 5 2 3 2 4 3" xfId="17309" xr:uid="{00000000-0005-0000-0000-0000B2430000}"/>
    <cellStyle name="Output 5 2 3 2 4 4" xfId="18327" xr:uid="{00000000-0005-0000-0000-0000B3430000}"/>
    <cellStyle name="Output 5 2 3 2 4 5" xfId="19297" xr:uid="{00000000-0005-0000-0000-0000B4430000}"/>
    <cellStyle name="Output 5 2 3 2 4 6" xfId="20203" xr:uid="{00000000-0005-0000-0000-0000B5430000}"/>
    <cellStyle name="Output 5 2 3 2 5" xfId="13807" xr:uid="{00000000-0005-0000-0000-0000B6430000}"/>
    <cellStyle name="Output 5 2 3 2 6" xfId="13213" xr:uid="{00000000-0005-0000-0000-0000B7430000}"/>
    <cellStyle name="Output 5 2 3 2 7" xfId="12892" xr:uid="{00000000-0005-0000-0000-0000B8430000}"/>
    <cellStyle name="Output 5 2 3 2 8" xfId="14701" xr:uid="{00000000-0005-0000-0000-0000B9430000}"/>
    <cellStyle name="Output 5 2 3 2 9" xfId="18451" xr:uid="{00000000-0005-0000-0000-0000BA430000}"/>
    <cellStyle name="Output 5 2 3 3" xfId="7761" xr:uid="{00000000-0005-0000-0000-0000BB430000}"/>
    <cellStyle name="Output 5 2 3 3 2" xfId="14427" xr:uid="{00000000-0005-0000-0000-0000BC430000}"/>
    <cellStyle name="Output 5 2 3 3 3" xfId="14343" xr:uid="{00000000-0005-0000-0000-0000BD430000}"/>
    <cellStyle name="Output 5 2 3 3 4" xfId="13514" xr:uid="{00000000-0005-0000-0000-0000BE430000}"/>
    <cellStyle name="Output 5 2 3 3 5" xfId="14166" xr:uid="{00000000-0005-0000-0000-0000BF430000}"/>
    <cellStyle name="Output 5 2 3 3 6" xfId="12740" xr:uid="{00000000-0005-0000-0000-0000C0430000}"/>
    <cellStyle name="Output 5 2 3 4" xfId="11360" xr:uid="{00000000-0005-0000-0000-0000C1430000}"/>
    <cellStyle name="Output 5 2 3 4 2" xfId="15666" xr:uid="{00000000-0005-0000-0000-0000C2430000}"/>
    <cellStyle name="Output 5 2 3 4 3" xfId="16745" xr:uid="{00000000-0005-0000-0000-0000C3430000}"/>
    <cellStyle name="Output 5 2 3 4 4" xfId="17774" xr:uid="{00000000-0005-0000-0000-0000C4430000}"/>
    <cellStyle name="Output 5 2 3 4 5" xfId="18744" xr:uid="{00000000-0005-0000-0000-0000C5430000}"/>
    <cellStyle name="Output 5 2 3 4 6" xfId="19650" xr:uid="{00000000-0005-0000-0000-0000C6430000}"/>
    <cellStyle name="Output 5 2 3 5" xfId="11626" xr:uid="{00000000-0005-0000-0000-0000C7430000}"/>
    <cellStyle name="Output 5 2 3 5 2" xfId="15932" xr:uid="{00000000-0005-0000-0000-0000C8430000}"/>
    <cellStyle name="Output 5 2 3 5 3" xfId="17011" xr:uid="{00000000-0005-0000-0000-0000C9430000}"/>
    <cellStyle name="Output 5 2 3 5 4" xfId="18035" xr:uid="{00000000-0005-0000-0000-0000CA430000}"/>
    <cellStyle name="Output 5 2 3 5 5" xfId="19005" xr:uid="{00000000-0005-0000-0000-0000CB430000}"/>
    <cellStyle name="Output 5 2 3 5 6" xfId="19911" xr:uid="{00000000-0005-0000-0000-0000CC430000}"/>
    <cellStyle name="Output 5 2 3 6" xfId="12728" xr:uid="{00000000-0005-0000-0000-0000CD430000}"/>
    <cellStyle name="Output 5 2 3 7" xfId="12487" xr:uid="{00000000-0005-0000-0000-0000CE430000}"/>
    <cellStyle name="Output 5 2 3 8" xfId="12946" xr:uid="{00000000-0005-0000-0000-0000CF430000}"/>
    <cellStyle name="Output 5 2 3 9" xfId="12279" xr:uid="{00000000-0005-0000-0000-0000D0430000}"/>
    <cellStyle name="Output 5 2 4" xfId="5999" xr:uid="{00000000-0005-0000-0000-0000D1430000}"/>
    <cellStyle name="Output 5 2 4 2" xfId="11095" xr:uid="{00000000-0005-0000-0000-0000D2430000}"/>
    <cellStyle name="Output 5 2 4 2 2" xfId="15401" xr:uid="{00000000-0005-0000-0000-0000D3430000}"/>
    <cellStyle name="Output 5 2 4 2 3" xfId="16480" xr:uid="{00000000-0005-0000-0000-0000D4430000}"/>
    <cellStyle name="Output 5 2 4 2 4" xfId="17515" xr:uid="{00000000-0005-0000-0000-0000D5430000}"/>
    <cellStyle name="Output 5 2 4 2 5" xfId="18485" xr:uid="{00000000-0005-0000-0000-0000D6430000}"/>
    <cellStyle name="Output 5 2 4 2 6" xfId="19391" xr:uid="{00000000-0005-0000-0000-0000D7430000}"/>
    <cellStyle name="Output 5 2 4 3" xfId="11677" xr:uid="{00000000-0005-0000-0000-0000D8430000}"/>
    <cellStyle name="Output 5 2 4 3 2" xfId="15983" xr:uid="{00000000-0005-0000-0000-0000D9430000}"/>
    <cellStyle name="Output 5 2 4 3 3" xfId="17062" xr:uid="{00000000-0005-0000-0000-0000DA430000}"/>
    <cellStyle name="Output 5 2 4 3 4" xfId="18085" xr:uid="{00000000-0005-0000-0000-0000DB430000}"/>
    <cellStyle name="Output 5 2 4 3 5" xfId="19055" xr:uid="{00000000-0005-0000-0000-0000DC430000}"/>
    <cellStyle name="Output 5 2 4 3 6" xfId="19961" xr:uid="{00000000-0005-0000-0000-0000DD430000}"/>
    <cellStyle name="Output 5 2 4 4" xfId="11849" xr:uid="{00000000-0005-0000-0000-0000DE430000}"/>
    <cellStyle name="Output 5 2 4 4 2" xfId="16155" xr:uid="{00000000-0005-0000-0000-0000DF430000}"/>
    <cellStyle name="Output 5 2 4 4 3" xfId="17234" xr:uid="{00000000-0005-0000-0000-0000E0430000}"/>
    <cellStyle name="Output 5 2 4 4 4" xfId="18253" xr:uid="{00000000-0005-0000-0000-0000E1430000}"/>
    <cellStyle name="Output 5 2 4 4 5" xfId="19223" xr:uid="{00000000-0005-0000-0000-0000E2430000}"/>
    <cellStyle name="Output 5 2 4 4 6" xfId="20129" xr:uid="{00000000-0005-0000-0000-0000E3430000}"/>
    <cellStyle name="Output 5 2 4 5" xfId="13732" xr:uid="{00000000-0005-0000-0000-0000E4430000}"/>
    <cellStyle name="Output 5 2 4 6" xfId="12602" xr:uid="{00000000-0005-0000-0000-0000E5430000}"/>
    <cellStyle name="Output 5 2 4 7" xfId="15313" xr:uid="{00000000-0005-0000-0000-0000E6430000}"/>
    <cellStyle name="Output 5 2 4 8" xfId="12660" xr:uid="{00000000-0005-0000-0000-0000E7430000}"/>
    <cellStyle name="Output 5 2 4 9" xfId="18423" xr:uid="{00000000-0005-0000-0000-0000E8430000}"/>
    <cellStyle name="Output 5 2 5" xfId="6505" xr:uid="{00000000-0005-0000-0000-0000E9430000}"/>
    <cellStyle name="Output 5 2 5 2" xfId="14018" xr:uid="{00000000-0005-0000-0000-0000EA430000}"/>
    <cellStyle name="Output 5 2 5 3" xfId="14535" xr:uid="{00000000-0005-0000-0000-0000EB430000}"/>
    <cellStyle name="Output 5 2 5 4" xfId="14849" xr:uid="{00000000-0005-0000-0000-0000EC430000}"/>
    <cellStyle name="Output 5 2 5 5" xfId="15071" xr:uid="{00000000-0005-0000-0000-0000ED430000}"/>
    <cellStyle name="Output 5 2 5 6" xfId="14495" xr:uid="{00000000-0005-0000-0000-0000EE430000}"/>
    <cellStyle name="Output 5 2 6" xfId="6155" xr:uid="{00000000-0005-0000-0000-0000EF430000}"/>
    <cellStyle name="Output 5 2 6 2" xfId="13887" xr:uid="{00000000-0005-0000-0000-0000F0430000}"/>
    <cellStyle name="Output 5 2 6 3" xfId="15224" xr:uid="{00000000-0005-0000-0000-0000F1430000}"/>
    <cellStyle name="Output 5 2 6 4" xfId="16337" xr:uid="{00000000-0005-0000-0000-0000F2430000}"/>
    <cellStyle name="Output 5 2 6 5" xfId="12843" xr:uid="{00000000-0005-0000-0000-0000F3430000}"/>
    <cellStyle name="Output 5 2 6 6" xfId="12393" xr:uid="{00000000-0005-0000-0000-0000F4430000}"/>
    <cellStyle name="Output 5 2 7" xfId="11552" xr:uid="{00000000-0005-0000-0000-0000F5430000}"/>
    <cellStyle name="Output 5 2 7 2" xfId="15858" xr:uid="{00000000-0005-0000-0000-0000F6430000}"/>
    <cellStyle name="Output 5 2 7 3" xfId="16937" xr:uid="{00000000-0005-0000-0000-0000F7430000}"/>
    <cellStyle name="Output 5 2 7 4" xfId="17962" xr:uid="{00000000-0005-0000-0000-0000F8430000}"/>
    <cellStyle name="Output 5 2 7 5" xfId="18932" xr:uid="{00000000-0005-0000-0000-0000F9430000}"/>
    <cellStyle name="Output 5 2 7 6" xfId="19838" xr:uid="{00000000-0005-0000-0000-0000FA430000}"/>
    <cellStyle name="Output 5 2 8" xfId="12220" xr:uid="{00000000-0005-0000-0000-0000FB430000}"/>
    <cellStyle name="Output 5 2 9" xfId="15001" xr:uid="{00000000-0005-0000-0000-0000FC430000}"/>
    <cellStyle name="Output 6" xfId="461" xr:uid="{00000000-0005-0000-0000-0000FD430000}"/>
    <cellStyle name="Output 6 2" xfId="1029" xr:uid="{00000000-0005-0000-0000-0000FE430000}"/>
    <cellStyle name="Output 6 2 10" xfId="12885" xr:uid="{00000000-0005-0000-0000-0000FF430000}"/>
    <cellStyle name="Output 6 2 11" xfId="15244" xr:uid="{00000000-0005-0000-0000-000000440000}"/>
    <cellStyle name="Output 6 2 12" xfId="14772" xr:uid="{00000000-0005-0000-0000-000001440000}"/>
    <cellStyle name="Output 6 2 2" xfId="1120" xr:uid="{00000000-0005-0000-0000-000002440000}"/>
    <cellStyle name="Output 6 2 2 2" xfId="2710" xr:uid="{00000000-0005-0000-0000-000003440000}"/>
    <cellStyle name="Output 6 2 2 2 10" xfId="13090" xr:uid="{00000000-0005-0000-0000-000004440000}"/>
    <cellStyle name="Output 6 2 2 2 11" xfId="16346" xr:uid="{00000000-0005-0000-0000-000005440000}"/>
    <cellStyle name="Output 6 2 2 2 2" xfId="6110" xr:uid="{00000000-0005-0000-0000-000006440000}"/>
    <cellStyle name="Output 6 2 2 2 2 2" xfId="11206" xr:uid="{00000000-0005-0000-0000-000007440000}"/>
    <cellStyle name="Output 6 2 2 2 2 2 2" xfId="15512" xr:uid="{00000000-0005-0000-0000-000008440000}"/>
    <cellStyle name="Output 6 2 2 2 2 2 3" xfId="16591" xr:uid="{00000000-0005-0000-0000-000009440000}"/>
    <cellStyle name="Output 6 2 2 2 2 2 4" xfId="17625" xr:uid="{00000000-0005-0000-0000-00000A440000}"/>
    <cellStyle name="Output 6 2 2 2 2 2 5" xfId="18595" xr:uid="{00000000-0005-0000-0000-00000B440000}"/>
    <cellStyle name="Output 6 2 2 2 2 2 6" xfId="19501" xr:uid="{00000000-0005-0000-0000-00000C440000}"/>
    <cellStyle name="Output 6 2 2 2 2 3" xfId="11788" xr:uid="{00000000-0005-0000-0000-00000D440000}"/>
    <cellStyle name="Output 6 2 2 2 2 3 2" xfId="16094" xr:uid="{00000000-0005-0000-0000-00000E440000}"/>
    <cellStyle name="Output 6 2 2 2 2 3 3" xfId="17173" xr:uid="{00000000-0005-0000-0000-00000F440000}"/>
    <cellStyle name="Output 6 2 2 2 2 3 4" xfId="18195" xr:uid="{00000000-0005-0000-0000-000010440000}"/>
    <cellStyle name="Output 6 2 2 2 2 3 5" xfId="19165" xr:uid="{00000000-0005-0000-0000-000011440000}"/>
    <cellStyle name="Output 6 2 2 2 2 3 6" xfId="20071" xr:uid="{00000000-0005-0000-0000-000012440000}"/>
    <cellStyle name="Output 6 2 2 2 2 4" xfId="11960" xr:uid="{00000000-0005-0000-0000-000013440000}"/>
    <cellStyle name="Output 6 2 2 2 2 4 2" xfId="16266" xr:uid="{00000000-0005-0000-0000-000014440000}"/>
    <cellStyle name="Output 6 2 2 2 2 4 3" xfId="17345" xr:uid="{00000000-0005-0000-0000-000015440000}"/>
    <cellStyle name="Output 6 2 2 2 2 4 4" xfId="18363" xr:uid="{00000000-0005-0000-0000-000016440000}"/>
    <cellStyle name="Output 6 2 2 2 2 4 5" xfId="19333" xr:uid="{00000000-0005-0000-0000-000017440000}"/>
    <cellStyle name="Output 6 2 2 2 2 4 6" xfId="20239" xr:uid="{00000000-0005-0000-0000-000018440000}"/>
    <cellStyle name="Output 6 2 2 2 2 5" xfId="13843" xr:uid="{00000000-0005-0000-0000-000019440000}"/>
    <cellStyle name="Output 6 2 2 2 2 6" xfId="12849" xr:uid="{00000000-0005-0000-0000-00001A440000}"/>
    <cellStyle name="Output 6 2 2 2 2 7" xfId="12036" xr:uid="{00000000-0005-0000-0000-00001B440000}"/>
    <cellStyle name="Output 6 2 2 2 2 8" xfId="13628" xr:uid="{00000000-0005-0000-0000-00001C440000}"/>
    <cellStyle name="Output 6 2 2 2 2 9" xfId="13570" xr:uid="{00000000-0005-0000-0000-00001D440000}"/>
    <cellStyle name="Output 6 2 2 2 3" xfId="5118" xr:uid="{00000000-0005-0000-0000-00001E440000}"/>
    <cellStyle name="Output 6 2 2 2 3 2" xfId="10214" xr:uid="{00000000-0005-0000-0000-00001F440000}"/>
    <cellStyle name="Output 6 2 2 2 3 2 2" xfId="15152" xr:uid="{00000000-0005-0000-0000-000020440000}"/>
    <cellStyle name="Output 6 2 2 2 3 2 3" xfId="13075" xr:uid="{00000000-0005-0000-0000-000021440000}"/>
    <cellStyle name="Output 6 2 2 2 3 2 4" xfId="13607" xr:uid="{00000000-0005-0000-0000-000022440000}"/>
    <cellStyle name="Output 6 2 2 2 3 2 5" xfId="14268" xr:uid="{00000000-0005-0000-0000-000023440000}"/>
    <cellStyle name="Output 6 2 2 2 3 2 6" xfId="14072" xr:uid="{00000000-0005-0000-0000-000024440000}"/>
    <cellStyle name="Output 6 2 2 2 3 3" xfId="11596" xr:uid="{00000000-0005-0000-0000-000025440000}"/>
    <cellStyle name="Output 6 2 2 2 3 3 2" xfId="15902" xr:uid="{00000000-0005-0000-0000-000026440000}"/>
    <cellStyle name="Output 6 2 2 2 3 3 3" xfId="16981" xr:uid="{00000000-0005-0000-0000-000027440000}"/>
    <cellStyle name="Output 6 2 2 2 3 3 4" xfId="18005" xr:uid="{00000000-0005-0000-0000-000028440000}"/>
    <cellStyle name="Output 6 2 2 2 3 3 5" xfId="18975" xr:uid="{00000000-0005-0000-0000-000029440000}"/>
    <cellStyle name="Output 6 2 2 2 3 3 6" xfId="19881" xr:uid="{00000000-0005-0000-0000-00002A440000}"/>
    <cellStyle name="Output 6 2 2 2 3 4" xfId="11335" xr:uid="{00000000-0005-0000-0000-00002B440000}"/>
    <cellStyle name="Output 6 2 2 2 3 4 2" xfId="15641" xr:uid="{00000000-0005-0000-0000-00002C440000}"/>
    <cellStyle name="Output 6 2 2 2 3 4 3" xfId="16720" xr:uid="{00000000-0005-0000-0000-00002D440000}"/>
    <cellStyle name="Output 6 2 2 2 3 4 4" xfId="17749" xr:uid="{00000000-0005-0000-0000-00002E440000}"/>
    <cellStyle name="Output 6 2 2 2 3 4 5" xfId="18719" xr:uid="{00000000-0005-0000-0000-00002F440000}"/>
    <cellStyle name="Output 6 2 2 2 3 4 6" xfId="19625" xr:uid="{00000000-0005-0000-0000-000030440000}"/>
    <cellStyle name="Output 6 2 2 2 3 5" xfId="13472" xr:uid="{00000000-0005-0000-0000-000031440000}"/>
    <cellStyle name="Output 6 2 2 2 3 6" xfId="12591" xr:uid="{00000000-0005-0000-0000-000032440000}"/>
    <cellStyle name="Output 6 2 2 2 3 7" xfId="12506" xr:uid="{00000000-0005-0000-0000-000033440000}"/>
    <cellStyle name="Output 6 2 2 2 3 8" xfId="12952" xr:uid="{00000000-0005-0000-0000-000034440000}"/>
    <cellStyle name="Output 6 2 2 2 3 9" xfId="14309" xr:uid="{00000000-0005-0000-0000-000035440000}"/>
    <cellStyle name="Output 6 2 2 2 4" xfId="7813" xr:uid="{00000000-0005-0000-0000-000036440000}"/>
    <cellStyle name="Output 6 2 2 2 4 2" xfId="14464" xr:uid="{00000000-0005-0000-0000-000037440000}"/>
    <cellStyle name="Output 6 2 2 2 4 3" xfId="13433" xr:uid="{00000000-0005-0000-0000-000038440000}"/>
    <cellStyle name="Output 6 2 2 2 4 4" xfId="13225" xr:uid="{00000000-0005-0000-0000-000039440000}"/>
    <cellStyle name="Output 6 2 2 2 4 5" xfId="15055" xr:uid="{00000000-0005-0000-0000-00003A440000}"/>
    <cellStyle name="Output 6 2 2 2 4 6" xfId="12834" xr:uid="{00000000-0005-0000-0000-00003B440000}"/>
    <cellStyle name="Output 6 2 2 2 5" xfId="11396" xr:uid="{00000000-0005-0000-0000-00003C440000}"/>
    <cellStyle name="Output 6 2 2 2 5 2" xfId="15702" xr:uid="{00000000-0005-0000-0000-00003D440000}"/>
    <cellStyle name="Output 6 2 2 2 5 3" xfId="16781" xr:uid="{00000000-0005-0000-0000-00003E440000}"/>
    <cellStyle name="Output 6 2 2 2 5 4" xfId="17810" xr:uid="{00000000-0005-0000-0000-00003F440000}"/>
    <cellStyle name="Output 6 2 2 2 5 5" xfId="18780" xr:uid="{00000000-0005-0000-0000-000040440000}"/>
    <cellStyle name="Output 6 2 2 2 5 6" xfId="19686" xr:uid="{00000000-0005-0000-0000-000041440000}"/>
    <cellStyle name="Output 6 2 2 2 6" xfId="11618" xr:uid="{00000000-0005-0000-0000-000042440000}"/>
    <cellStyle name="Output 6 2 2 2 6 2" xfId="15924" xr:uid="{00000000-0005-0000-0000-000043440000}"/>
    <cellStyle name="Output 6 2 2 2 6 3" xfId="17003" xr:uid="{00000000-0005-0000-0000-000044440000}"/>
    <cellStyle name="Output 6 2 2 2 6 4" xfId="18027" xr:uid="{00000000-0005-0000-0000-000045440000}"/>
    <cellStyle name="Output 6 2 2 2 6 5" xfId="18997" xr:uid="{00000000-0005-0000-0000-000046440000}"/>
    <cellStyle name="Output 6 2 2 2 6 6" xfId="19903" xr:uid="{00000000-0005-0000-0000-000047440000}"/>
    <cellStyle name="Output 6 2 2 2 7" xfId="12767" xr:uid="{00000000-0005-0000-0000-000048440000}"/>
    <cellStyle name="Output 6 2 2 2 8" xfId="13632" xr:uid="{00000000-0005-0000-0000-000049440000}"/>
    <cellStyle name="Output 6 2 2 2 9" xfId="13363" xr:uid="{00000000-0005-0000-0000-00004A440000}"/>
    <cellStyle name="Output 6 2 2 3" xfId="3935" xr:uid="{00000000-0005-0000-0000-00004B440000}"/>
    <cellStyle name="Output 6 2 2 3 2" xfId="9034" xr:uid="{00000000-0005-0000-0000-00004C440000}"/>
    <cellStyle name="Output 6 2 2 3 2 2" xfId="14812" xr:uid="{00000000-0005-0000-0000-00004D440000}"/>
    <cellStyle name="Output 6 2 2 3 2 3" xfId="13942" xr:uid="{00000000-0005-0000-0000-00004E440000}"/>
    <cellStyle name="Output 6 2 2 3 2 4" xfId="12689" xr:uid="{00000000-0005-0000-0000-00004F440000}"/>
    <cellStyle name="Output 6 2 2 3 2 5" xfId="13557" xr:uid="{00000000-0005-0000-0000-000050440000}"/>
    <cellStyle name="Output 6 2 2 3 2 6" xfId="17431" xr:uid="{00000000-0005-0000-0000-000051440000}"/>
    <cellStyle name="Output 6 2 2 3 3" xfId="11502" xr:uid="{00000000-0005-0000-0000-000052440000}"/>
    <cellStyle name="Output 6 2 2 3 3 2" xfId="15808" xr:uid="{00000000-0005-0000-0000-000053440000}"/>
    <cellStyle name="Output 6 2 2 3 3 3" xfId="16887" xr:uid="{00000000-0005-0000-0000-000054440000}"/>
    <cellStyle name="Output 6 2 2 3 3 4" xfId="17913" xr:uid="{00000000-0005-0000-0000-000055440000}"/>
    <cellStyle name="Output 6 2 2 3 3 5" xfId="18883" xr:uid="{00000000-0005-0000-0000-000056440000}"/>
    <cellStyle name="Output 6 2 2 3 3 6" xfId="19789" xr:uid="{00000000-0005-0000-0000-000057440000}"/>
    <cellStyle name="Output 6 2 2 3 4" xfId="7159" xr:uid="{00000000-0005-0000-0000-000058440000}"/>
    <cellStyle name="Output 6 2 2 3 4 2" xfId="14228" xr:uid="{00000000-0005-0000-0000-000059440000}"/>
    <cellStyle name="Output 6 2 2 3 4 3" xfId="12118" xr:uid="{00000000-0005-0000-0000-00005A440000}"/>
    <cellStyle name="Output 6 2 2 3 4 4" xfId="13443" xr:uid="{00000000-0005-0000-0000-00005B440000}"/>
    <cellStyle name="Output 6 2 2 3 4 5" xfId="12531" xr:uid="{00000000-0005-0000-0000-00005C440000}"/>
    <cellStyle name="Output 6 2 2 3 4 6" xfId="12180" xr:uid="{00000000-0005-0000-0000-00005D440000}"/>
    <cellStyle name="Output 6 2 2 3 5" xfId="13124" xr:uid="{00000000-0005-0000-0000-00005E440000}"/>
    <cellStyle name="Output 6 2 2 3 6" xfId="15284" xr:uid="{00000000-0005-0000-0000-00005F440000}"/>
    <cellStyle name="Output 6 2 2 3 7" xfId="16380" xr:uid="{00000000-0005-0000-0000-000060440000}"/>
    <cellStyle name="Output 6 2 2 3 8" xfId="16416" xr:uid="{00000000-0005-0000-0000-000061440000}"/>
    <cellStyle name="Output 6 2 2 3 9" xfId="18430" xr:uid="{00000000-0005-0000-0000-000062440000}"/>
    <cellStyle name="Output 6 2 3" xfId="2659" xr:uid="{00000000-0005-0000-0000-000063440000}"/>
    <cellStyle name="Output 6 2 3 10" xfId="14581" xr:uid="{00000000-0005-0000-0000-000064440000}"/>
    <cellStyle name="Output 6 2 3 2" xfId="6075" xr:uid="{00000000-0005-0000-0000-000065440000}"/>
    <cellStyle name="Output 6 2 3 2 2" xfId="11171" xr:uid="{00000000-0005-0000-0000-000066440000}"/>
    <cellStyle name="Output 6 2 3 2 2 2" xfId="15477" xr:uid="{00000000-0005-0000-0000-000067440000}"/>
    <cellStyle name="Output 6 2 3 2 2 3" xfId="16556" xr:uid="{00000000-0005-0000-0000-000068440000}"/>
    <cellStyle name="Output 6 2 3 2 2 4" xfId="17590" xr:uid="{00000000-0005-0000-0000-000069440000}"/>
    <cellStyle name="Output 6 2 3 2 2 5" xfId="18560" xr:uid="{00000000-0005-0000-0000-00006A440000}"/>
    <cellStyle name="Output 6 2 3 2 2 6" xfId="19466" xr:uid="{00000000-0005-0000-0000-00006B440000}"/>
    <cellStyle name="Output 6 2 3 2 3" xfId="11753" xr:uid="{00000000-0005-0000-0000-00006C440000}"/>
    <cellStyle name="Output 6 2 3 2 3 2" xfId="16059" xr:uid="{00000000-0005-0000-0000-00006D440000}"/>
    <cellStyle name="Output 6 2 3 2 3 3" xfId="17138" xr:uid="{00000000-0005-0000-0000-00006E440000}"/>
    <cellStyle name="Output 6 2 3 2 3 4" xfId="18160" xr:uid="{00000000-0005-0000-0000-00006F440000}"/>
    <cellStyle name="Output 6 2 3 2 3 5" xfId="19130" xr:uid="{00000000-0005-0000-0000-000070440000}"/>
    <cellStyle name="Output 6 2 3 2 3 6" xfId="20036" xr:uid="{00000000-0005-0000-0000-000071440000}"/>
    <cellStyle name="Output 6 2 3 2 4" xfId="11925" xr:uid="{00000000-0005-0000-0000-000072440000}"/>
    <cellStyle name="Output 6 2 3 2 4 2" xfId="16231" xr:uid="{00000000-0005-0000-0000-000073440000}"/>
    <cellStyle name="Output 6 2 3 2 4 3" xfId="17310" xr:uid="{00000000-0005-0000-0000-000074440000}"/>
    <cellStyle name="Output 6 2 3 2 4 4" xfId="18328" xr:uid="{00000000-0005-0000-0000-000075440000}"/>
    <cellStyle name="Output 6 2 3 2 4 5" xfId="19298" xr:uid="{00000000-0005-0000-0000-000076440000}"/>
    <cellStyle name="Output 6 2 3 2 4 6" xfId="20204" xr:uid="{00000000-0005-0000-0000-000077440000}"/>
    <cellStyle name="Output 6 2 3 2 5" xfId="13808" xr:uid="{00000000-0005-0000-0000-000078440000}"/>
    <cellStyle name="Output 6 2 3 2 6" xfId="14556" xr:uid="{00000000-0005-0000-0000-000079440000}"/>
    <cellStyle name="Output 6 2 3 2 7" xfId="12302" xr:uid="{00000000-0005-0000-0000-00007A440000}"/>
    <cellStyle name="Output 6 2 3 2 8" xfId="13938" xr:uid="{00000000-0005-0000-0000-00007B440000}"/>
    <cellStyle name="Output 6 2 3 2 9" xfId="12640" xr:uid="{00000000-0005-0000-0000-00007C440000}"/>
    <cellStyle name="Output 6 2 3 3" xfId="7762" xr:uid="{00000000-0005-0000-0000-00007D440000}"/>
    <cellStyle name="Output 6 2 3 3 2" xfId="14428" xr:uid="{00000000-0005-0000-0000-00007E440000}"/>
    <cellStyle name="Output 6 2 3 3 3" xfId="15066" xr:uid="{00000000-0005-0000-0000-00007F440000}"/>
    <cellStyle name="Output 6 2 3 3 4" xfId="12666" xr:uid="{00000000-0005-0000-0000-000080440000}"/>
    <cellStyle name="Output 6 2 3 3 5" xfId="13639" xr:uid="{00000000-0005-0000-0000-000081440000}"/>
    <cellStyle name="Output 6 2 3 3 6" xfId="15365" xr:uid="{00000000-0005-0000-0000-000082440000}"/>
    <cellStyle name="Output 6 2 3 4" xfId="11361" xr:uid="{00000000-0005-0000-0000-000083440000}"/>
    <cellStyle name="Output 6 2 3 4 2" xfId="15667" xr:uid="{00000000-0005-0000-0000-000084440000}"/>
    <cellStyle name="Output 6 2 3 4 3" xfId="16746" xr:uid="{00000000-0005-0000-0000-000085440000}"/>
    <cellStyle name="Output 6 2 3 4 4" xfId="17775" xr:uid="{00000000-0005-0000-0000-000086440000}"/>
    <cellStyle name="Output 6 2 3 4 5" xfId="18745" xr:uid="{00000000-0005-0000-0000-000087440000}"/>
    <cellStyle name="Output 6 2 3 4 6" xfId="19651" xr:uid="{00000000-0005-0000-0000-000088440000}"/>
    <cellStyle name="Output 6 2 3 5" xfId="11438" xr:uid="{00000000-0005-0000-0000-000089440000}"/>
    <cellStyle name="Output 6 2 3 5 2" xfId="15744" xr:uid="{00000000-0005-0000-0000-00008A440000}"/>
    <cellStyle name="Output 6 2 3 5 3" xfId="16823" xr:uid="{00000000-0005-0000-0000-00008B440000}"/>
    <cellStyle name="Output 6 2 3 5 4" xfId="17851" xr:uid="{00000000-0005-0000-0000-00008C440000}"/>
    <cellStyle name="Output 6 2 3 5 5" xfId="18821" xr:uid="{00000000-0005-0000-0000-00008D440000}"/>
    <cellStyle name="Output 6 2 3 5 6" xfId="19727" xr:uid="{00000000-0005-0000-0000-00008E440000}"/>
    <cellStyle name="Output 6 2 3 6" xfId="12729" xr:uid="{00000000-0005-0000-0000-00008F440000}"/>
    <cellStyle name="Output 6 2 3 7" xfId="12195" xr:uid="{00000000-0005-0000-0000-000090440000}"/>
    <cellStyle name="Output 6 2 3 8" xfId="12553" xr:uid="{00000000-0005-0000-0000-000091440000}"/>
    <cellStyle name="Output 6 2 3 9" xfId="16412" xr:uid="{00000000-0005-0000-0000-000092440000}"/>
    <cellStyle name="Output 6 2 4" xfId="6000" xr:uid="{00000000-0005-0000-0000-000093440000}"/>
    <cellStyle name="Output 6 2 4 2" xfId="11096" xr:uid="{00000000-0005-0000-0000-000094440000}"/>
    <cellStyle name="Output 6 2 4 2 2" xfId="15402" xr:uid="{00000000-0005-0000-0000-000095440000}"/>
    <cellStyle name="Output 6 2 4 2 3" xfId="16481" xr:uid="{00000000-0005-0000-0000-000096440000}"/>
    <cellStyle name="Output 6 2 4 2 4" xfId="17516" xr:uid="{00000000-0005-0000-0000-000097440000}"/>
    <cellStyle name="Output 6 2 4 2 5" xfId="18486" xr:uid="{00000000-0005-0000-0000-000098440000}"/>
    <cellStyle name="Output 6 2 4 2 6" xfId="19392" xr:uid="{00000000-0005-0000-0000-000099440000}"/>
    <cellStyle name="Output 6 2 4 3" xfId="11678" xr:uid="{00000000-0005-0000-0000-00009A440000}"/>
    <cellStyle name="Output 6 2 4 3 2" xfId="15984" xr:uid="{00000000-0005-0000-0000-00009B440000}"/>
    <cellStyle name="Output 6 2 4 3 3" xfId="17063" xr:uid="{00000000-0005-0000-0000-00009C440000}"/>
    <cellStyle name="Output 6 2 4 3 4" xfId="18086" xr:uid="{00000000-0005-0000-0000-00009D440000}"/>
    <cellStyle name="Output 6 2 4 3 5" xfId="19056" xr:uid="{00000000-0005-0000-0000-00009E440000}"/>
    <cellStyle name="Output 6 2 4 3 6" xfId="19962" xr:uid="{00000000-0005-0000-0000-00009F440000}"/>
    <cellStyle name="Output 6 2 4 4" xfId="11850" xr:uid="{00000000-0005-0000-0000-0000A0440000}"/>
    <cellStyle name="Output 6 2 4 4 2" xfId="16156" xr:uid="{00000000-0005-0000-0000-0000A1440000}"/>
    <cellStyle name="Output 6 2 4 4 3" xfId="17235" xr:uid="{00000000-0005-0000-0000-0000A2440000}"/>
    <cellStyle name="Output 6 2 4 4 4" xfId="18254" xr:uid="{00000000-0005-0000-0000-0000A3440000}"/>
    <cellStyle name="Output 6 2 4 4 5" xfId="19224" xr:uid="{00000000-0005-0000-0000-0000A4440000}"/>
    <cellStyle name="Output 6 2 4 4 6" xfId="20130" xr:uid="{00000000-0005-0000-0000-0000A5440000}"/>
    <cellStyle name="Output 6 2 4 5" xfId="13733" xr:uid="{00000000-0005-0000-0000-0000A6440000}"/>
    <cellStyle name="Output 6 2 4 6" xfId="14306" xr:uid="{00000000-0005-0000-0000-0000A7440000}"/>
    <cellStyle name="Output 6 2 4 7" xfId="12088" xr:uid="{00000000-0005-0000-0000-0000A8440000}"/>
    <cellStyle name="Output 6 2 4 8" xfId="13260" xr:uid="{00000000-0005-0000-0000-0000A9440000}"/>
    <cellStyle name="Output 6 2 4 9" xfId="12408" xr:uid="{00000000-0005-0000-0000-0000AA440000}"/>
    <cellStyle name="Output 6 2 5" xfId="6506" xr:uid="{00000000-0005-0000-0000-0000AB440000}"/>
    <cellStyle name="Output 6 2 5 2" xfId="14019" xr:uid="{00000000-0005-0000-0000-0000AC440000}"/>
    <cellStyle name="Output 6 2 5 3" xfId="15208" xr:uid="{00000000-0005-0000-0000-0000AD440000}"/>
    <cellStyle name="Output 6 2 5 4" xfId="16324" xr:uid="{00000000-0005-0000-0000-0000AE440000}"/>
    <cellStyle name="Output 6 2 5 5" xfId="13223" xr:uid="{00000000-0005-0000-0000-0000AF440000}"/>
    <cellStyle name="Output 6 2 5 6" xfId="18404" xr:uid="{00000000-0005-0000-0000-0000B0440000}"/>
    <cellStyle name="Output 6 2 6" xfId="6414" xr:uid="{00000000-0005-0000-0000-0000B1440000}"/>
    <cellStyle name="Output 6 2 6 2" xfId="13975" xr:uid="{00000000-0005-0000-0000-0000B2440000}"/>
    <cellStyle name="Output 6 2 6 3" xfId="12840" xr:uid="{00000000-0005-0000-0000-0000B3440000}"/>
    <cellStyle name="Output 6 2 6 4" xfId="12126" xr:uid="{00000000-0005-0000-0000-0000B4440000}"/>
    <cellStyle name="Output 6 2 6 5" xfId="12931" xr:uid="{00000000-0005-0000-0000-0000B5440000}"/>
    <cellStyle name="Output 6 2 6 6" xfId="13675" xr:uid="{00000000-0005-0000-0000-0000B6440000}"/>
    <cellStyle name="Output 6 2 7" xfId="11641" xr:uid="{00000000-0005-0000-0000-0000B7440000}"/>
    <cellStyle name="Output 6 2 7 2" xfId="15947" xr:uid="{00000000-0005-0000-0000-0000B8440000}"/>
    <cellStyle name="Output 6 2 7 3" xfId="17026" xr:uid="{00000000-0005-0000-0000-0000B9440000}"/>
    <cellStyle name="Output 6 2 7 4" xfId="18050" xr:uid="{00000000-0005-0000-0000-0000BA440000}"/>
    <cellStyle name="Output 6 2 7 5" xfId="19020" xr:uid="{00000000-0005-0000-0000-0000BB440000}"/>
    <cellStyle name="Output 6 2 7 6" xfId="19926" xr:uid="{00000000-0005-0000-0000-0000BC440000}"/>
    <cellStyle name="Output 6 2 8" xfId="12221" xr:uid="{00000000-0005-0000-0000-0000BD440000}"/>
    <cellStyle name="Output 6 2 9" xfId="13328" xr:uid="{00000000-0005-0000-0000-0000BE440000}"/>
    <cellStyle name="Output 7" xfId="462" xr:uid="{00000000-0005-0000-0000-0000BF440000}"/>
    <cellStyle name="Output 7 2" xfId="1030" xr:uid="{00000000-0005-0000-0000-0000C0440000}"/>
    <cellStyle name="Output 7 2 10" xfId="12298" xr:uid="{00000000-0005-0000-0000-0000C1440000}"/>
    <cellStyle name="Output 7 2 11" xfId="14614" xr:uid="{00000000-0005-0000-0000-0000C2440000}"/>
    <cellStyle name="Output 7 2 12" xfId="13041" xr:uid="{00000000-0005-0000-0000-0000C3440000}"/>
    <cellStyle name="Output 7 2 2" xfId="1121" xr:uid="{00000000-0005-0000-0000-0000C4440000}"/>
    <cellStyle name="Output 7 2 2 2" xfId="2711" xr:uid="{00000000-0005-0000-0000-0000C5440000}"/>
    <cellStyle name="Output 7 2 2 2 10" xfId="13251" xr:uid="{00000000-0005-0000-0000-0000C6440000}"/>
    <cellStyle name="Output 7 2 2 2 11" xfId="14400" xr:uid="{00000000-0005-0000-0000-0000C7440000}"/>
    <cellStyle name="Output 7 2 2 2 2" xfId="6111" xr:uid="{00000000-0005-0000-0000-0000C8440000}"/>
    <cellStyle name="Output 7 2 2 2 2 2" xfId="11207" xr:uid="{00000000-0005-0000-0000-0000C9440000}"/>
    <cellStyle name="Output 7 2 2 2 2 2 2" xfId="15513" xr:uid="{00000000-0005-0000-0000-0000CA440000}"/>
    <cellStyle name="Output 7 2 2 2 2 2 3" xfId="16592" xr:uid="{00000000-0005-0000-0000-0000CB440000}"/>
    <cellStyle name="Output 7 2 2 2 2 2 4" xfId="17626" xr:uid="{00000000-0005-0000-0000-0000CC440000}"/>
    <cellStyle name="Output 7 2 2 2 2 2 5" xfId="18596" xr:uid="{00000000-0005-0000-0000-0000CD440000}"/>
    <cellStyle name="Output 7 2 2 2 2 2 6" xfId="19502" xr:uid="{00000000-0005-0000-0000-0000CE440000}"/>
    <cellStyle name="Output 7 2 2 2 2 3" xfId="11789" xr:uid="{00000000-0005-0000-0000-0000CF440000}"/>
    <cellStyle name="Output 7 2 2 2 2 3 2" xfId="16095" xr:uid="{00000000-0005-0000-0000-0000D0440000}"/>
    <cellStyle name="Output 7 2 2 2 2 3 3" xfId="17174" xr:uid="{00000000-0005-0000-0000-0000D1440000}"/>
    <cellStyle name="Output 7 2 2 2 2 3 4" xfId="18196" xr:uid="{00000000-0005-0000-0000-0000D2440000}"/>
    <cellStyle name="Output 7 2 2 2 2 3 5" xfId="19166" xr:uid="{00000000-0005-0000-0000-0000D3440000}"/>
    <cellStyle name="Output 7 2 2 2 2 3 6" xfId="20072" xr:uid="{00000000-0005-0000-0000-0000D4440000}"/>
    <cellStyle name="Output 7 2 2 2 2 4" xfId="11961" xr:uid="{00000000-0005-0000-0000-0000D5440000}"/>
    <cellStyle name="Output 7 2 2 2 2 4 2" xfId="16267" xr:uid="{00000000-0005-0000-0000-0000D6440000}"/>
    <cellStyle name="Output 7 2 2 2 2 4 3" xfId="17346" xr:uid="{00000000-0005-0000-0000-0000D7440000}"/>
    <cellStyle name="Output 7 2 2 2 2 4 4" xfId="18364" xr:uid="{00000000-0005-0000-0000-0000D8440000}"/>
    <cellStyle name="Output 7 2 2 2 2 4 5" xfId="19334" xr:uid="{00000000-0005-0000-0000-0000D9440000}"/>
    <cellStyle name="Output 7 2 2 2 2 4 6" xfId="20240" xr:uid="{00000000-0005-0000-0000-0000DA440000}"/>
    <cellStyle name="Output 7 2 2 2 2 5" xfId="13844" xr:uid="{00000000-0005-0000-0000-0000DB440000}"/>
    <cellStyle name="Output 7 2 2 2 2 6" xfId="14144" xr:uid="{00000000-0005-0000-0000-0000DC440000}"/>
    <cellStyle name="Output 7 2 2 2 2 7" xfId="156" xr:uid="{00000000-0005-0000-0000-0000DD440000}"/>
    <cellStyle name="Output 7 2 2 2 2 8" xfId="17415" xr:uid="{00000000-0005-0000-0000-0000DE440000}"/>
    <cellStyle name="Output 7 2 2 2 2 9" xfId="12429" xr:uid="{00000000-0005-0000-0000-0000DF440000}"/>
    <cellStyle name="Output 7 2 2 2 3" xfId="5119" xr:uid="{00000000-0005-0000-0000-0000E0440000}"/>
    <cellStyle name="Output 7 2 2 2 3 2" xfId="10215" xr:uid="{00000000-0005-0000-0000-0000E1440000}"/>
    <cellStyle name="Output 7 2 2 2 3 2 2" xfId="15153" xr:uid="{00000000-0005-0000-0000-0000E2440000}"/>
    <cellStyle name="Output 7 2 2 2 3 2 3" xfId="14380" xr:uid="{00000000-0005-0000-0000-0000E3440000}"/>
    <cellStyle name="Output 7 2 2 2 3 2 4" xfId="13925" xr:uid="{00000000-0005-0000-0000-0000E4440000}"/>
    <cellStyle name="Output 7 2 2 2 3 2 5" xfId="14848" xr:uid="{00000000-0005-0000-0000-0000E5440000}"/>
    <cellStyle name="Output 7 2 2 2 3 2 6" xfId="16301" xr:uid="{00000000-0005-0000-0000-0000E6440000}"/>
    <cellStyle name="Output 7 2 2 2 3 3" xfId="11597" xr:uid="{00000000-0005-0000-0000-0000E7440000}"/>
    <cellStyle name="Output 7 2 2 2 3 3 2" xfId="15903" xr:uid="{00000000-0005-0000-0000-0000E8440000}"/>
    <cellStyle name="Output 7 2 2 2 3 3 3" xfId="16982" xr:uid="{00000000-0005-0000-0000-0000E9440000}"/>
    <cellStyle name="Output 7 2 2 2 3 3 4" xfId="18006" xr:uid="{00000000-0005-0000-0000-0000EA440000}"/>
    <cellStyle name="Output 7 2 2 2 3 3 5" xfId="18976" xr:uid="{00000000-0005-0000-0000-0000EB440000}"/>
    <cellStyle name="Output 7 2 2 2 3 3 6" xfId="19882" xr:uid="{00000000-0005-0000-0000-0000EC440000}"/>
    <cellStyle name="Output 7 2 2 2 3 4" xfId="6167" xr:uid="{00000000-0005-0000-0000-0000ED440000}"/>
    <cellStyle name="Output 7 2 2 2 3 4 2" xfId="13899" xr:uid="{00000000-0005-0000-0000-0000EE440000}"/>
    <cellStyle name="Output 7 2 2 2 3 4 3" xfId="14136" xr:uid="{00000000-0005-0000-0000-0000EF440000}"/>
    <cellStyle name="Output 7 2 2 2 3 4 4" xfId="13180" xr:uid="{00000000-0005-0000-0000-0000F0440000}"/>
    <cellStyle name="Output 7 2 2 2 3 4 5" xfId="12147" xr:uid="{00000000-0005-0000-0000-0000F1440000}"/>
    <cellStyle name="Output 7 2 2 2 3 4 6" xfId="12959" xr:uid="{00000000-0005-0000-0000-0000F2440000}"/>
    <cellStyle name="Output 7 2 2 2 3 5" xfId="13473" xr:uid="{00000000-0005-0000-0000-0000F3440000}"/>
    <cellStyle name="Output 7 2 2 2 3 6" xfId="14296" xr:uid="{00000000-0005-0000-0000-0000F4440000}"/>
    <cellStyle name="Output 7 2 2 2 3 7" xfId="13378" xr:uid="{00000000-0005-0000-0000-0000F5440000}"/>
    <cellStyle name="Output 7 2 2 2 3 8" xfId="14857" xr:uid="{00000000-0005-0000-0000-0000F6440000}"/>
    <cellStyle name="Output 7 2 2 2 3 9" xfId="12110" xr:uid="{00000000-0005-0000-0000-0000F7440000}"/>
    <cellStyle name="Output 7 2 2 2 4" xfId="7814" xr:uid="{00000000-0005-0000-0000-0000F8440000}"/>
    <cellStyle name="Output 7 2 2 2 4 2" xfId="14465" xr:uid="{00000000-0005-0000-0000-0000F9440000}"/>
    <cellStyle name="Output 7 2 2 2 4 3" xfId="12692" xr:uid="{00000000-0005-0000-0000-0000FA440000}"/>
    <cellStyle name="Output 7 2 2 2 4 4" xfId="12642" xr:uid="{00000000-0005-0000-0000-0000FB440000}"/>
    <cellStyle name="Output 7 2 2 2 4 5" xfId="12050" xr:uid="{00000000-0005-0000-0000-0000FC440000}"/>
    <cellStyle name="Output 7 2 2 2 4 6" xfId="13319" xr:uid="{00000000-0005-0000-0000-0000FD440000}"/>
    <cellStyle name="Output 7 2 2 2 5" xfId="11397" xr:uid="{00000000-0005-0000-0000-0000FE440000}"/>
    <cellStyle name="Output 7 2 2 2 5 2" xfId="15703" xr:uid="{00000000-0005-0000-0000-0000FF440000}"/>
    <cellStyle name="Output 7 2 2 2 5 3" xfId="16782" xr:uid="{00000000-0005-0000-0000-000000450000}"/>
    <cellStyle name="Output 7 2 2 2 5 4" xfId="17811" xr:uid="{00000000-0005-0000-0000-000001450000}"/>
    <cellStyle name="Output 7 2 2 2 5 5" xfId="18781" xr:uid="{00000000-0005-0000-0000-000002450000}"/>
    <cellStyle name="Output 7 2 2 2 5 6" xfId="19687" xr:uid="{00000000-0005-0000-0000-000003450000}"/>
    <cellStyle name="Output 7 2 2 2 6" xfId="11430" xr:uid="{00000000-0005-0000-0000-000004450000}"/>
    <cellStyle name="Output 7 2 2 2 6 2" xfId="15736" xr:uid="{00000000-0005-0000-0000-000005450000}"/>
    <cellStyle name="Output 7 2 2 2 6 3" xfId="16815" xr:uid="{00000000-0005-0000-0000-000006450000}"/>
    <cellStyle name="Output 7 2 2 2 6 4" xfId="17843" xr:uid="{00000000-0005-0000-0000-000007450000}"/>
    <cellStyle name="Output 7 2 2 2 6 5" xfId="18813" xr:uid="{00000000-0005-0000-0000-000008450000}"/>
    <cellStyle name="Output 7 2 2 2 6 6" xfId="19719" xr:uid="{00000000-0005-0000-0000-000009450000}"/>
    <cellStyle name="Output 7 2 2 2 7" xfId="12768" xr:uid="{00000000-0005-0000-0000-00000A450000}"/>
    <cellStyle name="Output 7 2 2 2 8" xfId="12925" xr:uid="{00000000-0005-0000-0000-00000B450000}"/>
    <cellStyle name="Output 7 2 2 2 9" xfId="12034" xr:uid="{00000000-0005-0000-0000-00000C450000}"/>
    <cellStyle name="Output 7 2 2 3" xfId="3936" xr:uid="{00000000-0005-0000-0000-00000D450000}"/>
    <cellStyle name="Output 7 2 2 3 2" xfId="9035" xr:uid="{00000000-0005-0000-0000-00000E450000}"/>
    <cellStyle name="Output 7 2 2 3 2 2" xfId="14813" xr:uid="{00000000-0005-0000-0000-00000F450000}"/>
    <cellStyle name="Output 7 2 2 3 2 3" xfId="14746" xr:uid="{00000000-0005-0000-0000-000010450000}"/>
    <cellStyle name="Output 7 2 2 3 2 4" xfId="12160" xr:uid="{00000000-0005-0000-0000-000011450000}"/>
    <cellStyle name="Output 7 2 2 3 2 5" xfId="13944" xr:uid="{00000000-0005-0000-0000-000012450000}"/>
    <cellStyle name="Output 7 2 2 3 2 6" xfId="16300" xr:uid="{00000000-0005-0000-0000-000013450000}"/>
    <cellStyle name="Output 7 2 2 3 3" xfId="11503" xr:uid="{00000000-0005-0000-0000-000014450000}"/>
    <cellStyle name="Output 7 2 2 3 3 2" xfId="15809" xr:uid="{00000000-0005-0000-0000-000015450000}"/>
    <cellStyle name="Output 7 2 2 3 3 3" xfId="16888" xr:uid="{00000000-0005-0000-0000-000016450000}"/>
    <cellStyle name="Output 7 2 2 3 3 4" xfId="17914" xr:uid="{00000000-0005-0000-0000-000017450000}"/>
    <cellStyle name="Output 7 2 2 3 3 5" xfId="18884" xr:uid="{00000000-0005-0000-0000-000018450000}"/>
    <cellStyle name="Output 7 2 2 3 3 6" xfId="19790" xr:uid="{00000000-0005-0000-0000-000019450000}"/>
    <cellStyle name="Output 7 2 2 3 4" xfId="7160" xr:uid="{00000000-0005-0000-0000-00001A450000}"/>
    <cellStyle name="Output 7 2 2 3 4 2" xfId="14229" xr:uid="{00000000-0005-0000-0000-00001B450000}"/>
    <cellStyle name="Output 7 2 2 3 4 3" xfId="13932" xr:uid="{00000000-0005-0000-0000-00001C450000}"/>
    <cellStyle name="Output 7 2 2 3 4 4" xfId="13536" xr:uid="{00000000-0005-0000-0000-00001D450000}"/>
    <cellStyle name="Output 7 2 2 3 4 5" xfId="13235" xr:uid="{00000000-0005-0000-0000-00001E450000}"/>
    <cellStyle name="Output 7 2 2 3 4 6" xfId="12645" xr:uid="{00000000-0005-0000-0000-00001F450000}"/>
    <cellStyle name="Output 7 2 2 3 5" xfId="13125" xr:uid="{00000000-0005-0000-0000-000020450000}"/>
    <cellStyle name="Output 7 2 2 3 6" xfId="13604" xr:uid="{00000000-0005-0000-0000-000021450000}"/>
    <cellStyle name="Output 7 2 2 3 7" xfId="12022" xr:uid="{00000000-0005-0000-0000-000022450000}"/>
    <cellStyle name="Output 7 2 2 3 8" xfId="15008" xr:uid="{00000000-0005-0000-0000-000023450000}"/>
    <cellStyle name="Output 7 2 2 3 9" xfId="15318" xr:uid="{00000000-0005-0000-0000-000024450000}"/>
    <cellStyle name="Output 7 2 3" xfId="2660" xr:uid="{00000000-0005-0000-0000-000025450000}"/>
    <cellStyle name="Output 7 2 3 10" xfId="14613" xr:uid="{00000000-0005-0000-0000-000026450000}"/>
    <cellStyle name="Output 7 2 3 2" xfId="6076" xr:uid="{00000000-0005-0000-0000-000027450000}"/>
    <cellStyle name="Output 7 2 3 2 2" xfId="11172" xr:uid="{00000000-0005-0000-0000-000028450000}"/>
    <cellStyle name="Output 7 2 3 2 2 2" xfId="15478" xr:uid="{00000000-0005-0000-0000-000029450000}"/>
    <cellStyle name="Output 7 2 3 2 2 3" xfId="16557" xr:uid="{00000000-0005-0000-0000-00002A450000}"/>
    <cellStyle name="Output 7 2 3 2 2 4" xfId="17591" xr:uid="{00000000-0005-0000-0000-00002B450000}"/>
    <cellStyle name="Output 7 2 3 2 2 5" xfId="18561" xr:uid="{00000000-0005-0000-0000-00002C450000}"/>
    <cellStyle name="Output 7 2 3 2 2 6" xfId="19467" xr:uid="{00000000-0005-0000-0000-00002D450000}"/>
    <cellStyle name="Output 7 2 3 2 3" xfId="11754" xr:uid="{00000000-0005-0000-0000-00002E450000}"/>
    <cellStyle name="Output 7 2 3 2 3 2" xfId="16060" xr:uid="{00000000-0005-0000-0000-00002F450000}"/>
    <cellStyle name="Output 7 2 3 2 3 3" xfId="17139" xr:uid="{00000000-0005-0000-0000-000030450000}"/>
    <cellStyle name="Output 7 2 3 2 3 4" xfId="18161" xr:uid="{00000000-0005-0000-0000-000031450000}"/>
    <cellStyle name="Output 7 2 3 2 3 5" xfId="19131" xr:uid="{00000000-0005-0000-0000-000032450000}"/>
    <cellStyle name="Output 7 2 3 2 3 6" xfId="20037" xr:uid="{00000000-0005-0000-0000-000033450000}"/>
    <cellStyle name="Output 7 2 3 2 4" xfId="11926" xr:uid="{00000000-0005-0000-0000-000034450000}"/>
    <cellStyle name="Output 7 2 3 2 4 2" xfId="16232" xr:uid="{00000000-0005-0000-0000-000035450000}"/>
    <cellStyle name="Output 7 2 3 2 4 3" xfId="17311" xr:uid="{00000000-0005-0000-0000-000036450000}"/>
    <cellStyle name="Output 7 2 3 2 4 4" xfId="18329" xr:uid="{00000000-0005-0000-0000-000037450000}"/>
    <cellStyle name="Output 7 2 3 2 4 5" xfId="19299" xr:uid="{00000000-0005-0000-0000-000038450000}"/>
    <cellStyle name="Output 7 2 3 2 4 6" xfId="20205" xr:uid="{00000000-0005-0000-0000-000039450000}"/>
    <cellStyle name="Output 7 2 3 2 5" xfId="13809" xr:uid="{00000000-0005-0000-0000-00003A450000}"/>
    <cellStyle name="Output 7 2 3 2 6" xfId="15233" xr:uid="{00000000-0005-0000-0000-00003B450000}"/>
    <cellStyle name="Output 7 2 3 2 7" xfId="16345" xr:uid="{00000000-0005-0000-0000-00003C450000}"/>
    <cellStyle name="Output 7 2 3 2 8" xfId="15211" xr:uid="{00000000-0005-0000-0000-00003D450000}"/>
    <cellStyle name="Output 7 2 3 2 9" xfId="15355" xr:uid="{00000000-0005-0000-0000-00003E450000}"/>
    <cellStyle name="Output 7 2 3 3" xfId="7763" xr:uid="{00000000-0005-0000-0000-00003F450000}"/>
    <cellStyle name="Output 7 2 3 3 2" xfId="14429" xr:uid="{00000000-0005-0000-0000-000040450000}"/>
    <cellStyle name="Output 7 2 3 3 3" xfId="13394" xr:uid="{00000000-0005-0000-0000-000041450000}"/>
    <cellStyle name="Output 7 2 3 3 4" xfId="14920" xr:uid="{00000000-0005-0000-0000-000042450000}"/>
    <cellStyle name="Output 7 2 3 3 5" xfId="12042" xr:uid="{00000000-0005-0000-0000-000043450000}"/>
    <cellStyle name="Output 7 2 3 3 6" xfId="13620" xr:uid="{00000000-0005-0000-0000-000044450000}"/>
    <cellStyle name="Output 7 2 3 4" xfId="11362" xr:uid="{00000000-0005-0000-0000-000045450000}"/>
    <cellStyle name="Output 7 2 3 4 2" xfId="15668" xr:uid="{00000000-0005-0000-0000-000046450000}"/>
    <cellStyle name="Output 7 2 3 4 3" xfId="16747" xr:uid="{00000000-0005-0000-0000-000047450000}"/>
    <cellStyle name="Output 7 2 3 4 4" xfId="17776" xr:uid="{00000000-0005-0000-0000-000048450000}"/>
    <cellStyle name="Output 7 2 3 4 5" xfId="18746" xr:uid="{00000000-0005-0000-0000-000049450000}"/>
    <cellStyle name="Output 7 2 3 4 6" xfId="19652" xr:uid="{00000000-0005-0000-0000-00004A450000}"/>
    <cellStyle name="Output 7 2 3 5" xfId="11538" xr:uid="{00000000-0005-0000-0000-00004B450000}"/>
    <cellStyle name="Output 7 2 3 5 2" xfId="15844" xr:uid="{00000000-0005-0000-0000-00004C450000}"/>
    <cellStyle name="Output 7 2 3 5 3" xfId="16923" xr:uid="{00000000-0005-0000-0000-00004D450000}"/>
    <cellStyle name="Output 7 2 3 5 4" xfId="17948" xr:uid="{00000000-0005-0000-0000-00004E450000}"/>
    <cellStyle name="Output 7 2 3 5 5" xfId="18918" xr:uid="{00000000-0005-0000-0000-00004F450000}"/>
    <cellStyle name="Output 7 2 3 5 6" xfId="19824" xr:uid="{00000000-0005-0000-0000-000050450000}"/>
    <cellStyle name="Output 7 2 3 6" xfId="12730" xr:uid="{00000000-0005-0000-0000-000051450000}"/>
    <cellStyle name="Output 7 2 3 7" xfId="12486" xr:uid="{00000000-0005-0000-0000-000052450000}"/>
    <cellStyle name="Output 7 2 3 8" xfId="13652" xr:uid="{00000000-0005-0000-0000-000053450000}"/>
    <cellStyle name="Output 7 2 3 9" xfId="15179" xr:uid="{00000000-0005-0000-0000-000054450000}"/>
    <cellStyle name="Output 7 2 4" xfId="6001" xr:uid="{00000000-0005-0000-0000-000055450000}"/>
    <cellStyle name="Output 7 2 4 2" xfId="11097" xr:uid="{00000000-0005-0000-0000-000056450000}"/>
    <cellStyle name="Output 7 2 4 2 2" xfId="15403" xr:uid="{00000000-0005-0000-0000-000057450000}"/>
    <cellStyle name="Output 7 2 4 2 3" xfId="16482" xr:uid="{00000000-0005-0000-0000-000058450000}"/>
    <cellStyle name="Output 7 2 4 2 4" xfId="17517" xr:uid="{00000000-0005-0000-0000-000059450000}"/>
    <cellStyle name="Output 7 2 4 2 5" xfId="18487" xr:uid="{00000000-0005-0000-0000-00005A450000}"/>
    <cellStyle name="Output 7 2 4 2 6" xfId="19393" xr:uid="{00000000-0005-0000-0000-00005B450000}"/>
    <cellStyle name="Output 7 2 4 3" xfId="11679" xr:uid="{00000000-0005-0000-0000-00005C450000}"/>
    <cellStyle name="Output 7 2 4 3 2" xfId="15985" xr:uid="{00000000-0005-0000-0000-00005D450000}"/>
    <cellStyle name="Output 7 2 4 3 3" xfId="17064" xr:uid="{00000000-0005-0000-0000-00005E450000}"/>
    <cellStyle name="Output 7 2 4 3 4" xfId="18087" xr:uid="{00000000-0005-0000-0000-00005F450000}"/>
    <cellStyle name="Output 7 2 4 3 5" xfId="19057" xr:uid="{00000000-0005-0000-0000-000060450000}"/>
    <cellStyle name="Output 7 2 4 3 6" xfId="19963" xr:uid="{00000000-0005-0000-0000-000061450000}"/>
    <cellStyle name="Output 7 2 4 4" xfId="11851" xr:uid="{00000000-0005-0000-0000-000062450000}"/>
    <cellStyle name="Output 7 2 4 4 2" xfId="16157" xr:uid="{00000000-0005-0000-0000-000063450000}"/>
    <cellStyle name="Output 7 2 4 4 3" xfId="17236" xr:uid="{00000000-0005-0000-0000-000064450000}"/>
    <cellStyle name="Output 7 2 4 4 4" xfId="18255" xr:uid="{00000000-0005-0000-0000-000065450000}"/>
    <cellStyle name="Output 7 2 4 4 5" xfId="19225" xr:uid="{00000000-0005-0000-0000-000066450000}"/>
    <cellStyle name="Output 7 2 4 4 6" xfId="20131" xr:uid="{00000000-0005-0000-0000-000067450000}"/>
    <cellStyle name="Output 7 2 4 5" xfId="13734" xr:uid="{00000000-0005-0000-0000-000068450000}"/>
    <cellStyle name="Output 7 2 4 6" xfId="15033" xr:uid="{00000000-0005-0000-0000-000069450000}"/>
    <cellStyle name="Output 7 2 4 7" xfId="12663" xr:uid="{00000000-0005-0000-0000-00006A450000}"/>
    <cellStyle name="Output 7 2 4 8" xfId="13398" xr:uid="{00000000-0005-0000-0000-00006B450000}"/>
    <cellStyle name="Output 7 2 4 9" xfId="16383" xr:uid="{00000000-0005-0000-0000-00006C450000}"/>
    <cellStyle name="Output 7 2 5" xfId="6507" xr:uid="{00000000-0005-0000-0000-00006D450000}"/>
    <cellStyle name="Output 7 2 5 2" xfId="14020" xr:uid="{00000000-0005-0000-0000-00006E450000}"/>
    <cellStyle name="Output 7 2 5 3" xfId="13530" xr:uid="{00000000-0005-0000-0000-00006F450000}"/>
    <cellStyle name="Output 7 2 5 4" xfId="15053" xr:uid="{00000000-0005-0000-0000-000070450000}"/>
    <cellStyle name="Output 7 2 5 5" xfId="14173" xr:uid="{00000000-0005-0000-0000-000071450000}"/>
    <cellStyle name="Output 7 2 5 6" xfId="14991" xr:uid="{00000000-0005-0000-0000-000072450000}"/>
    <cellStyle name="Output 7 2 6" xfId="6154" xr:uid="{00000000-0005-0000-0000-000073450000}"/>
    <cellStyle name="Output 7 2 6 2" xfId="13886" xr:uid="{00000000-0005-0000-0000-000074450000}"/>
    <cellStyle name="Output 7 2 6 3" xfId="14547" xr:uid="{00000000-0005-0000-0000-000075450000}"/>
    <cellStyle name="Output 7 2 6 4" xfId="12134" xr:uid="{00000000-0005-0000-0000-000076450000}"/>
    <cellStyle name="Output 7 2 6 5" xfId="13969" xr:uid="{00000000-0005-0000-0000-000077450000}"/>
    <cellStyle name="Output 7 2 6 6" xfId="168" xr:uid="{00000000-0005-0000-0000-000078450000}"/>
    <cellStyle name="Output 7 2 7" xfId="11451" xr:uid="{00000000-0005-0000-0000-000079450000}"/>
    <cellStyle name="Output 7 2 7 2" xfId="15757" xr:uid="{00000000-0005-0000-0000-00007A450000}"/>
    <cellStyle name="Output 7 2 7 3" xfId="16836" xr:uid="{00000000-0005-0000-0000-00007B450000}"/>
    <cellStyle name="Output 7 2 7 4" xfId="17864" xr:uid="{00000000-0005-0000-0000-00007C450000}"/>
    <cellStyle name="Output 7 2 7 5" xfId="18834" xr:uid="{00000000-0005-0000-0000-00007D450000}"/>
    <cellStyle name="Output 7 2 7 6" xfId="19740" xr:uid="{00000000-0005-0000-0000-00007E450000}"/>
    <cellStyle name="Output 7 2 8" xfId="12222" xr:uid="{00000000-0005-0000-0000-00007F450000}"/>
    <cellStyle name="Output 7 2 9" xfId="14653" xr:uid="{00000000-0005-0000-0000-000080450000}"/>
    <cellStyle name="Output 8" xfId="463" xr:uid="{00000000-0005-0000-0000-000081450000}"/>
    <cellStyle name="Output 8 2" xfId="1031" xr:uid="{00000000-0005-0000-0000-000082450000}"/>
    <cellStyle name="Output 8 2 10" xfId="16425" xr:uid="{00000000-0005-0000-0000-000083450000}"/>
    <cellStyle name="Output 8 2 11" xfId="14831" xr:uid="{00000000-0005-0000-0000-000084450000}"/>
    <cellStyle name="Output 8 2 12" xfId="18442" xr:uid="{00000000-0005-0000-0000-000085450000}"/>
    <cellStyle name="Output 8 2 2" xfId="1122" xr:uid="{00000000-0005-0000-0000-000086450000}"/>
    <cellStyle name="Output 8 2 2 2" xfId="2712" xr:uid="{00000000-0005-0000-0000-000087450000}"/>
    <cellStyle name="Output 8 2 2 2 10" xfId="12268" xr:uid="{00000000-0005-0000-0000-000088450000}"/>
    <cellStyle name="Output 8 2 2 2 11" xfId="12421" xr:uid="{00000000-0005-0000-0000-000089450000}"/>
    <cellStyle name="Output 8 2 2 2 2" xfId="6112" xr:uid="{00000000-0005-0000-0000-00008A450000}"/>
    <cellStyle name="Output 8 2 2 2 2 2" xfId="11208" xr:uid="{00000000-0005-0000-0000-00008B450000}"/>
    <cellStyle name="Output 8 2 2 2 2 2 2" xfId="15514" xr:uid="{00000000-0005-0000-0000-00008C450000}"/>
    <cellStyle name="Output 8 2 2 2 2 2 3" xfId="16593" xr:uid="{00000000-0005-0000-0000-00008D450000}"/>
    <cellStyle name="Output 8 2 2 2 2 2 4" xfId="17627" xr:uid="{00000000-0005-0000-0000-00008E450000}"/>
    <cellStyle name="Output 8 2 2 2 2 2 5" xfId="18597" xr:uid="{00000000-0005-0000-0000-00008F450000}"/>
    <cellStyle name="Output 8 2 2 2 2 2 6" xfId="19503" xr:uid="{00000000-0005-0000-0000-000090450000}"/>
    <cellStyle name="Output 8 2 2 2 2 3" xfId="11790" xr:uid="{00000000-0005-0000-0000-000091450000}"/>
    <cellStyle name="Output 8 2 2 2 2 3 2" xfId="16096" xr:uid="{00000000-0005-0000-0000-000092450000}"/>
    <cellStyle name="Output 8 2 2 2 2 3 3" xfId="17175" xr:uid="{00000000-0005-0000-0000-000093450000}"/>
    <cellStyle name="Output 8 2 2 2 2 3 4" xfId="18197" xr:uid="{00000000-0005-0000-0000-000094450000}"/>
    <cellStyle name="Output 8 2 2 2 2 3 5" xfId="19167" xr:uid="{00000000-0005-0000-0000-000095450000}"/>
    <cellStyle name="Output 8 2 2 2 2 3 6" xfId="20073" xr:uid="{00000000-0005-0000-0000-000096450000}"/>
    <cellStyle name="Output 8 2 2 2 2 4" xfId="11962" xr:uid="{00000000-0005-0000-0000-000097450000}"/>
    <cellStyle name="Output 8 2 2 2 2 4 2" xfId="16268" xr:uid="{00000000-0005-0000-0000-000098450000}"/>
    <cellStyle name="Output 8 2 2 2 2 4 3" xfId="17347" xr:uid="{00000000-0005-0000-0000-000099450000}"/>
    <cellStyle name="Output 8 2 2 2 2 4 4" xfId="18365" xr:uid="{00000000-0005-0000-0000-00009A450000}"/>
    <cellStyle name="Output 8 2 2 2 2 4 5" xfId="19335" xr:uid="{00000000-0005-0000-0000-00009B450000}"/>
    <cellStyle name="Output 8 2 2 2 2 4 6" xfId="20241" xr:uid="{00000000-0005-0000-0000-00009C450000}"/>
    <cellStyle name="Output 8 2 2 2 2 5" xfId="13845" xr:uid="{00000000-0005-0000-0000-00009D450000}"/>
    <cellStyle name="Output 8 2 2 2 2 6" xfId="14897" xr:uid="{00000000-0005-0000-0000-00009E450000}"/>
    <cellStyle name="Output 8 2 2 2 2 7" xfId="14327" xr:uid="{00000000-0005-0000-0000-00009F450000}"/>
    <cellStyle name="Output 8 2 2 2 2 8" xfId="12470" xr:uid="{00000000-0005-0000-0000-0000A0450000}"/>
    <cellStyle name="Output 8 2 2 2 2 9" xfId="13334" xr:uid="{00000000-0005-0000-0000-0000A1450000}"/>
    <cellStyle name="Output 8 2 2 2 3" xfId="5120" xr:uid="{00000000-0005-0000-0000-0000A2450000}"/>
    <cellStyle name="Output 8 2 2 2 3 2" xfId="10216" xr:uid="{00000000-0005-0000-0000-0000A3450000}"/>
    <cellStyle name="Output 8 2 2 2 3 2 2" xfId="15154" xr:uid="{00000000-0005-0000-0000-0000A4450000}"/>
    <cellStyle name="Output 8 2 2 2 3 2 3" xfId="15098" xr:uid="{00000000-0005-0000-0000-0000A5450000}"/>
    <cellStyle name="Output 8 2 2 2 3 2 4" xfId="12278" xr:uid="{00000000-0005-0000-0000-0000A6450000}"/>
    <cellStyle name="Output 8 2 2 2 3 2 5" xfId="15171" xr:uid="{00000000-0005-0000-0000-0000A7450000}"/>
    <cellStyle name="Output 8 2 2 2 3 2 6" xfId="12038" xr:uid="{00000000-0005-0000-0000-0000A8450000}"/>
    <cellStyle name="Output 8 2 2 2 3 3" xfId="11598" xr:uid="{00000000-0005-0000-0000-0000A9450000}"/>
    <cellStyle name="Output 8 2 2 2 3 3 2" xfId="15904" xr:uid="{00000000-0005-0000-0000-0000AA450000}"/>
    <cellStyle name="Output 8 2 2 2 3 3 3" xfId="16983" xr:uid="{00000000-0005-0000-0000-0000AB450000}"/>
    <cellStyle name="Output 8 2 2 2 3 3 4" xfId="18007" xr:uid="{00000000-0005-0000-0000-0000AC450000}"/>
    <cellStyle name="Output 8 2 2 2 3 3 5" xfId="18977" xr:uid="{00000000-0005-0000-0000-0000AD450000}"/>
    <cellStyle name="Output 8 2 2 2 3 3 6" xfId="19883" xr:uid="{00000000-0005-0000-0000-0000AE450000}"/>
    <cellStyle name="Output 8 2 2 2 3 4" xfId="11474" xr:uid="{00000000-0005-0000-0000-0000AF450000}"/>
    <cellStyle name="Output 8 2 2 2 3 4 2" xfId="15780" xr:uid="{00000000-0005-0000-0000-0000B0450000}"/>
    <cellStyle name="Output 8 2 2 2 3 4 3" xfId="16859" xr:uid="{00000000-0005-0000-0000-0000B1450000}"/>
    <cellStyle name="Output 8 2 2 2 3 4 4" xfId="17886" xr:uid="{00000000-0005-0000-0000-0000B2450000}"/>
    <cellStyle name="Output 8 2 2 2 3 4 5" xfId="18856" xr:uid="{00000000-0005-0000-0000-0000B3450000}"/>
    <cellStyle name="Output 8 2 2 2 3 4 6" xfId="19762" xr:uid="{00000000-0005-0000-0000-0000B4450000}"/>
    <cellStyle name="Output 8 2 2 2 3 5" xfId="13474" xr:uid="{00000000-0005-0000-0000-0000B5450000}"/>
    <cellStyle name="Output 8 2 2 2 3 6" xfId="15025" xr:uid="{00000000-0005-0000-0000-0000B6450000}"/>
    <cellStyle name="Output 8 2 2 2 3 7" xfId="14776" xr:uid="{00000000-0005-0000-0000-0000B7450000}"/>
    <cellStyle name="Output 8 2 2 2 3 8" xfId="17480" xr:uid="{00000000-0005-0000-0000-0000B8450000}"/>
    <cellStyle name="Output 8 2 2 2 3 9" xfId="13047" xr:uid="{00000000-0005-0000-0000-0000B9450000}"/>
    <cellStyle name="Output 8 2 2 2 4" xfId="7815" xr:uid="{00000000-0005-0000-0000-0000BA450000}"/>
    <cellStyle name="Output 8 2 2 2 4 2" xfId="14466" xr:uid="{00000000-0005-0000-0000-0000BB450000}"/>
    <cellStyle name="Output 8 2 2 2 4 3" xfId="12150" xr:uid="{00000000-0005-0000-0000-0000BC450000}"/>
    <cellStyle name="Output 8 2 2 2 4 4" xfId="14712" xr:uid="{00000000-0005-0000-0000-0000BD450000}"/>
    <cellStyle name="Output 8 2 2 2 4 5" xfId="16404" xr:uid="{00000000-0005-0000-0000-0000BE450000}"/>
    <cellStyle name="Output 8 2 2 2 4 6" xfId="12061" xr:uid="{00000000-0005-0000-0000-0000BF450000}"/>
    <cellStyle name="Output 8 2 2 2 5" xfId="11398" xr:uid="{00000000-0005-0000-0000-0000C0450000}"/>
    <cellStyle name="Output 8 2 2 2 5 2" xfId="15704" xr:uid="{00000000-0005-0000-0000-0000C1450000}"/>
    <cellStyle name="Output 8 2 2 2 5 3" xfId="16783" xr:uid="{00000000-0005-0000-0000-0000C2450000}"/>
    <cellStyle name="Output 8 2 2 2 5 4" xfId="17812" xr:uid="{00000000-0005-0000-0000-0000C3450000}"/>
    <cellStyle name="Output 8 2 2 2 5 5" xfId="18782" xr:uid="{00000000-0005-0000-0000-0000C4450000}"/>
    <cellStyle name="Output 8 2 2 2 5 6" xfId="19688" xr:uid="{00000000-0005-0000-0000-0000C5450000}"/>
    <cellStyle name="Output 8 2 2 2 6" xfId="11528" xr:uid="{00000000-0005-0000-0000-0000C6450000}"/>
    <cellStyle name="Output 8 2 2 2 6 2" xfId="15834" xr:uid="{00000000-0005-0000-0000-0000C7450000}"/>
    <cellStyle name="Output 8 2 2 2 6 3" xfId="16913" xr:uid="{00000000-0005-0000-0000-0000C8450000}"/>
    <cellStyle name="Output 8 2 2 2 6 4" xfId="17938" xr:uid="{00000000-0005-0000-0000-0000C9450000}"/>
    <cellStyle name="Output 8 2 2 2 6 5" xfId="18908" xr:uid="{00000000-0005-0000-0000-0000CA450000}"/>
    <cellStyle name="Output 8 2 2 2 6 6" xfId="19814" xr:uid="{00000000-0005-0000-0000-0000CB450000}"/>
    <cellStyle name="Output 8 2 2 2 7" xfId="12769" xr:uid="{00000000-0005-0000-0000-0000CC450000}"/>
    <cellStyle name="Output 8 2 2 2 8" xfId="12483" xr:uid="{00000000-0005-0000-0000-0000CD450000}"/>
    <cellStyle name="Output 8 2 2 2 9" xfId="14240" xr:uid="{00000000-0005-0000-0000-0000CE450000}"/>
    <cellStyle name="Output 8 2 2 3" xfId="3937" xr:uid="{00000000-0005-0000-0000-0000CF450000}"/>
    <cellStyle name="Output 8 2 2 3 2" xfId="9036" xr:uid="{00000000-0005-0000-0000-0000D0450000}"/>
    <cellStyle name="Output 8 2 2 3 2 2" xfId="14814" xr:uid="{00000000-0005-0000-0000-0000D1450000}"/>
    <cellStyle name="Output 8 2 2 3 2 3" xfId="13061" xr:uid="{00000000-0005-0000-0000-0000D2450000}"/>
    <cellStyle name="Output 8 2 2 3 2 4" xfId="13262" xr:uid="{00000000-0005-0000-0000-0000D3450000}"/>
    <cellStyle name="Output 8 2 2 3 2 5" xfId="15060" xr:uid="{00000000-0005-0000-0000-0000D4450000}"/>
    <cellStyle name="Output 8 2 2 3 2 6" xfId="12934" xr:uid="{00000000-0005-0000-0000-0000D5450000}"/>
    <cellStyle name="Output 8 2 2 3 3" xfId="11504" xr:uid="{00000000-0005-0000-0000-0000D6450000}"/>
    <cellStyle name="Output 8 2 2 3 3 2" xfId="15810" xr:uid="{00000000-0005-0000-0000-0000D7450000}"/>
    <cellStyle name="Output 8 2 2 3 3 3" xfId="16889" xr:uid="{00000000-0005-0000-0000-0000D8450000}"/>
    <cellStyle name="Output 8 2 2 3 3 4" xfId="17915" xr:uid="{00000000-0005-0000-0000-0000D9450000}"/>
    <cellStyle name="Output 8 2 2 3 3 5" xfId="18885" xr:uid="{00000000-0005-0000-0000-0000DA450000}"/>
    <cellStyle name="Output 8 2 2 3 3 6" xfId="19791" xr:uid="{00000000-0005-0000-0000-0000DB450000}"/>
    <cellStyle name="Output 8 2 2 3 4" xfId="7161" xr:uid="{00000000-0005-0000-0000-0000DC450000}"/>
    <cellStyle name="Output 8 2 2 3 4 2" xfId="14230" xr:uid="{00000000-0005-0000-0000-0000DD450000}"/>
    <cellStyle name="Output 8 2 2 3 4 3" xfId="14727" xr:uid="{00000000-0005-0000-0000-0000DE450000}"/>
    <cellStyle name="Output 8 2 2 3 4 4" xfId="12162" xr:uid="{00000000-0005-0000-0000-0000DF450000}"/>
    <cellStyle name="Output 8 2 2 3 4 5" xfId="13684" xr:uid="{00000000-0005-0000-0000-0000E0450000}"/>
    <cellStyle name="Output 8 2 2 3 4 6" xfId="14205" xr:uid="{00000000-0005-0000-0000-0000E1450000}"/>
    <cellStyle name="Output 8 2 2 3 5" xfId="13126" xr:uid="{00000000-0005-0000-0000-0000E2450000}"/>
    <cellStyle name="Output 8 2 2 3 6" xfId="12902" xr:uid="{00000000-0005-0000-0000-0000E3450000}"/>
    <cellStyle name="Output 8 2 2 3 7" xfId="13278" xr:uid="{00000000-0005-0000-0000-0000E4450000}"/>
    <cellStyle name="Output 8 2 2 3 8" xfId="12922" xr:uid="{00000000-0005-0000-0000-0000E5450000}"/>
    <cellStyle name="Output 8 2 2 3 9" xfId="14608" xr:uid="{00000000-0005-0000-0000-0000E6450000}"/>
    <cellStyle name="Output 8 2 3" xfId="2661" xr:uid="{00000000-0005-0000-0000-0000E7450000}"/>
    <cellStyle name="Output 8 2 3 10" xfId="1143" xr:uid="{00000000-0005-0000-0000-0000E8450000}"/>
    <cellStyle name="Output 8 2 3 2" xfId="6077" xr:uid="{00000000-0005-0000-0000-0000E9450000}"/>
    <cellStyle name="Output 8 2 3 2 2" xfId="11173" xr:uid="{00000000-0005-0000-0000-0000EA450000}"/>
    <cellStyle name="Output 8 2 3 2 2 2" xfId="15479" xr:uid="{00000000-0005-0000-0000-0000EB450000}"/>
    <cellStyle name="Output 8 2 3 2 2 3" xfId="16558" xr:uid="{00000000-0005-0000-0000-0000EC450000}"/>
    <cellStyle name="Output 8 2 3 2 2 4" xfId="17592" xr:uid="{00000000-0005-0000-0000-0000ED450000}"/>
    <cellStyle name="Output 8 2 3 2 2 5" xfId="18562" xr:uid="{00000000-0005-0000-0000-0000EE450000}"/>
    <cellStyle name="Output 8 2 3 2 2 6" xfId="19468" xr:uid="{00000000-0005-0000-0000-0000EF450000}"/>
    <cellStyle name="Output 8 2 3 2 3" xfId="11755" xr:uid="{00000000-0005-0000-0000-0000F0450000}"/>
    <cellStyle name="Output 8 2 3 2 3 2" xfId="16061" xr:uid="{00000000-0005-0000-0000-0000F1450000}"/>
    <cellStyle name="Output 8 2 3 2 3 3" xfId="17140" xr:uid="{00000000-0005-0000-0000-0000F2450000}"/>
    <cellStyle name="Output 8 2 3 2 3 4" xfId="18162" xr:uid="{00000000-0005-0000-0000-0000F3450000}"/>
    <cellStyle name="Output 8 2 3 2 3 5" xfId="19132" xr:uid="{00000000-0005-0000-0000-0000F4450000}"/>
    <cellStyle name="Output 8 2 3 2 3 6" xfId="20038" xr:uid="{00000000-0005-0000-0000-0000F5450000}"/>
    <cellStyle name="Output 8 2 3 2 4" xfId="11927" xr:uid="{00000000-0005-0000-0000-0000F6450000}"/>
    <cellStyle name="Output 8 2 3 2 4 2" xfId="16233" xr:uid="{00000000-0005-0000-0000-0000F7450000}"/>
    <cellStyle name="Output 8 2 3 2 4 3" xfId="17312" xr:uid="{00000000-0005-0000-0000-0000F8450000}"/>
    <cellStyle name="Output 8 2 3 2 4 4" xfId="18330" xr:uid="{00000000-0005-0000-0000-0000F9450000}"/>
    <cellStyle name="Output 8 2 3 2 4 5" xfId="19300" xr:uid="{00000000-0005-0000-0000-0000FA450000}"/>
    <cellStyle name="Output 8 2 3 2 4 6" xfId="20206" xr:uid="{00000000-0005-0000-0000-0000FB450000}"/>
    <cellStyle name="Output 8 2 3 2 5" xfId="13810" xr:uid="{00000000-0005-0000-0000-0000FC450000}"/>
    <cellStyle name="Output 8 2 3 2 6" xfId="13550" xr:uid="{00000000-0005-0000-0000-0000FD450000}"/>
    <cellStyle name="Output 8 2 3 2 7" xfId="12409" xr:uid="{00000000-0005-0000-0000-0000FE450000}"/>
    <cellStyle name="Output 8 2 3 2 8" xfId="13623" xr:uid="{00000000-0005-0000-0000-0000FF450000}"/>
    <cellStyle name="Output 8 2 3 2 9" xfId="16388" xr:uid="{00000000-0005-0000-0000-000000460000}"/>
    <cellStyle name="Output 8 2 3 3" xfId="7764" xr:uid="{00000000-0005-0000-0000-000001460000}"/>
    <cellStyle name="Output 8 2 3 3 2" xfId="14430" xr:uid="{00000000-0005-0000-0000-000002460000}"/>
    <cellStyle name="Output 8 2 3 3 3" xfId="12649" xr:uid="{00000000-0005-0000-0000-000003460000}"/>
    <cellStyle name="Output 8 2 3 3 4" xfId="14623" xr:uid="{00000000-0005-0000-0000-000004460000}"/>
    <cellStyle name="Output 8 2 3 3 5" xfId="12352" xr:uid="{00000000-0005-0000-0000-000005460000}"/>
    <cellStyle name="Output 8 2 3 3 6" xfId="12573" xr:uid="{00000000-0005-0000-0000-000006460000}"/>
    <cellStyle name="Output 8 2 3 4" xfId="11363" xr:uid="{00000000-0005-0000-0000-000007460000}"/>
    <cellStyle name="Output 8 2 3 4 2" xfId="15669" xr:uid="{00000000-0005-0000-0000-000008460000}"/>
    <cellStyle name="Output 8 2 3 4 3" xfId="16748" xr:uid="{00000000-0005-0000-0000-000009460000}"/>
    <cellStyle name="Output 8 2 3 4 4" xfId="17777" xr:uid="{00000000-0005-0000-0000-00000A460000}"/>
    <cellStyle name="Output 8 2 3 4 5" xfId="18747" xr:uid="{00000000-0005-0000-0000-00000B460000}"/>
    <cellStyle name="Output 8 2 3 4 6" xfId="19653" xr:uid="{00000000-0005-0000-0000-00000C460000}"/>
    <cellStyle name="Output 8 2 3 5" xfId="11628" xr:uid="{00000000-0005-0000-0000-00000D460000}"/>
    <cellStyle name="Output 8 2 3 5 2" xfId="15934" xr:uid="{00000000-0005-0000-0000-00000E460000}"/>
    <cellStyle name="Output 8 2 3 5 3" xfId="17013" xr:uid="{00000000-0005-0000-0000-00000F460000}"/>
    <cellStyle name="Output 8 2 3 5 4" xfId="18037" xr:uid="{00000000-0005-0000-0000-000010460000}"/>
    <cellStyle name="Output 8 2 3 5 5" xfId="19007" xr:uid="{00000000-0005-0000-0000-000011460000}"/>
    <cellStyle name="Output 8 2 3 5 6" xfId="19913" xr:uid="{00000000-0005-0000-0000-000012460000}"/>
    <cellStyle name="Output 8 2 3 6" xfId="12731" xr:uid="{00000000-0005-0000-0000-000013460000}"/>
    <cellStyle name="Output 8 2 3 7" xfId="12182" xr:uid="{00000000-0005-0000-0000-000014460000}"/>
    <cellStyle name="Output 8 2 3 8" xfId="15062" xr:uid="{00000000-0005-0000-0000-000015460000}"/>
    <cellStyle name="Output 8 2 3 9" xfId="14917" xr:uid="{00000000-0005-0000-0000-000016460000}"/>
    <cellStyle name="Output 8 2 4" xfId="6002" xr:uid="{00000000-0005-0000-0000-000017460000}"/>
    <cellStyle name="Output 8 2 4 2" xfId="11098" xr:uid="{00000000-0005-0000-0000-000018460000}"/>
    <cellStyle name="Output 8 2 4 2 2" xfId="15404" xr:uid="{00000000-0005-0000-0000-000019460000}"/>
    <cellStyle name="Output 8 2 4 2 3" xfId="16483" xr:uid="{00000000-0005-0000-0000-00001A460000}"/>
    <cellStyle name="Output 8 2 4 2 4" xfId="17518" xr:uid="{00000000-0005-0000-0000-00001B460000}"/>
    <cellStyle name="Output 8 2 4 2 5" xfId="18488" xr:uid="{00000000-0005-0000-0000-00001C460000}"/>
    <cellStyle name="Output 8 2 4 2 6" xfId="19394" xr:uid="{00000000-0005-0000-0000-00001D460000}"/>
    <cellStyle name="Output 8 2 4 3" xfId="11680" xr:uid="{00000000-0005-0000-0000-00001E460000}"/>
    <cellStyle name="Output 8 2 4 3 2" xfId="15986" xr:uid="{00000000-0005-0000-0000-00001F460000}"/>
    <cellStyle name="Output 8 2 4 3 3" xfId="17065" xr:uid="{00000000-0005-0000-0000-000020460000}"/>
    <cellStyle name="Output 8 2 4 3 4" xfId="18088" xr:uid="{00000000-0005-0000-0000-000021460000}"/>
    <cellStyle name="Output 8 2 4 3 5" xfId="19058" xr:uid="{00000000-0005-0000-0000-000022460000}"/>
    <cellStyle name="Output 8 2 4 3 6" xfId="19964" xr:uid="{00000000-0005-0000-0000-000023460000}"/>
    <cellStyle name="Output 8 2 4 4" xfId="11852" xr:uid="{00000000-0005-0000-0000-000024460000}"/>
    <cellStyle name="Output 8 2 4 4 2" xfId="16158" xr:uid="{00000000-0005-0000-0000-000025460000}"/>
    <cellStyle name="Output 8 2 4 4 3" xfId="17237" xr:uid="{00000000-0005-0000-0000-000026460000}"/>
    <cellStyle name="Output 8 2 4 4 4" xfId="18256" xr:uid="{00000000-0005-0000-0000-000027460000}"/>
    <cellStyle name="Output 8 2 4 4 5" xfId="19226" xr:uid="{00000000-0005-0000-0000-000028460000}"/>
    <cellStyle name="Output 8 2 4 4 6" xfId="20132" xr:uid="{00000000-0005-0000-0000-000029460000}"/>
    <cellStyle name="Output 8 2 4 5" xfId="13735" xr:uid="{00000000-0005-0000-0000-00002A460000}"/>
    <cellStyle name="Output 8 2 4 6" xfId="13357" xr:uid="{00000000-0005-0000-0000-00002B460000}"/>
    <cellStyle name="Output 8 2 4 7" xfId="15258" xr:uid="{00000000-0005-0000-0000-00002C460000}"/>
    <cellStyle name="Output 8 2 4 8" xfId="12789" xr:uid="{00000000-0005-0000-0000-00002D460000}"/>
    <cellStyle name="Output 8 2 4 9" xfId="12672" xr:uid="{00000000-0005-0000-0000-00002E460000}"/>
    <cellStyle name="Output 8 2 5" xfId="6508" xr:uid="{00000000-0005-0000-0000-00002F460000}"/>
    <cellStyle name="Output 8 2 5 2" xfId="14021" xr:uid="{00000000-0005-0000-0000-000030460000}"/>
    <cellStyle name="Output 8 2 5 3" xfId="12837" xr:uid="{00000000-0005-0000-0000-000031460000}"/>
    <cellStyle name="Output 8 2 5 4" xfId="12177" xr:uid="{00000000-0005-0000-0000-000032460000}"/>
    <cellStyle name="Output 8 2 5 5" xfId="15042" xr:uid="{00000000-0005-0000-0000-000033460000}"/>
    <cellStyle name="Output 8 2 5 6" xfId="13069" xr:uid="{00000000-0005-0000-0000-000034460000}"/>
    <cellStyle name="Output 8 2 6" xfId="6413" xr:uid="{00000000-0005-0000-0000-000035460000}"/>
    <cellStyle name="Output 8 2 6 2" xfId="13974" xr:uid="{00000000-0005-0000-0000-000036460000}"/>
    <cellStyle name="Output 8 2 6 3" xfId="13534" xr:uid="{00000000-0005-0000-0000-000037460000}"/>
    <cellStyle name="Output 8 2 6 4" xfId="12407" xr:uid="{00000000-0005-0000-0000-000038460000}"/>
    <cellStyle name="Output 8 2 6 5" xfId="15271" xr:uid="{00000000-0005-0000-0000-000039460000}"/>
    <cellStyle name="Output 8 2 6 6" xfId="13280" xr:uid="{00000000-0005-0000-0000-00003A460000}"/>
    <cellStyle name="Output 8 2 7" xfId="11298" xr:uid="{00000000-0005-0000-0000-00003B460000}"/>
    <cellStyle name="Output 8 2 7 2" xfId="15604" xr:uid="{00000000-0005-0000-0000-00003C460000}"/>
    <cellStyle name="Output 8 2 7 3" xfId="16683" xr:uid="{00000000-0005-0000-0000-00003D460000}"/>
    <cellStyle name="Output 8 2 7 4" xfId="17712" xr:uid="{00000000-0005-0000-0000-00003E460000}"/>
    <cellStyle name="Output 8 2 7 5" xfId="18682" xr:uid="{00000000-0005-0000-0000-00003F460000}"/>
    <cellStyle name="Output 8 2 7 6" xfId="19588" xr:uid="{00000000-0005-0000-0000-000040460000}"/>
    <cellStyle name="Output 8 2 8" xfId="12223" xr:uid="{00000000-0005-0000-0000-000041460000}"/>
    <cellStyle name="Output 8 2 9" xfId="15336" xr:uid="{00000000-0005-0000-0000-000042460000}"/>
    <cellStyle name="Output 9" xfId="723" xr:uid="{00000000-0005-0000-0000-000043460000}"/>
    <cellStyle name="Output Report Heading_C_BS5_D_C_YTD_CONSG_ALL_U" xfId="2151" xr:uid="{00000000-0005-0000-0000-000044460000}"/>
    <cellStyle name="Percent" xfId="12" builtinId="5"/>
    <cellStyle name="Percent [2]" xfId="2152" xr:uid="{00000000-0005-0000-0000-000046460000}"/>
    <cellStyle name="Percent 10" xfId="2153" xr:uid="{00000000-0005-0000-0000-000047460000}"/>
    <cellStyle name="Percent 11" xfId="2154" xr:uid="{00000000-0005-0000-0000-000048460000}"/>
    <cellStyle name="Percent 12" xfId="1158" xr:uid="{00000000-0005-0000-0000-000049460000}"/>
    <cellStyle name="Percent 12 2" xfId="2743" xr:uid="{00000000-0005-0000-0000-00004A460000}"/>
    <cellStyle name="Percent 12 2 2" xfId="5145" xr:uid="{00000000-0005-0000-0000-00004B460000}"/>
    <cellStyle name="Percent 12 2 2 2" xfId="10241" xr:uid="{00000000-0005-0000-0000-00004C460000}"/>
    <cellStyle name="Percent 12 2 3" xfId="7846" xr:uid="{00000000-0005-0000-0000-00004D460000}"/>
    <cellStyle name="Percent 12 3" xfId="3953" xr:uid="{00000000-0005-0000-0000-00004E460000}"/>
    <cellStyle name="Percent 12 3 2" xfId="9049" xr:uid="{00000000-0005-0000-0000-00004F460000}"/>
    <cellStyle name="Percent 12 4" xfId="6558" xr:uid="{00000000-0005-0000-0000-000050460000}"/>
    <cellStyle name="Percent 13" xfId="1156" xr:uid="{00000000-0005-0000-0000-000051460000}"/>
    <cellStyle name="Percent 13 2" xfId="2741" xr:uid="{00000000-0005-0000-0000-000052460000}"/>
    <cellStyle name="Percent 13 2 2" xfId="5143" xr:uid="{00000000-0005-0000-0000-000053460000}"/>
    <cellStyle name="Percent 13 2 2 2" xfId="10239" xr:uid="{00000000-0005-0000-0000-000054460000}"/>
    <cellStyle name="Percent 13 2 3" xfId="7844" xr:uid="{00000000-0005-0000-0000-000055460000}"/>
    <cellStyle name="Percent 13 3" xfId="3951" xr:uid="{00000000-0005-0000-0000-000056460000}"/>
    <cellStyle name="Percent 13 3 2" xfId="9047" xr:uid="{00000000-0005-0000-0000-000057460000}"/>
    <cellStyle name="Percent 13 4" xfId="6556" xr:uid="{00000000-0005-0000-0000-000058460000}"/>
    <cellStyle name="Percent 14" xfId="2263" xr:uid="{00000000-0005-0000-0000-000059460000}"/>
    <cellStyle name="Percent 14 2" xfId="3516" xr:uid="{00000000-0005-0000-0000-00005A460000}"/>
    <cellStyle name="Percent 14 2 2" xfId="5911" xr:uid="{00000000-0005-0000-0000-00005B460000}"/>
    <cellStyle name="Percent 14 2 2 2" xfId="11007" xr:uid="{00000000-0005-0000-0000-00005C460000}"/>
    <cellStyle name="Percent 14 2 3" xfId="8619" xr:uid="{00000000-0005-0000-0000-00005D460000}"/>
    <cellStyle name="Percent 14 3" xfId="4722" xr:uid="{00000000-0005-0000-0000-00005E460000}"/>
    <cellStyle name="Percent 14 3 2" xfId="9818" xr:uid="{00000000-0005-0000-0000-00005F460000}"/>
    <cellStyle name="Percent 14 4" xfId="7372" xr:uid="{00000000-0005-0000-0000-000060460000}"/>
    <cellStyle name="Percent 15" xfId="2221" xr:uid="{00000000-0005-0000-0000-000061460000}"/>
    <cellStyle name="Percent 15 2" xfId="3482" xr:uid="{00000000-0005-0000-0000-000062460000}"/>
    <cellStyle name="Percent 15 2 2" xfId="5877" xr:uid="{00000000-0005-0000-0000-000063460000}"/>
    <cellStyle name="Percent 15 2 2 2" xfId="10973" xr:uid="{00000000-0005-0000-0000-000064460000}"/>
    <cellStyle name="Percent 15 2 3" xfId="8585" xr:uid="{00000000-0005-0000-0000-000065460000}"/>
    <cellStyle name="Percent 15 3" xfId="4688" xr:uid="{00000000-0005-0000-0000-000066460000}"/>
    <cellStyle name="Percent 15 3 2" xfId="9784" xr:uid="{00000000-0005-0000-0000-000067460000}"/>
    <cellStyle name="Percent 15 4" xfId="7335" xr:uid="{00000000-0005-0000-0000-000068460000}"/>
    <cellStyle name="Percent 16" xfId="2261" xr:uid="{00000000-0005-0000-0000-000069460000}"/>
    <cellStyle name="Percent 16 2" xfId="3514" xr:uid="{00000000-0005-0000-0000-00006A460000}"/>
    <cellStyle name="Percent 16 2 2" xfId="5909" xr:uid="{00000000-0005-0000-0000-00006B460000}"/>
    <cellStyle name="Percent 16 2 2 2" xfId="11005" xr:uid="{00000000-0005-0000-0000-00006C460000}"/>
    <cellStyle name="Percent 16 2 3" xfId="8617" xr:uid="{00000000-0005-0000-0000-00006D460000}"/>
    <cellStyle name="Percent 16 3" xfId="4720" xr:uid="{00000000-0005-0000-0000-00006E460000}"/>
    <cellStyle name="Percent 16 3 2" xfId="9816" xr:uid="{00000000-0005-0000-0000-00006F460000}"/>
    <cellStyle name="Percent 16 4" xfId="7370" xr:uid="{00000000-0005-0000-0000-000070460000}"/>
    <cellStyle name="Percent 17" xfId="2224" xr:uid="{00000000-0005-0000-0000-000071460000}"/>
    <cellStyle name="Percent 17 2" xfId="3484" xr:uid="{00000000-0005-0000-0000-000072460000}"/>
    <cellStyle name="Percent 17 2 2" xfId="5879" xr:uid="{00000000-0005-0000-0000-000073460000}"/>
    <cellStyle name="Percent 17 2 2 2" xfId="10975" xr:uid="{00000000-0005-0000-0000-000074460000}"/>
    <cellStyle name="Percent 17 2 3" xfId="8587" xr:uid="{00000000-0005-0000-0000-000075460000}"/>
    <cellStyle name="Percent 17 3" xfId="4690" xr:uid="{00000000-0005-0000-0000-000076460000}"/>
    <cellStyle name="Percent 17 3 2" xfId="9786" xr:uid="{00000000-0005-0000-0000-000077460000}"/>
    <cellStyle name="Percent 17 4" xfId="7338" xr:uid="{00000000-0005-0000-0000-000078460000}"/>
    <cellStyle name="Percent 18" xfId="2260" xr:uid="{00000000-0005-0000-0000-000079460000}"/>
    <cellStyle name="Percent 18 2" xfId="3513" xr:uid="{00000000-0005-0000-0000-00007A460000}"/>
    <cellStyle name="Percent 18 2 2" xfId="5908" xr:uid="{00000000-0005-0000-0000-00007B460000}"/>
    <cellStyle name="Percent 18 2 2 2" xfId="11004" xr:uid="{00000000-0005-0000-0000-00007C460000}"/>
    <cellStyle name="Percent 18 2 3" xfId="8616" xr:uid="{00000000-0005-0000-0000-00007D460000}"/>
    <cellStyle name="Percent 18 3" xfId="4719" xr:uid="{00000000-0005-0000-0000-00007E460000}"/>
    <cellStyle name="Percent 18 3 2" xfId="9815" xr:uid="{00000000-0005-0000-0000-00007F460000}"/>
    <cellStyle name="Percent 18 4" xfId="7369" xr:uid="{00000000-0005-0000-0000-000080460000}"/>
    <cellStyle name="Percent 19" xfId="2220" xr:uid="{00000000-0005-0000-0000-000081460000}"/>
    <cellStyle name="Percent 19 2" xfId="3481" xr:uid="{00000000-0005-0000-0000-000082460000}"/>
    <cellStyle name="Percent 19 2 2" xfId="5876" xr:uid="{00000000-0005-0000-0000-000083460000}"/>
    <cellStyle name="Percent 19 2 2 2" xfId="10972" xr:uid="{00000000-0005-0000-0000-000084460000}"/>
    <cellStyle name="Percent 19 2 3" xfId="8584" xr:uid="{00000000-0005-0000-0000-000085460000}"/>
    <cellStyle name="Percent 19 3" xfId="4687" xr:uid="{00000000-0005-0000-0000-000086460000}"/>
    <cellStyle name="Percent 19 3 2" xfId="9783" xr:uid="{00000000-0005-0000-0000-000087460000}"/>
    <cellStyle name="Percent 19 4" xfId="7334" xr:uid="{00000000-0005-0000-0000-000088460000}"/>
    <cellStyle name="Percent 2" xfId="464" xr:uid="{00000000-0005-0000-0000-000089460000}"/>
    <cellStyle name="Percent 2 2" xfId="96" xr:uid="{00000000-0005-0000-0000-00008A460000}"/>
    <cellStyle name="Percent 20" xfId="2252" xr:uid="{00000000-0005-0000-0000-00008B460000}"/>
    <cellStyle name="Percent 20 2" xfId="3505" xr:uid="{00000000-0005-0000-0000-00008C460000}"/>
    <cellStyle name="Percent 20 2 2" xfId="5900" xr:uid="{00000000-0005-0000-0000-00008D460000}"/>
    <cellStyle name="Percent 20 2 2 2" xfId="10996" xr:uid="{00000000-0005-0000-0000-00008E460000}"/>
    <cellStyle name="Percent 20 2 3" xfId="8608" xr:uid="{00000000-0005-0000-0000-00008F460000}"/>
    <cellStyle name="Percent 20 3" xfId="4711" xr:uid="{00000000-0005-0000-0000-000090460000}"/>
    <cellStyle name="Percent 20 3 2" xfId="9807" xr:uid="{00000000-0005-0000-0000-000091460000}"/>
    <cellStyle name="Percent 20 4" xfId="7361" xr:uid="{00000000-0005-0000-0000-000092460000}"/>
    <cellStyle name="Percent 21" xfId="2251" xr:uid="{00000000-0005-0000-0000-000093460000}"/>
    <cellStyle name="Percent 21 2" xfId="3504" xr:uid="{00000000-0005-0000-0000-000094460000}"/>
    <cellStyle name="Percent 21 2 2" xfId="5899" xr:uid="{00000000-0005-0000-0000-000095460000}"/>
    <cellStyle name="Percent 21 2 2 2" xfId="10995" xr:uid="{00000000-0005-0000-0000-000096460000}"/>
    <cellStyle name="Percent 21 2 3" xfId="8607" xr:uid="{00000000-0005-0000-0000-000097460000}"/>
    <cellStyle name="Percent 21 3" xfId="4710" xr:uid="{00000000-0005-0000-0000-000098460000}"/>
    <cellStyle name="Percent 21 3 2" xfId="9806" xr:uid="{00000000-0005-0000-0000-000099460000}"/>
    <cellStyle name="Percent 21 4" xfId="7360" xr:uid="{00000000-0005-0000-0000-00009A460000}"/>
    <cellStyle name="Percent 22" xfId="2250" xr:uid="{00000000-0005-0000-0000-00009B460000}"/>
    <cellStyle name="Percent 22 2" xfId="3503" xr:uid="{00000000-0005-0000-0000-00009C460000}"/>
    <cellStyle name="Percent 22 2 2" xfId="5898" xr:uid="{00000000-0005-0000-0000-00009D460000}"/>
    <cellStyle name="Percent 22 2 2 2" xfId="10994" xr:uid="{00000000-0005-0000-0000-00009E460000}"/>
    <cellStyle name="Percent 22 2 3" xfId="8606" xr:uid="{00000000-0005-0000-0000-00009F460000}"/>
    <cellStyle name="Percent 22 3" xfId="4709" xr:uid="{00000000-0005-0000-0000-0000A0460000}"/>
    <cellStyle name="Percent 22 3 2" xfId="9805" xr:uid="{00000000-0005-0000-0000-0000A1460000}"/>
    <cellStyle name="Percent 22 4" xfId="7359" xr:uid="{00000000-0005-0000-0000-0000A2460000}"/>
    <cellStyle name="Percent 23" xfId="2266" xr:uid="{00000000-0005-0000-0000-0000A3460000}"/>
    <cellStyle name="Percent 23 2" xfId="3519" xr:uid="{00000000-0005-0000-0000-0000A4460000}"/>
    <cellStyle name="Percent 23 2 2" xfId="5914" xr:uid="{00000000-0005-0000-0000-0000A5460000}"/>
    <cellStyle name="Percent 23 2 2 2" xfId="11010" xr:uid="{00000000-0005-0000-0000-0000A6460000}"/>
    <cellStyle name="Percent 23 2 3" xfId="8622" xr:uid="{00000000-0005-0000-0000-0000A7460000}"/>
    <cellStyle name="Percent 23 3" xfId="4725" xr:uid="{00000000-0005-0000-0000-0000A8460000}"/>
    <cellStyle name="Percent 23 3 2" xfId="9821" xr:uid="{00000000-0005-0000-0000-0000A9460000}"/>
    <cellStyle name="Percent 23 4" xfId="7375" xr:uid="{00000000-0005-0000-0000-0000AA460000}"/>
    <cellStyle name="Percent 24" xfId="2246" xr:uid="{00000000-0005-0000-0000-0000AB460000}"/>
    <cellStyle name="Percent 24 2" xfId="3500" xr:uid="{00000000-0005-0000-0000-0000AC460000}"/>
    <cellStyle name="Percent 24 2 2" xfId="5895" xr:uid="{00000000-0005-0000-0000-0000AD460000}"/>
    <cellStyle name="Percent 24 2 2 2" xfId="10991" xr:uid="{00000000-0005-0000-0000-0000AE460000}"/>
    <cellStyle name="Percent 24 2 3" xfId="8603" xr:uid="{00000000-0005-0000-0000-0000AF460000}"/>
    <cellStyle name="Percent 24 3" xfId="4706" xr:uid="{00000000-0005-0000-0000-0000B0460000}"/>
    <cellStyle name="Percent 24 3 2" xfId="9802" xr:uid="{00000000-0005-0000-0000-0000B1460000}"/>
    <cellStyle name="Percent 24 4" xfId="7355" xr:uid="{00000000-0005-0000-0000-0000B2460000}"/>
    <cellStyle name="Percent 25" xfId="2244" xr:uid="{00000000-0005-0000-0000-0000B3460000}"/>
    <cellStyle name="Percent 25 2" xfId="3498" xr:uid="{00000000-0005-0000-0000-0000B4460000}"/>
    <cellStyle name="Percent 25 2 2" xfId="5893" xr:uid="{00000000-0005-0000-0000-0000B5460000}"/>
    <cellStyle name="Percent 25 2 2 2" xfId="10989" xr:uid="{00000000-0005-0000-0000-0000B6460000}"/>
    <cellStyle name="Percent 25 2 3" xfId="8601" xr:uid="{00000000-0005-0000-0000-0000B7460000}"/>
    <cellStyle name="Percent 25 3" xfId="4704" xr:uid="{00000000-0005-0000-0000-0000B8460000}"/>
    <cellStyle name="Percent 25 3 2" xfId="9800" xr:uid="{00000000-0005-0000-0000-0000B9460000}"/>
    <cellStyle name="Percent 25 4" xfId="7353" xr:uid="{00000000-0005-0000-0000-0000BA460000}"/>
    <cellStyle name="Percent 26" xfId="2243" xr:uid="{00000000-0005-0000-0000-0000BB460000}"/>
    <cellStyle name="Percent 26 2" xfId="3497" xr:uid="{00000000-0005-0000-0000-0000BC460000}"/>
    <cellStyle name="Percent 26 2 2" xfId="5892" xr:uid="{00000000-0005-0000-0000-0000BD460000}"/>
    <cellStyle name="Percent 26 2 2 2" xfId="10988" xr:uid="{00000000-0005-0000-0000-0000BE460000}"/>
    <cellStyle name="Percent 26 2 3" xfId="8600" xr:uid="{00000000-0005-0000-0000-0000BF460000}"/>
    <cellStyle name="Percent 26 3" xfId="4703" xr:uid="{00000000-0005-0000-0000-0000C0460000}"/>
    <cellStyle name="Percent 26 3 2" xfId="9799" xr:uid="{00000000-0005-0000-0000-0000C1460000}"/>
    <cellStyle name="Percent 26 4" xfId="7352" xr:uid="{00000000-0005-0000-0000-0000C2460000}"/>
    <cellStyle name="Percent 27" xfId="1157" xr:uid="{00000000-0005-0000-0000-0000C3460000}"/>
    <cellStyle name="Percent 27 2" xfId="2742" xr:uid="{00000000-0005-0000-0000-0000C4460000}"/>
    <cellStyle name="Percent 27 2 2" xfId="5144" xr:uid="{00000000-0005-0000-0000-0000C5460000}"/>
    <cellStyle name="Percent 27 2 2 2" xfId="10240" xr:uid="{00000000-0005-0000-0000-0000C6460000}"/>
    <cellStyle name="Percent 27 2 3" xfId="7845" xr:uid="{00000000-0005-0000-0000-0000C7460000}"/>
    <cellStyle name="Percent 27 3" xfId="3952" xr:uid="{00000000-0005-0000-0000-0000C8460000}"/>
    <cellStyle name="Percent 27 3 2" xfId="9048" xr:uid="{00000000-0005-0000-0000-0000C9460000}"/>
    <cellStyle name="Percent 27 4" xfId="6557" xr:uid="{00000000-0005-0000-0000-0000CA460000}"/>
    <cellStyle name="Percent 28" xfId="2290" xr:uid="{00000000-0005-0000-0000-0000CB460000}"/>
    <cellStyle name="Percent 28 2" xfId="3543" xr:uid="{00000000-0005-0000-0000-0000CC460000}"/>
    <cellStyle name="Percent 28 2 2" xfId="5938" xr:uid="{00000000-0005-0000-0000-0000CD460000}"/>
    <cellStyle name="Percent 28 2 2 2" xfId="11034" xr:uid="{00000000-0005-0000-0000-0000CE460000}"/>
    <cellStyle name="Percent 28 2 3" xfId="8646" xr:uid="{00000000-0005-0000-0000-0000CF460000}"/>
    <cellStyle name="Percent 28 3" xfId="4749" xr:uid="{00000000-0005-0000-0000-0000D0460000}"/>
    <cellStyle name="Percent 28 3 2" xfId="9845" xr:uid="{00000000-0005-0000-0000-0000D1460000}"/>
    <cellStyle name="Percent 28 4" xfId="7399" xr:uid="{00000000-0005-0000-0000-0000D2460000}"/>
    <cellStyle name="Percent 29" xfId="2223" xr:uid="{00000000-0005-0000-0000-0000D3460000}"/>
    <cellStyle name="Percent 29 2" xfId="3483" xr:uid="{00000000-0005-0000-0000-0000D4460000}"/>
    <cellStyle name="Percent 29 2 2" xfId="5878" xr:uid="{00000000-0005-0000-0000-0000D5460000}"/>
    <cellStyle name="Percent 29 2 2 2" xfId="10974" xr:uid="{00000000-0005-0000-0000-0000D6460000}"/>
    <cellStyle name="Percent 29 2 3" xfId="8586" xr:uid="{00000000-0005-0000-0000-0000D7460000}"/>
    <cellStyle name="Percent 29 3" xfId="4689" xr:uid="{00000000-0005-0000-0000-0000D8460000}"/>
    <cellStyle name="Percent 29 3 2" xfId="9785" xr:uid="{00000000-0005-0000-0000-0000D9460000}"/>
    <cellStyle name="Percent 29 4" xfId="7337" xr:uid="{00000000-0005-0000-0000-0000DA460000}"/>
    <cellStyle name="Percent 3" xfId="465" xr:uid="{00000000-0005-0000-0000-0000DB460000}"/>
    <cellStyle name="Percent 30" xfId="2288" xr:uid="{00000000-0005-0000-0000-0000DC460000}"/>
    <cellStyle name="Percent 30 2" xfId="3541" xr:uid="{00000000-0005-0000-0000-0000DD460000}"/>
    <cellStyle name="Percent 30 2 2" xfId="5936" xr:uid="{00000000-0005-0000-0000-0000DE460000}"/>
    <cellStyle name="Percent 30 2 2 2" xfId="11032" xr:uid="{00000000-0005-0000-0000-0000DF460000}"/>
    <cellStyle name="Percent 30 2 3" xfId="8644" xr:uid="{00000000-0005-0000-0000-0000E0460000}"/>
    <cellStyle name="Percent 30 3" xfId="4747" xr:uid="{00000000-0005-0000-0000-0000E1460000}"/>
    <cellStyle name="Percent 30 3 2" xfId="9843" xr:uid="{00000000-0005-0000-0000-0000E2460000}"/>
    <cellStyle name="Percent 30 4" xfId="7397" xr:uid="{00000000-0005-0000-0000-0000E3460000}"/>
    <cellStyle name="Percent 31" xfId="2233" xr:uid="{00000000-0005-0000-0000-0000E4460000}"/>
    <cellStyle name="Percent 31 2" xfId="3493" xr:uid="{00000000-0005-0000-0000-0000E5460000}"/>
    <cellStyle name="Percent 31 2 2" xfId="5888" xr:uid="{00000000-0005-0000-0000-0000E6460000}"/>
    <cellStyle name="Percent 31 2 2 2" xfId="10984" xr:uid="{00000000-0005-0000-0000-0000E7460000}"/>
    <cellStyle name="Percent 31 2 3" xfId="8596" xr:uid="{00000000-0005-0000-0000-0000E8460000}"/>
    <cellStyle name="Percent 31 3" xfId="4699" xr:uid="{00000000-0005-0000-0000-0000E9460000}"/>
    <cellStyle name="Percent 31 3 2" xfId="9795" xr:uid="{00000000-0005-0000-0000-0000EA460000}"/>
    <cellStyle name="Percent 31 4" xfId="7343" xr:uid="{00000000-0005-0000-0000-0000EB460000}"/>
    <cellStyle name="Percent 32" xfId="2289" xr:uid="{00000000-0005-0000-0000-0000EC460000}"/>
    <cellStyle name="Percent 32 2" xfId="3542" xr:uid="{00000000-0005-0000-0000-0000ED460000}"/>
    <cellStyle name="Percent 32 2 2" xfId="5937" xr:uid="{00000000-0005-0000-0000-0000EE460000}"/>
    <cellStyle name="Percent 32 2 2 2" xfId="11033" xr:uid="{00000000-0005-0000-0000-0000EF460000}"/>
    <cellStyle name="Percent 32 2 3" xfId="8645" xr:uid="{00000000-0005-0000-0000-0000F0460000}"/>
    <cellStyle name="Percent 32 3" xfId="4748" xr:uid="{00000000-0005-0000-0000-0000F1460000}"/>
    <cellStyle name="Percent 32 3 2" xfId="9844" xr:uid="{00000000-0005-0000-0000-0000F2460000}"/>
    <cellStyle name="Percent 32 4" xfId="7398" xr:uid="{00000000-0005-0000-0000-0000F3460000}"/>
    <cellStyle name="Percent 33" xfId="2232" xr:uid="{00000000-0005-0000-0000-0000F4460000}"/>
    <cellStyle name="Percent 33 2" xfId="3492" xr:uid="{00000000-0005-0000-0000-0000F5460000}"/>
    <cellStyle name="Percent 33 2 2" xfId="5887" xr:uid="{00000000-0005-0000-0000-0000F6460000}"/>
    <cellStyle name="Percent 33 2 2 2" xfId="10983" xr:uid="{00000000-0005-0000-0000-0000F7460000}"/>
    <cellStyle name="Percent 33 2 3" xfId="8595" xr:uid="{00000000-0005-0000-0000-0000F8460000}"/>
    <cellStyle name="Percent 33 3" xfId="4698" xr:uid="{00000000-0005-0000-0000-0000F9460000}"/>
    <cellStyle name="Percent 33 3 2" xfId="9794" xr:uid="{00000000-0005-0000-0000-0000FA460000}"/>
    <cellStyle name="Percent 33 4" xfId="7342" xr:uid="{00000000-0005-0000-0000-0000FB460000}"/>
    <cellStyle name="Percent 34" xfId="2287" xr:uid="{00000000-0005-0000-0000-0000FC460000}"/>
    <cellStyle name="Percent 34 2" xfId="3540" xr:uid="{00000000-0005-0000-0000-0000FD460000}"/>
    <cellStyle name="Percent 34 2 2" xfId="5935" xr:uid="{00000000-0005-0000-0000-0000FE460000}"/>
    <cellStyle name="Percent 34 2 2 2" xfId="11031" xr:uid="{00000000-0005-0000-0000-0000FF460000}"/>
    <cellStyle name="Percent 34 2 3" xfId="8643" xr:uid="{00000000-0005-0000-0000-000000470000}"/>
    <cellStyle name="Percent 34 3" xfId="4746" xr:uid="{00000000-0005-0000-0000-000001470000}"/>
    <cellStyle name="Percent 34 3 2" xfId="9842" xr:uid="{00000000-0005-0000-0000-000002470000}"/>
    <cellStyle name="Percent 34 4" xfId="7396" xr:uid="{00000000-0005-0000-0000-000003470000}"/>
    <cellStyle name="Percent 35" xfId="2231" xr:uid="{00000000-0005-0000-0000-000004470000}"/>
    <cellStyle name="Percent 35 2" xfId="3491" xr:uid="{00000000-0005-0000-0000-000005470000}"/>
    <cellStyle name="Percent 35 2 2" xfId="5886" xr:uid="{00000000-0005-0000-0000-000006470000}"/>
    <cellStyle name="Percent 35 2 2 2" xfId="10982" xr:uid="{00000000-0005-0000-0000-000007470000}"/>
    <cellStyle name="Percent 35 2 3" xfId="8594" xr:uid="{00000000-0005-0000-0000-000008470000}"/>
    <cellStyle name="Percent 35 3" xfId="4697" xr:uid="{00000000-0005-0000-0000-000009470000}"/>
    <cellStyle name="Percent 35 3 2" xfId="9793" xr:uid="{00000000-0005-0000-0000-00000A470000}"/>
    <cellStyle name="Percent 35 4" xfId="7341" xr:uid="{00000000-0005-0000-0000-00000B470000}"/>
    <cellStyle name="Percent 36" xfId="2286" xr:uid="{00000000-0005-0000-0000-00000C470000}"/>
    <cellStyle name="Percent 36 2" xfId="3539" xr:uid="{00000000-0005-0000-0000-00000D470000}"/>
    <cellStyle name="Percent 36 2 2" xfId="5934" xr:uid="{00000000-0005-0000-0000-00000E470000}"/>
    <cellStyle name="Percent 36 2 2 2" xfId="11030" xr:uid="{00000000-0005-0000-0000-00000F470000}"/>
    <cellStyle name="Percent 36 2 3" xfId="8642" xr:uid="{00000000-0005-0000-0000-000010470000}"/>
    <cellStyle name="Percent 36 3" xfId="4745" xr:uid="{00000000-0005-0000-0000-000011470000}"/>
    <cellStyle name="Percent 36 3 2" xfId="9841" xr:uid="{00000000-0005-0000-0000-000012470000}"/>
    <cellStyle name="Percent 36 4" xfId="7395" xr:uid="{00000000-0005-0000-0000-000013470000}"/>
    <cellStyle name="Percent 37" xfId="2238" xr:uid="{00000000-0005-0000-0000-000014470000}"/>
    <cellStyle name="Percent 37 2" xfId="3495" xr:uid="{00000000-0005-0000-0000-000015470000}"/>
    <cellStyle name="Percent 37 2 2" xfId="5890" xr:uid="{00000000-0005-0000-0000-000016470000}"/>
    <cellStyle name="Percent 37 2 2 2" xfId="10986" xr:uid="{00000000-0005-0000-0000-000017470000}"/>
    <cellStyle name="Percent 37 2 3" xfId="8598" xr:uid="{00000000-0005-0000-0000-000018470000}"/>
    <cellStyle name="Percent 37 3" xfId="4701" xr:uid="{00000000-0005-0000-0000-000019470000}"/>
    <cellStyle name="Percent 37 3 2" xfId="9797" xr:uid="{00000000-0005-0000-0000-00001A470000}"/>
    <cellStyle name="Percent 37 4" xfId="7348" xr:uid="{00000000-0005-0000-0000-00001B470000}"/>
    <cellStyle name="Percent 38" xfId="2285" xr:uid="{00000000-0005-0000-0000-00001C470000}"/>
    <cellStyle name="Percent 38 2" xfId="3538" xr:uid="{00000000-0005-0000-0000-00001D470000}"/>
    <cellStyle name="Percent 38 2 2" xfId="5933" xr:uid="{00000000-0005-0000-0000-00001E470000}"/>
    <cellStyle name="Percent 38 2 2 2" xfId="11029" xr:uid="{00000000-0005-0000-0000-00001F470000}"/>
    <cellStyle name="Percent 38 2 3" xfId="8641" xr:uid="{00000000-0005-0000-0000-000020470000}"/>
    <cellStyle name="Percent 38 3" xfId="4744" xr:uid="{00000000-0005-0000-0000-000021470000}"/>
    <cellStyle name="Percent 38 3 2" xfId="9840" xr:uid="{00000000-0005-0000-0000-000022470000}"/>
    <cellStyle name="Percent 38 4" xfId="7394" xr:uid="{00000000-0005-0000-0000-000023470000}"/>
    <cellStyle name="Percent 39" xfId="2230" xr:uid="{00000000-0005-0000-0000-000024470000}"/>
    <cellStyle name="Percent 39 2" xfId="3490" xr:uid="{00000000-0005-0000-0000-000025470000}"/>
    <cellStyle name="Percent 39 2 2" xfId="5885" xr:uid="{00000000-0005-0000-0000-000026470000}"/>
    <cellStyle name="Percent 39 2 2 2" xfId="10981" xr:uid="{00000000-0005-0000-0000-000027470000}"/>
    <cellStyle name="Percent 39 2 3" xfId="8593" xr:uid="{00000000-0005-0000-0000-000028470000}"/>
    <cellStyle name="Percent 39 3" xfId="4696" xr:uid="{00000000-0005-0000-0000-000029470000}"/>
    <cellStyle name="Percent 39 3 2" xfId="9792" xr:uid="{00000000-0005-0000-0000-00002A470000}"/>
    <cellStyle name="Percent 39 4" xfId="7340" xr:uid="{00000000-0005-0000-0000-00002B470000}"/>
    <cellStyle name="Percent 4" xfId="179" xr:uid="{00000000-0005-0000-0000-00002C470000}"/>
    <cellStyle name="Percent 4 2" xfId="869" xr:uid="{00000000-0005-0000-0000-00002D470000}"/>
    <cellStyle name="Percent 4 2 2" xfId="2157" xr:uid="{00000000-0005-0000-0000-00002E470000}"/>
    <cellStyle name="Percent 4 2 2 2" xfId="2158" xr:uid="{00000000-0005-0000-0000-00002F470000}"/>
    <cellStyle name="Percent 4 2 2 2 2" xfId="2159" xr:uid="{00000000-0005-0000-0000-000030470000}"/>
    <cellStyle name="Percent 4 2 2 2 2 2" xfId="3452" xr:uid="{00000000-0005-0000-0000-000031470000}"/>
    <cellStyle name="Percent 4 2 2 2 2 2 2" xfId="5847" xr:uid="{00000000-0005-0000-0000-000032470000}"/>
    <cellStyle name="Percent 4 2 2 2 2 2 2 2" xfId="10943" xr:uid="{00000000-0005-0000-0000-000033470000}"/>
    <cellStyle name="Percent 4 2 2 2 2 2 3" xfId="8555" xr:uid="{00000000-0005-0000-0000-000034470000}"/>
    <cellStyle name="Percent 4 2 2 2 2 3" xfId="4655" xr:uid="{00000000-0005-0000-0000-000035470000}"/>
    <cellStyle name="Percent 4 2 2 2 2 3 2" xfId="9751" xr:uid="{00000000-0005-0000-0000-000036470000}"/>
    <cellStyle name="Percent 4 2 2 2 2 4" xfId="7304" xr:uid="{00000000-0005-0000-0000-000037470000}"/>
    <cellStyle name="Percent 4 2 2 2 3" xfId="3451" xr:uid="{00000000-0005-0000-0000-000038470000}"/>
    <cellStyle name="Percent 4 2 2 2 3 2" xfId="5846" xr:uid="{00000000-0005-0000-0000-000039470000}"/>
    <cellStyle name="Percent 4 2 2 2 3 2 2" xfId="10942" xr:uid="{00000000-0005-0000-0000-00003A470000}"/>
    <cellStyle name="Percent 4 2 2 2 3 3" xfId="8554" xr:uid="{00000000-0005-0000-0000-00003B470000}"/>
    <cellStyle name="Percent 4 2 2 2 4" xfId="4654" xr:uid="{00000000-0005-0000-0000-00003C470000}"/>
    <cellStyle name="Percent 4 2 2 2 4 2" xfId="9750" xr:uid="{00000000-0005-0000-0000-00003D470000}"/>
    <cellStyle name="Percent 4 2 2 2 5" xfId="7303" xr:uid="{00000000-0005-0000-0000-00003E470000}"/>
    <cellStyle name="Percent 4 2 2 3" xfId="2160" xr:uid="{00000000-0005-0000-0000-00003F470000}"/>
    <cellStyle name="Percent 4 2 2 3 2" xfId="3453" xr:uid="{00000000-0005-0000-0000-000040470000}"/>
    <cellStyle name="Percent 4 2 2 3 2 2" xfId="5848" xr:uid="{00000000-0005-0000-0000-000041470000}"/>
    <cellStyle name="Percent 4 2 2 3 2 2 2" xfId="10944" xr:uid="{00000000-0005-0000-0000-000042470000}"/>
    <cellStyle name="Percent 4 2 2 3 2 3" xfId="8556" xr:uid="{00000000-0005-0000-0000-000043470000}"/>
    <cellStyle name="Percent 4 2 2 3 3" xfId="4656" xr:uid="{00000000-0005-0000-0000-000044470000}"/>
    <cellStyle name="Percent 4 2 2 3 3 2" xfId="9752" xr:uid="{00000000-0005-0000-0000-000045470000}"/>
    <cellStyle name="Percent 4 2 2 3 4" xfId="7305" xr:uid="{00000000-0005-0000-0000-000046470000}"/>
    <cellStyle name="Percent 4 2 2 4" xfId="2161" xr:uid="{00000000-0005-0000-0000-000047470000}"/>
    <cellStyle name="Percent 4 2 2 4 2" xfId="3454" xr:uid="{00000000-0005-0000-0000-000048470000}"/>
    <cellStyle name="Percent 4 2 2 4 2 2" xfId="5849" xr:uid="{00000000-0005-0000-0000-000049470000}"/>
    <cellStyle name="Percent 4 2 2 4 2 2 2" xfId="10945" xr:uid="{00000000-0005-0000-0000-00004A470000}"/>
    <cellStyle name="Percent 4 2 2 4 2 3" xfId="8557" xr:uid="{00000000-0005-0000-0000-00004B470000}"/>
    <cellStyle name="Percent 4 2 2 4 3" xfId="4657" xr:uid="{00000000-0005-0000-0000-00004C470000}"/>
    <cellStyle name="Percent 4 2 2 4 3 2" xfId="9753" xr:uid="{00000000-0005-0000-0000-00004D470000}"/>
    <cellStyle name="Percent 4 2 2 4 4" xfId="7306" xr:uid="{00000000-0005-0000-0000-00004E470000}"/>
    <cellStyle name="Percent 4 2 2 5" xfId="3450" xr:uid="{00000000-0005-0000-0000-00004F470000}"/>
    <cellStyle name="Percent 4 2 2 5 2" xfId="5845" xr:uid="{00000000-0005-0000-0000-000050470000}"/>
    <cellStyle name="Percent 4 2 2 5 2 2" xfId="10941" xr:uid="{00000000-0005-0000-0000-000051470000}"/>
    <cellStyle name="Percent 4 2 2 5 3" xfId="8553" xr:uid="{00000000-0005-0000-0000-000052470000}"/>
    <cellStyle name="Percent 4 2 2 6" xfId="4653" xr:uid="{00000000-0005-0000-0000-000053470000}"/>
    <cellStyle name="Percent 4 2 2 6 2" xfId="9749" xr:uid="{00000000-0005-0000-0000-000054470000}"/>
    <cellStyle name="Percent 4 2 2 7" xfId="7302" xr:uid="{00000000-0005-0000-0000-000055470000}"/>
    <cellStyle name="Percent 4 2 3" xfId="2162" xr:uid="{00000000-0005-0000-0000-000056470000}"/>
    <cellStyle name="Percent 4 2 3 2" xfId="2163" xr:uid="{00000000-0005-0000-0000-000057470000}"/>
    <cellStyle name="Percent 4 2 3 2 2" xfId="3456" xr:uid="{00000000-0005-0000-0000-000058470000}"/>
    <cellStyle name="Percent 4 2 3 2 2 2" xfId="5851" xr:uid="{00000000-0005-0000-0000-000059470000}"/>
    <cellStyle name="Percent 4 2 3 2 2 2 2" xfId="10947" xr:uid="{00000000-0005-0000-0000-00005A470000}"/>
    <cellStyle name="Percent 4 2 3 2 2 3" xfId="8559" xr:uid="{00000000-0005-0000-0000-00005B470000}"/>
    <cellStyle name="Percent 4 2 3 2 3" xfId="4659" xr:uid="{00000000-0005-0000-0000-00005C470000}"/>
    <cellStyle name="Percent 4 2 3 2 3 2" xfId="9755" xr:uid="{00000000-0005-0000-0000-00005D470000}"/>
    <cellStyle name="Percent 4 2 3 2 4" xfId="7308" xr:uid="{00000000-0005-0000-0000-00005E470000}"/>
    <cellStyle name="Percent 4 2 3 3" xfId="3455" xr:uid="{00000000-0005-0000-0000-00005F470000}"/>
    <cellStyle name="Percent 4 2 3 3 2" xfId="5850" xr:uid="{00000000-0005-0000-0000-000060470000}"/>
    <cellStyle name="Percent 4 2 3 3 2 2" xfId="10946" xr:uid="{00000000-0005-0000-0000-000061470000}"/>
    <cellStyle name="Percent 4 2 3 3 3" xfId="8558" xr:uid="{00000000-0005-0000-0000-000062470000}"/>
    <cellStyle name="Percent 4 2 3 4" xfId="4658" xr:uid="{00000000-0005-0000-0000-000063470000}"/>
    <cellStyle name="Percent 4 2 3 4 2" xfId="9754" xr:uid="{00000000-0005-0000-0000-000064470000}"/>
    <cellStyle name="Percent 4 2 3 5" xfId="7307" xr:uid="{00000000-0005-0000-0000-000065470000}"/>
    <cellStyle name="Percent 4 2 4" xfId="2164" xr:uid="{00000000-0005-0000-0000-000066470000}"/>
    <cellStyle name="Percent 4 2 4 2" xfId="3457" xr:uid="{00000000-0005-0000-0000-000067470000}"/>
    <cellStyle name="Percent 4 2 4 2 2" xfId="5852" xr:uid="{00000000-0005-0000-0000-000068470000}"/>
    <cellStyle name="Percent 4 2 4 2 2 2" xfId="10948" xr:uid="{00000000-0005-0000-0000-000069470000}"/>
    <cellStyle name="Percent 4 2 4 2 3" xfId="8560" xr:uid="{00000000-0005-0000-0000-00006A470000}"/>
    <cellStyle name="Percent 4 2 4 3" xfId="4660" xr:uid="{00000000-0005-0000-0000-00006B470000}"/>
    <cellStyle name="Percent 4 2 4 3 2" xfId="9756" xr:uid="{00000000-0005-0000-0000-00006C470000}"/>
    <cellStyle name="Percent 4 2 4 4" xfId="7309" xr:uid="{00000000-0005-0000-0000-00006D470000}"/>
    <cellStyle name="Percent 4 2 5" xfId="2165" xr:uid="{00000000-0005-0000-0000-00006E470000}"/>
    <cellStyle name="Percent 4 2 5 2" xfId="3458" xr:uid="{00000000-0005-0000-0000-00006F470000}"/>
    <cellStyle name="Percent 4 2 5 2 2" xfId="5853" xr:uid="{00000000-0005-0000-0000-000070470000}"/>
    <cellStyle name="Percent 4 2 5 2 2 2" xfId="10949" xr:uid="{00000000-0005-0000-0000-000071470000}"/>
    <cellStyle name="Percent 4 2 5 2 3" xfId="8561" xr:uid="{00000000-0005-0000-0000-000072470000}"/>
    <cellStyle name="Percent 4 2 5 3" xfId="4661" xr:uid="{00000000-0005-0000-0000-000073470000}"/>
    <cellStyle name="Percent 4 2 5 3 2" xfId="9757" xr:uid="{00000000-0005-0000-0000-000074470000}"/>
    <cellStyle name="Percent 4 2 5 4" xfId="7310" xr:uid="{00000000-0005-0000-0000-000075470000}"/>
    <cellStyle name="Percent 4 2 6" xfId="2156" xr:uid="{00000000-0005-0000-0000-000076470000}"/>
    <cellStyle name="Percent 4 2 6 2" xfId="3449" xr:uid="{00000000-0005-0000-0000-000077470000}"/>
    <cellStyle name="Percent 4 2 6 2 2" xfId="5844" xr:uid="{00000000-0005-0000-0000-000078470000}"/>
    <cellStyle name="Percent 4 2 6 2 2 2" xfId="10940" xr:uid="{00000000-0005-0000-0000-000079470000}"/>
    <cellStyle name="Percent 4 2 6 2 3" xfId="8552" xr:uid="{00000000-0005-0000-0000-00007A470000}"/>
    <cellStyle name="Percent 4 2 6 3" xfId="4652" xr:uid="{00000000-0005-0000-0000-00007B470000}"/>
    <cellStyle name="Percent 4 2 6 3 2" xfId="9748" xr:uid="{00000000-0005-0000-0000-00007C470000}"/>
    <cellStyle name="Percent 4 2 6 4" xfId="7301" xr:uid="{00000000-0005-0000-0000-00007D470000}"/>
    <cellStyle name="Percent 4 2 7" xfId="2574" xr:uid="{00000000-0005-0000-0000-00007E470000}"/>
    <cellStyle name="Percent 4 2 7 2" xfId="5018" xr:uid="{00000000-0005-0000-0000-00007F470000}"/>
    <cellStyle name="Percent 4 2 7 2 2" xfId="10114" xr:uid="{00000000-0005-0000-0000-000080470000}"/>
    <cellStyle name="Percent 4 2 7 3" xfId="7677" xr:uid="{00000000-0005-0000-0000-000081470000}"/>
    <cellStyle name="Percent 4 2 8" xfId="3835" xr:uid="{00000000-0005-0000-0000-000082470000}"/>
    <cellStyle name="Percent 4 2 8 2" xfId="8934" xr:uid="{00000000-0005-0000-0000-000083470000}"/>
    <cellStyle name="Percent 4 2 9" xfId="6420" xr:uid="{00000000-0005-0000-0000-000084470000}"/>
    <cellStyle name="Percent 4 3" xfId="1041" xr:uid="{00000000-0005-0000-0000-000085470000}"/>
    <cellStyle name="Percent 4 3 2" xfId="2167" xr:uid="{00000000-0005-0000-0000-000086470000}"/>
    <cellStyle name="Percent 4 3 2 2" xfId="2168" xr:uid="{00000000-0005-0000-0000-000087470000}"/>
    <cellStyle name="Percent 4 3 2 2 2" xfId="3461" xr:uid="{00000000-0005-0000-0000-000088470000}"/>
    <cellStyle name="Percent 4 3 2 2 2 2" xfId="5856" xr:uid="{00000000-0005-0000-0000-000089470000}"/>
    <cellStyle name="Percent 4 3 2 2 2 2 2" xfId="10952" xr:uid="{00000000-0005-0000-0000-00008A470000}"/>
    <cellStyle name="Percent 4 3 2 2 2 3" xfId="8564" xr:uid="{00000000-0005-0000-0000-00008B470000}"/>
    <cellStyle name="Percent 4 3 2 2 3" xfId="4664" xr:uid="{00000000-0005-0000-0000-00008C470000}"/>
    <cellStyle name="Percent 4 3 2 2 3 2" xfId="9760" xr:uid="{00000000-0005-0000-0000-00008D470000}"/>
    <cellStyle name="Percent 4 3 2 2 4" xfId="7313" xr:uid="{00000000-0005-0000-0000-00008E470000}"/>
    <cellStyle name="Percent 4 3 2 3" xfId="3460" xr:uid="{00000000-0005-0000-0000-00008F470000}"/>
    <cellStyle name="Percent 4 3 2 3 2" xfId="5855" xr:uid="{00000000-0005-0000-0000-000090470000}"/>
    <cellStyle name="Percent 4 3 2 3 2 2" xfId="10951" xr:uid="{00000000-0005-0000-0000-000091470000}"/>
    <cellStyle name="Percent 4 3 2 3 3" xfId="8563" xr:uid="{00000000-0005-0000-0000-000092470000}"/>
    <cellStyle name="Percent 4 3 2 4" xfId="4663" xr:uid="{00000000-0005-0000-0000-000093470000}"/>
    <cellStyle name="Percent 4 3 2 4 2" xfId="9759" xr:uid="{00000000-0005-0000-0000-000094470000}"/>
    <cellStyle name="Percent 4 3 2 5" xfId="7312" xr:uid="{00000000-0005-0000-0000-000095470000}"/>
    <cellStyle name="Percent 4 3 3" xfId="2169" xr:uid="{00000000-0005-0000-0000-000096470000}"/>
    <cellStyle name="Percent 4 3 3 2" xfId="3462" xr:uid="{00000000-0005-0000-0000-000097470000}"/>
    <cellStyle name="Percent 4 3 3 2 2" xfId="5857" xr:uid="{00000000-0005-0000-0000-000098470000}"/>
    <cellStyle name="Percent 4 3 3 2 2 2" xfId="10953" xr:uid="{00000000-0005-0000-0000-000099470000}"/>
    <cellStyle name="Percent 4 3 3 2 3" xfId="8565" xr:uid="{00000000-0005-0000-0000-00009A470000}"/>
    <cellStyle name="Percent 4 3 3 3" xfId="4665" xr:uid="{00000000-0005-0000-0000-00009B470000}"/>
    <cellStyle name="Percent 4 3 3 3 2" xfId="9761" xr:uid="{00000000-0005-0000-0000-00009C470000}"/>
    <cellStyle name="Percent 4 3 3 4" xfId="7314" xr:uid="{00000000-0005-0000-0000-00009D470000}"/>
    <cellStyle name="Percent 4 3 4" xfId="2170" xr:uid="{00000000-0005-0000-0000-00009E470000}"/>
    <cellStyle name="Percent 4 3 4 2" xfId="3463" xr:uid="{00000000-0005-0000-0000-00009F470000}"/>
    <cellStyle name="Percent 4 3 4 2 2" xfId="5858" xr:uid="{00000000-0005-0000-0000-0000A0470000}"/>
    <cellStyle name="Percent 4 3 4 2 2 2" xfId="10954" xr:uid="{00000000-0005-0000-0000-0000A1470000}"/>
    <cellStyle name="Percent 4 3 4 2 3" xfId="8566" xr:uid="{00000000-0005-0000-0000-0000A2470000}"/>
    <cellStyle name="Percent 4 3 4 3" xfId="4666" xr:uid="{00000000-0005-0000-0000-0000A3470000}"/>
    <cellStyle name="Percent 4 3 4 3 2" xfId="9762" xr:uid="{00000000-0005-0000-0000-0000A4470000}"/>
    <cellStyle name="Percent 4 3 4 4" xfId="7315" xr:uid="{00000000-0005-0000-0000-0000A5470000}"/>
    <cellStyle name="Percent 4 3 5" xfId="2166" xr:uid="{00000000-0005-0000-0000-0000A6470000}"/>
    <cellStyle name="Percent 4 3 5 2" xfId="3459" xr:uid="{00000000-0005-0000-0000-0000A7470000}"/>
    <cellStyle name="Percent 4 3 5 2 2" xfId="5854" xr:uid="{00000000-0005-0000-0000-0000A8470000}"/>
    <cellStyle name="Percent 4 3 5 2 2 2" xfId="10950" xr:uid="{00000000-0005-0000-0000-0000A9470000}"/>
    <cellStyle name="Percent 4 3 5 2 3" xfId="8562" xr:uid="{00000000-0005-0000-0000-0000AA470000}"/>
    <cellStyle name="Percent 4 3 5 3" xfId="4662" xr:uid="{00000000-0005-0000-0000-0000AB470000}"/>
    <cellStyle name="Percent 4 3 5 3 2" xfId="9758" xr:uid="{00000000-0005-0000-0000-0000AC470000}"/>
    <cellStyle name="Percent 4 3 5 4" xfId="7311" xr:uid="{00000000-0005-0000-0000-0000AD470000}"/>
    <cellStyle name="Percent 4 3 6" xfId="2671" xr:uid="{00000000-0005-0000-0000-0000AE470000}"/>
    <cellStyle name="Percent 4 3 6 2" xfId="5080" xr:uid="{00000000-0005-0000-0000-0000AF470000}"/>
    <cellStyle name="Percent 4 3 6 2 2" xfId="10176" xr:uid="{00000000-0005-0000-0000-0000B0470000}"/>
    <cellStyle name="Percent 4 3 6 3" xfId="7774" xr:uid="{00000000-0005-0000-0000-0000B1470000}"/>
    <cellStyle name="Percent 4 3 7" xfId="3897" xr:uid="{00000000-0005-0000-0000-0000B2470000}"/>
    <cellStyle name="Percent 4 3 7 2" xfId="8996" xr:uid="{00000000-0005-0000-0000-0000B3470000}"/>
    <cellStyle name="Percent 4 3 8" xfId="6518" xr:uid="{00000000-0005-0000-0000-0000B4470000}"/>
    <cellStyle name="Percent 4 4" xfId="2171" xr:uid="{00000000-0005-0000-0000-0000B5470000}"/>
    <cellStyle name="Percent 4 4 2" xfId="2172" xr:uid="{00000000-0005-0000-0000-0000B6470000}"/>
    <cellStyle name="Percent 4 4 2 2" xfId="2173" xr:uid="{00000000-0005-0000-0000-0000B7470000}"/>
    <cellStyle name="Percent 4 4 2 2 2" xfId="3466" xr:uid="{00000000-0005-0000-0000-0000B8470000}"/>
    <cellStyle name="Percent 4 4 2 2 2 2" xfId="5861" xr:uid="{00000000-0005-0000-0000-0000B9470000}"/>
    <cellStyle name="Percent 4 4 2 2 2 2 2" xfId="10957" xr:uid="{00000000-0005-0000-0000-0000BA470000}"/>
    <cellStyle name="Percent 4 4 2 2 2 3" xfId="8569" xr:uid="{00000000-0005-0000-0000-0000BB470000}"/>
    <cellStyle name="Percent 4 4 2 2 3" xfId="4669" xr:uid="{00000000-0005-0000-0000-0000BC470000}"/>
    <cellStyle name="Percent 4 4 2 2 3 2" xfId="9765" xr:uid="{00000000-0005-0000-0000-0000BD470000}"/>
    <cellStyle name="Percent 4 4 2 2 4" xfId="7318" xr:uid="{00000000-0005-0000-0000-0000BE470000}"/>
    <cellStyle name="Percent 4 4 2 3" xfId="3465" xr:uid="{00000000-0005-0000-0000-0000BF470000}"/>
    <cellStyle name="Percent 4 4 2 3 2" xfId="5860" xr:uid="{00000000-0005-0000-0000-0000C0470000}"/>
    <cellStyle name="Percent 4 4 2 3 2 2" xfId="10956" xr:uid="{00000000-0005-0000-0000-0000C1470000}"/>
    <cellStyle name="Percent 4 4 2 3 3" xfId="8568" xr:uid="{00000000-0005-0000-0000-0000C2470000}"/>
    <cellStyle name="Percent 4 4 2 4" xfId="4668" xr:uid="{00000000-0005-0000-0000-0000C3470000}"/>
    <cellStyle name="Percent 4 4 2 4 2" xfId="9764" xr:uid="{00000000-0005-0000-0000-0000C4470000}"/>
    <cellStyle name="Percent 4 4 2 5" xfId="7317" xr:uid="{00000000-0005-0000-0000-0000C5470000}"/>
    <cellStyle name="Percent 4 4 3" xfId="2174" xr:uid="{00000000-0005-0000-0000-0000C6470000}"/>
    <cellStyle name="Percent 4 4 3 2" xfId="3467" xr:uid="{00000000-0005-0000-0000-0000C7470000}"/>
    <cellStyle name="Percent 4 4 3 2 2" xfId="5862" xr:uid="{00000000-0005-0000-0000-0000C8470000}"/>
    <cellStyle name="Percent 4 4 3 2 2 2" xfId="10958" xr:uid="{00000000-0005-0000-0000-0000C9470000}"/>
    <cellStyle name="Percent 4 4 3 2 3" xfId="8570" xr:uid="{00000000-0005-0000-0000-0000CA470000}"/>
    <cellStyle name="Percent 4 4 3 3" xfId="4670" xr:uid="{00000000-0005-0000-0000-0000CB470000}"/>
    <cellStyle name="Percent 4 4 3 3 2" xfId="9766" xr:uid="{00000000-0005-0000-0000-0000CC470000}"/>
    <cellStyle name="Percent 4 4 3 4" xfId="7319" xr:uid="{00000000-0005-0000-0000-0000CD470000}"/>
    <cellStyle name="Percent 4 4 4" xfId="2175" xr:uid="{00000000-0005-0000-0000-0000CE470000}"/>
    <cellStyle name="Percent 4 4 4 2" xfId="3468" xr:uid="{00000000-0005-0000-0000-0000CF470000}"/>
    <cellStyle name="Percent 4 4 4 2 2" xfId="5863" xr:uid="{00000000-0005-0000-0000-0000D0470000}"/>
    <cellStyle name="Percent 4 4 4 2 2 2" xfId="10959" xr:uid="{00000000-0005-0000-0000-0000D1470000}"/>
    <cellStyle name="Percent 4 4 4 2 3" xfId="8571" xr:uid="{00000000-0005-0000-0000-0000D2470000}"/>
    <cellStyle name="Percent 4 4 4 3" xfId="4671" xr:uid="{00000000-0005-0000-0000-0000D3470000}"/>
    <cellStyle name="Percent 4 4 4 3 2" xfId="9767" xr:uid="{00000000-0005-0000-0000-0000D4470000}"/>
    <cellStyle name="Percent 4 4 4 4" xfId="7320" xr:uid="{00000000-0005-0000-0000-0000D5470000}"/>
    <cellStyle name="Percent 4 4 5" xfId="3464" xr:uid="{00000000-0005-0000-0000-0000D6470000}"/>
    <cellStyle name="Percent 4 4 5 2" xfId="5859" xr:uid="{00000000-0005-0000-0000-0000D7470000}"/>
    <cellStyle name="Percent 4 4 5 2 2" xfId="10955" xr:uid="{00000000-0005-0000-0000-0000D8470000}"/>
    <cellStyle name="Percent 4 4 5 3" xfId="8567" xr:uid="{00000000-0005-0000-0000-0000D9470000}"/>
    <cellStyle name="Percent 4 4 6" xfId="4667" xr:uid="{00000000-0005-0000-0000-0000DA470000}"/>
    <cellStyle name="Percent 4 4 6 2" xfId="9763" xr:uid="{00000000-0005-0000-0000-0000DB470000}"/>
    <cellStyle name="Percent 4 4 7" xfId="7316" xr:uid="{00000000-0005-0000-0000-0000DC470000}"/>
    <cellStyle name="Percent 4 5" xfId="2176" xr:uid="{00000000-0005-0000-0000-0000DD470000}"/>
    <cellStyle name="Percent 4 5 2" xfId="2177" xr:uid="{00000000-0005-0000-0000-0000DE470000}"/>
    <cellStyle name="Percent 4 5 2 2" xfId="2178" xr:uid="{00000000-0005-0000-0000-0000DF470000}"/>
    <cellStyle name="Percent 4 5 2 2 2" xfId="3471" xr:uid="{00000000-0005-0000-0000-0000E0470000}"/>
    <cellStyle name="Percent 4 5 2 2 2 2" xfId="5866" xr:uid="{00000000-0005-0000-0000-0000E1470000}"/>
    <cellStyle name="Percent 4 5 2 2 2 2 2" xfId="10962" xr:uid="{00000000-0005-0000-0000-0000E2470000}"/>
    <cellStyle name="Percent 4 5 2 2 2 3" xfId="8574" xr:uid="{00000000-0005-0000-0000-0000E3470000}"/>
    <cellStyle name="Percent 4 5 2 2 3" xfId="4674" xr:uid="{00000000-0005-0000-0000-0000E4470000}"/>
    <cellStyle name="Percent 4 5 2 2 3 2" xfId="9770" xr:uid="{00000000-0005-0000-0000-0000E5470000}"/>
    <cellStyle name="Percent 4 5 2 2 4" xfId="7323" xr:uid="{00000000-0005-0000-0000-0000E6470000}"/>
    <cellStyle name="Percent 4 5 2 3" xfId="3470" xr:uid="{00000000-0005-0000-0000-0000E7470000}"/>
    <cellStyle name="Percent 4 5 2 3 2" xfId="5865" xr:uid="{00000000-0005-0000-0000-0000E8470000}"/>
    <cellStyle name="Percent 4 5 2 3 2 2" xfId="10961" xr:uid="{00000000-0005-0000-0000-0000E9470000}"/>
    <cellStyle name="Percent 4 5 2 3 3" xfId="8573" xr:uid="{00000000-0005-0000-0000-0000EA470000}"/>
    <cellStyle name="Percent 4 5 2 4" xfId="4673" xr:uid="{00000000-0005-0000-0000-0000EB470000}"/>
    <cellStyle name="Percent 4 5 2 4 2" xfId="9769" xr:uid="{00000000-0005-0000-0000-0000EC470000}"/>
    <cellStyle name="Percent 4 5 2 5" xfId="7322" xr:uid="{00000000-0005-0000-0000-0000ED470000}"/>
    <cellStyle name="Percent 4 5 3" xfId="2179" xr:uid="{00000000-0005-0000-0000-0000EE470000}"/>
    <cellStyle name="Percent 4 5 3 2" xfId="3472" xr:uid="{00000000-0005-0000-0000-0000EF470000}"/>
    <cellStyle name="Percent 4 5 3 2 2" xfId="5867" xr:uid="{00000000-0005-0000-0000-0000F0470000}"/>
    <cellStyle name="Percent 4 5 3 2 2 2" xfId="10963" xr:uid="{00000000-0005-0000-0000-0000F1470000}"/>
    <cellStyle name="Percent 4 5 3 2 3" xfId="8575" xr:uid="{00000000-0005-0000-0000-0000F2470000}"/>
    <cellStyle name="Percent 4 5 3 3" xfId="4675" xr:uid="{00000000-0005-0000-0000-0000F3470000}"/>
    <cellStyle name="Percent 4 5 3 3 2" xfId="9771" xr:uid="{00000000-0005-0000-0000-0000F4470000}"/>
    <cellStyle name="Percent 4 5 3 4" xfId="7324" xr:uid="{00000000-0005-0000-0000-0000F5470000}"/>
    <cellStyle name="Percent 4 5 4" xfId="2180" xr:uid="{00000000-0005-0000-0000-0000F6470000}"/>
    <cellStyle name="Percent 4 5 4 2" xfId="3473" xr:uid="{00000000-0005-0000-0000-0000F7470000}"/>
    <cellStyle name="Percent 4 5 4 2 2" xfId="5868" xr:uid="{00000000-0005-0000-0000-0000F8470000}"/>
    <cellStyle name="Percent 4 5 4 2 2 2" xfId="10964" xr:uid="{00000000-0005-0000-0000-0000F9470000}"/>
    <cellStyle name="Percent 4 5 4 2 3" xfId="8576" xr:uid="{00000000-0005-0000-0000-0000FA470000}"/>
    <cellStyle name="Percent 4 5 4 3" xfId="4676" xr:uid="{00000000-0005-0000-0000-0000FB470000}"/>
    <cellStyle name="Percent 4 5 4 3 2" xfId="9772" xr:uid="{00000000-0005-0000-0000-0000FC470000}"/>
    <cellStyle name="Percent 4 5 4 4" xfId="7325" xr:uid="{00000000-0005-0000-0000-0000FD470000}"/>
    <cellStyle name="Percent 4 5 5" xfId="3469" xr:uid="{00000000-0005-0000-0000-0000FE470000}"/>
    <cellStyle name="Percent 4 5 5 2" xfId="5864" xr:uid="{00000000-0005-0000-0000-0000FF470000}"/>
    <cellStyle name="Percent 4 5 5 2 2" xfId="10960" xr:uid="{00000000-0005-0000-0000-000000480000}"/>
    <cellStyle name="Percent 4 5 5 3" xfId="8572" xr:uid="{00000000-0005-0000-0000-000001480000}"/>
    <cellStyle name="Percent 4 5 6" xfId="4672" xr:uid="{00000000-0005-0000-0000-000002480000}"/>
    <cellStyle name="Percent 4 5 6 2" xfId="9768" xr:uid="{00000000-0005-0000-0000-000003480000}"/>
    <cellStyle name="Percent 4 5 7" xfId="7321" xr:uid="{00000000-0005-0000-0000-000004480000}"/>
    <cellStyle name="Percent 4 6" xfId="2181" xr:uid="{00000000-0005-0000-0000-000005480000}"/>
    <cellStyle name="Percent 4 6 2" xfId="2182" xr:uid="{00000000-0005-0000-0000-000006480000}"/>
    <cellStyle name="Percent 4 6 2 2" xfId="3475" xr:uid="{00000000-0005-0000-0000-000007480000}"/>
    <cellStyle name="Percent 4 6 2 2 2" xfId="5870" xr:uid="{00000000-0005-0000-0000-000008480000}"/>
    <cellStyle name="Percent 4 6 2 2 2 2" xfId="10966" xr:uid="{00000000-0005-0000-0000-000009480000}"/>
    <cellStyle name="Percent 4 6 2 2 3" xfId="8578" xr:uid="{00000000-0005-0000-0000-00000A480000}"/>
    <cellStyle name="Percent 4 6 2 3" xfId="4678" xr:uid="{00000000-0005-0000-0000-00000B480000}"/>
    <cellStyle name="Percent 4 6 2 3 2" xfId="9774" xr:uid="{00000000-0005-0000-0000-00000C480000}"/>
    <cellStyle name="Percent 4 6 2 4" xfId="7327" xr:uid="{00000000-0005-0000-0000-00000D480000}"/>
    <cellStyle name="Percent 4 6 3" xfId="3474" xr:uid="{00000000-0005-0000-0000-00000E480000}"/>
    <cellStyle name="Percent 4 6 3 2" xfId="5869" xr:uid="{00000000-0005-0000-0000-00000F480000}"/>
    <cellStyle name="Percent 4 6 3 2 2" xfId="10965" xr:uid="{00000000-0005-0000-0000-000010480000}"/>
    <cellStyle name="Percent 4 6 3 3" xfId="8577" xr:uid="{00000000-0005-0000-0000-000011480000}"/>
    <cellStyle name="Percent 4 6 4" xfId="4677" xr:uid="{00000000-0005-0000-0000-000012480000}"/>
    <cellStyle name="Percent 4 6 4 2" xfId="9773" xr:uid="{00000000-0005-0000-0000-000013480000}"/>
    <cellStyle name="Percent 4 6 5" xfId="7326" xr:uid="{00000000-0005-0000-0000-000014480000}"/>
    <cellStyle name="Percent 4 7" xfId="2183" xr:uid="{00000000-0005-0000-0000-000015480000}"/>
    <cellStyle name="Percent 4 7 2" xfId="3476" xr:uid="{00000000-0005-0000-0000-000016480000}"/>
    <cellStyle name="Percent 4 7 2 2" xfId="5871" xr:uid="{00000000-0005-0000-0000-000017480000}"/>
    <cellStyle name="Percent 4 7 2 2 2" xfId="10967" xr:uid="{00000000-0005-0000-0000-000018480000}"/>
    <cellStyle name="Percent 4 7 2 3" xfId="8579" xr:uid="{00000000-0005-0000-0000-000019480000}"/>
    <cellStyle name="Percent 4 7 3" xfId="4679" xr:uid="{00000000-0005-0000-0000-00001A480000}"/>
    <cellStyle name="Percent 4 7 3 2" xfId="9775" xr:uid="{00000000-0005-0000-0000-00001B480000}"/>
    <cellStyle name="Percent 4 7 4" xfId="7328" xr:uid="{00000000-0005-0000-0000-00001C480000}"/>
    <cellStyle name="Percent 4 8" xfId="2184" xr:uid="{00000000-0005-0000-0000-00001D480000}"/>
    <cellStyle name="Percent 4 8 2" xfId="3477" xr:uid="{00000000-0005-0000-0000-00001E480000}"/>
    <cellStyle name="Percent 4 8 2 2" xfId="5872" xr:uid="{00000000-0005-0000-0000-00001F480000}"/>
    <cellStyle name="Percent 4 8 2 2 2" xfId="10968" xr:uid="{00000000-0005-0000-0000-000020480000}"/>
    <cellStyle name="Percent 4 8 2 3" xfId="8580" xr:uid="{00000000-0005-0000-0000-000021480000}"/>
    <cellStyle name="Percent 4 8 3" xfId="4680" xr:uid="{00000000-0005-0000-0000-000022480000}"/>
    <cellStyle name="Percent 4 8 3 2" xfId="9776" xr:uid="{00000000-0005-0000-0000-000023480000}"/>
    <cellStyle name="Percent 4 8 4" xfId="7329" xr:uid="{00000000-0005-0000-0000-000024480000}"/>
    <cellStyle name="Percent 4 9" xfId="2155" xr:uid="{00000000-0005-0000-0000-000025480000}"/>
    <cellStyle name="Percent 4 9 2" xfId="3448" xr:uid="{00000000-0005-0000-0000-000026480000}"/>
    <cellStyle name="Percent 4 9 2 2" xfId="5843" xr:uid="{00000000-0005-0000-0000-000027480000}"/>
    <cellStyle name="Percent 4 9 2 2 2" xfId="10939" xr:uid="{00000000-0005-0000-0000-000028480000}"/>
    <cellStyle name="Percent 4 9 2 3" xfId="8551" xr:uid="{00000000-0005-0000-0000-000029480000}"/>
    <cellStyle name="Percent 4 9 3" xfId="4651" xr:uid="{00000000-0005-0000-0000-00002A480000}"/>
    <cellStyle name="Percent 4 9 3 2" xfId="9747" xr:uid="{00000000-0005-0000-0000-00002B480000}"/>
    <cellStyle name="Percent 4 9 4" xfId="7300" xr:uid="{00000000-0005-0000-0000-00002C480000}"/>
    <cellStyle name="Percent 40" xfId="2284" xr:uid="{00000000-0005-0000-0000-00002D480000}"/>
    <cellStyle name="Percent 40 2" xfId="3537" xr:uid="{00000000-0005-0000-0000-00002E480000}"/>
    <cellStyle name="Percent 40 2 2" xfId="5932" xr:uid="{00000000-0005-0000-0000-00002F480000}"/>
    <cellStyle name="Percent 40 2 2 2" xfId="11028" xr:uid="{00000000-0005-0000-0000-000030480000}"/>
    <cellStyle name="Percent 40 2 3" xfId="8640" xr:uid="{00000000-0005-0000-0000-000031480000}"/>
    <cellStyle name="Percent 40 3" xfId="4743" xr:uid="{00000000-0005-0000-0000-000032480000}"/>
    <cellStyle name="Percent 40 3 2" xfId="9839" xr:uid="{00000000-0005-0000-0000-000033480000}"/>
    <cellStyle name="Percent 40 4" xfId="7393" xr:uid="{00000000-0005-0000-0000-000034480000}"/>
    <cellStyle name="Percent 41" xfId="2229" xr:uid="{00000000-0005-0000-0000-000035480000}"/>
    <cellStyle name="Percent 41 2" xfId="3489" xr:uid="{00000000-0005-0000-0000-000036480000}"/>
    <cellStyle name="Percent 41 2 2" xfId="5884" xr:uid="{00000000-0005-0000-0000-000037480000}"/>
    <cellStyle name="Percent 41 2 2 2" xfId="10980" xr:uid="{00000000-0005-0000-0000-000038480000}"/>
    <cellStyle name="Percent 41 2 3" xfId="8592" xr:uid="{00000000-0005-0000-0000-000039480000}"/>
    <cellStyle name="Percent 41 3" xfId="4695" xr:uid="{00000000-0005-0000-0000-00003A480000}"/>
    <cellStyle name="Percent 41 3 2" xfId="9791" xr:uid="{00000000-0005-0000-0000-00003B480000}"/>
    <cellStyle name="Percent 41 4" xfId="7339" xr:uid="{00000000-0005-0000-0000-00003C480000}"/>
    <cellStyle name="Percent 42" xfId="2283" xr:uid="{00000000-0005-0000-0000-00003D480000}"/>
    <cellStyle name="Percent 42 2" xfId="3536" xr:uid="{00000000-0005-0000-0000-00003E480000}"/>
    <cellStyle name="Percent 42 2 2" xfId="5931" xr:uid="{00000000-0005-0000-0000-00003F480000}"/>
    <cellStyle name="Percent 42 2 2 2" xfId="11027" xr:uid="{00000000-0005-0000-0000-000040480000}"/>
    <cellStyle name="Percent 42 2 3" xfId="8639" xr:uid="{00000000-0005-0000-0000-000041480000}"/>
    <cellStyle name="Percent 42 3" xfId="4742" xr:uid="{00000000-0005-0000-0000-000042480000}"/>
    <cellStyle name="Percent 42 3 2" xfId="9838" xr:uid="{00000000-0005-0000-0000-000043480000}"/>
    <cellStyle name="Percent 42 4" xfId="7392" xr:uid="{00000000-0005-0000-0000-000044480000}"/>
    <cellStyle name="Percent 43" xfId="2219" xr:uid="{00000000-0005-0000-0000-000045480000}"/>
    <cellStyle name="Percent 43 2" xfId="3480" xr:uid="{00000000-0005-0000-0000-000046480000}"/>
    <cellStyle name="Percent 43 2 2" xfId="5875" xr:uid="{00000000-0005-0000-0000-000047480000}"/>
    <cellStyle name="Percent 43 2 2 2" xfId="10971" xr:uid="{00000000-0005-0000-0000-000048480000}"/>
    <cellStyle name="Percent 43 2 3" xfId="8583" xr:uid="{00000000-0005-0000-0000-000049480000}"/>
    <cellStyle name="Percent 43 3" xfId="4686" xr:uid="{00000000-0005-0000-0000-00004A480000}"/>
    <cellStyle name="Percent 43 3 2" xfId="9782" xr:uid="{00000000-0005-0000-0000-00004B480000}"/>
    <cellStyle name="Percent 43 4" xfId="7333" xr:uid="{00000000-0005-0000-0000-00004C480000}"/>
    <cellStyle name="Percent 44" xfId="2282" xr:uid="{00000000-0005-0000-0000-00004D480000}"/>
    <cellStyle name="Percent 44 2" xfId="3535" xr:uid="{00000000-0005-0000-0000-00004E480000}"/>
    <cellStyle name="Percent 44 2 2" xfId="5930" xr:uid="{00000000-0005-0000-0000-00004F480000}"/>
    <cellStyle name="Percent 44 2 2 2" xfId="11026" xr:uid="{00000000-0005-0000-0000-000050480000}"/>
    <cellStyle name="Percent 44 2 3" xfId="8638" xr:uid="{00000000-0005-0000-0000-000051480000}"/>
    <cellStyle name="Percent 44 3" xfId="4741" xr:uid="{00000000-0005-0000-0000-000052480000}"/>
    <cellStyle name="Percent 44 3 2" xfId="9837" xr:uid="{00000000-0005-0000-0000-000053480000}"/>
    <cellStyle name="Percent 44 4" xfId="7391" xr:uid="{00000000-0005-0000-0000-000054480000}"/>
    <cellStyle name="Percent 45" xfId="2234" xr:uid="{00000000-0005-0000-0000-000055480000}"/>
    <cellStyle name="Percent 45 2" xfId="3494" xr:uid="{00000000-0005-0000-0000-000056480000}"/>
    <cellStyle name="Percent 45 2 2" xfId="5889" xr:uid="{00000000-0005-0000-0000-000057480000}"/>
    <cellStyle name="Percent 45 2 2 2" xfId="10985" xr:uid="{00000000-0005-0000-0000-000058480000}"/>
    <cellStyle name="Percent 45 2 3" xfId="8597" xr:uid="{00000000-0005-0000-0000-000059480000}"/>
    <cellStyle name="Percent 45 3" xfId="4700" xr:uid="{00000000-0005-0000-0000-00005A480000}"/>
    <cellStyle name="Percent 45 3 2" xfId="9796" xr:uid="{00000000-0005-0000-0000-00005B480000}"/>
    <cellStyle name="Percent 45 4" xfId="7344" xr:uid="{00000000-0005-0000-0000-00005C480000}"/>
    <cellStyle name="Percent 46" xfId="3602" xr:uid="{00000000-0005-0000-0000-00005D480000}"/>
    <cellStyle name="Percent 47" xfId="3945" xr:uid="{00000000-0005-0000-0000-00005E480000}"/>
    <cellStyle name="Percent 48" xfId="3586" xr:uid="{00000000-0005-0000-0000-00005F480000}"/>
    <cellStyle name="Percent 48 2" xfId="8689" xr:uid="{00000000-0005-0000-0000-000060480000}"/>
    <cellStyle name="Percent 49" xfId="4683" xr:uid="{00000000-0005-0000-0000-000061480000}"/>
    <cellStyle name="Percent 49 2" xfId="9779" xr:uid="{00000000-0005-0000-0000-000062480000}"/>
    <cellStyle name="Percent 5" xfId="529" xr:uid="{00000000-0005-0000-0000-000063480000}"/>
    <cellStyle name="Percent 5 2" xfId="533" xr:uid="{00000000-0005-0000-0000-000064480000}"/>
    <cellStyle name="Percent 5 2 2" xfId="2343" xr:uid="{00000000-0005-0000-0000-000065480000}"/>
    <cellStyle name="Percent 5 3" xfId="1002" xr:uid="{00000000-0005-0000-0000-000066480000}"/>
    <cellStyle name="Percent 5 4" xfId="2185" xr:uid="{00000000-0005-0000-0000-000067480000}"/>
    <cellStyle name="Percent 50" xfId="20270" xr:uid="{00000000-0005-0000-0000-000068480000}"/>
    <cellStyle name="Percent 6" xfId="531" xr:uid="{00000000-0005-0000-0000-000069480000}"/>
    <cellStyle name="Percent 6 2" xfId="2186" xr:uid="{00000000-0005-0000-0000-00006A480000}"/>
    <cellStyle name="Percent 6 3" xfId="2341" xr:uid="{00000000-0005-0000-0000-00006B480000}"/>
    <cellStyle name="Percent 7" xfId="788" xr:uid="{00000000-0005-0000-0000-00006C480000}"/>
    <cellStyle name="Percent 7 2" xfId="2187" xr:uid="{00000000-0005-0000-0000-00006D480000}"/>
    <cellStyle name="Percent 7 3" xfId="2569" xr:uid="{00000000-0005-0000-0000-00006E480000}"/>
    <cellStyle name="Percent 8" xfId="959" xr:uid="{00000000-0005-0000-0000-00006F480000}"/>
    <cellStyle name="Percent 8 2" xfId="2188" xr:uid="{00000000-0005-0000-0000-000070480000}"/>
    <cellStyle name="Percent 9" xfId="1140" xr:uid="{00000000-0005-0000-0000-000071480000}"/>
    <cellStyle name="Percent 9 2" xfId="2190" xr:uid="{00000000-0005-0000-0000-000072480000}"/>
    <cellStyle name="Percent 9 2 2" xfId="3479" xr:uid="{00000000-0005-0000-0000-000073480000}"/>
    <cellStyle name="Percent 9 2 2 2" xfId="5874" xr:uid="{00000000-0005-0000-0000-000074480000}"/>
    <cellStyle name="Percent 9 2 2 2 2" xfId="10970" xr:uid="{00000000-0005-0000-0000-000075480000}"/>
    <cellStyle name="Percent 9 2 2 3" xfId="8582" xr:uid="{00000000-0005-0000-0000-000076480000}"/>
    <cellStyle name="Percent 9 2 3" xfId="4682" xr:uid="{00000000-0005-0000-0000-000077480000}"/>
    <cellStyle name="Percent 9 2 3 2" xfId="9778" xr:uid="{00000000-0005-0000-0000-000078480000}"/>
    <cellStyle name="Percent 9 2 4" xfId="7331" xr:uid="{00000000-0005-0000-0000-000079480000}"/>
    <cellStyle name="Percent 9 3" xfId="2189" xr:uid="{00000000-0005-0000-0000-00007A480000}"/>
    <cellStyle name="Percent 9 3 2" xfId="3478" xr:uid="{00000000-0005-0000-0000-00007B480000}"/>
    <cellStyle name="Percent 9 3 2 2" xfId="5873" xr:uid="{00000000-0005-0000-0000-00007C480000}"/>
    <cellStyle name="Percent 9 3 2 2 2" xfId="10969" xr:uid="{00000000-0005-0000-0000-00007D480000}"/>
    <cellStyle name="Percent 9 3 2 3" xfId="8581" xr:uid="{00000000-0005-0000-0000-00007E480000}"/>
    <cellStyle name="Percent 9 3 3" xfId="4681" xr:uid="{00000000-0005-0000-0000-00007F480000}"/>
    <cellStyle name="Percent 9 3 3 2" xfId="9777" xr:uid="{00000000-0005-0000-0000-000080480000}"/>
    <cellStyle name="Percent 9 3 4" xfId="7330" xr:uid="{00000000-0005-0000-0000-000081480000}"/>
    <cellStyle name="Phase" xfId="2191" xr:uid="{00000000-0005-0000-0000-000082480000}"/>
    <cellStyle name="PSChar" xfId="56" xr:uid="{00000000-0005-0000-0000-000083480000}"/>
    <cellStyle name="PSChar 2" xfId="63" xr:uid="{00000000-0005-0000-0000-000084480000}"/>
    <cellStyle name="PSChar 2 2" xfId="99" xr:uid="{00000000-0005-0000-0000-000085480000}"/>
    <cellStyle name="PSDate" xfId="2192" xr:uid="{00000000-0005-0000-0000-000086480000}"/>
    <cellStyle name="PSDec" xfId="57" xr:uid="{00000000-0005-0000-0000-000087480000}"/>
    <cellStyle name="PSDec 2" xfId="64" xr:uid="{00000000-0005-0000-0000-000088480000}"/>
    <cellStyle name="PSDec 2 2" xfId="100" xr:uid="{00000000-0005-0000-0000-000089480000}"/>
    <cellStyle name="PSDetail" xfId="2193" xr:uid="{00000000-0005-0000-0000-00008A480000}"/>
    <cellStyle name="PSHeading" xfId="58" xr:uid="{00000000-0005-0000-0000-00008B480000}"/>
    <cellStyle name="PSHeading 2" xfId="65" xr:uid="{00000000-0005-0000-0000-00008C480000}"/>
    <cellStyle name="PSHeading 2 2" xfId="101" xr:uid="{00000000-0005-0000-0000-00008D480000}"/>
    <cellStyle name="PSInt" xfId="2194" xr:uid="{00000000-0005-0000-0000-00008E480000}"/>
    <cellStyle name="PSSpacer" xfId="2195" xr:uid="{00000000-0005-0000-0000-00008F480000}"/>
    <cellStyle name="Rangename" xfId="2196" xr:uid="{00000000-0005-0000-0000-000090480000}"/>
    <cellStyle name="Rangenames" xfId="2197" xr:uid="{00000000-0005-0000-0000-000091480000}"/>
    <cellStyle name="Result field" xfId="2198" xr:uid="{00000000-0005-0000-0000-000092480000}"/>
    <cellStyle name="RowLevel_" xfId="2199" xr:uid="{00000000-0005-0000-0000-000093480000}"/>
    <cellStyle name="Schedule Heading" xfId="2200" xr:uid="{00000000-0005-0000-0000-000094480000}"/>
    <cellStyle name="Screen Display Heading" xfId="2201" xr:uid="{00000000-0005-0000-0000-000095480000}"/>
    <cellStyle name="Setup" xfId="2202" xr:uid="{00000000-0005-0000-0000-000096480000}"/>
    <cellStyle name="Standard_By Team" xfId="2203" xr:uid="{00000000-0005-0000-0000-000097480000}"/>
    <cellStyle name="Style 1" xfId="2204" xr:uid="{00000000-0005-0000-0000-000098480000}"/>
    <cellStyle name="Summary Column Cell" xfId="2205" xr:uid="{00000000-0005-0000-0000-000099480000}"/>
    <cellStyle name="Title" xfId="108" builtinId="15" customBuiltin="1"/>
    <cellStyle name="Title 2" xfId="59" xr:uid="{00000000-0005-0000-0000-00009B480000}"/>
    <cellStyle name="Title 3" xfId="466" xr:uid="{00000000-0005-0000-0000-00009C480000}"/>
    <cellStyle name="Title 4" xfId="467" xr:uid="{00000000-0005-0000-0000-00009D480000}"/>
    <cellStyle name="Title 5" xfId="468" xr:uid="{00000000-0005-0000-0000-00009E480000}"/>
    <cellStyle name="Title 6" xfId="469" xr:uid="{00000000-0005-0000-0000-00009F480000}"/>
    <cellStyle name="Title 7" xfId="470" xr:uid="{00000000-0005-0000-0000-0000A0480000}"/>
    <cellStyle name="Title 8" xfId="471" xr:uid="{00000000-0005-0000-0000-0000A1480000}"/>
    <cellStyle name="Total" xfId="123" builtinId="25" customBuiltin="1"/>
    <cellStyle name="Total 10" xfId="1000" xr:uid="{00000000-0005-0000-0000-0000A3480000}"/>
    <cellStyle name="Total 2" xfId="60" xr:uid="{00000000-0005-0000-0000-0000A4480000}"/>
    <cellStyle name="Total 2 2" xfId="525" xr:uid="{00000000-0005-0000-0000-0000A5480000}"/>
    <cellStyle name="Total 2 2 2" xfId="862" xr:uid="{00000000-0005-0000-0000-0000A6480000}"/>
    <cellStyle name="Total 2 2 3" xfId="2338" xr:uid="{00000000-0005-0000-0000-0000A7480000}"/>
    <cellStyle name="Total 2 2 3 10" xfId="13281" xr:uid="{00000000-0005-0000-0000-0000A8480000}"/>
    <cellStyle name="Total 2 2 3 11" xfId="14486" xr:uid="{00000000-0005-0000-0000-0000A9480000}"/>
    <cellStyle name="Total 2 2 3 2" xfId="6047" xr:uid="{00000000-0005-0000-0000-0000AA480000}"/>
    <cellStyle name="Total 2 2 3 2 2" xfId="11143" xr:uid="{00000000-0005-0000-0000-0000AB480000}"/>
    <cellStyle name="Total 2 2 3 2 2 2" xfId="15449" xr:uid="{00000000-0005-0000-0000-0000AC480000}"/>
    <cellStyle name="Total 2 2 3 2 2 3" xfId="16528" xr:uid="{00000000-0005-0000-0000-0000AD480000}"/>
    <cellStyle name="Total 2 2 3 2 2 4" xfId="17562" xr:uid="{00000000-0005-0000-0000-0000AE480000}"/>
    <cellStyle name="Total 2 2 3 2 2 5" xfId="18532" xr:uid="{00000000-0005-0000-0000-0000AF480000}"/>
    <cellStyle name="Total 2 2 3 2 2 6" xfId="19438" xr:uid="{00000000-0005-0000-0000-0000B0480000}"/>
    <cellStyle name="Total 2 2 3 2 3" xfId="11725" xr:uid="{00000000-0005-0000-0000-0000B1480000}"/>
    <cellStyle name="Total 2 2 3 2 3 2" xfId="16031" xr:uid="{00000000-0005-0000-0000-0000B2480000}"/>
    <cellStyle name="Total 2 2 3 2 3 3" xfId="17110" xr:uid="{00000000-0005-0000-0000-0000B3480000}"/>
    <cellStyle name="Total 2 2 3 2 3 4" xfId="18132" xr:uid="{00000000-0005-0000-0000-0000B4480000}"/>
    <cellStyle name="Total 2 2 3 2 3 5" xfId="19102" xr:uid="{00000000-0005-0000-0000-0000B5480000}"/>
    <cellStyle name="Total 2 2 3 2 3 6" xfId="20008" xr:uid="{00000000-0005-0000-0000-0000B6480000}"/>
    <cellStyle name="Total 2 2 3 2 4" xfId="11897" xr:uid="{00000000-0005-0000-0000-0000B7480000}"/>
    <cellStyle name="Total 2 2 3 2 4 2" xfId="16203" xr:uid="{00000000-0005-0000-0000-0000B8480000}"/>
    <cellStyle name="Total 2 2 3 2 4 3" xfId="17282" xr:uid="{00000000-0005-0000-0000-0000B9480000}"/>
    <cellStyle name="Total 2 2 3 2 4 4" xfId="18300" xr:uid="{00000000-0005-0000-0000-0000BA480000}"/>
    <cellStyle name="Total 2 2 3 2 4 5" xfId="19270" xr:uid="{00000000-0005-0000-0000-0000BB480000}"/>
    <cellStyle name="Total 2 2 3 2 4 6" xfId="20176" xr:uid="{00000000-0005-0000-0000-0000BC480000}"/>
    <cellStyle name="Total 2 2 3 2 5" xfId="13780" xr:uid="{00000000-0005-0000-0000-0000BD480000}"/>
    <cellStyle name="Total 2 2 3 2 6" xfId="12588" xr:uid="{00000000-0005-0000-0000-0000BE480000}"/>
    <cellStyle name="Total 2 2 3 2 7" xfId="14629" xr:uid="{00000000-0005-0000-0000-0000BF480000}"/>
    <cellStyle name="Total 2 2 3 2 8" xfId="17485" xr:uid="{00000000-0005-0000-0000-0000C0480000}"/>
    <cellStyle name="Total 2 2 3 2 9" xfId="16327" xr:uid="{00000000-0005-0000-0000-0000C1480000}"/>
    <cellStyle name="Total 2 2 3 3" xfId="4790" xr:uid="{00000000-0005-0000-0000-0000C2480000}"/>
    <cellStyle name="Total 2 2 3 3 2" xfId="9886" xr:uid="{00000000-0005-0000-0000-0000C3480000}"/>
    <cellStyle name="Total 2 2 3 3 2 2" xfId="15041" xr:uid="{00000000-0005-0000-0000-0000C4480000}"/>
    <cellStyle name="Total 2 2 3 3 2 3" xfId="14058" xr:uid="{00000000-0005-0000-0000-0000C5480000}"/>
    <cellStyle name="Total 2 2 3 3 2 4" xfId="13183" xr:uid="{00000000-0005-0000-0000-0000C6480000}"/>
    <cellStyle name="Total 2 2 3 3 2 5" xfId="13285" xr:uid="{00000000-0005-0000-0000-0000C7480000}"/>
    <cellStyle name="Total 2 2 3 3 2 6" xfId="12109" xr:uid="{00000000-0005-0000-0000-0000C8480000}"/>
    <cellStyle name="Total 2 2 3 3 3" xfId="11567" xr:uid="{00000000-0005-0000-0000-0000C9480000}"/>
    <cellStyle name="Total 2 2 3 3 3 2" xfId="15873" xr:uid="{00000000-0005-0000-0000-0000CA480000}"/>
    <cellStyle name="Total 2 2 3 3 3 3" xfId="16952" xr:uid="{00000000-0005-0000-0000-0000CB480000}"/>
    <cellStyle name="Total 2 2 3 3 3 4" xfId="17976" xr:uid="{00000000-0005-0000-0000-0000CC480000}"/>
    <cellStyle name="Total 2 2 3 3 3 5" xfId="18946" xr:uid="{00000000-0005-0000-0000-0000CD480000}"/>
    <cellStyle name="Total 2 2 3 3 3 6" xfId="19852" xr:uid="{00000000-0005-0000-0000-0000CE480000}"/>
    <cellStyle name="Total 2 2 3 3 4" xfId="11516" xr:uid="{00000000-0005-0000-0000-0000CF480000}"/>
    <cellStyle name="Total 2 2 3 3 4 2" xfId="15822" xr:uid="{00000000-0005-0000-0000-0000D0480000}"/>
    <cellStyle name="Total 2 2 3 3 4 3" xfId="16901" xr:uid="{00000000-0005-0000-0000-0000D1480000}"/>
    <cellStyle name="Total 2 2 3 3 4 4" xfId="17927" xr:uid="{00000000-0005-0000-0000-0000D2480000}"/>
    <cellStyle name="Total 2 2 3 3 4 5" xfId="18897" xr:uid="{00000000-0005-0000-0000-0000D3480000}"/>
    <cellStyle name="Total 2 2 3 3 4 6" xfId="19803" xr:uid="{00000000-0005-0000-0000-0000D4480000}"/>
    <cellStyle name="Total 2 2 3 3 5" xfId="13370" xr:uid="{00000000-0005-0000-0000-0000D5480000}"/>
    <cellStyle name="Total 2 2 3 3 6" xfId="14921" xr:uid="{00000000-0005-0000-0000-0000D6480000}"/>
    <cellStyle name="Total 2 2 3 3 7" xfId="15172" xr:uid="{00000000-0005-0000-0000-0000D7480000}"/>
    <cellStyle name="Total 2 2 3 3 8" xfId="17433" xr:uid="{00000000-0005-0000-0000-0000D8480000}"/>
    <cellStyle name="Total 2 2 3 3 9" xfId="13095" xr:uid="{00000000-0005-0000-0000-0000D9480000}"/>
    <cellStyle name="Total 2 2 3 4" xfId="7447" xr:uid="{00000000-0005-0000-0000-0000DA480000}"/>
    <cellStyle name="Total 2 2 3 4 2" xfId="14322" xr:uid="{00000000-0005-0000-0000-0000DB480000}"/>
    <cellStyle name="Total 2 2 3 4 3" xfId="14720" xr:uid="{00000000-0005-0000-0000-0000DC480000}"/>
    <cellStyle name="Total 2 2 3 4 4" xfId="13968" xr:uid="{00000000-0005-0000-0000-0000DD480000}"/>
    <cellStyle name="Total 2 2 3 4 5" xfId="12944" xr:uid="{00000000-0005-0000-0000-0000DE480000}"/>
    <cellStyle name="Total 2 2 3 4 6" xfId="14336" xr:uid="{00000000-0005-0000-0000-0000DF480000}"/>
    <cellStyle name="Total 2 2 3 5" xfId="11328" xr:uid="{00000000-0005-0000-0000-0000E0480000}"/>
    <cellStyle name="Total 2 2 3 5 2" xfId="15634" xr:uid="{00000000-0005-0000-0000-0000E1480000}"/>
    <cellStyle name="Total 2 2 3 5 3" xfId="16713" xr:uid="{00000000-0005-0000-0000-0000E2480000}"/>
    <cellStyle name="Total 2 2 3 5 4" xfId="17742" xr:uid="{00000000-0005-0000-0000-0000E3480000}"/>
    <cellStyle name="Total 2 2 3 5 5" xfId="18712" xr:uid="{00000000-0005-0000-0000-0000E4480000}"/>
    <cellStyle name="Total 2 2 3 5 6" xfId="19618" xr:uid="{00000000-0005-0000-0000-0000E5480000}"/>
    <cellStyle name="Total 2 2 3 6" xfId="11635" xr:uid="{00000000-0005-0000-0000-0000E6480000}"/>
    <cellStyle name="Total 2 2 3 6 2" xfId="15941" xr:uid="{00000000-0005-0000-0000-0000E7480000}"/>
    <cellStyle name="Total 2 2 3 6 3" xfId="17020" xr:uid="{00000000-0005-0000-0000-0000E8480000}"/>
    <cellStyle name="Total 2 2 3 6 4" xfId="18044" xr:uid="{00000000-0005-0000-0000-0000E9480000}"/>
    <cellStyle name="Total 2 2 3 6 5" xfId="19014" xr:uid="{00000000-0005-0000-0000-0000EA480000}"/>
    <cellStyle name="Total 2 2 3 6 6" xfId="19920" xr:uid="{00000000-0005-0000-0000-0000EB480000}"/>
    <cellStyle name="Total 2 2 3 7" xfId="12619" xr:uid="{00000000-0005-0000-0000-0000EC480000}"/>
    <cellStyle name="Total 2 2 3 8" xfId="13646" xr:uid="{00000000-0005-0000-0000-0000ED480000}"/>
    <cellStyle name="Total 2 2 3 9" xfId="14692" xr:uid="{00000000-0005-0000-0000-0000EE480000}"/>
    <cellStyle name="Total 2 2 4" xfId="3607" xr:uid="{00000000-0005-0000-0000-0000EF480000}"/>
    <cellStyle name="Total 2 2 4 2" xfId="8706" xr:uid="{00000000-0005-0000-0000-0000F0480000}"/>
    <cellStyle name="Total 2 2 4 2 2" xfId="14707" xr:uid="{00000000-0005-0000-0000-0000F1480000}"/>
    <cellStyle name="Total 2 2 4 2 3" xfId="12235" xr:uid="{00000000-0005-0000-0000-0000F2480000}"/>
    <cellStyle name="Total 2 2 4 2 4" xfId="14263" xr:uid="{00000000-0005-0000-0000-0000F3480000}"/>
    <cellStyle name="Total 2 2 4 2 5" xfId="13653" xr:uid="{00000000-0005-0000-0000-0000F4480000}"/>
    <cellStyle name="Total 2 2 4 2 6" xfId="13054" xr:uid="{00000000-0005-0000-0000-0000F5480000}"/>
    <cellStyle name="Total 2 2 4 3" xfId="11472" xr:uid="{00000000-0005-0000-0000-0000F6480000}"/>
    <cellStyle name="Total 2 2 4 3 2" xfId="15778" xr:uid="{00000000-0005-0000-0000-0000F7480000}"/>
    <cellStyle name="Total 2 2 4 3 3" xfId="16857" xr:uid="{00000000-0005-0000-0000-0000F8480000}"/>
    <cellStyle name="Total 2 2 4 3 4" xfId="17884" xr:uid="{00000000-0005-0000-0000-0000F9480000}"/>
    <cellStyle name="Total 2 2 4 3 5" xfId="18854" xr:uid="{00000000-0005-0000-0000-0000FA480000}"/>
    <cellStyle name="Total 2 2 4 3 6" xfId="19760" xr:uid="{00000000-0005-0000-0000-0000FB480000}"/>
    <cellStyle name="Total 2 2 4 4" xfId="11421" xr:uid="{00000000-0005-0000-0000-0000FC480000}"/>
    <cellStyle name="Total 2 2 4 4 2" xfId="15727" xr:uid="{00000000-0005-0000-0000-0000FD480000}"/>
    <cellStyle name="Total 2 2 4 4 3" xfId="16806" xr:uid="{00000000-0005-0000-0000-0000FE480000}"/>
    <cellStyle name="Total 2 2 4 4 4" xfId="17835" xr:uid="{00000000-0005-0000-0000-0000FF480000}"/>
    <cellStyle name="Total 2 2 4 4 5" xfId="18805" xr:uid="{00000000-0005-0000-0000-000000490000}"/>
    <cellStyle name="Total 2 2 4 4 6" xfId="19711" xr:uid="{00000000-0005-0000-0000-000001490000}"/>
    <cellStyle name="Total 2 2 4 5" xfId="13022" xr:uid="{00000000-0005-0000-0000-000002490000}"/>
    <cellStyle name="Total 2 2 4 6" xfId="12086" xr:uid="{00000000-0005-0000-0000-000003490000}"/>
    <cellStyle name="Total 2 2 4 7" xfId="15026" xr:uid="{00000000-0005-0000-0000-000004490000}"/>
    <cellStyle name="Total 2 2 4 8" xfId="14996" xr:uid="{00000000-0005-0000-0000-000005490000}"/>
    <cellStyle name="Total 2 2 4 9" xfId="17481" xr:uid="{00000000-0005-0000-0000-000006490000}"/>
    <cellStyle name="Total 2 3" xfId="1032" xr:uid="{00000000-0005-0000-0000-000007490000}"/>
    <cellStyle name="Total 2 3 10" xfId="13558" xr:uid="{00000000-0005-0000-0000-000008490000}"/>
    <cellStyle name="Total 2 3 11" xfId="14786" xr:uid="{00000000-0005-0000-0000-000009490000}"/>
    <cellStyle name="Total 2 3 12" xfId="13279" xr:uid="{00000000-0005-0000-0000-00000A490000}"/>
    <cellStyle name="Total 2 3 2" xfId="1123" xr:uid="{00000000-0005-0000-0000-00000B490000}"/>
    <cellStyle name="Total 2 3 2 2" xfId="2713" xr:uid="{00000000-0005-0000-0000-00000C490000}"/>
    <cellStyle name="Total 2 3 2 2 10" xfId="13329" xr:uid="{00000000-0005-0000-0000-00000D490000}"/>
    <cellStyle name="Total 2 3 2 2 11" xfId="15057" xr:uid="{00000000-0005-0000-0000-00000E490000}"/>
    <cellStyle name="Total 2 3 2 2 2" xfId="6113" xr:uid="{00000000-0005-0000-0000-00000F490000}"/>
    <cellStyle name="Total 2 3 2 2 2 2" xfId="11209" xr:uid="{00000000-0005-0000-0000-000010490000}"/>
    <cellStyle name="Total 2 3 2 2 2 2 2" xfId="15515" xr:uid="{00000000-0005-0000-0000-000011490000}"/>
    <cellStyle name="Total 2 3 2 2 2 2 3" xfId="16594" xr:uid="{00000000-0005-0000-0000-000012490000}"/>
    <cellStyle name="Total 2 3 2 2 2 2 4" xfId="17628" xr:uid="{00000000-0005-0000-0000-000013490000}"/>
    <cellStyle name="Total 2 3 2 2 2 2 5" xfId="18598" xr:uid="{00000000-0005-0000-0000-000014490000}"/>
    <cellStyle name="Total 2 3 2 2 2 2 6" xfId="19504" xr:uid="{00000000-0005-0000-0000-000015490000}"/>
    <cellStyle name="Total 2 3 2 2 2 3" xfId="11791" xr:uid="{00000000-0005-0000-0000-000016490000}"/>
    <cellStyle name="Total 2 3 2 2 2 3 2" xfId="16097" xr:uid="{00000000-0005-0000-0000-000017490000}"/>
    <cellStyle name="Total 2 3 2 2 2 3 3" xfId="17176" xr:uid="{00000000-0005-0000-0000-000018490000}"/>
    <cellStyle name="Total 2 3 2 2 2 3 4" xfId="18198" xr:uid="{00000000-0005-0000-0000-000019490000}"/>
    <cellStyle name="Total 2 3 2 2 2 3 5" xfId="19168" xr:uid="{00000000-0005-0000-0000-00001A490000}"/>
    <cellStyle name="Total 2 3 2 2 2 3 6" xfId="20074" xr:uid="{00000000-0005-0000-0000-00001B490000}"/>
    <cellStyle name="Total 2 3 2 2 2 4" xfId="11963" xr:uid="{00000000-0005-0000-0000-00001C490000}"/>
    <cellStyle name="Total 2 3 2 2 2 4 2" xfId="16269" xr:uid="{00000000-0005-0000-0000-00001D490000}"/>
    <cellStyle name="Total 2 3 2 2 2 4 3" xfId="17348" xr:uid="{00000000-0005-0000-0000-00001E490000}"/>
    <cellStyle name="Total 2 3 2 2 2 4 4" xfId="18366" xr:uid="{00000000-0005-0000-0000-00001F490000}"/>
    <cellStyle name="Total 2 3 2 2 2 4 5" xfId="19336" xr:uid="{00000000-0005-0000-0000-000020490000}"/>
    <cellStyle name="Total 2 3 2 2 2 4 6" xfId="20242" xr:uid="{00000000-0005-0000-0000-000021490000}"/>
    <cellStyle name="Total 2 3 2 2 2 5" xfId="13846" xr:uid="{00000000-0005-0000-0000-000022490000}"/>
    <cellStyle name="Total 2 3 2 2 2 6" xfId="13209" xr:uid="{00000000-0005-0000-0000-000023490000}"/>
    <cellStyle name="Total 2 3 2 2 2 7" xfId="13245" xr:uid="{00000000-0005-0000-0000-000024490000}"/>
    <cellStyle name="Total 2 3 2 2 2 8" xfId="14513" xr:uid="{00000000-0005-0000-0000-000025490000}"/>
    <cellStyle name="Total 2 3 2 2 2 9" xfId="13364" xr:uid="{00000000-0005-0000-0000-000026490000}"/>
    <cellStyle name="Total 2 3 2 2 3" xfId="5121" xr:uid="{00000000-0005-0000-0000-000027490000}"/>
    <cellStyle name="Total 2 3 2 2 3 2" xfId="10217" xr:uid="{00000000-0005-0000-0000-000028490000}"/>
    <cellStyle name="Total 2 3 2 2 3 2 2" xfId="15155" xr:uid="{00000000-0005-0000-0000-000029490000}"/>
    <cellStyle name="Total 2 3 2 2 3 2 3" xfId="13417" xr:uid="{00000000-0005-0000-0000-00002A490000}"/>
    <cellStyle name="Total 2 3 2 2 3 2 4" xfId="13228" xr:uid="{00000000-0005-0000-0000-00002B490000}"/>
    <cellStyle name="Total 2 3 2 2 3 2 5" xfId="14244" xr:uid="{00000000-0005-0000-0000-00002C490000}"/>
    <cellStyle name="Total 2 3 2 2 3 2 6" xfId="14935" xr:uid="{00000000-0005-0000-0000-00002D490000}"/>
    <cellStyle name="Total 2 3 2 2 3 3" xfId="11599" xr:uid="{00000000-0005-0000-0000-00002E490000}"/>
    <cellStyle name="Total 2 3 2 2 3 3 2" xfId="15905" xr:uid="{00000000-0005-0000-0000-00002F490000}"/>
    <cellStyle name="Total 2 3 2 2 3 3 3" xfId="16984" xr:uid="{00000000-0005-0000-0000-000030490000}"/>
    <cellStyle name="Total 2 3 2 2 3 3 4" xfId="18008" xr:uid="{00000000-0005-0000-0000-000031490000}"/>
    <cellStyle name="Total 2 3 2 2 3 3 5" xfId="18978" xr:uid="{00000000-0005-0000-0000-000032490000}"/>
    <cellStyle name="Total 2 3 2 2 3 3 6" xfId="19884" xr:uid="{00000000-0005-0000-0000-000033490000}"/>
    <cellStyle name="Total 2 3 2 2 3 4" xfId="11569" xr:uid="{00000000-0005-0000-0000-000034490000}"/>
    <cellStyle name="Total 2 3 2 2 3 4 2" xfId="15875" xr:uid="{00000000-0005-0000-0000-000035490000}"/>
    <cellStyle name="Total 2 3 2 2 3 4 3" xfId="16954" xr:uid="{00000000-0005-0000-0000-000036490000}"/>
    <cellStyle name="Total 2 3 2 2 3 4 4" xfId="17978" xr:uid="{00000000-0005-0000-0000-000037490000}"/>
    <cellStyle name="Total 2 3 2 2 3 4 5" xfId="18948" xr:uid="{00000000-0005-0000-0000-000038490000}"/>
    <cellStyle name="Total 2 3 2 2 3 4 6" xfId="19854" xr:uid="{00000000-0005-0000-0000-000039490000}"/>
    <cellStyle name="Total 2 3 2 2 3 5" xfId="13475" xr:uid="{00000000-0005-0000-0000-00003A490000}"/>
    <cellStyle name="Total 2 3 2 2 3 6" xfId="13350" xr:uid="{00000000-0005-0000-0000-00003B490000}"/>
    <cellStyle name="Total 2 3 2 2 3 7" xfId="12424" xr:uid="{00000000-0005-0000-0000-00003C490000}"/>
    <cellStyle name="Total 2 3 2 2 3 8" xfId="13056" xr:uid="{00000000-0005-0000-0000-00003D490000}"/>
    <cellStyle name="Total 2 3 2 2 3 9" xfId="16370" xr:uid="{00000000-0005-0000-0000-00003E490000}"/>
    <cellStyle name="Total 2 3 2 2 4" xfId="7816" xr:uid="{00000000-0005-0000-0000-00003F490000}"/>
    <cellStyle name="Total 2 3 2 2 4 2" xfId="14467" xr:uid="{00000000-0005-0000-0000-000040490000}"/>
    <cellStyle name="Total 2 3 2 2 4 3" xfId="13970" xr:uid="{00000000-0005-0000-0000-000041490000}"/>
    <cellStyle name="Total 2 3 2 2 4 4" xfId="13194" xr:uid="{00000000-0005-0000-0000-000042490000}"/>
    <cellStyle name="Total 2 3 2 2 4 5" xfId="12958" xr:uid="{00000000-0005-0000-0000-000043490000}"/>
    <cellStyle name="Total 2 3 2 2 4 6" xfId="12403" xr:uid="{00000000-0005-0000-0000-000044490000}"/>
    <cellStyle name="Total 2 3 2 2 5" xfId="11399" xr:uid="{00000000-0005-0000-0000-000045490000}"/>
    <cellStyle name="Total 2 3 2 2 5 2" xfId="15705" xr:uid="{00000000-0005-0000-0000-000046490000}"/>
    <cellStyle name="Total 2 3 2 2 5 3" xfId="16784" xr:uid="{00000000-0005-0000-0000-000047490000}"/>
    <cellStyle name="Total 2 3 2 2 5 4" xfId="17813" xr:uid="{00000000-0005-0000-0000-000048490000}"/>
    <cellStyle name="Total 2 3 2 2 5 5" xfId="18783" xr:uid="{00000000-0005-0000-0000-000049490000}"/>
    <cellStyle name="Total 2 3 2 2 5 6" xfId="19689" xr:uid="{00000000-0005-0000-0000-00004A490000}"/>
    <cellStyle name="Total 2 3 2 2 6" xfId="11619" xr:uid="{00000000-0005-0000-0000-00004B490000}"/>
    <cellStyle name="Total 2 3 2 2 6 2" xfId="15925" xr:uid="{00000000-0005-0000-0000-00004C490000}"/>
    <cellStyle name="Total 2 3 2 2 6 3" xfId="17004" xr:uid="{00000000-0005-0000-0000-00004D490000}"/>
    <cellStyle name="Total 2 3 2 2 6 4" xfId="18028" xr:uid="{00000000-0005-0000-0000-00004E490000}"/>
    <cellStyle name="Total 2 3 2 2 6 5" xfId="18998" xr:uid="{00000000-0005-0000-0000-00004F490000}"/>
    <cellStyle name="Total 2 3 2 2 6 6" xfId="19904" xr:uid="{00000000-0005-0000-0000-000050490000}"/>
    <cellStyle name="Total 2 3 2 2 7" xfId="12770" xr:uid="{00000000-0005-0000-0000-000051490000}"/>
    <cellStyle name="Total 2 3 2 2 8" xfId="14212" xr:uid="{00000000-0005-0000-0000-000052490000}"/>
    <cellStyle name="Total 2 3 2 2 9" xfId="14743" xr:uid="{00000000-0005-0000-0000-000053490000}"/>
    <cellStyle name="Total 2 3 2 3" xfId="3938" xr:uid="{00000000-0005-0000-0000-000054490000}"/>
    <cellStyle name="Total 2 3 2 3 2" xfId="9037" xr:uid="{00000000-0005-0000-0000-000055490000}"/>
    <cellStyle name="Total 2 3 2 3 2 2" xfId="14815" xr:uid="{00000000-0005-0000-0000-000056490000}"/>
    <cellStyle name="Total 2 3 2 3 2 3" xfId="14357" xr:uid="{00000000-0005-0000-0000-000057490000}"/>
    <cellStyle name="Total 2 3 2 3 2 4" xfId="14094" xr:uid="{00000000-0005-0000-0000-000058490000}"/>
    <cellStyle name="Total 2 3 2 3 2 5" xfId="13497" xr:uid="{00000000-0005-0000-0000-000059490000}"/>
    <cellStyle name="Total 2 3 2 3 2 6" xfId="14858" xr:uid="{00000000-0005-0000-0000-00005A490000}"/>
    <cellStyle name="Total 2 3 2 3 3" xfId="11505" xr:uid="{00000000-0005-0000-0000-00005B490000}"/>
    <cellStyle name="Total 2 3 2 3 3 2" xfId="15811" xr:uid="{00000000-0005-0000-0000-00005C490000}"/>
    <cellStyle name="Total 2 3 2 3 3 3" xfId="16890" xr:uid="{00000000-0005-0000-0000-00005D490000}"/>
    <cellStyle name="Total 2 3 2 3 3 4" xfId="17916" xr:uid="{00000000-0005-0000-0000-00005E490000}"/>
    <cellStyle name="Total 2 3 2 3 3 5" xfId="18886" xr:uid="{00000000-0005-0000-0000-00005F490000}"/>
    <cellStyle name="Total 2 3 2 3 3 6" xfId="19792" xr:uid="{00000000-0005-0000-0000-000060490000}"/>
    <cellStyle name="Total 2 3 2 3 4" xfId="7162" xr:uid="{00000000-0005-0000-0000-000061490000}"/>
    <cellStyle name="Total 2 3 2 3 4 2" xfId="14231" xr:uid="{00000000-0005-0000-0000-000062490000}"/>
    <cellStyle name="Total 2 3 2 3 4 3" xfId="13042" xr:uid="{00000000-0005-0000-0000-000063490000}"/>
    <cellStyle name="Total 2 3 2 3 4 4" xfId="13264" xr:uid="{00000000-0005-0000-0000-000064490000}"/>
    <cellStyle name="Total 2 3 2 3 4 5" xfId="13271" xr:uid="{00000000-0005-0000-0000-000065490000}"/>
    <cellStyle name="Total 2 3 2 3 4 6" xfId="16418" xr:uid="{00000000-0005-0000-0000-000066490000}"/>
    <cellStyle name="Total 2 3 2 3 5" xfId="13127" xr:uid="{00000000-0005-0000-0000-000067490000}"/>
    <cellStyle name="Total 2 3 2 3 6" xfId="12449" xr:uid="{00000000-0005-0000-0000-000068490000}"/>
    <cellStyle name="Total 2 3 2 3 7" xfId="15323" xr:uid="{00000000-0005-0000-0000-000069490000}"/>
    <cellStyle name="Total 2 3 2 3 8" xfId="172" xr:uid="{00000000-0005-0000-0000-00006A490000}"/>
    <cellStyle name="Total 2 3 2 3 9" xfId="12605" xr:uid="{00000000-0005-0000-0000-00006B490000}"/>
    <cellStyle name="Total 2 3 3" xfId="2662" xr:uid="{00000000-0005-0000-0000-00006C490000}"/>
    <cellStyle name="Total 2 3 3 10" xfId="12820" xr:uid="{00000000-0005-0000-0000-00006D490000}"/>
    <cellStyle name="Total 2 3 3 2" xfId="6078" xr:uid="{00000000-0005-0000-0000-00006E490000}"/>
    <cellStyle name="Total 2 3 3 2 2" xfId="11174" xr:uid="{00000000-0005-0000-0000-00006F490000}"/>
    <cellStyle name="Total 2 3 3 2 2 2" xfId="15480" xr:uid="{00000000-0005-0000-0000-000070490000}"/>
    <cellStyle name="Total 2 3 3 2 2 3" xfId="16559" xr:uid="{00000000-0005-0000-0000-000071490000}"/>
    <cellStyle name="Total 2 3 3 2 2 4" xfId="17593" xr:uid="{00000000-0005-0000-0000-000072490000}"/>
    <cellStyle name="Total 2 3 3 2 2 5" xfId="18563" xr:uid="{00000000-0005-0000-0000-000073490000}"/>
    <cellStyle name="Total 2 3 3 2 2 6" xfId="19469" xr:uid="{00000000-0005-0000-0000-000074490000}"/>
    <cellStyle name="Total 2 3 3 2 3" xfId="11756" xr:uid="{00000000-0005-0000-0000-000075490000}"/>
    <cellStyle name="Total 2 3 3 2 3 2" xfId="16062" xr:uid="{00000000-0005-0000-0000-000076490000}"/>
    <cellStyle name="Total 2 3 3 2 3 3" xfId="17141" xr:uid="{00000000-0005-0000-0000-000077490000}"/>
    <cellStyle name="Total 2 3 3 2 3 4" xfId="18163" xr:uid="{00000000-0005-0000-0000-000078490000}"/>
    <cellStyle name="Total 2 3 3 2 3 5" xfId="19133" xr:uid="{00000000-0005-0000-0000-000079490000}"/>
    <cellStyle name="Total 2 3 3 2 3 6" xfId="20039" xr:uid="{00000000-0005-0000-0000-00007A490000}"/>
    <cellStyle name="Total 2 3 3 2 4" xfId="11928" xr:uid="{00000000-0005-0000-0000-00007B490000}"/>
    <cellStyle name="Total 2 3 3 2 4 2" xfId="16234" xr:uid="{00000000-0005-0000-0000-00007C490000}"/>
    <cellStyle name="Total 2 3 3 2 4 3" xfId="17313" xr:uid="{00000000-0005-0000-0000-00007D490000}"/>
    <cellStyle name="Total 2 3 3 2 4 4" xfId="18331" xr:uid="{00000000-0005-0000-0000-00007E490000}"/>
    <cellStyle name="Total 2 3 3 2 4 5" xfId="19301" xr:uid="{00000000-0005-0000-0000-00007F490000}"/>
    <cellStyle name="Total 2 3 3 2 4 6" xfId="20207" xr:uid="{00000000-0005-0000-0000-000080490000}"/>
    <cellStyle name="Total 2 3 3 2 5" xfId="13811" xr:uid="{00000000-0005-0000-0000-000081490000}"/>
    <cellStyle name="Total 2 3 3 2 6" xfId="12857" xr:uid="{00000000-0005-0000-0000-000082490000}"/>
    <cellStyle name="Total 2 3 3 2 7" xfId="15086" xr:uid="{00000000-0005-0000-0000-000083490000}"/>
    <cellStyle name="Total 2 3 3 2 8" xfId="14604" xr:uid="{00000000-0005-0000-0000-000084490000}"/>
    <cellStyle name="Total 2 3 3 2 9" xfId="14192" xr:uid="{00000000-0005-0000-0000-000085490000}"/>
    <cellStyle name="Total 2 3 3 3" xfId="7765" xr:uid="{00000000-0005-0000-0000-000086490000}"/>
    <cellStyle name="Total 2 3 3 3 2" xfId="14431" xr:uid="{00000000-0005-0000-0000-000087490000}"/>
    <cellStyle name="Total 2 3 3 3 3" xfId="14087" xr:uid="{00000000-0005-0000-0000-000088490000}"/>
    <cellStyle name="Total 2 3 3 3 4" xfId="14112" xr:uid="{00000000-0005-0000-0000-000089490000}"/>
    <cellStyle name="Total 2 3 3 3 5" xfId="14785" xr:uid="{00000000-0005-0000-0000-00008A490000}"/>
    <cellStyle name="Total 2 3 3 3 6" xfId="12921" xr:uid="{00000000-0005-0000-0000-00008B490000}"/>
    <cellStyle name="Total 2 3 3 4" xfId="11364" xr:uid="{00000000-0005-0000-0000-00008C490000}"/>
    <cellStyle name="Total 2 3 3 4 2" xfId="15670" xr:uid="{00000000-0005-0000-0000-00008D490000}"/>
    <cellStyle name="Total 2 3 3 4 3" xfId="16749" xr:uid="{00000000-0005-0000-0000-00008E490000}"/>
    <cellStyle name="Total 2 3 3 4 4" xfId="17778" xr:uid="{00000000-0005-0000-0000-00008F490000}"/>
    <cellStyle name="Total 2 3 3 4 5" xfId="18748" xr:uid="{00000000-0005-0000-0000-000090490000}"/>
    <cellStyle name="Total 2 3 3 4 6" xfId="19654" xr:uid="{00000000-0005-0000-0000-000091490000}"/>
    <cellStyle name="Total 2 3 3 5" xfId="11440" xr:uid="{00000000-0005-0000-0000-000092490000}"/>
    <cellStyle name="Total 2 3 3 5 2" xfId="15746" xr:uid="{00000000-0005-0000-0000-000093490000}"/>
    <cellStyle name="Total 2 3 3 5 3" xfId="16825" xr:uid="{00000000-0005-0000-0000-000094490000}"/>
    <cellStyle name="Total 2 3 3 5 4" xfId="17853" xr:uid="{00000000-0005-0000-0000-000095490000}"/>
    <cellStyle name="Total 2 3 3 5 5" xfId="18823" xr:uid="{00000000-0005-0000-0000-000096490000}"/>
    <cellStyle name="Total 2 3 3 5 6" xfId="19729" xr:uid="{00000000-0005-0000-0000-000097490000}"/>
    <cellStyle name="Total 2 3 3 6" xfId="12732" xr:uid="{00000000-0005-0000-0000-000098490000}"/>
    <cellStyle name="Total 2 3 3 7" xfId="12485" xr:uid="{00000000-0005-0000-0000-000099490000}"/>
    <cellStyle name="Total 2 3 3 8" xfId="15321" xr:uid="{00000000-0005-0000-0000-00009A490000}"/>
    <cellStyle name="Total 2 3 3 9" xfId="13380" xr:uid="{00000000-0005-0000-0000-00009B490000}"/>
    <cellStyle name="Total 2 3 4" xfId="6003" xr:uid="{00000000-0005-0000-0000-00009C490000}"/>
    <cellStyle name="Total 2 3 4 2" xfId="11099" xr:uid="{00000000-0005-0000-0000-00009D490000}"/>
    <cellStyle name="Total 2 3 4 2 2" xfId="15405" xr:uid="{00000000-0005-0000-0000-00009E490000}"/>
    <cellStyle name="Total 2 3 4 2 3" xfId="16484" xr:uid="{00000000-0005-0000-0000-00009F490000}"/>
    <cellStyle name="Total 2 3 4 2 4" xfId="17519" xr:uid="{00000000-0005-0000-0000-0000A0490000}"/>
    <cellStyle name="Total 2 3 4 2 5" xfId="18489" xr:uid="{00000000-0005-0000-0000-0000A1490000}"/>
    <cellStyle name="Total 2 3 4 2 6" xfId="19395" xr:uid="{00000000-0005-0000-0000-0000A2490000}"/>
    <cellStyle name="Total 2 3 4 3" xfId="11681" xr:uid="{00000000-0005-0000-0000-0000A3490000}"/>
    <cellStyle name="Total 2 3 4 3 2" xfId="15987" xr:uid="{00000000-0005-0000-0000-0000A4490000}"/>
    <cellStyle name="Total 2 3 4 3 3" xfId="17066" xr:uid="{00000000-0005-0000-0000-0000A5490000}"/>
    <cellStyle name="Total 2 3 4 3 4" xfId="18089" xr:uid="{00000000-0005-0000-0000-0000A6490000}"/>
    <cellStyle name="Total 2 3 4 3 5" xfId="19059" xr:uid="{00000000-0005-0000-0000-0000A7490000}"/>
    <cellStyle name="Total 2 3 4 3 6" xfId="19965" xr:uid="{00000000-0005-0000-0000-0000A8490000}"/>
    <cellStyle name="Total 2 3 4 4" xfId="11853" xr:uid="{00000000-0005-0000-0000-0000A9490000}"/>
    <cellStyle name="Total 2 3 4 4 2" xfId="16159" xr:uid="{00000000-0005-0000-0000-0000AA490000}"/>
    <cellStyle name="Total 2 3 4 4 3" xfId="17238" xr:uid="{00000000-0005-0000-0000-0000AB490000}"/>
    <cellStyle name="Total 2 3 4 4 4" xfId="18257" xr:uid="{00000000-0005-0000-0000-0000AC490000}"/>
    <cellStyle name="Total 2 3 4 4 5" xfId="19227" xr:uid="{00000000-0005-0000-0000-0000AD490000}"/>
    <cellStyle name="Total 2 3 4 4 6" xfId="20133" xr:uid="{00000000-0005-0000-0000-0000AE490000}"/>
    <cellStyle name="Total 2 3 4 5" xfId="13736" xr:uid="{00000000-0005-0000-0000-0000AF490000}"/>
    <cellStyle name="Total 2 3 4 6" xfId="14688" xr:uid="{00000000-0005-0000-0000-0000B0490000}"/>
    <cellStyle name="Total 2 3 4 7" xfId="13156" xr:uid="{00000000-0005-0000-0000-0000B1490000}"/>
    <cellStyle name="Total 2 3 4 8" xfId="17418" xr:uid="{00000000-0005-0000-0000-0000B2490000}"/>
    <cellStyle name="Total 2 3 4 9" xfId="11997" xr:uid="{00000000-0005-0000-0000-0000B3490000}"/>
    <cellStyle name="Total 2 3 5" xfId="6509" xr:uid="{00000000-0005-0000-0000-0000B4490000}"/>
    <cellStyle name="Total 2 3 5 2" xfId="14022" xr:uid="{00000000-0005-0000-0000-0000B5490000}"/>
    <cellStyle name="Total 2 3 5 3" xfId="12362" xr:uid="{00000000-0005-0000-0000-0000B6490000}"/>
    <cellStyle name="Total 2 3 5 4" xfId="15330" xr:uid="{00000000-0005-0000-0000-0000B7490000}"/>
    <cellStyle name="Total 2 3 5 5" xfId="12309" xr:uid="{00000000-0005-0000-0000-0000B8490000}"/>
    <cellStyle name="Total 2 3 5 6" xfId="15261" xr:uid="{00000000-0005-0000-0000-0000B9490000}"/>
    <cellStyle name="Total 2 3 6" xfId="6142" xr:uid="{00000000-0005-0000-0000-0000BA490000}"/>
    <cellStyle name="Total 2 3 6 2" xfId="13875" xr:uid="{00000000-0005-0000-0000-0000BB490000}"/>
    <cellStyle name="Total 2 3 6 3" xfId="12374" xr:uid="{00000000-0005-0000-0000-0000BC490000}"/>
    <cellStyle name="Total 2 3 6 4" xfId="13656" xr:uid="{00000000-0005-0000-0000-0000BD490000}"/>
    <cellStyle name="Total 2 3 6 5" xfId="17412" xr:uid="{00000000-0005-0000-0000-0000BE490000}"/>
    <cellStyle name="Total 2 3 6 6" xfId="14169" xr:uid="{00000000-0005-0000-0000-0000BF490000}"/>
    <cellStyle name="Total 2 3 7" xfId="11554" xr:uid="{00000000-0005-0000-0000-0000C0490000}"/>
    <cellStyle name="Total 2 3 7 2" xfId="15860" xr:uid="{00000000-0005-0000-0000-0000C1490000}"/>
    <cellStyle name="Total 2 3 7 3" xfId="16939" xr:uid="{00000000-0005-0000-0000-0000C2490000}"/>
    <cellStyle name="Total 2 3 7 4" xfId="17964" xr:uid="{00000000-0005-0000-0000-0000C3490000}"/>
    <cellStyle name="Total 2 3 7 5" xfId="18934" xr:uid="{00000000-0005-0000-0000-0000C4490000}"/>
    <cellStyle name="Total 2 3 7 6" xfId="19840" xr:uid="{00000000-0005-0000-0000-0000C5490000}"/>
    <cellStyle name="Total 2 3 8" xfId="12224" xr:uid="{00000000-0005-0000-0000-0000C6490000}"/>
    <cellStyle name="Total 2 3 9" xfId="13669" xr:uid="{00000000-0005-0000-0000-0000C7490000}"/>
    <cellStyle name="Total 2 4" xfId="2206" xr:uid="{00000000-0005-0000-0000-0000C8490000}"/>
    <cellStyle name="Total 2 5" xfId="165" xr:uid="{00000000-0005-0000-0000-0000C9490000}"/>
    <cellStyle name="Total 3" xfId="472" xr:uid="{00000000-0005-0000-0000-0000CA490000}"/>
    <cellStyle name="Total 3 2" xfId="863" xr:uid="{00000000-0005-0000-0000-0000CB490000}"/>
    <cellStyle name="Total 3 3" xfId="1033" xr:uid="{00000000-0005-0000-0000-0000CC490000}"/>
    <cellStyle name="Total 3 3 10" xfId="12914" xr:uid="{00000000-0005-0000-0000-0000CD490000}"/>
    <cellStyle name="Total 3 3 11" xfId="15273" xr:uid="{00000000-0005-0000-0000-0000CE490000}"/>
    <cellStyle name="Total 3 3 12" xfId="12861" xr:uid="{00000000-0005-0000-0000-0000CF490000}"/>
    <cellStyle name="Total 3 3 2" xfId="1124" xr:uid="{00000000-0005-0000-0000-0000D0490000}"/>
    <cellStyle name="Total 3 3 2 2" xfId="2714" xr:uid="{00000000-0005-0000-0000-0000D1490000}"/>
    <cellStyle name="Total 3 3 2 2 10" xfId="17450" xr:uid="{00000000-0005-0000-0000-0000D2490000}"/>
    <cellStyle name="Total 3 3 2 2 11" xfId="15059" xr:uid="{00000000-0005-0000-0000-0000D3490000}"/>
    <cellStyle name="Total 3 3 2 2 2" xfId="6114" xr:uid="{00000000-0005-0000-0000-0000D4490000}"/>
    <cellStyle name="Total 3 3 2 2 2 2" xfId="11210" xr:uid="{00000000-0005-0000-0000-0000D5490000}"/>
    <cellStyle name="Total 3 3 2 2 2 2 2" xfId="15516" xr:uid="{00000000-0005-0000-0000-0000D6490000}"/>
    <cellStyle name="Total 3 3 2 2 2 2 3" xfId="16595" xr:uid="{00000000-0005-0000-0000-0000D7490000}"/>
    <cellStyle name="Total 3 3 2 2 2 2 4" xfId="17629" xr:uid="{00000000-0005-0000-0000-0000D8490000}"/>
    <cellStyle name="Total 3 3 2 2 2 2 5" xfId="18599" xr:uid="{00000000-0005-0000-0000-0000D9490000}"/>
    <cellStyle name="Total 3 3 2 2 2 2 6" xfId="19505" xr:uid="{00000000-0005-0000-0000-0000DA490000}"/>
    <cellStyle name="Total 3 3 2 2 2 3" xfId="11792" xr:uid="{00000000-0005-0000-0000-0000DB490000}"/>
    <cellStyle name="Total 3 3 2 2 2 3 2" xfId="16098" xr:uid="{00000000-0005-0000-0000-0000DC490000}"/>
    <cellStyle name="Total 3 3 2 2 2 3 3" xfId="17177" xr:uid="{00000000-0005-0000-0000-0000DD490000}"/>
    <cellStyle name="Total 3 3 2 2 2 3 4" xfId="18199" xr:uid="{00000000-0005-0000-0000-0000DE490000}"/>
    <cellStyle name="Total 3 3 2 2 2 3 5" xfId="19169" xr:uid="{00000000-0005-0000-0000-0000DF490000}"/>
    <cellStyle name="Total 3 3 2 2 2 3 6" xfId="20075" xr:uid="{00000000-0005-0000-0000-0000E0490000}"/>
    <cellStyle name="Total 3 3 2 2 2 4" xfId="11964" xr:uid="{00000000-0005-0000-0000-0000E1490000}"/>
    <cellStyle name="Total 3 3 2 2 2 4 2" xfId="16270" xr:uid="{00000000-0005-0000-0000-0000E2490000}"/>
    <cellStyle name="Total 3 3 2 2 2 4 3" xfId="17349" xr:uid="{00000000-0005-0000-0000-0000E3490000}"/>
    <cellStyle name="Total 3 3 2 2 2 4 4" xfId="18367" xr:uid="{00000000-0005-0000-0000-0000E4490000}"/>
    <cellStyle name="Total 3 3 2 2 2 4 5" xfId="19337" xr:uid="{00000000-0005-0000-0000-0000E5490000}"/>
    <cellStyle name="Total 3 3 2 2 2 4 6" xfId="20243" xr:uid="{00000000-0005-0000-0000-0000E6490000}"/>
    <cellStyle name="Total 3 3 2 2 2 5" xfId="13847" xr:uid="{00000000-0005-0000-0000-0000E7490000}"/>
    <cellStyle name="Total 3 3 2 2 2 6" xfId="14552" xr:uid="{00000000-0005-0000-0000-0000E8490000}"/>
    <cellStyle name="Total 3 3 2 2 2 7" xfId="14503" xr:uid="{00000000-0005-0000-0000-0000E9490000}"/>
    <cellStyle name="Total 3 3 2 2 2 8" xfId="14587" xr:uid="{00000000-0005-0000-0000-0000EA490000}"/>
    <cellStyle name="Total 3 3 2 2 2 9" xfId="18420" xr:uid="{00000000-0005-0000-0000-0000EB490000}"/>
    <cellStyle name="Total 3 3 2 2 3" xfId="5122" xr:uid="{00000000-0005-0000-0000-0000EC490000}"/>
    <cellStyle name="Total 3 3 2 2 3 2" xfId="10218" xr:uid="{00000000-0005-0000-0000-0000ED490000}"/>
    <cellStyle name="Total 3 3 2 2 3 2 2" xfId="15156" xr:uid="{00000000-0005-0000-0000-0000EE490000}"/>
    <cellStyle name="Total 3 3 2 2 3 2 3" xfId="12676" xr:uid="{00000000-0005-0000-0000-0000EF490000}"/>
    <cellStyle name="Total 3 3 2 2 3 2 4" xfId="14973" xr:uid="{00000000-0005-0000-0000-0000F0490000}"/>
    <cellStyle name="Total 3 3 2 2 3 2 5" xfId="14260" xr:uid="{00000000-0005-0000-0000-0000F1490000}"/>
    <cellStyle name="Total 3 3 2 2 3 2 6" xfId="12650" xr:uid="{00000000-0005-0000-0000-0000F2490000}"/>
    <cellStyle name="Total 3 3 2 2 3 3" xfId="11600" xr:uid="{00000000-0005-0000-0000-0000F3490000}"/>
    <cellStyle name="Total 3 3 2 2 3 3 2" xfId="15906" xr:uid="{00000000-0005-0000-0000-0000F4490000}"/>
    <cellStyle name="Total 3 3 2 2 3 3 3" xfId="16985" xr:uid="{00000000-0005-0000-0000-0000F5490000}"/>
    <cellStyle name="Total 3 3 2 2 3 3 4" xfId="18009" xr:uid="{00000000-0005-0000-0000-0000F6490000}"/>
    <cellStyle name="Total 3 3 2 2 3 3 5" xfId="18979" xr:uid="{00000000-0005-0000-0000-0000F7490000}"/>
    <cellStyle name="Total 3 3 2 2 3 3 6" xfId="19885" xr:uid="{00000000-0005-0000-0000-0000F8490000}"/>
    <cellStyle name="Total 3 3 2 2 3 4" xfId="11331" xr:uid="{00000000-0005-0000-0000-0000F9490000}"/>
    <cellStyle name="Total 3 3 2 2 3 4 2" xfId="15637" xr:uid="{00000000-0005-0000-0000-0000FA490000}"/>
    <cellStyle name="Total 3 3 2 2 3 4 3" xfId="16716" xr:uid="{00000000-0005-0000-0000-0000FB490000}"/>
    <cellStyle name="Total 3 3 2 2 3 4 4" xfId="17745" xr:uid="{00000000-0005-0000-0000-0000FC490000}"/>
    <cellStyle name="Total 3 3 2 2 3 4 5" xfId="18715" xr:uid="{00000000-0005-0000-0000-0000FD490000}"/>
    <cellStyle name="Total 3 3 2 2 3 4 6" xfId="19621" xr:uid="{00000000-0005-0000-0000-0000FE490000}"/>
    <cellStyle name="Total 3 3 2 2 3 5" xfId="13476" xr:uid="{00000000-0005-0000-0000-0000FF490000}"/>
    <cellStyle name="Total 3 3 2 2 3 6" xfId="14681" xr:uid="{00000000-0005-0000-0000-0000004A0000}"/>
    <cellStyle name="Total 3 3 2 2 3 7" xfId="14364" xr:uid="{00000000-0005-0000-0000-0000014A0000}"/>
    <cellStyle name="Total 3 3 2 2 3 8" xfId="14929" xr:uid="{00000000-0005-0000-0000-0000024A0000}"/>
    <cellStyle name="Total 3 3 2 2 3 9" xfId="12467" xr:uid="{00000000-0005-0000-0000-0000034A0000}"/>
    <cellStyle name="Total 3 3 2 2 4" xfId="7817" xr:uid="{00000000-0005-0000-0000-0000044A0000}"/>
    <cellStyle name="Total 3 3 2 2 4 2" xfId="14468" xr:uid="{00000000-0005-0000-0000-0000054A0000}"/>
    <cellStyle name="Total 3 3 2 2 4 3" xfId="14766" xr:uid="{00000000-0005-0000-0000-0000064A0000}"/>
    <cellStyle name="Total 3 3 2 2 4 4" xfId="13155" xr:uid="{00000000-0005-0000-0000-0000074A0000}"/>
    <cellStyle name="Total 3 3 2 2 4 5" xfId="15027" xr:uid="{00000000-0005-0000-0000-0000084A0000}"/>
    <cellStyle name="Total 3 3 2 2 4 6" xfId="13610" xr:uid="{00000000-0005-0000-0000-0000094A0000}"/>
    <cellStyle name="Total 3 3 2 2 5" xfId="11400" xr:uid="{00000000-0005-0000-0000-00000A4A0000}"/>
    <cellStyle name="Total 3 3 2 2 5 2" xfId="15706" xr:uid="{00000000-0005-0000-0000-00000B4A0000}"/>
    <cellStyle name="Total 3 3 2 2 5 3" xfId="16785" xr:uid="{00000000-0005-0000-0000-00000C4A0000}"/>
    <cellStyle name="Total 3 3 2 2 5 4" xfId="17814" xr:uid="{00000000-0005-0000-0000-00000D4A0000}"/>
    <cellStyle name="Total 3 3 2 2 5 5" xfId="18784" xr:uid="{00000000-0005-0000-0000-00000E4A0000}"/>
    <cellStyle name="Total 3 3 2 2 5 6" xfId="19690" xr:uid="{00000000-0005-0000-0000-00000F4A0000}"/>
    <cellStyle name="Total 3 3 2 2 6" xfId="11431" xr:uid="{00000000-0005-0000-0000-0000104A0000}"/>
    <cellStyle name="Total 3 3 2 2 6 2" xfId="15737" xr:uid="{00000000-0005-0000-0000-0000114A0000}"/>
    <cellStyle name="Total 3 3 2 2 6 3" xfId="16816" xr:uid="{00000000-0005-0000-0000-0000124A0000}"/>
    <cellStyle name="Total 3 3 2 2 6 4" xfId="17844" xr:uid="{00000000-0005-0000-0000-0000134A0000}"/>
    <cellStyle name="Total 3 3 2 2 6 5" xfId="18814" xr:uid="{00000000-0005-0000-0000-0000144A0000}"/>
    <cellStyle name="Total 3 3 2 2 6 6" xfId="19720" xr:uid="{00000000-0005-0000-0000-0000154A0000}"/>
    <cellStyle name="Total 3 3 2 2 7" xfId="12771" xr:uid="{00000000-0005-0000-0000-0000164A0000}"/>
    <cellStyle name="Total 3 3 2 2 8" xfId="14969" xr:uid="{00000000-0005-0000-0000-0000174A0000}"/>
    <cellStyle name="Total 3 3 2 2 9" xfId="13146" xr:uid="{00000000-0005-0000-0000-0000184A0000}"/>
    <cellStyle name="Total 3 3 2 3" xfId="3939" xr:uid="{00000000-0005-0000-0000-0000194A0000}"/>
    <cellStyle name="Total 3 3 2 3 2" xfId="9038" xr:uid="{00000000-0005-0000-0000-00001A4A0000}"/>
    <cellStyle name="Total 3 3 2 3 2 2" xfId="14816" xr:uid="{00000000-0005-0000-0000-00001B4A0000}"/>
    <cellStyle name="Total 3 3 2 3 2 3" xfId="15079" xr:uid="{00000000-0005-0000-0000-00001C4A0000}"/>
    <cellStyle name="Total 3 3 2 3 2 4" xfId="14756" xr:uid="{00000000-0005-0000-0000-00001D4A0000}"/>
    <cellStyle name="Total 3 3 2 3 2 5" xfId="13504" xr:uid="{00000000-0005-0000-0000-00001E4A0000}"/>
    <cellStyle name="Total 3 3 2 3 2 6" xfId="13077" xr:uid="{00000000-0005-0000-0000-00001F4A0000}"/>
    <cellStyle name="Total 3 3 2 3 3" xfId="11506" xr:uid="{00000000-0005-0000-0000-0000204A0000}"/>
    <cellStyle name="Total 3 3 2 3 3 2" xfId="15812" xr:uid="{00000000-0005-0000-0000-0000214A0000}"/>
    <cellStyle name="Total 3 3 2 3 3 3" xfId="16891" xr:uid="{00000000-0005-0000-0000-0000224A0000}"/>
    <cellStyle name="Total 3 3 2 3 3 4" xfId="17917" xr:uid="{00000000-0005-0000-0000-0000234A0000}"/>
    <cellStyle name="Total 3 3 2 3 3 5" xfId="18887" xr:uid="{00000000-0005-0000-0000-0000244A0000}"/>
    <cellStyle name="Total 3 3 2 3 3 6" xfId="19793" xr:uid="{00000000-0005-0000-0000-0000254A0000}"/>
    <cellStyle name="Total 3 3 2 3 4" xfId="6184" xr:uid="{00000000-0005-0000-0000-0000264A0000}"/>
    <cellStyle name="Total 3 3 2 3 4 2" xfId="13916" xr:uid="{00000000-0005-0000-0000-0000274A0000}"/>
    <cellStyle name="Total 3 3 2 3 4 3" xfId="14133" xr:uid="{00000000-0005-0000-0000-0000284A0000}"/>
    <cellStyle name="Total 3 3 2 3 4 4" xfId="14523" xr:uid="{00000000-0005-0000-0000-0000294A0000}"/>
    <cellStyle name="Total 3 3 2 3 4 5" xfId="12556" xr:uid="{00000000-0005-0000-0000-00002A4A0000}"/>
    <cellStyle name="Total 3 3 2 3 4 6" xfId="15243" xr:uid="{00000000-0005-0000-0000-00002B4A0000}"/>
    <cellStyle name="Total 3 3 2 3 5" xfId="13128" xr:uid="{00000000-0005-0000-0000-00002C4A0000}"/>
    <cellStyle name="Total 3 3 2 3 6" xfId="14189" xr:uid="{00000000-0005-0000-0000-00002D4A0000}"/>
    <cellStyle name="Total 3 3 2 3 7" xfId="12011" xr:uid="{00000000-0005-0000-0000-00002E4A0000}"/>
    <cellStyle name="Total 3 3 2 3 8" xfId="14943" xr:uid="{00000000-0005-0000-0000-00002F4A0000}"/>
    <cellStyle name="Total 3 3 2 3 9" xfId="13615" xr:uid="{00000000-0005-0000-0000-0000304A0000}"/>
    <cellStyle name="Total 3 3 3" xfId="2663" xr:uid="{00000000-0005-0000-0000-0000314A0000}"/>
    <cellStyle name="Total 3 3 3 10" xfId="12301" xr:uid="{00000000-0005-0000-0000-0000324A0000}"/>
    <cellStyle name="Total 3 3 3 2" xfId="6079" xr:uid="{00000000-0005-0000-0000-0000334A0000}"/>
    <cellStyle name="Total 3 3 3 2 2" xfId="11175" xr:uid="{00000000-0005-0000-0000-0000344A0000}"/>
    <cellStyle name="Total 3 3 3 2 2 2" xfId="15481" xr:uid="{00000000-0005-0000-0000-0000354A0000}"/>
    <cellStyle name="Total 3 3 3 2 2 3" xfId="16560" xr:uid="{00000000-0005-0000-0000-0000364A0000}"/>
    <cellStyle name="Total 3 3 3 2 2 4" xfId="17594" xr:uid="{00000000-0005-0000-0000-0000374A0000}"/>
    <cellStyle name="Total 3 3 3 2 2 5" xfId="18564" xr:uid="{00000000-0005-0000-0000-0000384A0000}"/>
    <cellStyle name="Total 3 3 3 2 2 6" xfId="19470" xr:uid="{00000000-0005-0000-0000-0000394A0000}"/>
    <cellStyle name="Total 3 3 3 2 3" xfId="11757" xr:uid="{00000000-0005-0000-0000-00003A4A0000}"/>
    <cellStyle name="Total 3 3 3 2 3 2" xfId="16063" xr:uid="{00000000-0005-0000-0000-00003B4A0000}"/>
    <cellStyle name="Total 3 3 3 2 3 3" xfId="17142" xr:uid="{00000000-0005-0000-0000-00003C4A0000}"/>
    <cellStyle name="Total 3 3 3 2 3 4" xfId="18164" xr:uid="{00000000-0005-0000-0000-00003D4A0000}"/>
    <cellStyle name="Total 3 3 3 2 3 5" xfId="19134" xr:uid="{00000000-0005-0000-0000-00003E4A0000}"/>
    <cellStyle name="Total 3 3 3 2 3 6" xfId="20040" xr:uid="{00000000-0005-0000-0000-00003F4A0000}"/>
    <cellStyle name="Total 3 3 3 2 4" xfId="11929" xr:uid="{00000000-0005-0000-0000-0000404A0000}"/>
    <cellStyle name="Total 3 3 3 2 4 2" xfId="16235" xr:uid="{00000000-0005-0000-0000-0000414A0000}"/>
    <cellStyle name="Total 3 3 3 2 4 3" xfId="17314" xr:uid="{00000000-0005-0000-0000-0000424A0000}"/>
    <cellStyle name="Total 3 3 3 2 4 4" xfId="18332" xr:uid="{00000000-0005-0000-0000-0000434A0000}"/>
    <cellStyle name="Total 3 3 3 2 4 5" xfId="19302" xr:uid="{00000000-0005-0000-0000-0000444A0000}"/>
    <cellStyle name="Total 3 3 3 2 4 6" xfId="20208" xr:uid="{00000000-0005-0000-0000-0000454A0000}"/>
    <cellStyle name="Total 3 3 3 2 5" xfId="13812" xr:uid="{00000000-0005-0000-0000-0000464A0000}"/>
    <cellStyle name="Total 3 3 3 2 6" xfId="12381" xr:uid="{00000000-0005-0000-0000-0000474A0000}"/>
    <cellStyle name="Total 3 3 3 2 7" xfId="14643" xr:uid="{00000000-0005-0000-0000-0000484A0000}"/>
    <cellStyle name="Total 3 3 3 2 8" xfId="17479" xr:uid="{00000000-0005-0000-0000-0000494A0000}"/>
    <cellStyle name="Total 3 3 3 2 9" xfId="13257" xr:uid="{00000000-0005-0000-0000-00004A4A0000}"/>
    <cellStyle name="Total 3 3 3 3" xfId="7766" xr:uid="{00000000-0005-0000-0000-00004B4A0000}"/>
    <cellStyle name="Total 3 3 3 3 2" xfId="14432" xr:uid="{00000000-0005-0000-0000-00004C4A0000}"/>
    <cellStyle name="Total 3 3 3 3 3" xfId="14855" xr:uid="{00000000-0005-0000-0000-00004D4A0000}"/>
    <cellStyle name="Total 3 3 3 3 4" xfId="14760" xr:uid="{00000000-0005-0000-0000-00004E4A0000}"/>
    <cellStyle name="Total 3 3 3 3 5" xfId="14718" xr:uid="{00000000-0005-0000-0000-00004F4A0000}"/>
    <cellStyle name="Total 3 3 3 3 6" xfId="12462" xr:uid="{00000000-0005-0000-0000-0000504A0000}"/>
    <cellStyle name="Total 3 3 3 4" xfId="11365" xr:uid="{00000000-0005-0000-0000-0000514A0000}"/>
    <cellStyle name="Total 3 3 3 4 2" xfId="15671" xr:uid="{00000000-0005-0000-0000-0000524A0000}"/>
    <cellStyle name="Total 3 3 3 4 3" xfId="16750" xr:uid="{00000000-0005-0000-0000-0000534A0000}"/>
    <cellStyle name="Total 3 3 3 4 4" xfId="17779" xr:uid="{00000000-0005-0000-0000-0000544A0000}"/>
    <cellStyle name="Total 3 3 3 4 5" xfId="18749" xr:uid="{00000000-0005-0000-0000-0000554A0000}"/>
    <cellStyle name="Total 3 3 3 4 6" xfId="19655" xr:uid="{00000000-0005-0000-0000-0000564A0000}"/>
    <cellStyle name="Total 3 3 3 5" xfId="11276" xr:uid="{00000000-0005-0000-0000-0000574A0000}"/>
    <cellStyle name="Total 3 3 3 5 2" xfId="15582" xr:uid="{00000000-0005-0000-0000-0000584A0000}"/>
    <cellStyle name="Total 3 3 3 5 3" xfId="16661" xr:uid="{00000000-0005-0000-0000-0000594A0000}"/>
    <cellStyle name="Total 3 3 3 5 4" xfId="17691" xr:uid="{00000000-0005-0000-0000-00005A4A0000}"/>
    <cellStyle name="Total 3 3 3 5 5" xfId="18661" xr:uid="{00000000-0005-0000-0000-00005B4A0000}"/>
    <cellStyle name="Total 3 3 3 5 6" xfId="19567" xr:uid="{00000000-0005-0000-0000-00005C4A0000}"/>
    <cellStyle name="Total 3 3 3 6" xfId="12733" xr:uid="{00000000-0005-0000-0000-00005D4A0000}"/>
    <cellStyle name="Total 3 3 3 7" xfId="12245" xr:uid="{00000000-0005-0000-0000-00005E4A0000}"/>
    <cellStyle name="Total 3 3 3 8" xfId="14651" xr:uid="{00000000-0005-0000-0000-00005F4A0000}"/>
    <cellStyle name="Total 3 3 3 9" xfId="14564" xr:uid="{00000000-0005-0000-0000-0000604A0000}"/>
    <cellStyle name="Total 3 3 4" xfId="6004" xr:uid="{00000000-0005-0000-0000-0000614A0000}"/>
    <cellStyle name="Total 3 3 4 2" xfId="11100" xr:uid="{00000000-0005-0000-0000-0000624A0000}"/>
    <cellStyle name="Total 3 3 4 2 2" xfId="15406" xr:uid="{00000000-0005-0000-0000-0000634A0000}"/>
    <cellStyle name="Total 3 3 4 2 3" xfId="16485" xr:uid="{00000000-0005-0000-0000-0000644A0000}"/>
    <cellStyle name="Total 3 3 4 2 4" xfId="17520" xr:uid="{00000000-0005-0000-0000-0000654A0000}"/>
    <cellStyle name="Total 3 3 4 2 5" xfId="18490" xr:uid="{00000000-0005-0000-0000-0000664A0000}"/>
    <cellStyle name="Total 3 3 4 2 6" xfId="19396" xr:uid="{00000000-0005-0000-0000-0000674A0000}"/>
    <cellStyle name="Total 3 3 4 3" xfId="11682" xr:uid="{00000000-0005-0000-0000-0000684A0000}"/>
    <cellStyle name="Total 3 3 4 3 2" xfId="15988" xr:uid="{00000000-0005-0000-0000-0000694A0000}"/>
    <cellStyle name="Total 3 3 4 3 3" xfId="17067" xr:uid="{00000000-0005-0000-0000-00006A4A0000}"/>
    <cellStyle name="Total 3 3 4 3 4" xfId="18090" xr:uid="{00000000-0005-0000-0000-00006B4A0000}"/>
    <cellStyle name="Total 3 3 4 3 5" xfId="19060" xr:uid="{00000000-0005-0000-0000-00006C4A0000}"/>
    <cellStyle name="Total 3 3 4 3 6" xfId="19966" xr:uid="{00000000-0005-0000-0000-00006D4A0000}"/>
    <cellStyle name="Total 3 3 4 4" xfId="11854" xr:uid="{00000000-0005-0000-0000-00006E4A0000}"/>
    <cellStyle name="Total 3 3 4 4 2" xfId="16160" xr:uid="{00000000-0005-0000-0000-00006F4A0000}"/>
    <cellStyle name="Total 3 3 4 4 3" xfId="17239" xr:uid="{00000000-0005-0000-0000-0000704A0000}"/>
    <cellStyle name="Total 3 3 4 4 4" xfId="18258" xr:uid="{00000000-0005-0000-0000-0000714A0000}"/>
    <cellStyle name="Total 3 3 4 4 5" xfId="19228" xr:uid="{00000000-0005-0000-0000-0000724A0000}"/>
    <cellStyle name="Total 3 3 4 4 6" xfId="20134" xr:uid="{00000000-0005-0000-0000-0000734A0000}"/>
    <cellStyle name="Total 3 3 4 5" xfId="13737" xr:uid="{00000000-0005-0000-0000-0000744A0000}"/>
    <cellStyle name="Total 3 3 4 6" xfId="15370" xr:uid="{00000000-0005-0000-0000-0000754A0000}"/>
    <cellStyle name="Total 3 3 4 7" xfId="16449" xr:uid="{00000000-0005-0000-0000-0000764A0000}"/>
    <cellStyle name="Total 3 3 4 8" xfId="12303" xr:uid="{00000000-0005-0000-0000-0000774A0000}"/>
    <cellStyle name="Total 3 3 4 9" xfId="14750" xr:uid="{00000000-0005-0000-0000-0000784A0000}"/>
    <cellStyle name="Total 3 3 5" xfId="6510" xr:uid="{00000000-0005-0000-0000-0000794A0000}"/>
    <cellStyle name="Total 3 3 5 2" xfId="14023" xr:uid="{00000000-0005-0000-0000-00007A4A0000}"/>
    <cellStyle name="Total 3 3 5 3" xfId="12361" xr:uid="{00000000-0005-0000-0000-00007B4A0000}"/>
    <cellStyle name="Total 3 3 5 4" xfId="14645" xr:uid="{00000000-0005-0000-0000-00007C4A0000}"/>
    <cellStyle name="Total 3 3 5 5" xfId="17401" xr:uid="{00000000-0005-0000-0000-00007D4A0000}"/>
    <cellStyle name="Total 3 3 5 6" xfId="14967" xr:uid="{00000000-0005-0000-0000-00007E4A0000}"/>
    <cellStyle name="Total 3 3 6" xfId="6673" xr:uid="{00000000-0005-0000-0000-00007F4A0000}"/>
    <cellStyle name="Total 3 3 6 2" xfId="14081" xr:uid="{00000000-0005-0000-0000-0000804A0000}"/>
    <cellStyle name="Total 3 3 6 3" xfId="14109" xr:uid="{00000000-0005-0000-0000-0000814A0000}"/>
    <cellStyle name="Total 3 3 6 4" xfId="12828" xr:uid="{00000000-0005-0000-0000-0000824A0000}"/>
    <cellStyle name="Total 3 3 6 5" xfId="14209" xr:uid="{00000000-0005-0000-0000-0000834A0000}"/>
    <cellStyle name="Total 3 3 6 6" xfId="14748" xr:uid="{00000000-0005-0000-0000-0000844A0000}"/>
    <cellStyle name="Total 3 3 7" xfId="11643" xr:uid="{00000000-0005-0000-0000-0000854A0000}"/>
    <cellStyle name="Total 3 3 7 2" xfId="15949" xr:uid="{00000000-0005-0000-0000-0000864A0000}"/>
    <cellStyle name="Total 3 3 7 3" xfId="17028" xr:uid="{00000000-0005-0000-0000-0000874A0000}"/>
    <cellStyle name="Total 3 3 7 4" xfId="18052" xr:uid="{00000000-0005-0000-0000-0000884A0000}"/>
    <cellStyle name="Total 3 3 7 5" xfId="19022" xr:uid="{00000000-0005-0000-0000-0000894A0000}"/>
    <cellStyle name="Total 3 3 7 6" xfId="19928" xr:uid="{00000000-0005-0000-0000-00008A4A0000}"/>
    <cellStyle name="Total 3 3 8" xfId="12225" xr:uid="{00000000-0005-0000-0000-00008B4A0000}"/>
    <cellStyle name="Total 3 3 9" xfId="12971" xr:uid="{00000000-0005-0000-0000-00008C4A0000}"/>
    <cellStyle name="Total 4" xfId="473" xr:uid="{00000000-0005-0000-0000-00008D4A0000}"/>
    <cellStyle name="Total 4 2" xfId="1034" xr:uid="{00000000-0005-0000-0000-00008E4A0000}"/>
    <cellStyle name="Total 4 2 10" xfId="15056" xr:uid="{00000000-0005-0000-0000-00008F4A0000}"/>
    <cellStyle name="Total 4 2 11" xfId="14055" xr:uid="{00000000-0005-0000-0000-0000904A0000}"/>
    <cellStyle name="Total 4 2 12" xfId="13496" xr:uid="{00000000-0005-0000-0000-0000914A0000}"/>
    <cellStyle name="Total 4 2 2" xfId="1125" xr:uid="{00000000-0005-0000-0000-0000924A0000}"/>
    <cellStyle name="Total 4 2 2 2" xfId="2715" xr:uid="{00000000-0005-0000-0000-0000934A0000}"/>
    <cellStyle name="Total 4 2 2 2 10" xfId="12281" xr:uid="{00000000-0005-0000-0000-0000944A0000}"/>
    <cellStyle name="Total 4 2 2 2 11" xfId="16419" xr:uid="{00000000-0005-0000-0000-0000954A0000}"/>
    <cellStyle name="Total 4 2 2 2 2" xfId="6115" xr:uid="{00000000-0005-0000-0000-0000964A0000}"/>
    <cellStyle name="Total 4 2 2 2 2 2" xfId="11211" xr:uid="{00000000-0005-0000-0000-0000974A0000}"/>
    <cellStyle name="Total 4 2 2 2 2 2 2" xfId="15517" xr:uid="{00000000-0005-0000-0000-0000984A0000}"/>
    <cellStyle name="Total 4 2 2 2 2 2 3" xfId="16596" xr:uid="{00000000-0005-0000-0000-0000994A0000}"/>
    <cellStyle name="Total 4 2 2 2 2 2 4" xfId="17630" xr:uid="{00000000-0005-0000-0000-00009A4A0000}"/>
    <cellStyle name="Total 4 2 2 2 2 2 5" xfId="18600" xr:uid="{00000000-0005-0000-0000-00009B4A0000}"/>
    <cellStyle name="Total 4 2 2 2 2 2 6" xfId="19506" xr:uid="{00000000-0005-0000-0000-00009C4A0000}"/>
    <cellStyle name="Total 4 2 2 2 2 3" xfId="11793" xr:uid="{00000000-0005-0000-0000-00009D4A0000}"/>
    <cellStyle name="Total 4 2 2 2 2 3 2" xfId="16099" xr:uid="{00000000-0005-0000-0000-00009E4A0000}"/>
    <cellStyle name="Total 4 2 2 2 2 3 3" xfId="17178" xr:uid="{00000000-0005-0000-0000-00009F4A0000}"/>
    <cellStyle name="Total 4 2 2 2 2 3 4" xfId="18200" xr:uid="{00000000-0005-0000-0000-0000A04A0000}"/>
    <cellStyle name="Total 4 2 2 2 2 3 5" xfId="19170" xr:uid="{00000000-0005-0000-0000-0000A14A0000}"/>
    <cellStyle name="Total 4 2 2 2 2 3 6" xfId="20076" xr:uid="{00000000-0005-0000-0000-0000A24A0000}"/>
    <cellStyle name="Total 4 2 2 2 2 4" xfId="11965" xr:uid="{00000000-0005-0000-0000-0000A34A0000}"/>
    <cellStyle name="Total 4 2 2 2 2 4 2" xfId="16271" xr:uid="{00000000-0005-0000-0000-0000A44A0000}"/>
    <cellStyle name="Total 4 2 2 2 2 4 3" xfId="17350" xr:uid="{00000000-0005-0000-0000-0000A54A0000}"/>
    <cellStyle name="Total 4 2 2 2 2 4 4" xfId="18368" xr:uid="{00000000-0005-0000-0000-0000A64A0000}"/>
    <cellStyle name="Total 4 2 2 2 2 4 5" xfId="19338" xr:uid="{00000000-0005-0000-0000-0000A74A0000}"/>
    <cellStyle name="Total 4 2 2 2 2 4 6" xfId="20244" xr:uid="{00000000-0005-0000-0000-0000A84A0000}"/>
    <cellStyle name="Total 4 2 2 2 2 5" xfId="13848" xr:uid="{00000000-0005-0000-0000-0000A94A0000}"/>
    <cellStyle name="Total 4 2 2 2 2 6" xfId="15229" xr:uid="{00000000-0005-0000-0000-0000AA4A0000}"/>
    <cellStyle name="Total 4 2 2 2 2 7" xfId="16341" xr:uid="{00000000-0005-0000-0000-0000AB4A0000}"/>
    <cellStyle name="Total 4 2 2 2 2 8" xfId="13672" xr:uid="{00000000-0005-0000-0000-0000AC4A0000}"/>
    <cellStyle name="Total 4 2 2 2 2 9" xfId="14258" xr:uid="{00000000-0005-0000-0000-0000AD4A0000}"/>
    <cellStyle name="Total 4 2 2 2 3" xfId="5123" xr:uid="{00000000-0005-0000-0000-0000AE4A0000}"/>
    <cellStyle name="Total 4 2 2 2 3 2" xfId="10219" xr:uid="{00000000-0005-0000-0000-0000AF4A0000}"/>
    <cellStyle name="Total 4 2 2 2 3 2 2" xfId="15157" xr:uid="{00000000-0005-0000-0000-0000B04A0000}"/>
    <cellStyle name="Total 4 2 2 2 3 2 3" xfId="14053" xr:uid="{00000000-0005-0000-0000-0000B14A0000}"/>
    <cellStyle name="Total 4 2 2 2 3 2 4" xfId="14120" xr:uid="{00000000-0005-0000-0000-0000B24A0000}"/>
    <cellStyle name="Total 4 2 2 2 3 2 5" xfId="12495" xr:uid="{00000000-0005-0000-0000-0000B34A0000}"/>
    <cellStyle name="Total 4 2 2 2 3 2 6" xfId="14880" xr:uid="{00000000-0005-0000-0000-0000B44A0000}"/>
    <cellStyle name="Total 4 2 2 2 3 3" xfId="11601" xr:uid="{00000000-0005-0000-0000-0000B54A0000}"/>
    <cellStyle name="Total 4 2 2 2 3 3 2" xfId="15907" xr:uid="{00000000-0005-0000-0000-0000B64A0000}"/>
    <cellStyle name="Total 4 2 2 2 3 3 3" xfId="16986" xr:uid="{00000000-0005-0000-0000-0000B74A0000}"/>
    <cellStyle name="Total 4 2 2 2 3 3 4" xfId="18010" xr:uid="{00000000-0005-0000-0000-0000B84A0000}"/>
    <cellStyle name="Total 4 2 2 2 3 3 5" xfId="18980" xr:uid="{00000000-0005-0000-0000-0000B94A0000}"/>
    <cellStyle name="Total 4 2 2 2 3 3 6" xfId="19886" xr:uid="{00000000-0005-0000-0000-0000BA4A0000}"/>
    <cellStyle name="Total 4 2 2 2 3 4" xfId="11513" xr:uid="{00000000-0005-0000-0000-0000BB4A0000}"/>
    <cellStyle name="Total 4 2 2 2 3 4 2" xfId="15819" xr:uid="{00000000-0005-0000-0000-0000BC4A0000}"/>
    <cellStyle name="Total 4 2 2 2 3 4 3" xfId="16898" xr:uid="{00000000-0005-0000-0000-0000BD4A0000}"/>
    <cellStyle name="Total 4 2 2 2 3 4 4" xfId="17924" xr:uid="{00000000-0005-0000-0000-0000BE4A0000}"/>
    <cellStyle name="Total 4 2 2 2 3 4 5" xfId="18894" xr:uid="{00000000-0005-0000-0000-0000BF4A0000}"/>
    <cellStyle name="Total 4 2 2 2 3 4 6" xfId="19800" xr:uid="{00000000-0005-0000-0000-0000C04A0000}"/>
    <cellStyle name="Total 4 2 2 2 3 5" xfId="13477" xr:uid="{00000000-0005-0000-0000-0000C14A0000}"/>
    <cellStyle name="Total 4 2 2 2 3 6" xfId="15362" xr:uid="{00000000-0005-0000-0000-0000C24A0000}"/>
    <cellStyle name="Total 4 2 2 2 3 7" xfId="16443" xr:uid="{00000000-0005-0000-0000-0000C34A0000}"/>
    <cellStyle name="Total 4 2 2 2 3 8" xfId="13301" xr:uid="{00000000-0005-0000-0000-0000C44A0000}"/>
    <cellStyle name="Total 4 2 2 2 3 9" xfId="18455" xr:uid="{00000000-0005-0000-0000-0000C54A0000}"/>
    <cellStyle name="Total 4 2 2 2 4" xfId="7818" xr:uid="{00000000-0005-0000-0000-0000C64A0000}"/>
    <cellStyle name="Total 4 2 2 2 4 2" xfId="14469" xr:uid="{00000000-0005-0000-0000-0000C74A0000}"/>
    <cellStyle name="Total 4 2 2 2 4 3" xfId="13080" xr:uid="{00000000-0005-0000-0000-0000C84A0000}"/>
    <cellStyle name="Total 4 2 2 2 4 4" xfId="13608" xr:uid="{00000000-0005-0000-0000-0000C94A0000}"/>
    <cellStyle name="Total 4 2 2 2 4 5" xfId="16377" xr:uid="{00000000-0005-0000-0000-0000CA4A0000}"/>
    <cellStyle name="Total 4 2 2 2 4 6" xfId="13952" xr:uid="{00000000-0005-0000-0000-0000CB4A0000}"/>
    <cellStyle name="Total 4 2 2 2 5" xfId="11401" xr:uid="{00000000-0005-0000-0000-0000CC4A0000}"/>
    <cellStyle name="Total 4 2 2 2 5 2" xfId="15707" xr:uid="{00000000-0005-0000-0000-0000CD4A0000}"/>
    <cellStyle name="Total 4 2 2 2 5 3" xfId="16786" xr:uid="{00000000-0005-0000-0000-0000CE4A0000}"/>
    <cellStyle name="Total 4 2 2 2 5 4" xfId="17815" xr:uid="{00000000-0005-0000-0000-0000CF4A0000}"/>
    <cellStyle name="Total 4 2 2 2 5 5" xfId="18785" xr:uid="{00000000-0005-0000-0000-0000D04A0000}"/>
    <cellStyle name="Total 4 2 2 2 5 6" xfId="19691" xr:uid="{00000000-0005-0000-0000-0000D14A0000}"/>
    <cellStyle name="Total 4 2 2 2 6" xfId="11268" xr:uid="{00000000-0005-0000-0000-0000D24A0000}"/>
    <cellStyle name="Total 4 2 2 2 6 2" xfId="15574" xr:uid="{00000000-0005-0000-0000-0000D34A0000}"/>
    <cellStyle name="Total 4 2 2 2 6 3" xfId="16653" xr:uid="{00000000-0005-0000-0000-0000D44A0000}"/>
    <cellStyle name="Total 4 2 2 2 6 4" xfId="17683" xr:uid="{00000000-0005-0000-0000-0000D54A0000}"/>
    <cellStyle name="Total 4 2 2 2 6 5" xfId="18653" xr:uid="{00000000-0005-0000-0000-0000D64A0000}"/>
    <cellStyle name="Total 4 2 2 2 6 6" xfId="19559" xr:uid="{00000000-0005-0000-0000-0000D74A0000}"/>
    <cellStyle name="Total 4 2 2 2 7" xfId="12772" xr:uid="{00000000-0005-0000-0000-0000D84A0000}"/>
    <cellStyle name="Total 4 2 2 2 8" xfId="13283" xr:uid="{00000000-0005-0000-0000-0000D94A0000}"/>
    <cellStyle name="Total 4 2 2 2 9" xfId="13585" xr:uid="{00000000-0005-0000-0000-0000DA4A0000}"/>
    <cellStyle name="Total 4 2 2 3" xfId="3940" xr:uid="{00000000-0005-0000-0000-0000DB4A0000}"/>
    <cellStyle name="Total 4 2 2 3 2" xfId="9039" xr:uid="{00000000-0005-0000-0000-0000DC4A0000}"/>
    <cellStyle name="Total 4 2 2 3 2 2" xfId="14817" xr:uid="{00000000-0005-0000-0000-0000DD4A0000}"/>
    <cellStyle name="Total 4 2 2 3 2 3" xfId="13407" xr:uid="{00000000-0005-0000-0000-0000DE4A0000}"/>
    <cellStyle name="Total 4 2 2 3 2 4" xfId="15257" xr:uid="{00000000-0005-0000-0000-0000DF4A0000}"/>
    <cellStyle name="Total 4 2 2 3 2 5" xfId="13598" xr:uid="{00000000-0005-0000-0000-0000E04A0000}"/>
    <cellStyle name="Total 4 2 2 3 2 6" xfId="15120" xr:uid="{00000000-0005-0000-0000-0000E14A0000}"/>
    <cellStyle name="Total 4 2 2 3 3" xfId="11507" xr:uid="{00000000-0005-0000-0000-0000E24A0000}"/>
    <cellStyle name="Total 4 2 2 3 3 2" xfId="15813" xr:uid="{00000000-0005-0000-0000-0000E34A0000}"/>
    <cellStyle name="Total 4 2 2 3 3 3" xfId="16892" xr:uid="{00000000-0005-0000-0000-0000E44A0000}"/>
    <cellStyle name="Total 4 2 2 3 3 4" xfId="17918" xr:uid="{00000000-0005-0000-0000-0000E54A0000}"/>
    <cellStyle name="Total 4 2 2 3 3 5" xfId="18888" xr:uid="{00000000-0005-0000-0000-0000E64A0000}"/>
    <cellStyle name="Total 4 2 2 3 3 6" xfId="19794" xr:uid="{00000000-0005-0000-0000-0000E74A0000}"/>
    <cellStyle name="Total 4 2 2 3 4" xfId="7164" xr:uid="{00000000-0005-0000-0000-0000E84A0000}"/>
    <cellStyle name="Total 4 2 2 3 4 2" xfId="14233" xr:uid="{00000000-0005-0000-0000-0000E94A0000}"/>
    <cellStyle name="Total 4 2 2 3 4 3" xfId="15063" xr:uid="{00000000-0005-0000-0000-0000EA4A0000}"/>
    <cellStyle name="Total 4 2 2 3 4 4" xfId="154" xr:uid="{00000000-0005-0000-0000-0000EB4A0000}"/>
    <cellStyle name="Total 4 2 2 3 4 5" xfId="14825" xr:uid="{00000000-0005-0000-0000-0000EC4A0000}"/>
    <cellStyle name="Total 4 2 2 3 4 6" xfId="14331" xr:uid="{00000000-0005-0000-0000-0000ED4A0000}"/>
    <cellStyle name="Total 4 2 2 3 5" xfId="13129" xr:uid="{00000000-0005-0000-0000-0000EE4A0000}"/>
    <cellStyle name="Total 4 2 2 3 6" xfId="14948" xr:uid="{00000000-0005-0000-0000-0000EF4A0000}"/>
    <cellStyle name="Total 4 2 2 3 7" xfId="12794" xr:uid="{00000000-0005-0000-0000-0000F04A0000}"/>
    <cellStyle name="Total 4 2 2 3 8" xfId="17441" xr:uid="{00000000-0005-0000-0000-0000F14A0000}"/>
    <cellStyle name="Total 4 2 2 3 9" xfId="15322" xr:uid="{00000000-0005-0000-0000-0000F24A0000}"/>
    <cellStyle name="Total 4 2 3" xfId="2664" xr:uid="{00000000-0005-0000-0000-0000F34A0000}"/>
    <cellStyle name="Total 4 2 3 10" xfId="12307" xr:uid="{00000000-0005-0000-0000-0000F44A0000}"/>
    <cellStyle name="Total 4 2 3 2" xfId="6080" xr:uid="{00000000-0005-0000-0000-0000F54A0000}"/>
    <cellStyle name="Total 4 2 3 2 2" xfId="11176" xr:uid="{00000000-0005-0000-0000-0000F64A0000}"/>
    <cellStyle name="Total 4 2 3 2 2 2" xfId="15482" xr:uid="{00000000-0005-0000-0000-0000F74A0000}"/>
    <cellStyle name="Total 4 2 3 2 2 3" xfId="16561" xr:uid="{00000000-0005-0000-0000-0000F84A0000}"/>
    <cellStyle name="Total 4 2 3 2 2 4" xfId="17595" xr:uid="{00000000-0005-0000-0000-0000F94A0000}"/>
    <cellStyle name="Total 4 2 3 2 2 5" xfId="18565" xr:uid="{00000000-0005-0000-0000-0000FA4A0000}"/>
    <cellStyle name="Total 4 2 3 2 2 6" xfId="19471" xr:uid="{00000000-0005-0000-0000-0000FB4A0000}"/>
    <cellStyle name="Total 4 2 3 2 3" xfId="11758" xr:uid="{00000000-0005-0000-0000-0000FC4A0000}"/>
    <cellStyle name="Total 4 2 3 2 3 2" xfId="16064" xr:uid="{00000000-0005-0000-0000-0000FD4A0000}"/>
    <cellStyle name="Total 4 2 3 2 3 3" xfId="17143" xr:uid="{00000000-0005-0000-0000-0000FE4A0000}"/>
    <cellStyle name="Total 4 2 3 2 3 4" xfId="18165" xr:uid="{00000000-0005-0000-0000-0000FF4A0000}"/>
    <cellStyle name="Total 4 2 3 2 3 5" xfId="19135" xr:uid="{00000000-0005-0000-0000-0000004B0000}"/>
    <cellStyle name="Total 4 2 3 2 3 6" xfId="20041" xr:uid="{00000000-0005-0000-0000-0000014B0000}"/>
    <cellStyle name="Total 4 2 3 2 4" xfId="11930" xr:uid="{00000000-0005-0000-0000-0000024B0000}"/>
    <cellStyle name="Total 4 2 3 2 4 2" xfId="16236" xr:uid="{00000000-0005-0000-0000-0000034B0000}"/>
    <cellStyle name="Total 4 2 3 2 4 3" xfId="17315" xr:uid="{00000000-0005-0000-0000-0000044B0000}"/>
    <cellStyle name="Total 4 2 3 2 4 4" xfId="18333" xr:uid="{00000000-0005-0000-0000-0000054B0000}"/>
    <cellStyle name="Total 4 2 3 2 4 5" xfId="19303" xr:uid="{00000000-0005-0000-0000-0000064B0000}"/>
    <cellStyle name="Total 4 2 3 2 4 6" xfId="20209" xr:uid="{00000000-0005-0000-0000-0000074B0000}"/>
    <cellStyle name="Total 4 2 3 2 5" xfId="13813" xr:uid="{00000000-0005-0000-0000-0000084B0000}"/>
    <cellStyle name="Total 4 2 3 2 6" xfId="14147" xr:uid="{00000000-0005-0000-0000-0000094B0000}"/>
    <cellStyle name="Total 4 2 3 2 7" xfId="12342" xr:uid="{00000000-0005-0000-0000-00000A4B0000}"/>
    <cellStyle name="Total 4 2 3 2 8" xfId="14937" xr:uid="{00000000-0005-0000-0000-00000B4B0000}"/>
    <cellStyle name="Total 4 2 3 2 9" xfId="14870" xr:uid="{00000000-0005-0000-0000-00000C4B0000}"/>
    <cellStyle name="Total 4 2 3 3" xfId="7767" xr:uid="{00000000-0005-0000-0000-00000D4B0000}"/>
    <cellStyle name="Total 4 2 3 3 2" xfId="14433" xr:uid="{00000000-0005-0000-0000-00000E4B0000}"/>
    <cellStyle name="Total 4 2 3 3 3" xfId="13168" xr:uid="{00000000-0005-0000-0000-00000F4B0000}"/>
    <cellStyle name="Total 4 2 3 3 4" xfId="13597" xr:uid="{00000000-0005-0000-0000-0000104B0000}"/>
    <cellStyle name="Total 4 2 3 3 5" xfId="14925" xr:uid="{00000000-0005-0000-0000-0000114B0000}"/>
    <cellStyle name="Total 4 2 3 3 6" xfId="13302" xr:uid="{00000000-0005-0000-0000-0000124B0000}"/>
    <cellStyle name="Total 4 2 3 4" xfId="11366" xr:uid="{00000000-0005-0000-0000-0000134B0000}"/>
    <cellStyle name="Total 4 2 3 4 2" xfId="15672" xr:uid="{00000000-0005-0000-0000-0000144B0000}"/>
    <cellStyle name="Total 4 2 3 4 3" xfId="16751" xr:uid="{00000000-0005-0000-0000-0000154B0000}"/>
    <cellStyle name="Total 4 2 3 4 4" xfId="17780" xr:uid="{00000000-0005-0000-0000-0000164B0000}"/>
    <cellStyle name="Total 4 2 3 4 5" xfId="18750" xr:uid="{00000000-0005-0000-0000-0000174B0000}"/>
    <cellStyle name="Total 4 2 3 4 6" xfId="19656" xr:uid="{00000000-0005-0000-0000-0000184B0000}"/>
    <cellStyle name="Total 4 2 3 5" xfId="11537" xr:uid="{00000000-0005-0000-0000-0000194B0000}"/>
    <cellStyle name="Total 4 2 3 5 2" xfId="15843" xr:uid="{00000000-0005-0000-0000-00001A4B0000}"/>
    <cellStyle name="Total 4 2 3 5 3" xfId="16922" xr:uid="{00000000-0005-0000-0000-00001B4B0000}"/>
    <cellStyle name="Total 4 2 3 5 4" xfId="17947" xr:uid="{00000000-0005-0000-0000-00001C4B0000}"/>
    <cellStyle name="Total 4 2 3 5 5" xfId="18917" xr:uid="{00000000-0005-0000-0000-00001D4B0000}"/>
    <cellStyle name="Total 4 2 3 5 6" xfId="19823" xr:uid="{00000000-0005-0000-0000-00001E4B0000}"/>
    <cellStyle name="Total 4 2 3 6" xfId="12734" xr:uid="{00000000-0005-0000-0000-00001F4B0000}"/>
    <cellStyle name="Total 4 2 3 7" xfId="12171" xr:uid="{00000000-0005-0000-0000-0000204B0000}"/>
    <cellStyle name="Total 4 2 3 8" xfId="13432" xr:uid="{00000000-0005-0000-0000-0000214B0000}"/>
    <cellStyle name="Total 4 2 3 9" xfId="13298" xr:uid="{00000000-0005-0000-0000-0000224B0000}"/>
    <cellStyle name="Total 4 2 4" xfId="6005" xr:uid="{00000000-0005-0000-0000-0000234B0000}"/>
    <cellStyle name="Total 4 2 4 2" xfId="11101" xr:uid="{00000000-0005-0000-0000-0000244B0000}"/>
    <cellStyle name="Total 4 2 4 2 2" xfId="15407" xr:uid="{00000000-0005-0000-0000-0000254B0000}"/>
    <cellStyle name="Total 4 2 4 2 3" xfId="16486" xr:uid="{00000000-0005-0000-0000-0000264B0000}"/>
    <cellStyle name="Total 4 2 4 2 4" xfId="17521" xr:uid="{00000000-0005-0000-0000-0000274B0000}"/>
    <cellStyle name="Total 4 2 4 2 5" xfId="18491" xr:uid="{00000000-0005-0000-0000-0000284B0000}"/>
    <cellStyle name="Total 4 2 4 2 6" xfId="19397" xr:uid="{00000000-0005-0000-0000-0000294B0000}"/>
    <cellStyle name="Total 4 2 4 3" xfId="11683" xr:uid="{00000000-0005-0000-0000-00002A4B0000}"/>
    <cellStyle name="Total 4 2 4 3 2" xfId="15989" xr:uid="{00000000-0005-0000-0000-00002B4B0000}"/>
    <cellStyle name="Total 4 2 4 3 3" xfId="17068" xr:uid="{00000000-0005-0000-0000-00002C4B0000}"/>
    <cellStyle name="Total 4 2 4 3 4" xfId="18091" xr:uid="{00000000-0005-0000-0000-00002D4B0000}"/>
    <cellStyle name="Total 4 2 4 3 5" xfId="19061" xr:uid="{00000000-0005-0000-0000-00002E4B0000}"/>
    <cellStyle name="Total 4 2 4 3 6" xfId="19967" xr:uid="{00000000-0005-0000-0000-00002F4B0000}"/>
    <cellStyle name="Total 4 2 4 4" xfId="11855" xr:uid="{00000000-0005-0000-0000-0000304B0000}"/>
    <cellStyle name="Total 4 2 4 4 2" xfId="16161" xr:uid="{00000000-0005-0000-0000-0000314B0000}"/>
    <cellStyle name="Total 4 2 4 4 3" xfId="17240" xr:uid="{00000000-0005-0000-0000-0000324B0000}"/>
    <cellStyle name="Total 4 2 4 4 4" xfId="18259" xr:uid="{00000000-0005-0000-0000-0000334B0000}"/>
    <cellStyle name="Total 4 2 4 4 5" xfId="19229" xr:uid="{00000000-0005-0000-0000-0000344B0000}"/>
    <cellStyle name="Total 4 2 4 4 6" xfId="20135" xr:uid="{00000000-0005-0000-0000-0000354B0000}"/>
    <cellStyle name="Total 4 2 4 5" xfId="13738" xr:uid="{00000000-0005-0000-0000-0000364B0000}"/>
    <cellStyle name="Total 4 2 4 6" xfId="13702" xr:uid="{00000000-0005-0000-0000-0000374B0000}"/>
    <cellStyle name="Total 4 2 4 7" xfId="14902" xr:uid="{00000000-0005-0000-0000-0000384B0000}"/>
    <cellStyle name="Total 4 2 4 8" xfId="13193" xr:uid="{00000000-0005-0000-0000-0000394B0000}"/>
    <cellStyle name="Total 4 2 4 9" xfId="12873" xr:uid="{00000000-0005-0000-0000-00003A4B0000}"/>
    <cellStyle name="Total 4 2 5" xfId="6511" xr:uid="{00000000-0005-0000-0000-00003B4B0000}"/>
    <cellStyle name="Total 4 2 5 2" xfId="14024" xr:uid="{00000000-0005-0000-0000-00003C4B0000}"/>
    <cellStyle name="Total 4 2 5 3" xfId="12360" xr:uid="{00000000-0005-0000-0000-00003D4B0000}"/>
    <cellStyle name="Total 4 2 5 4" xfId="13322" xr:uid="{00000000-0005-0000-0000-00003E4B0000}"/>
    <cellStyle name="Total 4 2 5 5" xfId="13291" xr:uid="{00000000-0005-0000-0000-00003F4B0000}"/>
    <cellStyle name="Total 4 2 5 6" xfId="17438" xr:uid="{00000000-0005-0000-0000-0000404B0000}"/>
    <cellStyle name="Total 4 2 6" xfId="6153" xr:uid="{00000000-0005-0000-0000-0000414B0000}"/>
    <cellStyle name="Total 4 2 6 2" xfId="13885" xr:uid="{00000000-0005-0000-0000-0000424B0000}"/>
    <cellStyle name="Total 4 2 6 3" xfId="13204" xr:uid="{00000000-0005-0000-0000-0000434B0000}"/>
    <cellStyle name="Total 4 2 6 4" xfId="12438" xr:uid="{00000000-0005-0000-0000-0000444B0000}"/>
    <cellStyle name="Total 4 2 6 5" xfId="12518" xr:uid="{00000000-0005-0000-0000-0000454B0000}"/>
    <cellStyle name="Total 4 2 6 6" xfId="18416" xr:uid="{00000000-0005-0000-0000-0000464B0000}"/>
    <cellStyle name="Total 4 2 7" xfId="11453" xr:uid="{00000000-0005-0000-0000-0000474B0000}"/>
    <cellStyle name="Total 4 2 7 2" xfId="15759" xr:uid="{00000000-0005-0000-0000-0000484B0000}"/>
    <cellStyle name="Total 4 2 7 3" xfId="16838" xr:uid="{00000000-0005-0000-0000-0000494B0000}"/>
    <cellStyle name="Total 4 2 7 4" xfId="17866" xr:uid="{00000000-0005-0000-0000-00004A4B0000}"/>
    <cellStyle name="Total 4 2 7 5" xfId="18836" xr:uid="{00000000-0005-0000-0000-00004B4B0000}"/>
    <cellStyle name="Total 4 2 7 6" xfId="19742" xr:uid="{00000000-0005-0000-0000-00004C4B0000}"/>
    <cellStyle name="Total 4 2 8" xfId="12226" xr:uid="{00000000-0005-0000-0000-00004D4B0000}"/>
    <cellStyle name="Total 4 2 9" xfId="12554" xr:uid="{00000000-0005-0000-0000-00004E4B0000}"/>
    <cellStyle name="Total 5" xfId="474" xr:uid="{00000000-0005-0000-0000-00004F4B0000}"/>
    <cellStyle name="Total 5 2" xfId="1035" xr:uid="{00000000-0005-0000-0000-0000504B0000}"/>
    <cellStyle name="Total 5 2 10" xfId="13926" xr:uid="{00000000-0005-0000-0000-0000514B0000}"/>
    <cellStyle name="Total 5 2 11" xfId="12009" xr:uid="{00000000-0005-0000-0000-0000524B0000}"/>
    <cellStyle name="Total 5 2 12" xfId="12178" xr:uid="{00000000-0005-0000-0000-0000534B0000}"/>
    <cellStyle name="Total 5 2 2" xfId="1126" xr:uid="{00000000-0005-0000-0000-0000544B0000}"/>
    <cellStyle name="Total 5 2 2 2" xfId="2716" xr:uid="{00000000-0005-0000-0000-0000554B0000}"/>
    <cellStyle name="Total 5 2 2 2 10" xfId="12977" xr:uid="{00000000-0005-0000-0000-0000564B0000}"/>
    <cellStyle name="Total 5 2 2 2 11" xfId="17379" xr:uid="{00000000-0005-0000-0000-0000574B0000}"/>
    <cellStyle name="Total 5 2 2 2 2" xfId="6116" xr:uid="{00000000-0005-0000-0000-0000584B0000}"/>
    <cellStyle name="Total 5 2 2 2 2 2" xfId="11212" xr:uid="{00000000-0005-0000-0000-0000594B0000}"/>
    <cellStyle name="Total 5 2 2 2 2 2 2" xfId="15518" xr:uid="{00000000-0005-0000-0000-00005A4B0000}"/>
    <cellStyle name="Total 5 2 2 2 2 2 3" xfId="16597" xr:uid="{00000000-0005-0000-0000-00005B4B0000}"/>
    <cellStyle name="Total 5 2 2 2 2 2 4" xfId="17631" xr:uid="{00000000-0005-0000-0000-00005C4B0000}"/>
    <cellStyle name="Total 5 2 2 2 2 2 5" xfId="18601" xr:uid="{00000000-0005-0000-0000-00005D4B0000}"/>
    <cellStyle name="Total 5 2 2 2 2 2 6" xfId="19507" xr:uid="{00000000-0005-0000-0000-00005E4B0000}"/>
    <cellStyle name="Total 5 2 2 2 2 3" xfId="11794" xr:uid="{00000000-0005-0000-0000-00005F4B0000}"/>
    <cellStyle name="Total 5 2 2 2 2 3 2" xfId="16100" xr:uid="{00000000-0005-0000-0000-0000604B0000}"/>
    <cellStyle name="Total 5 2 2 2 2 3 3" xfId="17179" xr:uid="{00000000-0005-0000-0000-0000614B0000}"/>
    <cellStyle name="Total 5 2 2 2 2 3 4" xfId="18201" xr:uid="{00000000-0005-0000-0000-0000624B0000}"/>
    <cellStyle name="Total 5 2 2 2 2 3 5" xfId="19171" xr:uid="{00000000-0005-0000-0000-0000634B0000}"/>
    <cellStyle name="Total 5 2 2 2 2 3 6" xfId="20077" xr:uid="{00000000-0005-0000-0000-0000644B0000}"/>
    <cellStyle name="Total 5 2 2 2 2 4" xfId="11966" xr:uid="{00000000-0005-0000-0000-0000654B0000}"/>
    <cellStyle name="Total 5 2 2 2 2 4 2" xfId="16272" xr:uid="{00000000-0005-0000-0000-0000664B0000}"/>
    <cellStyle name="Total 5 2 2 2 2 4 3" xfId="17351" xr:uid="{00000000-0005-0000-0000-0000674B0000}"/>
    <cellStyle name="Total 5 2 2 2 2 4 4" xfId="18369" xr:uid="{00000000-0005-0000-0000-0000684B0000}"/>
    <cellStyle name="Total 5 2 2 2 2 4 5" xfId="19339" xr:uid="{00000000-0005-0000-0000-0000694B0000}"/>
    <cellStyle name="Total 5 2 2 2 2 4 6" xfId="20245" xr:uid="{00000000-0005-0000-0000-00006A4B0000}"/>
    <cellStyle name="Total 5 2 2 2 2 5" xfId="13849" xr:uid="{00000000-0005-0000-0000-00006B4B0000}"/>
    <cellStyle name="Total 5 2 2 2 2 6" xfId="13546" xr:uid="{00000000-0005-0000-0000-00006C4B0000}"/>
    <cellStyle name="Total 5 2 2 2 2 7" xfId="14570" xr:uid="{00000000-0005-0000-0000-00006D4B0000}"/>
    <cellStyle name="Total 5 2 2 2 2 8" xfId="13053" xr:uid="{00000000-0005-0000-0000-00006E4B0000}"/>
    <cellStyle name="Total 5 2 2 2 2 9" xfId="14783" xr:uid="{00000000-0005-0000-0000-00006F4B0000}"/>
    <cellStyle name="Total 5 2 2 2 3" xfId="5124" xr:uid="{00000000-0005-0000-0000-0000704B0000}"/>
    <cellStyle name="Total 5 2 2 2 3 2" xfId="10220" xr:uid="{00000000-0005-0000-0000-0000714B0000}"/>
    <cellStyle name="Total 5 2 2 2 3 2 2" xfId="15158" xr:uid="{00000000-0005-0000-0000-0000724B0000}"/>
    <cellStyle name="Total 5 2 2 2 3 2 3" xfId="14827" xr:uid="{00000000-0005-0000-0000-0000734B0000}"/>
    <cellStyle name="Total 5 2 2 2 3 2 4" xfId="14841" xr:uid="{00000000-0005-0000-0000-0000744B0000}"/>
    <cellStyle name="Total 5 2 2 2 3 2 5" xfId="16358" xr:uid="{00000000-0005-0000-0000-0000754B0000}"/>
    <cellStyle name="Total 5 2 2 2 3 2 6" xfId="15342" xr:uid="{00000000-0005-0000-0000-0000764B0000}"/>
    <cellStyle name="Total 5 2 2 2 3 3" xfId="11602" xr:uid="{00000000-0005-0000-0000-0000774B0000}"/>
    <cellStyle name="Total 5 2 2 2 3 3 2" xfId="15908" xr:uid="{00000000-0005-0000-0000-0000784B0000}"/>
    <cellStyle name="Total 5 2 2 2 3 3 3" xfId="16987" xr:uid="{00000000-0005-0000-0000-0000794B0000}"/>
    <cellStyle name="Total 5 2 2 2 3 3 4" xfId="18011" xr:uid="{00000000-0005-0000-0000-00007A4B0000}"/>
    <cellStyle name="Total 5 2 2 2 3 3 5" xfId="18981" xr:uid="{00000000-0005-0000-0000-00007B4B0000}"/>
    <cellStyle name="Total 5 2 2 2 3 3 6" xfId="19887" xr:uid="{00000000-0005-0000-0000-00007C4B0000}"/>
    <cellStyle name="Total 5 2 2 2 3 4" xfId="11607" xr:uid="{00000000-0005-0000-0000-00007D4B0000}"/>
    <cellStyle name="Total 5 2 2 2 3 4 2" xfId="15913" xr:uid="{00000000-0005-0000-0000-00007E4B0000}"/>
    <cellStyle name="Total 5 2 2 2 3 4 3" xfId="16992" xr:uid="{00000000-0005-0000-0000-00007F4B0000}"/>
    <cellStyle name="Total 5 2 2 2 3 4 4" xfId="18016" xr:uid="{00000000-0005-0000-0000-0000804B0000}"/>
    <cellStyle name="Total 5 2 2 2 3 4 5" xfId="18986" xr:uid="{00000000-0005-0000-0000-0000814B0000}"/>
    <cellStyle name="Total 5 2 2 2 3 4 6" xfId="19892" xr:uid="{00000000-0005-0000-0000-0000824B0000}"/>
    <cellStyle name="Total 5 2 2 2 3 5" xfId="13478" xr:uid="{00000000-0005-0000-0000-0000834B0000}"/>
    <cellStyle name="Total 5 2 2 2 3 6" xfId="13694" xr:uid="{00000000-0005-0000-0000-0000844B0000}"/>
    <cellStyle name="Total 5 2 2 2 3 7" xfId="14561" xr:uid="{00000000-0005-0000-0000-0000854B0000}"/>
    <cellStyle name="Total 5 2 2 2 3 8" xfId="12966" xr:uid="{00000000-0005-0000-0000-0000864B0000}"/>
    <cellStyle name="Total 5 2 2 2 3 9" xfId="13406" xr:uid="{00000000-0005-0000-0000-0000874B0000}"/>
    <cellStyle name="Total 5 2 2 2 4" xfId="7819" xr:uid="{00000000-0005-0000-0000-0000884B0000}"/>
    <cellStyle name="Total 5 2 2 2 4 2" xfId="14470" xr:uid="{00000000-0005-0000-0000-0000894B0000}"/>
    <cellStyle name="Total 5 2 2 2 4 3" xfId="14384" xr:uid="{00000000-0005-0000-0000-00008A4B0000}"/>
    <cellStyle name="Total 5 2 2 2 4 4" xfId="14355" xr:uid="{00000000-0005-0000-0000-00008B4B0000}"/>
    <cellStyle name="Total 5 2 2 2 4 5" xfId="12459" xr:uid="{00000000-0005-0000-0000-00008C4B0000}"/>
    <cellStyle name="Total 5 2 2 2 4 6" xfId="17397" xr:uid="{00000000-0005-0000-0000-00008D4B0000}"/>
    <cellStyle name="Total 5 2 2 2 5" xfId="11402" xr:uid="{00000000-0005-0000-0000-00008E4B0000}"/>
    <cellStyle name="Total 5 2 2 2 5 2" xfId="15708" xr:uid="{00000000-0005-0000-0000-00008F4B0000}"/>
    <cellStyle name="Total 5 2 2 2 5 3" xfId="16787" xr:uid="{00000000-0005-0000-0000-0000904B0000}"/>
    <cellStyle name="Total 5 2 2 2 5 4" xfId="17816" xr:uid="{00000000-0005-0000-0000-0000914B0000}"/>
    <cellStyle name="Total 5 2 2 2 5 5" xfId="18786" xr:uid="{00000000-0005-0000-0000-0000924B0000}"/>
    <cellStyle name="Total 5 2 2 2 5 6" xfId="19692" xr:uid="{00000000-0005-0000-0000-0000934B0000}"/>
    <cellStyle name="Total 5 2 2 2 6" xfId="11267" xr:uid="{00000000-0005-0000-0000-0000944B0000}"/>
    <cellStyle name="Total 5 2 2 2 6 2" xfId="15573" xr:uid="{00000000-0005-0000-0000-0000954B0000}"/>
    <cellStyle name="Total 5 2 2 2 6 3" xfId="16652" xr:uid="{00000000-0005-0000-0000-0000964B0000}"/>
    <cellStyle name="Total 5 2 2 2 6 4" xfId="17682" xr:uid="{00000000-0005-0000-0000-0000974B0000}"/>
    <cellStyle name="Total 5 2 2 2 6 5" xfId="18652" xr:uid="{00000000-0005-0000-0000-0000984B0000}"/>
    <cellStyle name="Total 5 2 2 2 6 6" xfId="19558" xr:uid="{00000000-0005-0000-0000-0000994B0000}"/>
    <cellStyle name="Total 5 2 2 2 7" xfId="12773" xr:uid="{00000000-0005-0000-0000-00009A4B0000}"/>
    <cellStyle name="Total 5 2 2 2 8" xfId="14619" xr:uid="{00000000-0005-0000-0000-00009B4B0000}"/>
    <cellStyle name="Total 5 2 2 2 9" xfId="12159" xr:uid="{00000000-0005-0000-0000-00009C4B0000}"/>
    <cellStyle name="Total 5 2 2 3" xfId="3941" xr:uid="{00000000-0005-0000-0000-00009D4B0000}"/>
    <cellStyle name="Total 5 2 2 3 2" xfId="9040" xr:uid="{00000000-0005-0000-0000-00009E4B0000}"/>
    <cellStyle name="Total 5 2 2 3 2 2" xfId="14818" xr:uid="{00000000-0005-0000-0000-00009F4B0000}"/>
    <cellStyle name="Total 5 2 2 3 2 3" xfId="12661" xr:uid="{00000000-0005-0000-0000-0000A04B0000}"/>
    <cellStyle name="Total 5 2 2 3 2 4" xfId="13643" xr:uid="{00000000-0005-0000-0000-0000A14B0000}"/>
    <cellStyle name="Total 5 2 2 3 2 5" xfId="15280" xr:uid="{00000000-0005-0000-0000-0000A24B0000}"/>
    <cellStyle name="Total 5 2 2 3 2 6" xfId="13274" xr:uid="{00000000-0005-0000-0000-0000A34B0000}"/>
    <cellStyle name="Total 5 2 2 3 3" xfId="11508" xr:uid="{00000000-0005-0000-0000-0000A44B0000}"/>
    <cellStyle name="Total 5 2 2 3 3 2" xfId="15814" xr:uid="{00000000-0005-0000-0000-0000A54B0000}"/>
    <cellStyle name="Total 5 2 2 3 3 3" xfId="16893" xr:uid="{00000000-0005-0000-0000-0000A64B0000}"/>
    <cellStyle name="Total 5 2 2 3 3 4" xfId="17919" xr:uid="{00000000-0005-0000-0000-0000A74B0000}"/>
    <cellStyle name="Total 5 2 2 3 3 5" xfId="18889" xr:uid="{00000000-0005-0000-0000-0000A84B0000}"/>
    <cellStyle name="Total 5 2 2 3 3 6" xfId="19795" xr:uid="{00000000-0005-0000-0000-0000A94B0000}"/>
    <cellStyle name="Total 5 2 2 3 4" xfId="11247" xr:uid="{00000000-0005-0000-0000-0000AA4B0000}"/>
    <cellStyle name="Total 5 2 2 3 4 2" xfId="15553" xr:uid="{00000000-0005-0000-0000-0000AB4B0000}"/>
    <cellStyle name="Total 5 2 2 3 4 3" xfId="16632" xr:uid="{00000000-0005-0000-0000-0000AC4B0000}"/>
    <cellStyle name="Total 5 2 2 3 4 4" xfId="17664" xr:uid="{00000000-0005-0000-0000-0000AD4B0000}"/>
    <cellStyle name="Total 5 2 2 3 4 5" xfId="18634" xr:uid="{00000000-0005-0000-0000-0000AE4B0000}"/>
    <cellStyle name="Total 5 2 2 3 4 6" xfId="19540" xr:uid="{00000000-0005-0000-0000-0000AF4B0000}"/>
    <cellStyle name="Total 5 2 2 3 5" xfId="13130" xr:uid="{00000000-0005-0000-0000-0000B04B0000}"/>
    <cellStyle name="Total 5 2 2 3 6" xfId="13253" xr:uid="{00000000-0005-0000-0000-0000B14B0000}"/>
    <cellStyle name="Total 5 2 2 3 7" xfId="13588" xr:uid="{00000000-0005-0000-0000-0000B24B0000}"/>
    <cellStyle name="Total 5 2 2 3 8" xfId="13428" xr:uid="{00000000-0005-0000-0000-0000B34B0000}"/>
    <cellStyle name="Total 5 2 2 3 9" xfId="12261" xr:uid="{00000000-0005-0000-0000-0000B44B0000}"/>
    <cellStyle name="Total 5 2 3" xfId="2665" xr:uid="{00000000-0005-0000-0000-0000B54B0000}"/>
    <cellStyle name="Total 5 2 3 10" xfId="14480" xr:uid="{00000000-0005-0000-0000-0000B64B0000}"/>
    <cellStyle name="Total 5 2 3 2" xfId="6081" xr:uid="{00000000-0005-0000-0000-0000B74B0000}"/>
    <cellStyle name="Total 5 2 3 2 2" xfId="11177" xr:uid="{00000000-0005-0000-0000-0000B84B0000}"/>
    <cellStyle name="Total 5 2 3 2 2 2" xfId="15483" xr:uid="{00000000-0005-0000-0000-0000B94B0000}"/>
    <cellStyle name="Total 5 2 3 2 2 3" xfId="16562" xr:uid="{00000000-0005-0000-0000-0000BA4B0000}"/>
    <cellStyle name="Total 5 2 3 2 2 4" xfId="17596" xr:uid="{00000000-0005-0000-0000-0000BB4B0000}"/>
    <cellStyle name="Total 5 2 3 2 2 5" xfId="18566" xr:uid="{00000000-0005-0000-0000-0000BC4B0000}"/>
    <cellStyle name="Total 5 2 3 2 2 6" xfId="19472" xr:uid="{00000000-0005-0000-0000-0000BD4B0000}"/>
    <cellStyle name="Total 5 2 3 2 3" xfId="11759" xr:uid="{00000000-0005-0000-0000-0000BE4B0000}"/>
    <cellStyle name="Total 5 2 3 2 3 2" xfId="16065" xr:uid="{00000000-0005-0000-0000-0000BF4B0000}"/>
    <cellStyle name="Total 5 2 3 2 3 3" xfId="17144" xr:uid="{00000000-0005-0000-0000-0000C04B0000}"/>
    <cellStyle name="Total 5 2 3 2 3 4" xfId="18166" xr:uid="{00000000-0005-0000-0000-0000C14B0000}"/>
    <cellStyle name="Total 5 2 3 2 3 5" xfId="19136" xr:uid="{00000000-0005-0000-0000-0000C24B0000}"/>
    <cellStyle name="Total 5 2 3 2 3 6" xfId="20042" xr:uid="{00000000-0005-0000-0000-0000C34B0000}"/>
    <cellStyle name="Total 5 2 3 2 4" xfId="11931" xr:uid="{00000000-0005-0000-0000-0000C44B0000}"/>
    <cellStyle name="Total 5 2 3 2 4 2" xfId="16237" xr:uid="{00000000-0005-0000-0000-0000C54B0000}"/>
    <cellStyle name="Total 5 2 3 2 4 3" xfId="17316" xr:uid="{00000000-0005-0000-0000-0000C64B0000}"/>
    <cellStyle name="Total 5 2 3 2 4 4" xfId="18334" xr:uid="{00000000-0005-0000-0000-0000C74B0000}"/>
    <cellStyle name="Total 5 2 3 2 4 5" xfId="19304" xr:uid="{00000000-0005-0000-0000-0000C84B0000}"/>
    <cellStyle name="Total 5 2 3 2 4 6" xfId="20210" xr:uid="{00000000-0005-0000-0000-0000C94B0000}"/>
    <cellStyle name="Total 5 2 3 2 5" xfId="13814" xr:uid="{00000000-0005-0000-0000-0000CA4B0000}"/>
    <cellStyle name="Total 5 2 3 2 6" xfId="14900" xr:uid="{00000000-0005-0000-0000-0000CB4B0000}"/>
    <cellStyle name="Total 5 2 3 2 7" xfId="12629" xr:uid="{00000000-0005-0000-0000-0000CC4B0000}"/>
    <cellStyle name="Total 5 2 3 2 8" xfId="14031" xr:uid="{00000000-0005-0000-0000-0000CD4B0000}"/>
    <cellStyle name="Total 5 2 3 2 9" xfId="12905" xr:uid="{00000000-0005-0000-0000-0000CE4B0000}"/>
    <cellStyle name="Total 5 2 3 3" xfId="7768" xr:uid="{00000000-0005-0000-0000-0000CF4B0000}"/>
    <cellStyle name="Total 5 2 3 3 2" xfId="14434" xr:uid="{00000000-0005-0000-0000-0000D04B0000}"/>
    <cellStyle name="Total 5 2 3 3 3" xfId="14511" xr:uid="{00000000-0005-0000-0000-0000D14B0000}"/>
    <cellStyle name="Total 5 2 3 3 4" xfId="14348" xr:uid="{00000000-0005-0000-0000-0000D24B0000}"/>
    <cellStyle name="Total 5 2 3 3 5" xfId="14735" xr:uid="{00000000-0005-0000-0000-0000D34B0000}"/>
    <cellStyle name="Total 5 2 3 3 6" xfId="14685" xr:uid="{00000000-0005-0000-0000-0000D44B0000}"/>
    <cellStyle name="Total 5 2 3 4" xfId="11367" xr:uid="{00000000-0005-0000-0000-0000D54B0000}"/>
    <cellStyle name="Total 5 2 3 4 2" xfId="15673" xr:uid="{00000000-0005-0000-0000-0000D64B0000}"/>
    <cellStyle name="Total 5 2 3 4 3" xfId="16752" xr:uid="{00000000-0005-0000-0000-0000D74B0000}"/>
    <cellStyle name="Total 5 2 3 4 4" xfId="17781" xr:uid="{00000000-0005-0000-0000-0000D84B0000}"/>
    <cellStyle name="Total 5 2 3 4 5" xfId="18751" xr:uid="{00000000-0005-0000-0000-0000D94B0000}"/>
    <cellStyle name="Total 5 2 3 4 6" xfId="19657" xr:uid="{00000000-0005-0000-0000-0000DA4B0000}"/>
    <cellStyle name="Total 5 2 3 5" xfId="11627" xr:uid="{00000000-0005-0000-0000-0000DB4B0000}"/>
    <cellStyle name="Total 5 2 3 5 2" xfId="15933" xr:uid="{00000000-0005-0000-0000-0000DC4B0000}"/>
    <cellStyle name="Total 5 2 3 5 3" xfId="17012" xr:uid="{00000000-0005-0000-0000-0000DD4B0000}"/>
    <cellStyle name="Total 5 2 3 5 4" xfId="18036" xr:uid="{00000000-0005-0000-0000-0000DE4B0000}"/>
    <cellStyle name="Total 5 2 3 5 5" xfId="19006" xr:uid="{00000000-0005-0000-0000-0000DF4B0000}"/>
    <cellStyle name="Total 5 2 3 5 6" xfId="19912" xr:uid="{00000000-0005-0000-0000-0000E04B0000}"/>
    <cellStyle name="Total 5 2 3 6" xfId="12735" xr:uid="{00000000-0005-0000-0000-0000E14B0000}"/>
    <cellStyle name="Total 5 2 3 7" xfId="12484" xr:uid="{00000000-0005-0000-0000-0000E24B0000}"/>
    <cellStyle name="Total 5 2 3 8" xfId="14634" xr:uid="{00000000-0005-0000-0000-0000E34B0000}"/>
    <cellStyle name="Total 5 2 3 9" xfId="14324" xr:uid="{00000000-0005-0000-0000-0000E44B0000}"/>
    <cellStyle name="Total 5 2 4" xfId="6006" xr:uid="{00000000-0005-0000-0000-0000E54B0000}"/>
    <cellStyle name="Total 5 2 4 2" xfId="11102" xr:uid="{00000000-0005-0000-0000-0000E64B0000}"/>
    <cellStyle name="Total 5 2 4 2 2" xfId="15408" xr:uid="{00000000-0005-0000-0000-0000E74B0000}"/>
    <cellStyle name="Total 5 2 4 2 3" xfId="16487" xr:uid="{00000000-0005-0000-0000-0000E84B0000}"/>
    <cellStyle name="Total 5 2 4 2 4" xfId="17522" xr:uid="{00000000-0005-0000-0000-0000E94B0000}"/>
    <cellStyle name="Total 5 2 4 2 5" xfId="18492" xr:uid="{00000000-0005-0000-0000-0000EA4B0000}"/>
    <cellStyle name="Total 5 2 4 2 6" xfId="19398" xr:uid="{00000000-0005-0000-0000-0000EB4B0000}"/>
    <cellStyle name="Total 5 2 4 3" xfId="11684" xr:uid="{00000000-0005-0000-0000-0000EC4B0000}"/>
    <cellStyle name="Total 5 2 4 3 2" xfId="15990" xr:uid="{00000000-0005-0000-0000-0000ED4B0000}"/>
    <cellStyle name="Total 5 2 4 3 3" xfId="17069" xr:uid="{00000000-0005-0000-0000-0000EE4B0000}"/>
    <cellStyle name="Total 5 2 4 3 4" xfId="18092" xr:uid="{00000000-0005-0000-0000-0000EF4B0000}"/>
    <cellStyle name="Total 5 2 4 3 5" xfId="19062" xr:uid="{00000000-0005-0000-0000-0000F04B0000}"/>
    <cellStyle name="Total 5 2 4 3 6" xfId="19968" xr:uid="{00000000-0005-0000-0000-0000F14B0000}"/>
    <cellStyle name="Total 5 2 4 4" xfId="11856" xr:uid="{00000000-0005-0000-0000-0000F24B0000}"/>
    <cellStyle name="Total 5 2 4 4 2" xfId="16162" xr:uid="{00000000-0005-0000-0000-0000F34B0000}"/>
    <cellStyle name="Total 5 2 4 4 3" xfId="17241" xr:uid="{00000000-0005-0000-0000-0000F44B0000}"/>
    <cellStyle name="Total 5 2 4 4 4" xfId="18260" xr:uid="{00000000-0005-0000-0000-0000F54B0000}"/>
    <cellStyle name="Total 5 2 4 4 5" xfId="19230" xr:uid="{00000000-0005-0000-0000-0000F64B0000}"/>
    <cellStyle name="Total 5 2 4 4 6" xfId="20136" xr:uid="{00000000-0005-0000-0000-0000F74B0000}"/>
    <cellStyle name="Total 5 2 4 5" xfId="13739" xr:uid="{00000000-0005-0000-0000-0000F84B0000}"/>
    <cellStyle name="Total 5 2 4 6" xfId="13002" xr:uid="{00000000-0005-0000-0000-0000F94B0000}"/>
    <cellStyle name="Total 5 2 4 7" xfId="14199" xr:uid="{00000000-0005-0000-0000-0000FA4B0000}"/>
    <cellStyle name="Total 5 2 4 8" xfId="13177" xr:uid="{00000000-0005-0000-0000-0000FB4B0000}"/>
    <cellStyle name="Total 5 2 4 9" xfId="18424" xr:uid="{00000000-0005-0000-0000-0000FC4B0000}"/>
    <cellStyle name="Total 5 2 5" xfId="6512" xr:uid="{00000000-0005-0000-0000-0000FD4B0000}"/>
    <cellStyle name="Total 5 2 5 2" xfId="14025" xr:uid="{00000000-0005-0000-0000-0000FE4B0000}"/>
    <cellStyle name="Total 5 2 5 3" xfId="14121" xr:uid="{00000000-0005-0000-0000-0000FF4B0000}"/>
    <cellStyle name="Total 5 2 5 4" xfId="12829" xr:uid="{00000000-0005-0000-0000-0000004C0000}"/>
    <cellStyle name="Total 5 2 5 5" xfId="12131" xr:uid="{00000000-0005-0000-0000-0000014C0000}"/>
    <cellStyle name="Total 5 2 5 6" xfId="13943" xr:uid="{00000000-0005-0000-0000-0000024C0000}"/>
    <cellStyle name="Total 5 2 6" xfId="6672" xr:uid="{00000000-0005-0000-0000-0000034C0000}"/>
    <cellStyle name="Total 5 2 6 2" xfId="14080" xr:uid="{00000000-0005-0000-0000-0000044C0000}"/>
    <cellStyle name="Total 5 2 6 3" xfId="12354" xr:uid="{00000000-0005-0000-0000-0000054C0000}"/>
    <cellStyle name="Total 5 2 6 4" xfId="12539" xr:uid="{00000000-0005-0000-0000-0000064C0000}"/>
    <cellStyle name="Total 5 2 6 5" xfId="12662" xr:uid="{00000000-0005-0000-0000-0000074C0000}"/>
    <cellStyle name="Total 5 2 6 6" xfId="14383" xr:uid="{00000000-0005-0000-0000-0000084C0000}"/>
    <cellStyle name="Total 5 2 7" xfId="11299" xr:uid="{00000000-0005-0000-0000-0000094C0000}"/>
    <cellStyle name="Total 5 2 7 2" xfId="15605" xr:uid="{00000000-0005-0000-0000-00000A4C0000}"/>
    <cellStyle name="Total 5 2 7 3" xfId="16684" xr:uid="{00000000-0005-0000-0000-00000B4C0000}"/>
    <cellStyle name="Total 5 2 7 4" xfId="17713" xr:uid="{00000000-0005-0000-0000-00000C4C0000}"/>
    <cellStyle name="Total 5 2 7 5" xfId="18683" xr:uid="{00000000-0005-0000-0000-00000D4C0000}"/>
    <cellStyle name="Total 5 2 7 6" xfId="19589" xr:uid="{00000000-0005-0000-0000-00000E4C0000}"/>
    <cellStyle name="Total 5 2 8" xfId="12227" xr:uid="{00000000-0005-0000-0000-00000F4C0000}"/>
    <cellStyle name="Total 5 2 9" xfId="12127" xr:uid="{00000000-0005-0000-0000-0000104C0000}"/>
    <cellStyle name="Total 6" xfId="475" xr:uid="{00000000-0005-0000-0000-0000114C0000}"/>
    <cellStyle name="Total 6 2" xfId="1036" xr:uid="{00000000-0005-0000-0000-0000124C0000}"/>
    <cellStyle name="Total 6 2 10" xfId="13199" xr:uid="{00000000-0005-0000-0000-0000134C0000}"/>
    <cellStyle name="Total 6 2 11" xfId="14572" xr:uid="{00000000-0005-0000-0000-0000144C0000}"/>
    <cellStyle name="Total 6 2 12" xfId="13305" xr:uid="{00000000-0005-0000-0000-0000154C0000}"/>
    <cellStyle name="Total 6 2 2" xfId="1127" xr:uid="{00000000-0005-0000-0000-0000164C0000}"/>
    <cellStyle name="Total 6 2 2 2" xfId="2717" xr:uid="{00000000-0005-0000-0000-0000174C0000}"/>
    <cellStyle name="Total 6 2 2 2 10" xfId="13067" xr:uid="{00000000-0005-0000-0000-0000184C0000}"/>
    <cellStyle name="Total 6 2 2 2 11" xfId="18436" xr:uid="{00000000-0005-0000-0000-0000194C0000}"/>
    <cellStyle name="Total 6 2 2 2 2" xfId="6117" xr:uid="{00000000-0005-0000-0000-00001A4C0000}"/>
    <cellStyle name="Total 6 2 2 2 2 2" xfId="11213" xr:uid="{00000000-0005-0000-0000-00001B4C0000}"/>
    <cellStyle name="Total 6 2 2 2 2 2 2" xfId="15519" xr:uid="{00000000-0005-0000-0000-00001C4C0000}"/>
    <cellStyle name="Total 6 2 2 2 2 2 3" xfId="16598" xr:uid="{00000000-0005-0000-0000-00001D4C0000}"/>
    <cellStyle name="Total 6 2 2 2 2 2 4" xfId="17632" xr:uid="{00000000-0005-0000-0000-00001E4C0000}"/>
    <cellStyle name="Total 6 2 2 2 2 2 5" xfId="18602" xr:uid="{00000000-0005-0000-0000-00001F4C0000}"/>
    <cellStyle name="Total 6 2 2 2 2 2 6" xfId="19508" xr:uid="{00000000-0005-0000-0000-0000204C0000}"/>
    <cellStyle name="Total 6 2 2 2 2 3" xfId="11795" xr:uid="{00000000-0005-0000-0000-0000214C0000}"/>
    <cellStyle name="Total 6 2 2 2 2 3 2" xfId="16101" xr:uid="{00000000-0005-0000-0000-0000224C0000}"/>
    <cellStyle name="Total 6 2 2 2 2 3 3" xfId="17180" xr:uid="{00000000-0005-0000-0000-0000234C0000}"/>
    <cellStyle name="Total 6 2 2 2 2 3 4" xfId="18202" xr:uid="{00000000-0005-0000-0000-0000244C0000}"/>
    <cellStyle name="Total 6 2 2 2 2 3 5" xfId="19172" xr:uid="{00000000-0005-0000-0000-0000254C0000}"/>
    <cellStyle name="Total 6 2 2 2 2 3 6" xfId="20078" xr:uid="{00000000-0005-0000-0000-0000264C0000}"/>
    <cellStyle name="Total 6 2 2 2 2 4" xfId="11967" xr:uid="{00000000-0005-0000-0000-0000274C0000}"/>
    <cellStyle name="Total 6 2 2 2 2 4 2" xfId="16273" xr:uid="{00000000-0005-0000-0000-0000284C0000}"/>
    <cellStyle name="Total 6 2 2 2 2 4 3" xfId="17352" xr:uid="{00000000-0005-0000-0000-0000294C0000}"/>
    <cellStyle name="Total 6 2 2 2 2 4 4" xfId="18370" xr:uid="{00000000-0005-0000-0000-00002A4C0000}"/>
    <cellStyle name="Total 6 2 2 2 2 4 5" xfId="19340" xr:uid="{00000000-0005-0000-0000-00002B4C0000}"/>
    <cellStyle name="Total 6 2 2 2 2 4 6" xfId="20246" xr:uid="{00000000-0005-0000-0000-00002C4C0000}"/>
    <cellStyle name="Total 6 2 2 2 2 5" xfId="13850" xr:uid="{00000000-0005-0000-0000-00002D4C0000}"/>
    <cellStyle name="Total 6 2 2 2 2 6" xfId="12853" xr:uid="{00000000-0005-0000-0000-00002E4C0000}"/>
    <cellStyle name="Total 6 2 2 2 2 7" xfId="13949" xr:uid="{00000000-0005-0000-0000-00002F4C0000}"/>
    <cellStyle name="Total 6 2 2 2 2 8" xfId="12653" xr:uid="{00000000-0005-0000-0000-0000304C0000}"/>
    <cellStyle name="Total 6 2 2 2 2 9" xfId="14762" xr:uid="{00000000-0005-0000-0000-0000314C0000}"/>
    <cellStyle name="Total 6 2 2 2 3" xfId="5125" xr:uid="{00000000-0005-0000-0000-0000324C0000}"/>
    <cellStyle name="Total 6 2 2 2 3 2" xfId="10221" xr:uid="{00000000-0005-0000-0000-0000334C0000}"/>
    <cellStyle name="Total 6 2 2 2 3 2 2" xfId="15159" xr:uid="{00000000-0005-0000-0000-0000344C0000}"/>
    <cellStyle name="Total 6 2 2 2 3 2 3" xfId="13140" xr:uid="{00000000-0005-0000-0000-0000354C0000}"/>
    <cellStyle name="Total 6 2 2 2 3 2 4" xfId="12447" xr:uid="{00000000-0005-0000-0000-0000364C0000}"/>
    <cellStyle name="Total 6 2 2 2 3 2 5" xfId="13931" xr:uid="{00000000-0005-0000-0000-0000374C0000}"/>
    <cellStyle name="Total 6 2 2 2 3 2 6" xfId="12508" xr:uid="{00000000-0005-0000-0000-0000384C0000}"/>
    <cellStyle name="Total 6 2 2 2 3 3" xfId="11603" xr:uid="{00000000-0005-0000-0000-0000394C0000}"/>
    <cellStyle name="Total 6 2 2 2 3 3 2" xfId="15909" xr:uid="{00000000-0005-0000-0000-00003A4C0000}"/>
    <cellStyle name="Total 6 2 2 2 3 3 3" xfId="16988" xr:uid="{00000000-0005-0000-0000-00003B4C0000}"/>
    <cellStyle name="Total 6 2 2 2 3 3 4" xfId="18012" xr:uid="{00000000-0005-0000-0000-00003C4C0000}"/>
    <cellStyle name="Total 6 2 2 2 3 3 5" xfId="18982" xr:uid="{00000000-0005-0000-0000-00003D4C0000}"/>
    <cellStyle name="Total 6 2 2 2 3 3 6" xfId="19888" xr:uid="{00000000-0005-0000-0000-00003E4C0000}"/>
    <cellStyle name="Total 6 2 2 2 3 4" xfId="11413" xr:uid="{00000000-0005-0000-0000-00003F4C0000}"/>
    <cellStyle name="Total 6 2 2 2 3 4 2" xfId="15719" xr:uid="{00000000-0005-0000-0000-0000404C0000}"/>
    <cellStyle name="Total 6 2 2 2 3 4 3" xfId="16798" xr:uid="{00000000-0005-0000-0000-0000414C0000}"/>
    <cellStyle name="Total 6 2 2 2 3 4 4" xfId="17827" xr:uid="{00000000-0005-0000-0000-0000424C0000}"/>
    <cellStyle name="Total 6 2 2 2 3 4 5" xfId="18797" xr:uid="{00000000-0005-0000-0000-0000434C0000}"/>
    <cellStyle name="Total 6 2 2 2 3 4 6" xfId="19703" xr:uid="{00000000-0005-0000-0000-0000444C0000}"/>
    <cellStyle name="Total 6 2 2 2 3 5" xfId="13479" xr:uid="{00000000-0005-0000-0000-0000454C0000}"/>
    <cellStyle name="Total 6 2 2 2 3 6" xfId="12995" xr:uid="{00000000-0005-0000-0000-0000464C0000}"/>
    <cellStyle name="Total 6 2 2 2 3 7" xfId="13269" xr:uid="{00000000-0005-0000-0000-0000474C0000}"/>
    <cellStyle name="Total 6 2 2 2 3 8" xfId="15259" xr:uid="{00000000-0005-0000-0000-0000484C0000}"/>
    <cellStyle name="Total 6 2 2 2 3 9" xfId="13659" xr:uid="{00000000-0005-0000-0000-0000494C0000}"/>
    <cellStyle name="Total 6 2 2 2 4" xfId="7820" xr:uid="{00000000-0005-0000-0000-00004A4C0000}"/>
    <cellStyle name="Total 6 2 2 2 4 2" xfId="14471" xr:uid="{00000000-0005-0000-0000-00004B4C0000}"/>
    <cellStyle name="Total 6 2 2 2 4 3" xfId="15104" xr:uid="{00000000-0005-0000-0000-00004C4C0000}"/>
    <cellStyle name="Total 6 2 2 2 4 4" xfId="15067" xr:uid="{00000000-0005-0000-0000-00004D4C0000}"/>
    <cellStyle name="Total 6 2 2 2 4 5" xfId="17383" xr:uid="{00000000-0005-0000-0000-00004E4C0000}"/>
    <cellStyle name="Total 6 2 2 2 4 6" xfId="16320" xr:uid="{00000000-0005-0000-0000-00004F4C0000}"/>
    <cellStyle name="Total 6 2 2 2 5" xfId="11403" xr:uid="{00000000-0005-0000-0000-0000504C0000}"/>
    <cellStyle name="Total 6 2 2 2 5 2" xfId="15709" xr:uid="{00000000-0005-0000-0000-0000514C0000}"/>
    <cellStyle name="Total 6 2 2 2 5 3" xfId="16788" xr:uid="{00000000-0005-0000-0000-0000524C0000}"/>
    <cellStyle name="Total 6 2 2 2 5 4" xfId="17817" xr:uid="{00000000-0005-0000-0000-0000534C0000}"/>
    <cellStyle name="Total 6 2 2 2 5 5" xfId="18787" xr:uid="{00000000-0005-0000-0000-0000544C0000}"/>
    <cellStyle name="Total 6 2 2 2 5 6" xfId="19693" xr:uid="{00000000-0005-0000-0000-0000554C0000}"/>
    <cellStyle name="Total 6 2 2 2 6" xfId="11266" xr:uid="{00000000-0005-0000-0000-0000564C0000}"/>
    <cellStyle name="Total 6 2 2 2 6 2" xfId="15572" xr:uid="{00000000-0005-0000-0000-0000574C0000}"/>
    <cellStyle name="Total 6 2 2 2 6 3" xfId="16651" xr:uid="{00000000-0005-0000-0000-0000584C0000}"/>
    <cellStyle name="Total 6 2 2 2 6 4" xfId="17681" xr:uid="{00000000-0005-0000-0000-0000594C0000}"/>
    <cellStyle name="Total 6 2 2 2 6 5" xfId="18651" xr:uid="{00000000-0005-0000-0000-00005A4C0000}"/>
    <cellStyle name="Total 6 2 2 2 6 6" xfId="19557" xr:uid="{00000000-0005-0000-0000-00005B4C0000}"/>
    <cellStyle name="Total 6 2 2 2 7" xfId="12774" xr:uid="{00000000-0005-0000-0000-00005C4C0000}"/>
    <cellStyle name="Total 6 2 2 2 8" xfId="15302" xr:uid="{00000000-0005-0000-0000-00005D4C0000}"/>
    <cellStyle name="Total 6 2 2 2 9" xfId="16398" xr:uid="{00000000-0005-0000-0000-00005E4C0000}"/>
    <cellStyle name="Total 6 2 2 3" xfId="3942" xr:uid="{00000000-0005-0000-0000-00005F4C0000}"/>
    <cellStyle name="Total 6 2 2 3 2" xfId="9041" xr:uid="{00000000-0005-0000-0000-0000604C0000}"/>
    <cellStyle name="Total 6 2 2 3 2 2" xfId="14819" xr:uid="{00000000-0005-0000-0000-0000614C0000}"/>
    <cellStyle name="Total 6 2 2 3 2 3" xfId="12100" xr:uid="{00000000-0005-0000-0000-0000624C0000}"/>
    <cellStyle name="Total 6 2 2 3 2 4" xfId="13676" xr:uid="{00000000-0005-0000-0000-0000634C0000}"/>
    <cellStyle name="Total 6 2 2 3 2 5" xfId="16361" xr:uid="{00000000-0005-0000-0000-0000644C0000}"/>
    <cellStyle name="Total 6 2 2 3 2 6" xfId="13099" xr:uid="{00000000-0005-0000-0000-0000654C0000}"/>
    <cellStyle name="Total 6 2 2 3 3" xfId="11509" xr:uid="{00000000-0005-0000-0000-0000664C0000}"/>
    <cellStyle name="Total 6 2 2 3 3 2" xfId="15815" xr:uid="{00000000-0005-0000-0000-0000674C0000}"/>
    <cellStyle name="Total 6 2 2 3 3 3" xfId="16894" xr:uid="{00000000-0005-0000-0000-0000684C0000}"/>
    <cellStyle name="Total 6 2 2 3 3 4" xfId="17920" xr:uid="{00000000-0005-0000-0000-0000694C0000}"/>
    <cellStyle name="Total 6 2 2 3 3 5" xfId="18890" xr:uid="{00000000-0005-0000-0000-00006A4C0000}"/>
    <cellStyle name="Total 6 2 2 3 3 6" xfId="19796" xr:uid="{00000000-0005-0000-0000-00006B4C0000}"/>
    <cellStyle name="Total 6 2 2 3 4" xfId="6185" xr:uid="{00000000-0005-0000-0000-00006C4C0000}"/>
    <cellStyle name="Total 6 2 2 3 4 2" xfId="13917" xr:uid="{00000000-0005-0000-0000-00006D4C0000}"/>
    <cellStyle name="Total 6 2 2 3 4 3" xfId="14887" xr:uid="{00000000-0005-0000-0000-00006E4C0000}"/>
    <cellStyle name="Total 6 2 2 3 4 4" xfId="12291" xr:uid="{00000000-0005-0000-0000-00006F4C0000}"/>
    <cellStyle name="Total 6 2 2 3 4 5" xfId="12630" xr:uid="{00000000-0005-0000-0000-0000704C0000}"/>
    <cellStyle name="Total 6 2 2 3 4 6" xfId="18412" xr:uid="{00000000-0005-0000-0000-0000714C0000}"/>
    <cellStyle name="Total 6 2 2 3 5" xfId="13131" xr:uid="{00000000-0005-0000-0000-0000724C0000}"/>
    <cellStyle name="Total 6 2 2 3 6" xfId="14600" xr:uid="{00000000-0005-0000-0000-0000734C0000}"/>
    <cellStyle name="Total 6 2 2 3 7" xfId="13159" xr:uid="{00000000-0005-0000-0000-0000744C0000}"/>
    <cellStyle name="Total 6 2 2 3 8" xfId="15105" xr:uid="{00000000-0005-0000-0000-0000754C0000}"/>
    <cellStyle name="Total 6 2 2 3 9" xfId="13440" xr:uid="{00000000-0005-0000-0000-0000764C0000}"/>
    <cellStyle name="Total 6 2 3" xfId="2666" xr:uid="{00000000-0005-0000-0000-0000774C0000}"/>
    <cellStyle name="Total 6 2 3 10" xfId="16332" xr:uid="{00000000-0005-0000-0000-0000784C0000}"/>
    <cellStyle name="Total 6 2 3 2" xfId="6082" xr:uid="{00000000-0005-0000-0000-0000794C0000}"/>
    <cellStyle name="Total 6 2 3 2 2" xfId="11178" xr:uid="{00000000-0005-0000-0000-00007A4C0000}"/>
    <cellStyle name="Total 6 2 3 2 2 2" xfId="15484" xr:uid="{00000000-0005-0000-0000-00007B4C0000}"/>
    <cellStyle name="Total 6 2 3 2 2 3" xfId="16563" xr:uid="{00000000-0005-0000-0000-00007C4C0000}"/>
    <cellStyle name="Total 6 2 3 2 2 4" xfId="17597" xr:uid="{00000000-0005-0000-0000-00007D4C0000}"/>
    <cellStyle name="Total 6 2 3 2 2 5" xfId="18567" xr:uid="{00000000-0005-0000-0000-00007E4C0000}"/>
    <cellStyle name="Total 6 2 3 2 2 6" xfId="19473" xr:uid="{00000000-0005-0000-0000-00007F4C0000}"/>
    <cellStyle name="Total 6 2 3 2 3" xfId="11760" xr:uid="{00000000-0005-0000-0000-0000804C0000}"/>
    <cellStyle name="Total 6 2 3 2 3 2" xfId="16066" xr:uid="{00000000-0005-0000-0000-0000814C0000}"/>
    <cellStyle name="Total 6 2 3 2 3 3" xfId="17145" xr:uid="{00000000-0005-0000-0000-0000824C0000}"/>
    <cellStyle name="Total 6 2 3 2 3 4" xfId="18167" xr:uid="{00000000-0005-0000-0000-0000834C0000}"/>
    <cellStyle name="Total 6 2 3 2 3 5" xfId="19137" xr:uid="{00000000-0005-0000-0000-0000844C0000}"/>
    <cellStyle name="Total 6 2 3 2 3 6" xfId="20043" xr:uid="{00000000-0005-0000-0000-0000854C0000}"/>
    <cellStyle name="Total 6 2 3 2 4" xfId="11932" xr:uid="{00000000-0005-0000-0000-0000864C0000}"/>
    <cellStyle name="Total 6 2 3 2 4 2" xfId="16238" xr:uid="{00000000-0005-0000-0000-0000874C0000}"/>
    <cellStyle name="Total 6 2 3 2 4 3" xfId="17317" xr:uid="{00000000-0005-0000-0000-0000884C0000}"/>
    <cellStyle name="Total 6 2 3 2 4 4" xfId="18335" xr:uid="{00000000-0005-0000-0000-0000894C0000}"/>
    <cellStyle name="Total 6 2 3 2 4 5" xfId="19305" xr:uid="{00000000-0005-0000-0000-00008A4C0000}"/>
    <cellStyle name="Total 6 2 3 2 4 6" xfId="20211" xr:uid="{00000000-0005-0000-0000-00008B4C0000}"/>
    <cellStyle name="Total 6 2 3 2 5" xfId="13815" xr:uid="{00000000-0005-0000-0000-00008C4C0000}"/>
    <cellStyle name="Total 6 2 3 2 6" xfId="13212" xr:uid="{00000000-0005-0000-0000-00008D4C0000}"/>
    <cellStyle name="Total 6 2 3 2 7" xfId="13592" xr:uid="{00000000-0005-0000-0000-00008E4C0000}"/>
    <cellStyle name="Total 6 2 3 2 8" xfId="14630" xr:uid="{00000000-0005-0000-0000-00008F4C0000}"/>
    <cellStyle name="Total 6 2 3 2 9" xfId="18454" xr:uid="{00000000-0005-0000-0000-0000904C0000}"/>
    <cellStyle name="Total 6 2 3 3" xfId="7769" xr:uid="{00000000-0005-0000-0000-0000914C0000}"/>
    <cellStyle name="Total 6 2 3 3 2" xfId="14435" xr:uid="{00000000-0005-0000-0000-0000924C0000}"/>
    <cellStyle name="Total 6 2 3 3 3" xfId="15192" xr:uid="{00000000-0005-0000-0000-0000934C0000}"/>
    <cellStyle name="Total 6 2 3 3 4" xfId="16310" xr:uid="{00000000-0005-0000-0000-0000944C0000}"/>
    <cellStyle name="Total 6 2 3 3 5" xfId="12827" xr:uid="{00000000-0005-0000-0000-0000954C0000}"/>
    <cellStyle name="Total 6 2 3 3 6" xfId="12864" xr:uid="{00000000-0005-0000-0000-0000964C0000}"/>
    <cellStyle name="Total 6 2 3 4" xfId="11368" xr:uid="{00000000-0005-0000-0000-0000974C0000}"/>
    <cellStyle name="Total 6 2 3 4 2" xfId="15674" xr:uid="{00000000-0005-0000-0000-0000984C0000}"/>
    <cellStyle name="Total 6 2 3 4 3" xfId="16753" xr:uid="{00000000-0005-0000-0000-0000994C0000}"/>
    <cellStyle name="Total 6 2 3 4 4" xfId="17782" xr:uid="{00000000-0005-0000-0000-00009A4C0000}"/>
    <cellStyle name="Total 6 2 3 4 5" xfId="18752" xr:uid="{00000000-0005-0000-0000-00009B4C0000}"/>
    <cellStyle name="Total 6 2 3 4 6" xfId="19658" xr:uid="{00000000-0005-0000-0000-00009C4C0000}"/>
    <cellStyle name="Total 6 2 3 5" xfId="11439" xr:uid="{00000000-0005-0000-0000-00009D4C0000}"/>
    <cellStyle name="Total 6 2 3 5 2" xfId="15745" xr:uid="{00000000-0005-0000-0000-00009E4C0000}"/>
    <cellStyle name="Total 6 2 3 5 3" xfId="16824" xr:uid="{00000000-0005-0000-0000-00009F4C0000}"/>
    <cellStyle name="Total 6 2 3 5 4" xfId="17852" xr:uid="{00000000-0005-0000-0000-0000A04C0000}"/>
    <cellStyle name="Total 6 2 3 5 5" xfId="18822" xr:uid="{00000000-0005-0000-0000-0000A14C0000}"/>
    <cellStyle name="Total 6 2 3 5 6" xfId="19728" xr:uid="{00000000-0005-0000-0000-0000A24C0000}"/>
    <cellStyle name="Total 6 2 3 6" xfId="12736" xr:uid="{00000000-0005-0000-0000-0000A34C0000}"/>
    <cellStyle name="Total 6 2 3 7" xfId="12194" xr:uid="{00000000-0005-0000-0000-0000A44C0000}"/>
    <cellStyle name="Total 6 2 3 8" xfId="13668" xr:uid="{00000000-0005-0000-0000-0000A54C0000}"/>
    <cellStyle name="Total 6 2 3 9" xfId="13705" xr:uid="{00000000-0005-0000-0000-0000A64C0000}"/>
    <cellStyle name="Total 6 2 4" xfId="6007" xr:uid="{00000000-0005-0000-0000-0000A74C0000}"/>
    <cellStyle name="Total 6 2 4 2" xfId="11103" xr:uid="{00000000-0005-0000-0000-0000A84C0000}"/>
    <cellStyle name="Total 6 2 4 2 2" xfId="15409" xr:uid="{00000000-0005-0000-0000-0000A94C0000}"/>
    <cellStyle name="Total 6 2 4 2 3" xfId="16488" xr:uid="{00000000-0005-0000-0000-0000AA4C0000}"/>
    <cellStyle name="Total 6 2 4 2 4" xfId="17523" xr:uid="{00000000-0005-0000-0000-0000AB4C0000}"/>
    <cellStyle name="Total 6 2 4 2 5" xfId="18493" xr:uid="{00000000-0005-0000-0000-0000AC4C0000}"/>
    <cellStyle name="Total 6 2 4 2 6" xfId="19399" xr:uid="{00000000-0005-0000-0000-0000AD4C0000}"/>
    <cellStyle name="Total 6 2 4 3" xfId="11685" xr:uid="{00000000-0005-0000-0000-0000AE4C0000}"/>
    <cellStyle name="Total 6 2 4 3 2" xfId="15991" xr:uid="{00000000-0005-0000-0000-0000AF4C0000}"/>
    <cellStyle name="Total 6 2 4 3 3" xfId="17070" xr:uid="{00000000-0005-0000-0000-0000B04C0000}"/>
    <cellStyle name="Total 6 2 4 3 4" xfId="18093" xr:uid="{00000000-0005-0000-0000-0000B14C0000}"/>
    <cellStyle name="Total 6 2 4 3 5" xfId="19063" xr:uid="{00000000-0005-0000-0000-0000B24C0000}"/>
    <cellStyle name="Total 6 2 4 3 6" xfId="19969" xr:uid="{00000000-0005-0000-0000-0000B34C0000}"/>
    <cellStyle name="Total 6 2 4 4" xfId="11857" xr:uid="{00000000-0005-0000-0000-0000B44C0000}"/>
    <cellStyle name="Total 6 2 4 4 2" xfId="16163" xr:uid="{00000000-0005-0000-0000-0000B54C0000}"/>
    <cellStyle name="Total 6 2 4 4 3" xfId="17242" xr:uid="{00000000-0005-0000-0000-0000B64C0000}"/>
    <cellStyle name="Total 6 2 4 4 4" xfId="18261" xr:uid="{00000000-0005-0000-0000-0000B74C0000}"/>
    <cellStyle name="Total 6 2 4 4 5" xfId="19231" xr:uid="{00000000-0005-0000-0000-0000B84C0000}"/>
    <cellStyle name="Total 6 2 4 4 6" xfId="20137" xr:uid="{00000000-0005-0000-0000-0000B94C0000}"/>
    <cellStyle name="Total 6 2 4 5" xfId="13740" xr:uid="{00000000-0005-0000-0000-0000BA4C0000}"/>
    <cellStyle name="Total 6 2 4 6" xfId="12601" xr:uid="{00000000-0005-0000-0000-0000BB4C0000}"/>
    <cellStyle name="Total 6 2 4 7" xfId="13297" xr:uid="{00000000-0005-0000-0000-0000BC4C0000}"/>
    <cellStyle name="Total 6 2 4 8" xfId="13304" xr:uid="{00000000-0005-0000-0000-0000BD4C0000}"/>
    <cellStyle name="Total 6 2 4 9" xfId="14668" xr:uid="{00000000-0005-0000-0000-0000BE4C0000}"/>
    <cellStyle name="Total 6 2 5" xfId="6513" xr:uid="{00000000-0005-0000-0000-0000BF4C0000}"/>
    <cellStyle name="Total 6 2 5 2" xfId="14026" xr:uid="{00000000-0005-0000-0000-0000C04C0000}"/>
    <cellStyle name="Total 6 2 5 3" xfId="14873" xr:uid="{00000000-0005-0000-0000-0000C14C0000}"/>
    <cellStyle name="Total 6 2 5 4" xfId="15165" xr:uid="{00000000-0005-0000-0000-0000C24C0000}"/>
    <cellStyle name="Total 6 2 5 5" xfId="12652" xr:uid="{00000000-0005-0000-0000-0000C34C0000}"/>
    <cellStyle name="Total 6 2 5 6" xfId="18406" xr:uid="{00000000-0005-0000-0000-0000C44C0000}"/>
    <cellStyle name="Total 6 2 6" xfId="6152" xr:uid="{00000000-0005-0000-0000-0000C54C0000}"/>
    <cellStyle name="Total 6 2 6 2" xfId="13884" xr:uid="{00000000-0005-0000-0000-0000C64C0000}"/>
    <cellStyle name="Total 6 2 6 3" xfId="14892" xr:uid="{00000000-0005-0000-0000-0000C74C0000}"/>
    <cellStyle name="Total 6 2 6 4" xfId="152" xr:uid="{00000000-0005-0000-0000-0000C84C0000}"/>
    <cellStyle name="Total 6 2 6 5" xfId="14773" xr:uid="{00000000-0005-0000-0000-0000C94C0000}"/>
    <cellStyle name="Total 6 2 6 6" xfId="12233" xr:uid="{00000000-0005-0000-0000-0000CA4C0000}"/>
    <cellStyle name="Total 6 2 7" xfId="11553" xr:uid="{00000000-0005-0000-0000-0000CB4C0000}"/>
    <cellStyle name="Total 6 2 7 2" xfId="15859" xr:uid="{00000000-0005-0000-0000-0000CC4C0000}"/>
    <cellStyle name="Total 6 2 7 3" xfId="16938" xr:uid="{00000000-0005-0000-0000-0000CD4C0000}"/>
    <cellStyle name="Total 6 2 7 4" xfId="17963" xr:uid="{00000000-0005-0000-0000-0000CE4C0000}"/>
    <cellStyle name="Total 6 2 7 5" xfId="18933" xr:uid="{00000000-0005-0000-0000-0000CF4C0000}"/>
    <cellStyle name="Total 6 2 7 6" xfId="19839" xr:uid="{00000000-0005-0000-0000-0000D04C0000}"/>
    <cellStyle name="Total 6 2 8" xfId="12228" xr:uid="{00000000-0005-0000-0000-0000D14C0000}"/>
    <cellStyle name="Total 6 2 9" xfId="13930" xr:uid="{00000000-0005-0000-0000-0000D24C0000}"/>
    <cellStyle name="Total 7" xfId="476" xr:uid="{00000000-0005-0000-0000-0000D34C0000}"/>
    <cellStyle name="Total 7 2" xfId="1037" xr:uid="{00000000-0005-0000-0000-0000D44C0000}"/>
    <cellStyle name="Total 7 2 10" xfId="15106" xr:uid="{00000000-0005-0000-0000-0000D54C0000}"/>
    <cellStyle name="Total 7 2 11" xfId="12500" xr:uid="{00000000-0005-0000-0000-0000D64C0000}"/>
    <cellStyle name="Total 7 2 12" xfId="12081" xr:uid="{00000000-0005-0000-0000-0000D74C0000}"/>
    <cellStyle name="Total 7 2 2" xfId="1128" xr:uid="{00000000-0005-0000-0000-0000D84C0000}"/>
    <cellStyle name="Total 7 2 2 2" xfId="2718" xr:uid="{00000000-0005-0000-0000-0000D94C0000}"/>
    <cellStyle name="Total 7 2 2 2 10" xfId="12440" xr:uid="{00000000-0005-0000-0000-0000DA4C0000}"/>
    <cellStyle name="Total 7 2 2 2 11" xfId="17490" xr:uid="{00000000-0005-0000-0000-0000DB4C0000}"/>
    <cellStyle name="Total 7 2 2 2 2" xfId="6118" xr:uid="{00000000-0005-0000-0000-0000DC4C0000}"/>
    <cellStyle name="Total 7 2 2 2 2 2" xfId="11214" xr:uid="{00000000-0005-0000-0000-0000DD4C0000}"/>
    <cellStyle name="Total 7 2 2 2 2 2 2" xfId="15520" xr:uid="{00000000-0005-0000-0000-0000DE4C0000}"/>
    <cellStyle name="Total 7 2 2 2 2 2 3" xfId="16599" xr:uid="{00000000-0005-0000-0000-0000DF4C0000}"/>
    <cellStyle name="Total 7 2 2 2 2 2 4" xfId="17633" xr:uid="{00000000-0005-0000-0000-0000E04C0000}"/>
    <cellStyle name="Total 7 2 2 2 2 2 5" xfId="18603" xr:uid="{00000000-0005-0000-0000-0000E14C0000}"/>
    <cellStyle name="Total 7 2 2 2 2 2 6" xfId="19509" xr:uid="{00000000-0005-0000-0000-0000E24C0000}"/>
    <cellStyle name="Total 7 2 2 2 2 3" xfId="11796" xr:uid="{00000000-0005-0000-0000-0000E34C0000}"/>
    <cellStyle name="Total 7 2 2 2 2 3 2" xfId="16102" xr:uid="{00000000-0005-0000-0000-0000E44C0000}"/>
    <cellStyle name="Total 7 2 2 2 2 3 3" xfId="17181" xr:uid="{00000000-0005-0000-0000-0000E54C0000}"/>
    <cellStyle name="Total 7 2 2 2 2 3 4" xfId="18203" xr:uid="{00000000-0005-0000-0000-0000E64C0000}"/>
    <cellStyle name="Total 7 2 2 2 2 3 5" xfId="19173" xr:uid="{00000000-0005-0000-0000-0000E74C0000}"/>
    <cellStyle name="Total 7 2 2 2 2 3 6" xfId="20079" xr:uid="{00000000-0005-0000-0000-0000E84C0000}"/>
    <cellStyle name="Total 7 2 2 2 2 4" xfId="11968" xr:uid="{00000000-0005-0000-0000-0000E94C0000}"/>
    <cellStyle name="Total 7 2 2 2 2 4 2" xfId="16274" xr:uid="{00000000-0005-0000-0000-0000EA4C0000}"/>
    <cellStyle name="Total 7 2 2 2 2 4 3" xfId="17353" xr:uid="{00000000-0005-0000-0000-0000EB4C0000}"/>
    <cellStyle name="Total 7 2 2 2 2 4 4" xfId="18371" xr:uid="{00000000-0005-0000-0000-0000EC4C0000}"/>
    <cellStyle name="Total 7 2 2 2 2 4 5" xfId="19341" xr:uid="{00000000-0005-0000-0000-0000ED4C0000}"/>
    <cellStyle name="Total 7 2 2 2 2 4 6" xfId="20247" xr:uid="{00000000-0005-0000-0000-0000EE4C0000}"/>
    <cellStyle name="Total 7 2 2 2 2 5" xfId="13851" xr:uid="{00000000-0005-0000-0000-0000EF4C0000}"/>
    <cellStyle name="Total 7 2 2 2 2 6" xfId="12377" xr:uid="{00000000-0005-0000-0000-0000F04C0000}"/>
    <cellStyle name="Total 7 2 2 2 2 7" xfId="12537" xr:uid="{00000000-0005-0000-0000-0000F14C0000}"/>
    <cellStyle name="Total 7 2 2 2 2 8" xfId="16303" xr:uid="{00000000-0005-0000-0000-0000F24C0000}"/>
    <cellStyle name="Total 7 2 2 2 2 9" xfId="13259" xr:uid="{00000000-0005-0000-0000-0000F34C0000}"/>
    <cellStyle name="Total 7 2 2 2 3" xfId="5126" xr:uid="{00000000-0005-0000-0000-0000F44C0000}"/>
    <cellStyle name="Total 7 2 2 2 3 2" xfId="10222" xr:uid="{00000000-0005-0000-0000-0000F54C0000}"/>
    <cellStyle name="Total 7 2 2 2 3 2 2" xfId="15160" xr:uid="{00000000-0005-0000-0000-0000F64C0000}"/>
    <cellStyle name="Total 7 2 2 2 3 2 3" xfId="14484" xr:uid="{00000000-0005-0000-0000-0000F74C0000}"/>
    <cellStyle name="Total 7 2 2 2 3 2 4" xfId="12312" xr:uid="{00000000-0005-0000-0000-0000F84C0000}"/>
    <cellStyle name="Total 7 2 2 2 3 2 5" xfId="13016" xr:uid="{00000000-0005-0000-0000-0000F94C0000}"/>
    <cellStyle name="Total 7 2 2 2 3 2 6" xfId="15029" xr:uid="{00000000-0005-0000-0000-0000FA4C0000}"/>
    <cellStyle name="Total 7 2 2 2 3 3" xfId="11604" xr:uid="{00000000-0005-0000-0000-0000FB4C0000}"/>
    <cellStyle name="Total 7 2 2 2 3 3 2" xfId="15910" xr:uid="{00000000-0005-0000-0000-0000FC4C0000}"/>
    <cellStyle name="Total 7 2 2 2 3 3 3" xfId="16989" xr:uid="{00000000-0005-0000-0000-0000FD4C0000}"/>
    <cellStyle name="Total 7 2 2 2 3 3 4" xfId="18013" xr:uid="{00000000-0005-0000-0000-0000FE4C0000}"/>
    <cellStyle name="Total 7 2 2 2 3 3 5" xfId="18983" xr:uid="{00000000-0005-0000-0000-0000FF4C0000}"/>
    <cellStyle name="Total 7 2 2 2 3 3 6" xfId="19889" xr:uid="{00000000-0005-0000-0000-0000004D0000}"/>
    <cellStyle name="Total 7 2 2 2 3 4" xfId="11241" xr:uid="{00000000-0005-0000-0000-0000014D0000}"/>
    <cellStyle name="Total 7 2 2 2 3 4 2" xfId="15547" xr:uid="{00000000-0005-0000-0000-0000024D0000}"/>
    <cellStyle name="Total 7 2 2 2 3 4 3" xfId="16626" xr:uid="{00000000-0005-0000-0000-0000034D0000}"/>
    <cellStyle name="Total 7 2 2 2 3 4 4" xfId="17658" xr:uid="{00000000-0005-0000-0000-0000044D0000}"/>
    <cellStyle name="Total 7 2 2 2 3 4 5" xfId="18628" xr:uid="{00000000-0005-0000-0000-0000054D0000}"/>
    <cellStyle name="Total 7 2 2 2 3 4 6" xfId="19534" xr:uid="{00000000-0005-0000-0000-0000064D0000}"/>
    <cellStyle name="Total 7 2 2 2 3 5" xfId="13480" xr:uid="{00000000-0005-0000-0000-0000074D0000}"/>
    <cellStyle name="Total 7 2 2 2 3 6" xfId="12593" xr:uid="{00000000-0005-0000-0000-0000084D0000}"/>
    <cellStyle name="Total 7 2 2 2 3 7" xfId="12504" xr:uid="{00000000-0005-0000-0000-0000094D0000}"/>
    <cellStyle name="Total 7 2 2 2 3 8" xfId="14835" xr:uid="{00000000-0005-0000-0000-00000A4D0000}"/>
    <cellStyle name="Total 7 2 2 2 3 9" xfId="12973" xr:uid="{00000000-0005-0000-0000-00000B4D0000}"/>
    <cellStyle name="Total 7 2 2 2 4" xfId="7821" xr:uid="{00000000-0005-0000-0000-00000C4D0000}"/>
    <cellStyle name="Total 7 2 2 2 4 2" xfId="14472" xr:uid="{00000000-0005-0000-0000-00000D4D0000}"/>
    <cellStyle name="Total 7 2 2 2 4 3" xfId="13423" xr:uid="{00000000-0005-0000-0000-00000E4D0000}"/>
    <cellStyle name="Total 7 2 2 2 4 4" xfId="14170" xr:uid="{00000000-0005-0000-0000-00000F4D0000}"/>
    <cellStyle name="Total 7 2 2 2 4 5" xfId="12255" xr:uid="{00000000-0005-0000-0000-0000104D0000}"/>
    <cellStyle name="Total 7 2 2 2 4 6" xfId="14272" xr:uid="{00000000-0005-0000-0000-0000114D0000}"/>
    <cellStyle name="Total 7 2 2 2 5" xfId="11404" xr:uid="{00000000-0005-0000-0000-0000124D0000}"/>
    <cellStyle name="Total 7 2 2 2 5 2" xfId="15710" xr:uid="{00000000-0005-0000-0000-0000134D0000}"/>
    <cellStyle name="Total 7 2 2 2 5 3" xfId="16789" xr:uid="{00000000-0005-0000-0000-0000144D0000}"/>
    <cellStyle name="Total 7 2 2 2 5 4" xfId="17818" xr:uid="{00000000-0005-0000-0000-0000154D0000}"/>
    <cellStyle name="Total 7 2 2 2 5 5" xfId="18788" xr:uid="{00000000-0005-0000-0000-0000164D0000}"/>
    <cellStyle name="Total 7 2 2 2 5 6" xfId="19694" xr:uid="{00000000-0005-0000-0000-0000174D0000}"/>
    <cellStyle name="Total 7 2 2 2 6" xfId="11523" xr:uid="{00000000-0005-0000-0000-0000184D0000}"/>
    <cellStyle name="Total 7 2 2 2 6 2" xfId="15829" xr:uid="{00000000-0005-0000-0000-0000194D0000}"/>
    <cellStyle name="Total 7 2 2 2 6 3" xfId="16908" xr:uid="{00000000-0005-0000-0000-00001A4D0000}"/>
    <cellStyle name="Total 7 2 2 2 6 4" xfId="17933" xr:uid="{00000000-0005-0000-0000-00001B4D0000}"/>
    <cellStyle name="Total 7 2 2 2 6 5" xfId="18903" xr:uid="{00000000-0005-0000-0000-00001C4D0000}"/>
    <cellStyle name="Total 7 2 2 2 6 6" xfId="19809" xr:uid="{00000000-0005-0000-0000-00001D4D0000}"/>
    <cellStyle name="Total 7 2 2 2 7" xfId="12775" xr:uid="{00000000-0005-0000-0000-00001E4D0000}"/>
    <cellStyle name="Total 7 2 2 2 8" xfId="13631" xr:uid="{00000000-0005-0000-0000-00001F4D0000}"/>
    <cellStyle name="Total 7 2 2 2 9" xfId="15037" xr:uid="{00000000-0005-0000-0000-0000204D0000}"/>
    <cellStyle name="Total 7 2 2 3" xfId="3943" xr:uid="{00000000-0005-0000-0000-0000214D0000}"/>
    <cellStyle name="Total 7 2 2 3 2" xfId="9042" xr:uid="{00000000-0005-0000-0000-0000224D0000}"/>
    <cellStyle name="Total 7 2 2 3 2 2" xfId="14820" xr:uid="{00000000-0005-0000-0000-0000234D0000}"/>
    <cellStyle name="Total 7 2 2 3 2 3" xfId="13939" xr:uid="{00000000-0005-0000-0000-0000244D0000}"/>
    <cellStyle name="Total 7 2 2 3 2 4" xfId="14885" xr:uid="{00000000-0005-0000-0000-0000254D0000}"/>
    <cellStyle name="Total 7 2 2 3 2 5" xfId="13401" xr:uid="{00000000-0005-0000-0000-0000264D0000}"/>
    <cellStyle name="Total 7 2 2 3 2 6" xfId="13991" xr:uid="{00000000-0005-0000-0000-0000274D0000}"/>
    <cellStyle name="Total 7 2 2 3 3" xfId="11510" xr:uid="{00000000-0005-0000-0000-0000284D0000}"/>
    <cellStyle name="Total 7 2 2 3 3 2" xfId="15816" xr:uid="{00000000-0005-0000-0000-0000294D0000}"/>
    <cellStyle name="Total 7 2 2 3 3 3" xfId="16895" xr:uid="{00000000-0005-0000-0000-00002A4D0000}"/>
    <cellStyle name="Total 7 2 2 3 3 4" xfId="17921" xr:uid="{00000000-0005-0000-0000-00002B4D0000}"/>
    <cellStyle name="Total 7 2 2 3 3 5" xfId="18891" xr:uid="{00000000-0005-0000-0000-00002C4D0000}"/>
    <cellStyle name="Total 7 2 2 3 3 6" xfId="19797" xr:uid="{00000000-0005-0000-0000-00002D4D0000}"/>
    <cellStyle name="Total 7 2 2 3 4" xfId="6178" xr:uid="{00000000-0005-0000-0000-00002E4D0000}"/>
    <cellStyle name="Total 7 2 2 3 4 2" xfId="13910" xr:uid="{00000000-0005-0000-0000-00002F4D0000}"/>
    <cellStyle name="Total 7 2 2 3 4 3" xfId="15222" xr:uid="{00000000-0005-0000-0000-0000304D0000}"/>
    <cellStyle name="Total 7 2 2 3 4 4" xfId="16335" xr:uid="{00000000-0005-0000-0000-0000314D0000}"/>
    <cellStyle name="Total 7 2 2 3 4 5" xfId="15250" xr:uid="{00000000-0005-0000-0000-0000324D0000}"/>
    <cellStyle name="Total 7 2 2 3 4 6" xfId="18411" xr:uid="{00000000-0005-0000-0000-0000334D0000}"/>
    <cellStyle name="Total 7 2 2 3 5" xfId="13132" xr:uid="{00000000-0005-0000-0000-0000344D0000}"/>
    <cellStyle name="Total 7 2 2 3 6" xfId="15283" xr:uid="{00000000-0005-0000-0000-0000354D0000}"/>
    <cellStyle name="Total 7 2 2 3 7" xfId="16379" xr:uid="{00000000-0005-0000-0000-0000364D0000}"/>
    <cellStyle name="Total 7 2 2 3 8" xfId="12158" xr:uid="{00000000-0005-0000-0000-0000374D0000}"/>
    <cellStyle name="Total 7 2 2 3 9" xfId="18429" xr:uid="{00000000-0005-0000-0000-0000384D0000}"/>
    <cellStyle name="Total 7 2 3" xfId="2667" xr:uid="{00000000-0005-0000-0000-0000394D0000}"/>
    <cellStyle name="Total 7 2 3 10" xfId="12030" xr:uid="{00000000-0005-0000-0000-00003A4D0000}"/>
    <cellStyle name="Total 7 2 3 2" xfId="6083" xr:uid="{00000000-0005-0000-0000-00003B4D0000}"/>
    <cellStyle name="Total 7 2 3 2 2" xfId="11179" xr:uid="{00000000-0005-0000-0000-00003C4D0000}"/>
    <cellStyle name="Total 7 2 3 2 2 2" xfId="15485" xr:uid="{00000000-0005-0000-0000-00003D4D0000}"/>
    <cellStyle name="Total 7 2 3 2 2 3" xfId="16564" xr:uid="{00000000-0005-0000-0000-00003E4D0000}"/>
    <cellStyle name="Total 7 2 3 2 2 4" xfId="17598" xr:uid="{00000000-0005-0000-0000-00003F4D0000}"/>
    <cellStyle name="Total 7 2 3 2 2 5" xfId="18568" xr:uid="{00000000-0005-0000-0000-0000404D0000}"/>
    <cellStyle name="Total 7 2 3 2 2 6" xfId="19474" xr:uid="{00000000-0005-0000-0000-0000414D0000}"/>
    <cellStyle name="Total 7 2 3 2 3" xfId="11761" xr:uid="{00000000-0005-0000-0000-0000424D0000}"/>
    <cellStyle name="Total 7 2 3 2 3 2" xfId="16067" xr:uid="{00000000-0005-0000-0000-0000434D0000}"/>
    <cellStyle name="Total 7 2 3 2 3 3" xfId="17146" xr:uid="{00000000-0005-0000-0000-0000444D0000}"/>
    <cellStyle name="Total 7 2 3 2 3 4" xfId="18168" xr:uid="{00000000-0005-0000-0000-0000454D0000}"/>
    <cellStyle name="Total 7 2 3 2 3 5" xfId="19138" xr:uid="{00000000-0005-0000-0000-0000464D0000}"/>
    <cellStyle name="Total 7 2 3 2 3 6" xfId="20044" xr:uid="{00000000-0005-0000-0000-0000474D0000}"/>
    <cellStyle name="Total 7 2 3 2 4" xfId="11933" xr:uid="{00000000-0005-0000-0000-0000484D0000}"/>
    <cellStyle name="Total 7 2 3 2 4 2" xfId="16239" xr:uid="{00000000-0005-0000-0000-0000494D0000}"/>
    <cellStyle name="Total 7 2 3 2 4 3" xfId="17318" xr:uid="{00000000-0005-0000-0000-00004A4D0000}"/>
    <cellStyle name="Total 7 2 3 2 4 4" xfId="18336" xr:uid="{00000000-0005-0000-0000-00004B4D0000}"/>
    <cellStyle name="Total 7 2 3 2 4 5" xfId="19306" xr:uid="{00000000-0005-0000-0000-00004C4D0000}"/>
    <cellStyle name="Total 7 2 3 2 4 6" xfId="20212" xr:uid="{00000000-0005-0000-0000-00004D4D0000}"/>
    <cellStyle name="Total 7 2 3 2 5" xfId="13816" xr:uid="{00000000-0005-0000-0000-00004E4D0000}"/>
    <cellStyle name="Total 7 2 3 2 6" xfId="14555" xr:uid="{00000000-0005-0000-0000-00004F4D0000}"/>
    <cellStyle name="Total 7 2 3 2 7" xfId="12807" xr:uid="{00000000-0005-0000-0000-0000504D0000}"/>
    <cellStyle name="Total 7 2 3 2 8" xfId="12668" xr:uid="{00000000-0005-0000-0000-0000514D0000}"/>
    <cellStyle name="Total 7 2 3 2 9" xfId="13143" xr:uid="{00000000-0005-0000-0000-0000524D0000}"/>
    <cellStyle name="Total 7 2 3 3" xfId="7770" xr:uid="{00000000-0005-0000-0000-0000534D0000}"/>
    <cellStyle name="Total 7 2 3 3 2" xfId="14436" xr:uid="{00000000-0005-0000-0000-0000544D0000}"/>
    <cellStyle name="Total 7 2 3 3 3" xfId="13512" xr:uid="{00000000-0005-0000-0000-0000554D0000}"/>
    <cellStyle name="Total 7 2 3 3 4" xfId="14914" xr:uid="{00000000-0005-0000-0000-0000564D0000}"/>
    <cellStyle name="Total 7 2 3 3 5" xfId="13993" xr:uid="{00000000-0005-0000-0000-0000574D0000}"/>
    <cellStyle name="Total 7 2 3 3 6" xfId="15236" xr:uid="{00000000-0005-0000-0000-0000584D0000}"/>
    <cellStyle name="Total 7 2 3 4" xfId="11369" xr:uid="{00000000-0005-0000-0000-0000594D0000}"/>
    <cellStyle name="Total 7 2 3 4 2" xfId="15675" xr:uid="{00000000-0005-0000-0000-00005A4D0000}"/>
    <cellStyle name="Total 7 2 3 4 3" xfId="16754" xr:uid="{00000000-0005-0000-0000-00005B4D0000}"/>
    <cellStyle name="Total 7 2 3 4 4" xfId="17783" xr:uid="{00000000-0005-0000-0000-00005C4D0000}"/>
    <cellStyle name="Total 7 2 3 4 5" xfId="18753" xr:uid="{00000000-0005-0000-0000-00005D4D0000}"/>
    <cellStyle name="Total 7 2 3 4 6" xfId="19659" xr:uid="{00000000-0005-0000-0000-00005E4D0000}"/>
    <cellStyle name="Total 7 2 3 5" xfId="11275" xr:uid="{00000000-0005-0000-0000-00005F4D0000}"/>
    <cellStyle name="Total 7 2 3 5 2" xfId="15581" xr:uid="{00000000-0005-0000-0000-0000604D0000}"/>
    <cellStyle name="Total 7 2 3 5 3" xfId="16660" xr:uid="{00000000-0005-0000-0000-0000614D0000}"/>
    <cellStyle name="Total 7 2 3 5 4" xfId="17690" xr:uid="{00000000-0005-0000-0000-0000624D0000}"/>
    <cellStyle name="Total 7 2 3 5 5" xfId="18660" xr:uid="{00000000-0005-0000-0000-0000634D0000}"/>
    <cellStyle name="Total 7 2 3 5 6" xfId="19566" xr:uid="{00000000-0005-0000-0000-0000644D0000}"/>
    <cellStyle name="Total 7 2 3 6" xfId="12737" xr:uid="{00000000-0005-0000-0000-0000654D0000}"/>
    <cellStyle name="Total 7 2 3 7" xfId="12065" xr:uid="{00000000-0005-0000-0000-0000664D0000}"/>
    <cellStyle name="Total 7 2 3 8" xfId="12596" xr:uid="{00000000-0005-0000-0000-0000674D0000}"/>
    <cellStyle name="Total 7 2 3 9" xfId="15070" xr:uid="{00000000-0005-0000-0000-0000684D0000}"/>
    <cellStyle name="Total 7 2 4" xfId="6008" xr:uid="{00000000-0005-0000-0000-0000694D0000}"/>
    <cellStyle name="Total 7 2 4 2" xfId="11104" xr:uid="{00000000-0005-0000-0000-00006A4D0000}"/>
    <cellStyle name="Total 7 2 4 2 2" xfId="15410" xr:uid="{00000000-0005-0000-0000-00006B4D0000}"/>
    <cellStyle name="Total 7 2 4 2 3" xfId="16489" xr:uid="{00000000-0005-0000-0000-00006C4D0000}"/>
    <cellStyle name="Total 7 2 4 2 4" xfId="17524" xr:uid="{00000000-0005-0000-0000-00006D4D0000}"/>
    <cellStyle name="Total 7 2 4 2 5" xfId="18494" xr:uid="{00000000-0005-0000-0000-00006E4D0000}"/>
    <cellStyle name="Total 7 2 4 2 6" xfId="19400" xr:uid="{00000000-0005-0000-0000-00006F4D0000}"/>
    <cellStyle name="Total 7 2 4 3" xfId="11686" xr:uid="{00000000-0005-0000-0000-0000704D0000}"/>
    <cellStyle name="Total 7 2 4 3 2" xfId="15992" xr:uid="{00000000-0005-0000-0000-0000714D0000}"/>
    <cellStyle name="Total 7 2 4 3 3" xfId="17071" xr:uid="{00000000-0005-0000-0000-0000724D0000}"/>
    <cellStyle name="Total 7 2 4 3 4" xfId="18094" xr:uid="{00000000-0005-0000-0000-0000734D0000}"/>
    <cellStyle name="Total 7 2 4 3 5" xfId="19064" xr:uid="{00000000-0005-0000-0000-0000744D0000}"/>
    <cellStyle name="Total 7 2 4 3 6" xfId="19970" xr:uid="{00000000-0005-0000-0000-0000754D0000}"/>
    <cellStyle name="Total 7 2 4 4" xfId="11858" xr:uid="{00000000-0005-0000-0000-0000764D0000}"/>
    <cellStyle name="Total 7 2 4 4 2" xfId="16164" xr:uid="{00000000-0005-0000-0000-0000774D0000}"/>
    <cellStyle name="Total 7 2 4 4 3" xfId="17243" xr:uid="{00000000-0005-0000-0000-0000784D0000}"/>
    <cellStyle name="Total 7 2 4 4 4" xfId="18262" xr:uid="{00000000-0005-0000-0000-0000794D0000}"/>
    <cellStyle name="Total 7 2 4 4 5" xfId="19232" xr:uid="{00000000-0005-0000-0000-00007A4D0000}"/>
    <cellStyle name="Total 7 2 4 4 6" xfId="20138" xr:uid="{00000000-0005-0000-0000-00007B4D0000}"/>
    <cellStyle name="Total 7 2 4 5" xfId="13741" xr:uid="{00000000-0005-0000-0000-00007C4D0000}"/>
    <cellStyle name="Total 7 2 4 6" xfId="14305" xr:uid="{00000000-0005-0000-0000-00007D4D0000}"/>
    <cellStyle name="Total 7 2 4 7" xfId="13397" xr:uid="{00000000-0005-0000-0000-00007E4D0000}"/>
    <cellStyle name="Total 7 2 4 8" xfId="14738" xr:uid="{00000000-0005-0000-0000-00007F4D0000}"/>
    <cellStyle name="Total 7 2 4 9" xfId="14574" xr:uid="{00000000-0005-0000-0000-0000804D0000}"/>
    <cellStyle name="Total 7 2 5" xfId="6514" xr:uid="{00000000-0005-0000-0000-0000814D0000}"/>
    <cellStyle name="Total 7 2 5 2" xfId="14027" xr:uid="{00000000-0005-0000-0000-0000824D0000}"/>
    <cellStyle name="Total 7 2 5 3" xfId="13185" xr:uid="{00000000-0005-0000-0000-0000834D0000}"/>
    <cellStyle name="Total 7 2 5 4" xfId="12441" xr:uid="{00000000-0005-0000-0000-0000844D0000}"/>
    <cellStyle name="Total 7 2 5 5" xfId="16318" xr:uid="{00000000-0005-0000-0000-0000854D0000}"/>
    <cellStyle name="Total 7 2 5 6" xfId="1147" xr:uid="{00000000-0005-0000-0000-0000864D0000}"/>
    <cellStyle name="Total 7 2 6" xfId="6671" xr:uid="{00000000-0005-0000-0000-0000874D0000}"/>
    <cellStyle name="Total 7 2 6 2" xfId="14079" xr:uid="{00000000-0005-0000-0000-0000884D0000}"/>
    <cellStyle name="Total 7 2 6 3" xfId="12355" xr:uid="{00000000-0005-0000-0000-0000894D0000}"/>
    <cellStyle name="Total 7 2 6 4" xfId="14256" xr:uid="{00000000-0005-0000-0000-00008A4D0000}"/>
    <cellStyle name="Total 7 2 6 5" xfId="14590" xr:uid="{00000000-0005-0000-0000-00008B4D0000}"/>
    <cellStyle name="Total 7 2 6 6" xfId="15327" xr:uid="{00000000-0005-0000-0000-00008C4D0000}"/>
    <cellStyle name="Total 7 2 7" xfId="11642" xr:uid="{00000000-0005-0000-0000-00008D4D0000}"/>
    <cellStyle name="Total 7 2 7 2" xfId="15948" xr:uid="{00000000-0005-0000-0000-00008E4D0000}"/>
    <cellStyle name="Total 7 2 7 3" xfId="17027" xr:uid="{00000000-0005-0000-0000-00008F4D0000}"/>
    <cellStyle name="Total 7 2 7 4" xfId="18051" xr:uid="{00000000-0005-0000-0000-0000904D0000}"/>
    <cellStyle name="Total 7 2 7 5" xfId="19021" xr:uid="{00000000-0005-0000-0000-0000914D0000}"/>
    <cellStyle name="Total 7 2 7 6" xfId="19927" xr:uid="{00000000-0005-0000-0000-0000924D0000}"/>
    <cellStyle name="Total 7 2 8" xfId="12229" xr:uid="{00000000-0005-0000-0000-0000934D0000}"/>
    <cellStyle name="Total 7 2 9" xfId="14726" xr:uid="{00000000-0005-0000-0000-0000944D0000}"/>
    <cellStyle name="Total 8" xfId="477" xr:uid="{00000000-0005-0000-0000-0000954D0000}"/>
    <cellStyle name="Total 8 2" xfId="1038" xr:uid="{00000000-0005-0000-0000-0000964D0000}"/>
    <cellStyle name="Total 8 2 10" xfId="14198" xr:uid="{00000000-0005-0000-0000-0000974D0000}"/>
    <cellStyle name="Total 8 2 11" xfId="13625" xr:uid="{00000000-0005-0000-0000-0000984D0000}"/>
    <cellStyle name="Total 8 2 12" xfId="13945" xr:uid="{00000000-0005-0000-0000-0000994D0000}"/>
    <cellStyle name="Total 8 2 2" xfId="1129" xr:uid="{00000000-0005-0000-0000-00009A4D0000}"/>
    <cellStyle name="Total 8 2 2 2" xfId="2719" xr:uid="{00000000-0005-0000-0000-00009B4D0000}"/>
    <cellStyle name="Total 8 2 2 2 10" xfId="14881" xr:uid="{00000000-0005-0000-0000-00009C4D0000}"/>
    <cellStyle name="Total 8 2 2 2 11" xfId="13028" xr:uid="{00000000-0005-0000-0000-00009D4D0000}"/>
    <cellStyle name="Total 8 2 2 2 2" xfId="6119" xr:uid="{00000000-0005-0000-0000-00009E4D0000}"/>
    <cellStyle name="Total 8 2 2 2 2 2" xfId="11215" xr:uid="{00000000-0005-0000-0000-00009F4D0000}"/>
    <cellStyle name="Total 8 2 2 2 2 2 2" xfId="15521" xr:uid="{00000000-0005-0000-0000-0000A04D0000}"/>
    <cellStyle name="Total 8 2 2 2 2 2 3" xfId="16600" xr:uid="{00000000-0005-0000-0000-0000A14D0000}"/>
    <cellStyle name="Total 8 2 2 2 2 2 4" xfId="17634" xr:uid="{00000000-0005-0000-0000-0000A24D0000}"/>
    <cellStyle name="Total 8 2 2 2 2 2 5" xfId="18604" xr:uid="{00000000-0005-0000-0000-0000A34D0000}"/>
    <cellStyle name="Total 8 2 2 2 2 2 6" xfId="19510" xr:uid="{00000000-0005-0000-0000-0000A44D0000}"/>
    <cellStyle name="Total 8 2 2 2 2 3" xfId="11797" xr:uid="{00000000-0005-0000-0000-0000A54D0000}"/>
    <cellStyle name="Total 8 2 2 2 2 3 2" xfId="16103" xr:uid="{00000000-0005-0000-0000-0000A64D0000}"/>
    <cellStyle name="Total 8 2 2 2 2 3 3" xfId="17182" xr:uid="{00000000-0005-0000-0000-0000A74D0000}"/>
    <cellStyle name="Total 8 2 2 2 2 3 4" xfId="18204" xr:uid="{00000000-0005-0000-0000-0000A84D0000}"/>
    <cellStyle name="Total 8 2 2 2 2 3 5" xfId="19174" xr:uid="{00000000-0005-0000-0000-0000A94D0000}"/>
    <cellStyle name="Total 8 2 2 2 2 3 6" xfId="20080" xr:uid="{00000000-0005-0000-0000-0000AA4D0000}"/>
    <cellStyle name="Total 8 2 2 2 2 4" xfId="11969" xr:uid="{00000000-0005-0000-0000-0000AB4D0000}"/>
    <cellStyle name="Total 8 2 2 2 2 4 2" xfId="16275" xr:uid="{00000000-0005-0000-0000-0000AC4D0000}"/>
    <cellStyle name="Total 8 2 2 2 2 4 3" xfId="17354" xr:uid="{00000000-0005-0000-0000-0000AD4D0000}"/>
    <cellStyle name="Total 8 2 2 2 2 4 4" xfId="18372" xr:uid="{00000000-0005-0000-0000-0000AE4D0000}"/>
    <cellStyle name="Total 8 2 2 2 2 4 5" xfId="19342" xr:uid="{00000000-0005-0000-0000-0000AF4D0000}"/>
    <cellStyle name="Total 8 2 2 2 2 4 6" xfId="20248" xr:uid="{00000000-0005-0000-0000-0000B04D0000}"/>
    <cellStyle name="Total 8 2 2 2 2 5" xfId="13852" xr:uid="{00000000-0005-0000-0000-0000B14D0000}"/>
    <cellStyle name="Total 8 2 2 2 2 6" xfId="14143" xr:uid="{00000000-0005-0000-0000-0000B24D0000}"/>
    <cellStyle name="Total 8 2 2 2 2 7" xfId="12344" xr:uid="{00000000-0005-0000-0000-0000B34D0000}"/>
    <cellStyle name="Total 8 2 2 2 2 8" xfId="17413" xr:uid="{00000000-0005-0000-0000-0000B44D0000}"/>
    <cellStyle name="Total 8 2 2 2 2 9" xfId="13618" xr:uid="{00000000-0005-0000-0000-0000B54D0000}"/>
    <cellStyle name="Total 8 2 2 2 3" xfId="5127" xr:uid="{00000000-0005-0000-0000-0000B64D0000}"/>
    <cellStyle name="Total 8 2 2 2 3 2" xfId="10223" xr:uid="{00000000-0005-0000-0000-0000B74D0000}"/>
    <cellStyle name="Total 8 2 2 2 3 2 2" xfId="15161" xr:uid="{00000000-0005-0000-0000-0000B84D0000}"/>
    <cellStyle name="Total 8 2 2 2 3 2 3" xfId="15168" xr:uid="{00000000-0005-0000-0000-0000B94D0000}"/>
    <cellStyle name="Total 8 2 2 2 3 2 4" xfId="15072" xr:uid="{00000000-0005-0000-0000-0000BA4D0000}"/>
    <cellStyle name="Total 8 2 2 2 3 2 5" xfId="14597" xr:uid="{00000000-0005-0000-0000-0000BB4D0000}"/>
    <cellStyle name="Total 8 2 2 2 3 2 6" xfId="11994" xr:uid="{00000000-0005-0000-0000-0000BC4D0000}"/>
    <cellStyle name="Total 8 2 2 2 3 3" xfId="11605" xr:uid="{00000000-0005-0000-0000-0000BD4D0000}"/>
    <cellStyle name="Total 8 2 2 2 3 3 2" xfId="15911" xr:uid="{00000000-0005-0000-0000-0000BE4D0000}"/>
    <cellStyle name="Total 8 2 2 2 3 3 3" xfId="16990" xr:uid="{00000000-0005-0000-0000-0000BF4D0000}"/>
    <cellStyle name="Total 8 2 2 2 3 3 4" xfId="18014" xr:uid="{00000000-0005-0000-0000-0000C04D0000}"/>
    <cellStyle name="Total 8 2 2 2 3 3 5" xfId="18984" xr:uid="{00000000-0005-0000-0000-0000C14D0000}"/>
    <cellStyle name="Total 8 2 2 2 3 3 6" xfId="19890" xr:uid="{00000000-0005-0000-0000-0000C24D0000}"/>
    <cellStyle name="Total 8 2 2 2 3 4" xfId="6744" xr:uid="{00000000-0005-0000-0000-0000C34D0000}"/>
    <cellStyle name="Total 8 2 2 2 3 4 2" xfId="14115" xr:uid="{00000000-0005-0000-0000-0000C44D0000}"/>
    <cellStyle name="Total 8 2 2 2 3 4 3" xfId="12348" xr:uid="{00000000-0005-0000-0000-0000C54D0000}"/>
    <cellStyle name="Total 8 2 2 2 3 4 4" xfId="12683" xr:uid="{00000000-0005-0000-0000-0000C64D0000}"/>
    <cellStyle name="Total 8 2 2 2 3 4 5" xfId="12237" xr:uid="{00000000-0005-0000-0000-0000C74D0000}"/>
    <cellStyle name="Total 8 2 2 2 3 4 6" xfId="12416" xr:uid="{00000000-0005-0000-0000-0000C84D0000}"/>
    <cellStyle name="Total 8 2 2 2 3 5" xfId="13481" xr:uid="{00000000-0005-0000-0000-0000C94D0000}"/>
    <cellStyle name="Total 8 2 2 2 3 6" xfId="14292" xr:uid="{00000000-0005-0000-0000-0000CA4D0000}"/>
    <cellStyle name="Total 8 2 2 2 3 7" xfId="12319" xr:uid="{00000000-0005-0000-0000-0000CB4D0000}"/>
    <cellStyle name="Total 8 2 2 2 3 8" xfId="13569" xr:uid="{00000000-0005-0000-0000-0000CC4D0000}"/>
    <cellStyle name="Total 8 2 2 2 3 9" xfId="14200" xr:uid="{00000000-0005-0000-0000-0000CD4D0000}"/>
    <cellStyle name="Total 8 2 2 2 4" xfId="7822" xr:uid="{00000000-0005-0000-0000-0000CE4D0000}"/>
    <cellStyle name="Total 8 2 2 2 4 2" xfId="14473" xr:uid="{00000000-0005-0000-0000-0000CF4D0000}"/>
    <cellStyle name="Total 8 2 2 2 4 3" xfId="12684" xr:uid="{00000000-0005-0000-0000-0000D04D0000}"/>
    <cellStyle name="Total 8 2 2 2 4 4" xfId="13634" xr:uid="{00000000-0005-0000-0000-0000D14D0000}"/>
    <cellStyle name="Total 8 2 2 2 4 5" xfId="12523" xr:uid="{00000000-0005-0000-0000-0000D24D0000}"/>
    <cellStyle name="Total 8 2 2 2 4 6" xfId="13089" xr:uid="{00000000-0005-0000-0000-0000D34D0000}"/>
    <cellStyle name="Total 8 2 2 2 5" xfId="11405" xr:uid="{00000000-0005-0000-0000-0000D44D0000}"/>
    <cellStyle name="Total 8 2 2 2 5 2" xfId="15711" xr:uid="{00000000-0005-0000-0000-0000D54D0000}"/>
    <cellStyle name="Total 8 2 2 2 5 3" xfId="16790" xr:uid="{00000000-0005-0000-0000-0000D64D0000}"/>
    <cellStyle name="Total 8 2 2 2 5 4" xfId="17819" xr:uid="{00000000-0005-0000-0000-0000D74D0000}"/>
    <cellStyle name="Total 8 2 2 2 5 5" xfId="18789" xr:uid="{00000000-0005-0000-0000-0000D84D0000}"/>
    <cellStyle name="Total 8 2 2 2 5 6" xfId="19695" xr:uid="{00000000-0005-0000-0000-0000D94D0000}"/>
    <cellStyle name="Total 8 2 2 2 6" xfId="11615" xr:uid="{00000000-0005-0000-0000-0000DA4D0000}"/>
    <cellStyle name="Total 8 2 2 2 6 2" xfId="15921" xr:uid="{00000000-0005-0000-0000-0000DB4D0000}"/>
    <cellStyle name="Total 8 2 2 2 6 3" xfId="17000" xr:uid="{00000000-0005-0000-0000-0000DC4D0000}"/>
    <cellStyle name="Total 8 2 2 2 6 4" xfId="18024" xr:uid="{00000000-0005-0000-0000-0000DD4D0000}"/>
    <cellStyle name="Total 8 2 2 2 6 5" xfId="18994" xr:uid="{00000000-0005-0000-0000-0000DE4D0000}"/>
    <cellStyle name="Total 8 2 2 2 6 6" xfId="19900" xr:uid="{00000000-0005-0000-0000-0000DF4D0000}"/>
    <cellStyle name="Total 8 2 2 2 7" xfId="12776" xr:uid="{00000000-0005-0000-0000-0000E04D0000}"/>
    <cellStyle name="Total 8 2 2 2 8" xfId="12924" xr:uid="{00000000-0005-0000-0000-0000E14D0000}"/>
    <cellStyle name="Total 8 2 2 2 9" xfId="12093" xr:uid="{00000000-0005-0000-0000-0000E24D0000}"/>
    <cellStyle name="Total 8 2 2 3" xfId="3944" xr:uid="{00000000-0005-0000-0000-0000E34D0000}"/>
    <cellStyle name="Total 8 2 2 3 2" xfId="9043" xr:uid="{00000000-0005-0000-0000-0000E44D0000}"/>
    <cellStyle name="Total 8 2 2 3 2 2" xfId="14821" xr:uid="{00000000-0005-0000-0000-0000E54D0000}"/>
    <cellStyle name="Total 8 2 2 3 2 3" xfId="14739" xr:uid="{00000000-0005-0000-0000-0000E64D0000}"/>
    <cellStyle name="Total 8 2 2 3 2 4" xfId="14070" xr:uid="{00000000-0005-0000-0000-0000E74D0000}"/>
    <cellStyle name="Total 8 2 2 3 2 5" xfId="13551" xr:uid="{00000000-0005-0000-0000-0000E84D0000}"/>
    <cellStyle name="Total 8 2 2 3 2 6" xfId="14047" xr:uid="{00000000-0005-0000-0000-0000E94D0000}"/>
    <cellStyle name="Total 8 2 2 3 3" xfId="11511" xr:uid="{00000000-0005-0000-0000-0000EA4D0000}"/>
    <cellStyle name="Total 8 2 2 3 3 2" xfId="15817" xr:uid="{00000000-0005-0000-0000-0000EB4D0000}"/>
    <cellStyle name="Total 8 2 2 3 3 3" xfId="16896" xr:uid="{00000000-0005-0000-0000-0000EC4D0000}"/>
    <cellStyle name="Total 8 2 2 3 3 4" xfId="17922" xr:uid="{00000000-0005-0000-0000-0000ED4D0000}"/>
    <cellStyle name="Total 8 2 2 3 3 5" xfId="18892" xr:uid="{00000000-0005-0000-0000-0000EE4D0000}"/>
    <cellStyle name="Total 8 2 2 3 3 6" xfId="19798" xr:uid="{00000000-0005-0000-0000-0000EF4D0000}"/>
    <cellStyle name="Total 8 2 2 3 4" xfId="6147" xr:uid="{00000000-0005-0000-0000-0000F04D0000}"/>
    <cellStyle name="Total 8 2 2 3 4 2" xfId="13879" xr:uid="{00000000-0005-0000-0000-0000F14D0000}"/>
    <cellStyle name="Total 8 2 2 3 4 3" xfId="14543" xr:uid="{00000000-0005-0000-0000-0000F24D0000}"/>
    <cellStyle name="Total 8 2 2 3 4 4" xfId="13508" xr:uid="{00000000-0005-0000-0000-0000F34D0000}"/>
    <cellStyle name="Total 8 2 2 3 4 5" xfId="12665" xr:uid="{00000000-0005-0000-0000-0000F44D0000}"/>
    <cellStyle name="Total 8 2 2 3 4 6" xfId="14729" xr:uid="{00000000-0005-0000-0000-0000F54D0000}"/>
    <cellStyle name="Total 8 2 2 3 5" xfId="13133" xr:uid="{00000000-0005-0000-0000-0000F64D0000}"/>
    <cellStyle name="Total 8 2 2 3 6" xfId="13603" xr:uid="{00000000-0005-0000-0000-0000F74D0000}"/>
    <cellStyle name="Total 8 2 2 3 7" xfId="12142" xr:uid="{00000000-0005-0000-0000-0000F84D0000}"/>
    <cellStyle name="Total 8 2 2 3 8" xfId="13335" xr:uid="{00000000-0005-0000-0000-0000F94D0000}"/>
    <cellStyle name="Total 8 2 2 3 9" xfId="16410" xr:uid="{00000000-0005-0000-0000-0000FA4D0000}"/>
    <cellStyle name="Total 8 2 3" xfId="2668" xr:uid="{00000000-0005-0000-0000-0000FB4D0000}"/>
    <cellStyle name="Total 8 2 3 10" xfId="13405" xr:uid="{00000000-0005-0000-0000-0000FC4D0000}"/>
    <cellStyle name="Total 8 2 3 2" xfId="6084" xr:uid="{00000000-0005-0000-0000-0000FD4D0000}"/>
    <cellStyle name="Total 8 2 3 2 2" xfId="11180" xr:uid="{00000000-0005-0000-0000-0000FE4D0000}"/>
    <cellStyle name="Total 8 2 3 2 2 2" xfId="15486" xr:uid="{00000000-0005-0000-0000-0000FF4D0000}"/>
    <cellStyle name="Total 8 2 3 2 2 3" xfId="16565" xr:uid="{00000000-0005-0000-0000-0000004E0000}"/>
    <cellStyle name="Total 8 2 3 2 2 4" xfId="17599" xr:uid="{00000000-0005-0000-0000-0000014E0000}"/>
    <cellStyle name="Total 8 2 3 2 2 5" xfId="18569" xr:uid="{00000000-0005-0000-0000-0000024E0000}"/>
    <cellStyle name="Total 8 2 3 2 2 6" xfId="19475" xr:uid="{00000000-0005-0000-0000-0000034E0000}"/>
    <cellStyle name="Total 8 2 3 2 3" xfId="11762" xr:uid="{00000000-0005-0000-0000-0000044E0000}"/>
    <cellStyle name="Total 8 2 3 2 3 2" xfId="16068" xr:uid="{00000000-0005-0000-0000-0000054E0000}"/>
    <cellStyle name="Total 8 2 3 2 3 3" xfId="17147" xr:uid="{00000000-0005-0000-0000-0000064E0000}"/>
    <cellStyle name="Total 8 2 3 2 3 4" xfId="18169" xr:uid="{00000000-0005-0000-0000-0000074E0000}"/>
    <cellStyle name="Total 8 2 3 2 3 5" xfId="19139" xr:uid="{00000000-0005-0000-0000-0000084E0000}"/>
    <cellStyle name="Total 8 2 3 2 3 6" xfId="20045" xr:uid="{00000000-0005-0000-0000-0000094E0000}"/>
    <cellStyle name="Total 8 2 3 2 4" xfId="11934" xr:uid="{00000000-0005-0000-0000-00000A4E0000}"/>
    <cellStyle name="Total 8 2 3 2 4 2" xfId="16240" xr:uid="{00000000-0005-0000-0000-00000B4E0000}"/>
    <cellStyle name="Total 8 2 3 2 4 3" xfId="17319" xr:uid="{00000000-0005-0000-0000-00000C4E0000}"/>
    <cellStyle name="Total 8 2 3 2 4 4" xfId="18337" xr:uid="{00000000-0005-0000-0000-00000D4E0000}"/>
    <cellStyle name="Total 8 2 3 2 4 5" xfId="19307" xr:uid="{00000000-0005-0000-0000-00000E4E0000}"/>
    <cellStyle name="Total 8 2 3 2 4 6" xfId="20213" xr:uid="{00000000-0005-0000-0000-00000F4E0000}"/>
    <cellStyle name="Total 8 2 3 2 5" xfId="13817" xr:uid="{00000000-0005-0000-0000-0000104E0000}"/>
    <cellStyle name="Total 8 2 3 2 6" xfId="15232" xr:uid="{00000000-0005-0000-0000-0000114E0000}"/>
    <cellStyle name="Total 8 2 3 2 7" xfId="16344" xr:uid="{00000000-0005-0000-0000-0000124E0000}"/>
    <cellStyle name="Total 8 2 3 2 8" xfId="12550" xr:uid="{00000000-0005-0000-0000-0000134E0000}"/>
    <cellStyle name="Total 8 2 3 2 9" xfId="17446" xr:uid="{00000000-0005-0000-0000-0000144E0000}"/>
    <cellStyle name="Total 8 2 3 3" xfId="7771" xr:uid="{00000000-0005-0000-0000-0000154E0000}"/>
    <cellStyle name="Total 8 2 3 3 2" xfId="14437" xr:uid="{00000000-0005-0000-0000-0000164E0000}"/>
    <cellStyle name="Total 8 2 3 3 3" xfId="12815" xr:uid="{00000000-0005-0000-0000-0000174E0000}"/>
    <cellStyle name="Total 8 2 3 3 4" xfId="12189" xr:uid="{00000000-0005-0000-0000-0000184E0000}"/>
    <cellStyle name="Total 8 2 3 3 5" xfId="16385" xr:uid="{00000000-0005-0000-0000-0000194E0000}"/>
    <cellStyle name="Total 8 2 3 3 6" xfId="14715" xr:uid="{00000000-0005-0000-0000-00001A4E0000}"/>
    <cellStyle name="Total 8 2 3 4" xfId="11370" xr:uid="{00000000-0005-0000-0000-00001B4E0000}"/>
    <cellStyle name="Total 8 2 3 4 2" xfId="15676" xr:uid="{00000000-0005-0000-0000-00001C4E0000}"/>
    <cellStyle name="Total 8 2 3 4 3" xfId="16755" xr:uid="{00000000-0005-0000-0000-00001D4E0000}"/>
    <cellStyle name="Total 8 2 3 4 4" xfId="17784" xr:uid="{00000000-0005-0000-0000-00001E4E0000}"/>
    <cellStyle name="Total 8 2 3 4 5" xfId="18754" xr:uid="{00000000-0005-0000-0000-00001F4E0000}"/>
    <cellStyle name="Total 8 2 3 4 6" xfId="19660" xr:uid="{00000000-0005-0000-0000-0000204E0000}"/>
    <cellStyle name="Total 8 2 3 5" xfId="11536" xr:uid="{00000000-0005-0000-0000-0000214E0000}"/>
    <cellStyle name="Total 8 2 3 5 2" xfId="15842" xr:uid="{00000000-0005-0000-0000-0000224E0000}"/>
    <cellStyle name="Total 8 2 3 5 3" xfId="16921" xr:uid="{00000000-0005-0000-0000-0000234E0000}"/>
    <cellStyle name="Total 8 2 3 5 4" xfId="17946" xr:uid="{00000000-0005-0000-0000-0000244E0000}"/>
    <cellStyle name="Total 8 2 3 5 5" xfId="18916" xr:uid="{00000000-0005-0000-0000-0000254E0000}"/>
    <cellStyle name="Total 8 2 3 5 6" xfId="19822" xr:uid="{00000000-0005-0000-0000-0000264E0000}"/>
    <cellStyle name="Total 8 2 3 6" xfId="12738" xr:uid="{00000000-0005-0000-0000-0000274E0000}"/>
    <cellStyle name="Total 8 2 3 7" xfId="12620" xr:uid="{00000000-0005-0000-0000-0000284E0000}"/>
    <cellStyle name="Total 8 2 3 8" xfId="14222" xr:uid="{00000000-0005-0000-0000-0000294E0000}"/>
    <cellStyle name="Total 8 2 3 9" xfId="12791" xr:uid="{00000000-0005-0000-0000-00002A4E0000}"/>
    <cellStyle name="Total 8 2 4" xfId="6009" xr:uid="{00000000-0005-0000-0000-00002B4E0000}"/>
    <cellStyle name="Total 8 2 4 2" xfId="11105" xr:uid="{00000000-0005-0000-0000-00002C4E0000}"/>
    <cellStyle name="Total 8 2 4 2 2" xfId="15411" xr:uid="{00000000-0005-0000-0000-00002D4E0000}"/>
    <cellStyle name="Total 8 2 4 2 3" xfId="16490" xr:uid="{00000000-0005-0000-0000-00002E4E0000}"/>
    <cellStyle name="Total 8 2 4 2 4" xfId="17525" xr:uid="{00000000-0005-0000-0000-00002F4E0000}"/>
    <cellStyle name="Total 8 2 4 2 5" xfId="18495" xr:uid="{00000000-0005-0000-0000-0000304E0000}"/>
    <cellStyle name="Total 8 2 4 2 6" xfId="19401" xr:uid="{00000000-0005-0000-0000-0000314E0000}"/>
    <cellStyle name="Total 8 2 4 3" xfId="11687" xr:uid="{00000000-0005-0000-0000-0000324E0000}"/>
    <cellStyle name="Total 8 2 4 3 2" xfId="15993" xr:uid="{00000000-0005-0000-0000-0000334E0000}"/>
    <cellStyle name="Total 8 2 4 3 3" xfId="17072" xr:uid="{00000000-0005-0000-0000-0000344E0000}"/>
    <cellStyle name="Total 8 2 4 3 4" xfId="18095" xr:uid="{00000000-0005-0000-0000-0000354E0000}"/>
    <cellStyle name="Total 8 2 4 3 5" xfId="19065" xr:uid="{00000000-0005-0000-0000-0000364E0000}"/>
    <cellStyle name="Total 8 2 4 3 6" xfId="19971" xr:uid="{00000000-0005-0000-0000-0000374E0000}"/>
    <cellStyle name="Total 8 2 4 4" xfId="11859" xr:uid="{00000000-0005-0000-0000-0000384E0000}"/>
    <cellStyle name="Total 8 2 4 4 2" xfId="16165" xr:uid="{00000000-0005-0000-0000-0000394E0000}"/>
    <cellStyle name="Total 8 2 4 4 3" xfId="17244" xr:uid="{00000000-0005-0000-0000-00003A4E0000}"/>
    <cellStyle name="Total 8 2 4 4 4" xfId="18263" xr:uid="{00000000-0005-0000-0000-00003B4E0000}"/>
    <cellStyle name="Total 8 2 4 4 5" xfId="19233" xr:uid="{00000000-0005-0000-0000-00003C4E0000}"/>
    <cellStyle name="Total 8 2 4 4 6" xfId="20139" xr:uid="{00000000-0005-0000-0000-00003D4E0000}"/>
    <cellStyle name="Total 8 2 4 5" xfId="13742" xr:uid="{00000000-0005-0000-0000-00003E4E0000}"/>
    <cellStyle name="Total 8 2 4 6" xfId="15032" xr:uid="{00000000-0005-0000-0000-00003F4E0000}"/>
    <cellStyle name="Total 8 2 4 7" xfId="15080" xr:uid="{00000000-0005-0000-0000-0000404E0000}"/>
    <cellStyle name="Total 8 2 4 8" xfId="14565" xr:uid="{00000000-0005-0000-0000-0000414E0000}"/>
    <cellStyle name="Total 8 2 4 9" xfId="13029" xr:uid="{00000000-0005-0000-0000-0000424E0000}"/>
    <cellStyle name="Total 8 2 5" xfId="6515" xr:uid="{00000000-0005-0000-0000-0000434E0000}"/>
    <cellStyle name="Total 8 2 5 2" xfId="14028" xr:uid="{00000000-0005-0000-0000-0000444E0000}"/>
    <cellStyle name="Total 8 2 5 3" xfId="14532" xr:uid="{00000000-0005-0000-0000-0000454E0000}"/>
    <cellStyle name="Total 8 2 5 4" xfId="14734" xr:uid="{00000000-0005-0000-0000-0000464E0000}"/>
    <cellStyle name="Total 8 2 5 5" xfId="15123" xr:uid="{00000000-0005-0000-0000-0000474E0000}"/>
    <cellStyle name="Total 8 2 5 6" xfId="12909" xr:uid="{00000000-0005-0000-0000-0000484E0000}"/>
    <cellStyle name="Total 8 2 6" xfId="6151" xr:uid="{00000000-0005-0000-0000-0000494E0000}"/>
    <cellStyle name="Total 8 2 6 2" xfId="13883" xr:uid="{00000000-0005-0000-0000-00004A4E0000}"/>
    <cellStyle name="Total 8 2 6 3" xfId="14139" xr:uid="{00000000-0005-0000-0000-00004B4E0000}"/>
    <cellStyle name="Total 8 2 6 4" xfId="13521" xr:uid="{00000000-0005-0000-0000-00004C4E0000}"/>
    <cellStyle name="Total 8 2 6 5" xfId="13366" xr:uid="{00000000-0005-0000-0000-00004D4E0000}"/>
    <cellStyle name="Total 8 2 6 6" xfId="17437" xr:uid="{00000000-0005-0000-0000-00004E4E0000}"/>
    <cellStyle name="Total 8 2 7" xfId="11452" xr:uid="{00000000-0005-0000-0000-00004F4E0000}"/>
    <cellStyle name="Total 8 2 7 2" xfId="15758" xr:uid="{00000000-0005-0000-0000-0000504E0000}"/>
    <cellStyle name="Total 8 2 7 3" xfId="16837" xr:uid="{00000000-0005-0000-0000-0000514E0000}"/>
    <cellStyle name="Total 8 2 7 4" xfId="17865" xr:uid="{00000000-0005-0000-0000-0000524E0000}"/>
    <cellStyle name="Total 8 2 7 5" xfId="18835" xr:uid="{00000000-0005-0000-0000-0000534E0000}"/>
    <cellStyle name="Total 8 2 7 6" xfId="19741" xr:uid="{00000000-0005-0000-0000-0000544E0000}"/>
    <cellStyle name="Total 8 2 8" xfId="12230" xr:uid="{00000000-0005-0000-0000-0000554E0000}"/>
    <cellStyle name="Total 8 2 9" xfId="13040" xr:uid="{00000000-0005-0000-0000-0000564E0000}"/>
    <cellStyle name="Total 9" xfId="720" xr:uid="{00000000-0005-0000-0000-0000574E0000}"/>
    <cellStyle name="Total 9 2" xfId="962" xr:uid="{00000000-0005-0000-0000-0000584E0000}"/>
    <cellStyle name="Transition" xfId="2207" xr:uid="{00000000-0005-0000-0000-0000594E0000}"/>
    <cellStyle name="Undefined" xfId="2208" xr:uid="{00000000-0005-0000-0000-00005A4E0000}"/>
    <cellStyle name="Unprot" xfId="2209" xr:uid="{00000000-0005-0000-0000-00005B4E0000}"/>
    <cellStyle name="Unprot$" xfId="2210" xr:uid="{00000000-0005-0000-0000-00005C4E0000}"/>
    <cellStyle name="Unprotect" xfId="2211" xr:uid="{00000000-0005-0000-0000-00005D4E0000}"/>
    <cellStyle name="Variable Inputs" xfId="2212" xr:uid="{00000000-0005-0000-0000-00005E4E0000}"/>
    <cellStyle name="Variable Inputs 10" xfId="13145" xr:uid="{00000000-0005-0000-0000-00005F4E0000}"/>
    <cellStyle name="Variable Inputs 11" xfId="17455" xr:uid="{00000000-0005-0000-0000-0000604E0000}"/>
    <cellStyle name="Variable Inputs 12" xfId="13172" xr:uid="{00000000-0005-0000-0000-0000614E0000}"/>
    <cellStyle name="Variable Inputs 2" xfId="2222" xr:uid="{00000000-0005-0000-0000-0000624E0000}"/>
    <cellStyle name="Variable Inputs 2 10" xfId="12566" xr:uid="{00000000-0005-0000-0000-0000634E0000}"/>
    <cellStyle name="Variable Inputs 2 11" xfId="12466" xr:uid="{00000000-0005-0000-0000-0000644E0000}"/>
    <cellStyle name="Variable Inputs 2 2" xfId="3429" xr:uid="{00000000-0005-0000-0000-0000654E0000}"/>
    <cellStyle name="Variable Inputs 2 2 10" xfId="17435" xr:uid="{00000000-0005-0000-0000-0000664E0000}"/>
    <cellStyle name="Variable Inputs 2 2 2" xfId="6132" xr:uid="{00000000-0005-0000-0000-0000674E0000}"/>
    <cellStyle name="Variable Inputs 2 2 2 2" xfId="11228" xr:uid="{00000000-0005-0000-0000-0000684E0000}"/>
    <cellStyle name="Variable Inputs 2 2 2 2 2" xfId="15534" xr:uid="{00000000-0005-0000-0000-0000694E0000}"/>
    <cellStyle name="Variable Inputs 2 2 2 2 3" xfId="16613" xr:uid="{00000000-0005-0000-0000-00006A4E0000}"/>
    <cellStyle name="Variable Inputs 2 2 2 2 4" xfId="17646" xr:uid="{00000000-0005-0000-0000-00006B4E0000}"/>
    <cellStyle name="Variable Inputs 2 2 2 2 5" xfId="18616" xr:uid="{00000000-0005-0000-0000-00006C4E0000}"/>
    <cellStyle name="Variable Inputs 2 2 2 2 6" xfId="19522" xr:uid="{00000000-0005-0000-0000-00006D4E0000}"/>
    <cellStyle name="Variable Inputs 2 2 2 3" xfId="11810" xr:uid="{00000000-0005-0000-0000-00006E4E0000}"/>
    <cellStyle name="Variable Inputs 2 2 2 3 2" xfId="16116" xr:uid="{00000000-0005-0000-0000-00006F4E0000}"/>
    <cellStyle name="Variable Inputs 2 2 2 3 3" xfId="17195" xr:uid="{00000000-0005-0000-0000-0000704E0000}"/>
    <cellStyle name="Variable Inputs 2 2 2 3 4" xfId="18216" xr:uid="{00000000-0005-0000-0000-0000714E0000}"/>
    <cellStyle name="Variable Inputs 2 2 2 3 5" xfId="19186" xr:uid="{00000000-0005-0000-0000-0000724E0000}"/>
    <cellStyle name="Variable Inputs 2 2 2 3 6" xfId="20092" xr:uid="{00000000-0005-0000-0000-0000734E0000}"/>
    <cellStyle name="Variable Inputs 2 2 2 4" xfId="11982" xr:uid="{00000000-0005-0000-0000-0000744E0000}"/>
    <cellStyle name="Variable Inputs 2 2 2 4 2" xfId="16288" xr:uid="{00000000-0005-0000-0000-0000754E0000}"/>
    <cellStyle name="Variable Inputs 2 2 2 4 3" xfId="17367" xr:uid="{00000000-0005-0000-0000-0000764E0000}"/>
    <cellStyle name="Variable Inputs 2 2 2 4 4" xfId="18384" xr:uid="{00000000-0005-0000-0000-0000774E0000}"/>
    <cellStyle name="Variable Inputs 2 2 2 4 5" xfId="19354" xr:uid="{00000000-0005-0000-0000-0000784E0000}"/>
    <cellStyle name="Variable Inputs 2 2 2 4 6" xfId="20260" xr:uid="{00000000-0005-0000-0000-0000794E0000}"/>
    <cellStyle name="Variable Inputs 2 2 2 5" xfId="13865" xr:uid="{00000000-0005-0000-0000-00007A4E0000}"/>
    <cellStyle name="Variable Inputs 2 2 2 6" xfId="13543" xr:uid="{00000000-0005-0000-0000-00007B4E0000}"/>
    <cellStyle name="Variable Inputs 2 2 2 7" xfId="14167" xr:uid="{00000000-0005-0000-0000-00007C4E0000}"/>
    <cellStyle name="Variable Inputs 2 2 2 8" xfId="14261" xr:uid="{00000000-0005-0000-0000-00007D4E0000}"/>
    <cellStyle name="Variable Inputs 2 2 2 9" xfId="17457" xr:uid="{00000000-0005-0000-0000-00007E4E0000}"/>
    <cellStyle name="Variable Inputs 2 2 3" xfId="8532" xr:uid="{00000000-0005-0000-0000-00007F4E0000}"/>
    <cellStyle name="Variable Inputs 2 2 3 2" xfId="14650" xr:uid="{00000000-0005-0000-0000-0000804E0000}"/>
    <cellStyle name="Variable Inputs 2 2 3 3" xfId="12639" xr:uid="{00000000-0005-0000-0000-0000814E0000}"/>
    <cellStyle name="Variable Inputs 2 2 3 4" xfId="12501" xr:uid="{00000000-0005-0000-0000-0000824E0000}"/>
    <cellStyle name="Variable Inputs 2 2 3 5" xfId="13226" xr:uid="{00000000-0005-0000-0000-0000834E0000}"/>
    <cellStyle name="Variable Inputs 2 2 3 6" xfId="12534" xr:uid="{00000000-0005-0000-0000-0000844E0000}"/>
    <cellStyle name="Variable Inputs 2 2 4" xfId="11458" xr:uid="{00000000-0005-0000-0000-0000854E0000}"/>
    <cellStyle name="Variable Inputs 2 2 4 2" xfId="15764" xr:uid="{00000000-0005-0000-0000-0000864E0000}"/>
    <cellStyle name="Variable Inputs 2 2 4 3" xfId="16843" xr:uid="{00000000-0005-0000-0000-0000874E0000}"/>
    <cellStyle name="Variable Inputs 2 2 4 4" xfId="17871" xr:uid="{00000000-0005-0000-0000-0000884E0000}"/>
    <cellStyle name="Variable Inputs 2 2 4 5" xfId="18841" xr:uid="{00000000-0005-0000-0000-0000894E0000}"/>
    <cellStyle name="Variable Inputs 2 2 4 6" xfId="19747" xr:uid="{00000000-0005-0000-0000-00008A4E0000}"/>
    <cellStyle name="Variable Inputs 2 2 5" xfId="11254" xr:uid="{00000000-0005-0000-0000-00008B4E0000}"/>
    <cellStyle name="Variable Inputs 2 2 5 2" xfId="15560" xr:uid="{00000000-0005-0000-0000-00008C4E0000}"/>
    <cellStyle name="Variable Inputs 2 2 5 3" xfId="16639" xr:uid="{00000000-0005-0000-0000-00008D4E0000}"/>
    <cellStyle name="Variable Inputs 2 2 5 4" xfId="17671" xr:uid="{00000000-0005-0000-0000-00008E4E0000}"/>
    <cellStyle name="Variable Inputs 2 2 5 5" xfId="18641" xr:uid="{00000000-0005-0000-0000-00008F4E0000}"/>
    <cellStyle name="Variable Inputs 2 2 5 6" xfId="19547" xr:uid="{00000000-0005-0000-0000-0000904E0000}"/>
    <cellStyle name="Variable Inputs 2 2 6" xfId="12970" xr:uid="{00000000-0005-0000-0000-0000914E0000}"/>
    <cellStyle name="Variable Inputs 2 2 7" xfId="13273" xr:uid="{00000000-0005-0000-0000-0000924E0000}"/>
    <cellStyle name="Variable Inputs 2 2 8" xfId="14928" xr:uid="{00000000-0005-0000-0000-0000934E0000}"/>
    <cellStyle name="Variable Inputs 2 2 9" xfId="15162" xr:uid="{00000000-0005-0000-0000-0000944E0000}"/>
    <cellStyle name="Variable Inputs 2 3" xfId="6029" xr:uid="{00000000-0005-0000-0000-0000954E0000}"/>
    <cellStyle name="Variable Inputs 2 3 2" xfId="11125" xr:uid="{00000000-0005-0000-0000-0000964E0000}"/>
    <cellStyle name="Variable Inputs 2 3 2 2" xfId="15431" xr:uid="{00000000-0005-0000-0000-0000974E0000}"/>
    <cellStyle name="Variable Inputs 2 3 2 3" xfId="16510" xr:uid="{00000000-0005-0000-0000-0000984E0000}"/>
    <cellStyle name="Variable Inputs 2 3 2 4" xfId="17544" xr:uid="{00000000-0005-0000-0000-0000994E0000}"/>
    <cellStyle name="Variable Inputs 2 3 2 5" xfId="18514" xr:uid="{00000000-0005-0000-0000-00009A4E0000}"/>
    <cellStyle name="Variable Inputs 2 3 2 6" xfId="19420" xr:uid="{00000000-0005-0000-0000-00009B4E0000}"/>
    <cellStyle name="Variable Inputs 2 3 3" xfId="11707" xr:uid="{00000000-0005-0000-0000-00009C4E0000}"/>
    <cellStyle name="Variable Inputs 2 3 3 2" xfId="16013" xr:uid="{00000000-0005-0000-0000-00009D4E0000}"/>
    <cellStyle name="Variable Inputs 2 3 3 3" xfId="17092" xr:uid="{00000000-0005-0000-0000-00009E4E0000}"/>
    <cellStyle name="Variable Inputs 2 3 3 4" xfId="18114" xr:uid="{00000000-0005-0000-0000-00009F4E0000}"/>
    <cellStyle name="Variable Inputs 2 3 3 5" xfId="19084" xr:uid="{00000000-0005-0000-0000-0000A04E0000}"/>
    <cellStyle name="Variable Inputs 2 3 3 6" xfId="19990" xr:uid="{00000000-0005-0000-0000-0000A14E0000}"/>
    <cellStyle name="Variable Inputs 2 3 4" xfId="11879" xr:uid="{00000000-0005-0000-0000-0000A24E0000}"/>
    <cellStyle name="Variable Inputs 2 3 4 2" xfId="16185" xr:uid="{00000000-0005-0000-0000-0000A34E0000}"/>
    <cellStyle name="Variable Inputs 2 3 4 3" xfId="17264" xr:uid="{00000000-0005-0000-0000-0000A44E0000}"/>
    <cellStyle name="Variable Inputs 2 3 4 4" xfId="18282" xr:uid="{00000000-0005-0000-0000-0000A54E0000}"/>
    <cellStyle name="Variable Inputs 2 3 4 5" xfId="19252" xr:uid="{00000000-0005-0000-0000-0000A64E0000}"/>
    <cellStyle name="Variable Inputs 2 3 4 6" xfId="20158" xr:uid="{00000000-0005-0000-0000-0000A74E0000}"/>
    <cellStyle name="Variable Inputs 2 3 5" xfId="13762" xr:uid="{00000000-0005-0000-0000-0000A84E0000}"/>
    <cellStyle name="Variable Inputs 2 3 6" xfId="13690" xr:uid="{00000000-0005-0000-0000-0000A94E0000}"/>
    <cellStyle name="Variable Inputs 2 3 7" xfId="13214" xr:uid="{00000000-0005-0000-0000-0000AA4E0000}"/>
    <cellStyle name="Variable Inputs 2 3 8" xfId="16363" xr:uid="{00000000-0005-0000-0000-0000AB4E0000}"/>
    <cellStyle name="Variable Inputs 2 3 9" xfId="13697" xr:uid="{00000000-0005-0000-0000-0000AC4E0000}"/>
    <cellStyle name="Variable Inputs 2 4" xfId="7336" xr:uid="{00000000-0005-0000-0000-0000AD4E0000}"/>
    <cellStyle name="Variable Inputs 2 4 2" xfId="14277" xr:uid="{00000000-0005-0000-0000-0000AE4E0000}"/>
    <cellStyle name="Variable Inputs 2 4 3" xfId="13017" xr:uid="{00000000-0005-0000-0000-0000AF4E0000}"/>
    <cellStyle name="Variable Inputs 2 4 4" xfId="12073" xr:uid="{00000000-0005-0000-0000-0000B04E0000}"/>
    <cellStyle name="Variable Inputs 2 4 5" xfId="13248" xr:uid="{00000000-0005-0000-0000-0000B14E0000}"/>
    <cellStyle name="Variable Inputs 2 4 6" xfId="12606" xr:uid="{00000000-0005-0000-0000-0000B24E0000}"/>
    <cellStyle name="Variable Inputs 2 5" xfId="11310" xr:uid="{00000000-0005-0000-0000-0000B34E0000}"/>
    <cellStyle name="Variable Inputs 2 5 2" xfId="15616" xr:uid="{00000000-0005-0000-0000-0000B44E0000}"/>
    <cellStyle name="Variable Inputs 2 5 3" xfId="16695" xr:uid="{00000000-0005-0000-0000-0000B54E0000}"/>
    <cellStyle name="Variable Inputs 2 5 4" xfId="17724" xr:uid="{00000000-0005-0000-0000-0000B64E0000}"/>
    <cellStyle name="Variable Inputs 2 5 5" xfId="18694" xr:uid="{00000000-0005-0000-0000-0000B74E0000}"/>
    <cellStyle name="Variable Inputs 2 5 6" xfId="19600" xr:uid="{00000000-0005-0000-0000-0000B84E0000}"/>
    <cellStyle name="Variable Inputs 2 6" xfId="11639" xr:uid="{00000000-0005-0000-0000-0000B94E0000}"/>
    <cellStyle name="Variable Inputs 2 6 2" xfId="15945" xr:uid="{00000000-0005-0000-0000-0000BA4E0000}"/>
    <cellStyle name="Variable Inputs 2 6 3" xfId="17024" xr:uid="{00000000-0005-0000-0000-0000BB4E0000}"/>
    <cellStyle name="Variable Inputs 2 6 4" xfId="18048" xr:uid="{00000000-0005-0000-0000-0000BC4E0000}"/>
    <cellStyle name="Variable Inputs 2 6 5" xfId="19018" xr:uid="{00000000-0005-0000-0000-0000BD4E0000}"/>
    <cellStyle name="Variable Inputs 2 6 6" xfId="19924" xr:uid="{00000000-0005-0000-0000-0000BE4E0000}"/>
    <cellStyle name="Variable Inputs 2 7" xfId="12571" xr:uid="{00000000-0005-0000-0000-0000BF4E0000}"/>
    <cellStyle name="Variable Inputs 2 8" xfId="12043" xr:uid="{00000000-0005-0000-0000-0000C04E0000}"/>
    <cellStyle name="Variable Inputs 2 9" xfId="13671" xr:uid="{00000000-0005-0000-0000-0000C14E0000}"/>
    <cellStyle name="Variable Inputs 3" xfId="3582" xr:uid="{00000000-0005-0000-0000-0000C24E0000}"/>
    <cellStyle name="Variable Inputs 3 10" xfId="16392" xr:uid="{00000000-0005-0000-0000-0000C34E0000}"/>
    <cellStyle name="Variable Inputs 3 2" xfId="6140" xr:uid="{00000000-0005-0000-0000-0000C44E0000}"/>
    <cellStyle name="Variable Inputs 3 2 2" xfId="11236" xr:uid="{00000000-0005-0000-0000-0000C54E0000}"/>
    <cellStyle name="Variable Inputs 3 2 2 2" xfId="15542" xr:uid="{00000000-0005-0000-0000-0000C64E0000}"/>
    <cellStyle name="Variable Inputs 3 2 2 3" xfId="16621" xr:uid="{00000000-0005-0000-0000-0000C74E0000}"/>
    <cellStyle name="Variable Inputs 3 2 2 4" xfId="17653" xr:uid="{00000000-0005-0000-0000-0000C84E0000}"/>
    <cellStyle name="Variable Inputs 3 2 2 5" xfId="18623" xr:uid="{00000000-0005-0000-0000-0000C94E0000}"/>
    <cellStyle name="Variable Inputs 3 2 2 6" xfId="19529" xr:uid="{00000000-0005-0000-0000-0000CA4E0000}"/>
    <cellStyle name="Variable Inputs 3 2 3" xfId="11818" xr:uid="{00000000-0005-0000-0000-0000CB4E0000}"/>
    <cellStyle name="Variable Inputs 3 2 3 2" xfId="16124" xr:uid="{00000000-0005-0000-0000-0000CC4E0000}"/>
    <cellStyle name="Variable Inputs 3 2 3 3" xfId="17203" xr:uid="{00000000-0005-0000-0000-0000CD4E0000}"/>
    <cellStyle name="Variable Inputs 3 2 3 4" xfId="18223" xr:uid="{00000000-0005-0000-0000-0000CE4E0000}"/>
    <cellStyle name="Variable Inputs 3 2 3 5" xfId="19193" xr:uid="{00000000-0005-0000-0000-0000CF4E0000}"/>
    <cellStyle name="Variable Inputs 3 2 3 6" xfId="20099" xr:uid="{00000000-0005-0000-0000-0000D04E0000}"/>
    <cellStyle name="Variable Inputs 3 2 4" xfId="11990" xr:uid="{00000000-0005-0000-0000-0000D14E0000}"/>
    <cellStyle name="Variable Inputs 3 2 4 2" xfId="16296" xr:uid="{00000000-0005-0000-0000-0000D24E0000}"/>
    <cellStyle name="Variable Inputs 3 2 4 3" xfId="17375" xr:uid="{00000000-0005-0000-0000-0000D34E0000}"/>
    <cellStyle name="Variable Inputs 3 2 4 4" xfId="18391" xr:uid="{00000000-0005-0000-0000-0000D44E0000}"/>
    <cellStyle name="Variable Inputs 3 2 4 5" xfId="19361" xr:uid="{00000000-0005-0000-0000-0000D54E0000}"/>
    <cellStyle name="Variable Inputs 3 2 4 6" xfId="20267" xr:uid="{00000000-0005-0000-0000-0000D64E0000}"/>
    <cellStyle name="Variable Inputs 3 2 5" xfId="13873" xr:uid="{00000000-0005-0000-0000-0000D74E0000}"/>
    <cellStyle name="Variable Inputs 3 2 6" xfId="12851" xr:uid="{00000000-0005-0000-0000-0000D84E0000}"/>
    <cellStyle name="Variable Inputs 3 2 7" xfId="12248" xr:uid="{00000000-0005-0000-0000-0000D94E0000}"/>
    <cellStyle name="Variable Inputs 3 2 8" xfId="12434" xr:uid="{00000000-0005-0000-0000-0000DA4E0000}"/>
    <cellStyle name="Variable Inputs 3 2 9" xfId="14724" xr:uid="{00000000-0005-0000-0000-0000DB4E0000}"/>
    <cellStyle name="Variable Inputs 3 3" xfId="8685" xr:uid="{00000000-0005-0000-0000-0000DC4E0000}"/>
    <cellStyle name="Variable Inputs 3 3 2" xfId="14696" xr:uid="{00000000-0005-0000-0000-0000DD4E0000}"/>
    <cellStyle name="Variable Inputs 3 3 3" xfId="14699" xr:uid="{00000000-0005-0000-0000-0000DE4E0000}"/>
    <cellStyle name="Variable Inputs 3 3 4" xfId="12269" xr:uid="{00000000-0005-0000-0000-0000DF4E0000}"/>
    <cellStyle name="Variable Inputs 3 3 5" xfId="12675" xr:uid="{00000000-0005-0000-0000-0000E04E0000}"/>
    <cellStyle name="Variable Inputs 3 3 6" xfId="14117" xr:uid="{00000000-0005-0000-0000-0000E14E0000}"/>
    <cellStyle name="Variable Inputs 3 4" xfId="11467" xr:uid="{00000000-0005-0000-0000-0000E24E0000}"/>
    <cellStyle name="Variable Inputs 3 4 2" xfId="15773" xr:uid="{00000000-0005-0000-0000-0000E34E0000}"/>
    <cellStyle name="Variable Inputs 3 4 3" xfId="16852" xr:uid="{00000000-0005-0000-0000-0000E44E0000}"/>
    <cellStyle name="Variable Inputs 3 4 4" xfId="17879" xr:uid="{00000000-0005-0000-0000-0000E54E0000}"/>
    <cellStyle name="Variable Inputs 3 4 5" xfId="18849" xr:uid="{00000000-0005-0000-0000-0000E64E0000}"/>
    <cellStyle name="Variable Inputs 3 4 6" xfId="19755" xr:uid="{00000000-0005-0000-0000-0000E74E0000}"/>
    <cellStyle name="Variable Inputs 3 5" xfId="11612" xr:uid="{00000000-0005-0000-0000-0000E84E0000}"/>
    <cellStyle name="Variable Inputs 3 5 2" xfId="15918" xr:uid="{00000000-0005-0000-0000-0000E94E0000}"/>
    <cellStyle name="Variable Inputs 3 5 3" xfId="16997" xr:uid="{00000000-0005-0000-0000-0000EA4E0000}"/>
    <cellStyle name="Variable Inputs 3 5 4" xfId="18021" xr:uid="{00000000-0005-0000-0000-0000EB4E0000}"/>
    <cellStyle name="Variable Inputs 3 5 5" xfId="18991" xr:uid="{00000000-0005-0000-0000-0000EC4E0000}"/>
    <cellStyle name="Variable Inputs 3 5 6" xfId="19897" xr:uid="{00000000-0005-0000-0000-0000ED4E0000}"/>
    <cellStyle name="Variable Inputs 3 6" xfId="13012" xr:uid="{00000000-0005-0000-0000-0000EE4E0000}"/>
    <cellStyle name="Variable Inputs 3 7" xfId="1151" xr:uid="{00000000-0005-0000-0000-0000EF4E0000}"/>
    <cellStyle name="Variable Inputs 3 8" xfId="14659" xr:uid="{00000000-0005-0000-0000-0000F04E0000}"/>
    <cellStyle name="Variable Inputs 3 9" xfId="14983" xr:uid="{00000000-0005-0000-0000-0000F14E0000}"/>
    <cellStyle name="Variable Inputs 4" xfId="6028" xr:uid="{00000000-0005-0000-0000-0000F24E0000}"/>
    <cellStyle name="Variable Inputs 4 2" xfId="11124" xr:uid="{00000000-0005-0000-0000-0000F34E0000}"/>
    <cellStyle name="Variable Inputs 4 2 2" xfId="15430" xr:uid="{00000000-0005-0000-0000-0000F44E0000}"/>
    <cellStyle name="Variable Inputs 4 2 3" xfId="16509" xr:uid="{00000000-0005-0000-0000-0000F54E0000}"/>
    <cellStyle name="Variable Inputs 4 2 4" xfId="17543" xr:uid="{00000000-0005-0000-0000-0000F64E0000}"/>
    <cellStyle name="Variable Inputs 4 2 5" xfId="18513" xr:uid="{00000000-0005-0000-0000-0000F74E0000}"/>
    <cellStyle name="Variable Inputs 4 2 6" xfId="19419" xr:uid="{00000000-0005-0000-0000-0000F84E0000}"/>
    <cellStyle name="Variable Inputs 4 3" xfId="11706" xr:uid="{00000000-0005-0000-0000-0000F94E0000}"/>
    <cellStyle name="Variable Inputs 4 3 2" xfId="16012" xr:uid="{00000000-0005-0000-0000-0000FA4E0000}"/>
    <cellStyle name="Variable Inputs 4 3 3" xfId="17091" xr:uid="{00000000-0005-0000-0000-0000FB4E0000}"/>
    <cellStyle name="Variable Inputs 4 3 4" xfId="18113" xr:uid="{00000000-0005-0000-0000-0000FC4E0000}"/>
    <cellStyle name="Variable Inputs 4 3 5" xfId="19083" xr:uid="{00000000-0005-0000-0000-0000FD4E0000}"/>
    <cellStyle name="Variable Inputs 4 3 6" xfId="19989" xr:uid="{00000000-0005-0000-0000-0000FE4E0000}"/>
    <cellStyle name="Variable Inputs 4 4" xfId="11878" xr:uid="{00000000-0005-0000-0000-0000FF4E0000}"/>
    <cellStyle name="Variable Inputs 4 4 2" xfId="16184" xr:uid="{00000000-0005-0000-0000-0000004F0000}"/>
    <cellStyle name="Variable Inputs 4 4 3" xfId="17263" xr:uid="{00000000-0005-0000-0000-0000014F0000}"/>
    <cellStyle name="Variable Inputs 4 4 4" xfId="18281" xr:uid="{00000000-0005-0000-0000-0000024F0000}"/>
    <cellStyle name="Variable Inputs 4 4 5" xfId="19251" xr:uid="{00000000-0005-0000-0000-0000034F0000}"/>
    <cellStyle name="Variable Inputs 4 4 6" xfId="20157" xr:uid="{00000000-0005-0000-0000-0000044F0000}"/>
    <cellStyle name="Variable Inputs 4 5" xfId="13761" xr:uid="{00000000-0005-0000-0000-0000054F0000}"/>
    <cellStyle name="Variable Inputs 4 6" xfId="15359" xr:uid="{00000000-0005-0000-0000-0000064F0000}"/>
    <cellStyle name="Variable Inputs 4 7" xfId="16440" xr:uid="{00000000-0005-0000-0000-0000074F0000}"/>
    <cellStyle name="Variable Inputs 4 8" xfId="14740" xr:uid="{00000000-0005-0000-0000-0000084F0000}"/>
    <cellStyle name="Variable Inputs 4 9" xfId="14994" xr:uid="{00000000-0005-0000-0000-0000094F0000}"/>
    <cellStyle name="Variable Inputs 5" xfId="7332" xr:uid="{00000000-0005-0000-0000-00000A4F0000}"/>
    <cellStyle name="Variable Inputs 5 2" xfId="14275" xr:uid="{00000000-0005-0000-0000-00000B4F0000}"/>
    <cellStyle name="Variable Inputs 5 3" xfId="12136" xr:uid="{00000000-0005-0000-0000-00000C4F0000}"/>
    <cellStyle name="Variable Inputs 5 4" xfId="15081" xr:uid="{00000000-0005-0000-0000-00000D4F0000}"/>
    <cellStyle name="Variable Inputs 5 5" xfId="14635" xr:uid="{00000000-0005-0000-0000-00000E4F0000}"/>
    <cellStyle name="Variable Inputs 5 6" xfId="14595" xr:uid="{00000000-0005-0000-0000-00000F4F0000}"/>
    <cellStyle name="Variable Inputs 6" xfId="11309" xr:uid="{00000000-0005-0000-0000-0000104F0000}"/>
    <cellStyle name="Variable Inputs 6 2" xfId="15615" xr:uid="{00000000-0005-0000-0000-0000114F0000}"/>
    <cellStyle name="Variable Inputs 6 3" xfId="16694" xr:uid="{00000000-0005-0000-0000-0000124F0000}"/>
    <cellStyle name="Variable Inputs 6 4" xfId="17723" xr:uid="{00000000-0005-0000-0000-0000134F0000}"/>
    <cellStyle name="Variable Inputs 6 5" xfId="18693" xr:uid="{00000000-0005-0000-0000-0000144F0000}"/>
    <cellStyle name="Variable Inputs 6 6" xfId="19599" xr:uid="{00000000-0005-0000-0000-0000154F0000}"/>
    <cellStyle name="Variable Inputs 7" xfId="11547" xr:uid="{00000000-0005-0000-0000-0000164F0000}"/>
    <cellStyle name="Variable Inputs 7 2" xfId="15853" xr:uid="{00000000-0005-0000-0000-0000174F0000}"/>
    <cellStyle name="Variable Inputs 7 3" xfId="16932" xr:uid="{00000000-0005-0000-0000-0000184F0000}"/>
    <cellStyle name="Variable Inputs 7 4" xfId="17957" xr:uid="{00000000-0005-0000-0000-0000194F0000}"/>
    <cellStyle name="Variable Inputs 7 5" xfId="18927" xr:uid="{00000000-0005-0000-0000-00001A4F0000}"/>
    <cellStyle name="Variable Inputs 7 6" xfId="19833" xr:uid="{00000000-0005-0000-0000-00001B4F0000}"/>
    <cellStyle name="Variable Inputs 8" xfId="12569" xr:uid="{00000000-0005-0000-0000-00001C4F0000}"/>
    <cellStyle name="Variable Inputs 9" xfId="14982" xr:uid="{00000000-0005-0000-0000-00001D4F0000}"/>
    <cellStyle name="Währung [0]_fee projec" xfId="2213" xr:uid="{00000000-0005-0000-0000-00001E4F0000}"/>
    <cellStyle name="Währung_fee projec" xfId="2214" xr:uid="{00000000-0005-0000-0000-00001F4F0000}"/>
    <cellStyle name="Warning Text" xfId="121" builtinId="11" customBuiltin="1"/>
    <cellStyle name="Warning Text 2" xfId="61" xr:uid="{00000000-0005-0000-0000-0000214F0000}"/>
    <cellStyle name="Warning Text 2 2" xfId="864" xr:uid="{00000000-0005-0000-0000-0000224F0000}"/>
    <cellStyle name="Warning Text 2 3" xfId="2215" xr:uid="{00000000-0005-0000-0000-0000234F0000}"/>
    <cellStyle name="Warning Text 3" xfId="478" xr:uid="{00000000-0005-0000-0000-0000244F0000}"/>
    <cellStyle name="Warning Text 3 2" xfId="865" xr:uid="{00000000-0005-0000-0000-0000254F0000}"/>
    <cellStyle name="Warning Text 4" xfId="479" xr:uid="{00000000-0005-0000-0000-0000264F0000}"/>
    <cellStyle name="Warning Text 5" xfId="480" xr:uid="{00000000-0005-0000-0000-0000274F0000}"/>
    <cellStyle name="Warning Text 6" xfId="481" xr:uid="{00000000-0005-0000-0000-0000284F0000}"/>
    <cellStyle name="Warning Text 7" xfId="482" xr:uid="{00000000-0005-0000-0000-0000294F0000}"/>
    <cellStyle name="Warning Text 8" xfId="483" xr:uid="{00000000-0005-0000-0000-00002A4F0000}"/>
    <cellStyle name="Warning Text 9" xfId="721" xr:uid="{00000000-0005-0000-0000-00002B4F0000}"/>
    <cellStyle name="콤마 [0]_VERA" xfId="2216" xr:uid="{00000000-0005-0000-0000-00002C4F0000}"/>
    <cellStyle name="콤마_VERA" xfId="2217" xr:uid="{00000000-0005-0000-0000-00002D4F0000}"/>
    <cellStyle name="하이퍼링크_VERA" xfId="2218" xr:uid="{00000000-0005-0000-0000-00002E4F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0000FF"/>
      <color rgb="FFFFFF99"/>
      <color rgb="FFFF6600"/>
      <color rgb="FF00FF00"/>
      <color rgb="FF000066"/>
      <color rgb="FFFF3300"/>
      <color rgb="FF6600CC"/>
      <color rgb="FFFF00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X Variable 1  Residual Plot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'WP FR-16(7)(v)-Mains (Plastic)'!$A$47:$A$55</c:f>
              <c:numCache>
                <c:formatCode>0.00</c:formatCode>
                <c:ptCount val="9"/>
                <c:pt idx="0">
                  <c:v>0.75</c:v>
                </c:pt>
                <c:pt idx="1">
                  <c:v>1</c:v>
                </c:pt>
                <c:pt idx="2">
                  <c:v>1.25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12</c:v>
                </c:pt>
              </c:numCache>
            </c:numRef>
          </c:xVal>
          <c:yVal>
            <c:numRef>
              <c:f>'WP FR-16(7)(v)-Mains (Plastic)'!$E$113:$E$121</c:f>
              <c:numCache>
                <c:formatCode>General</c:formatCode>
                <c:ptCount val="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57-4D0E-B7AE-65ED1CAC6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41984"/>
        <c:axId val="150443520"/>
      </c:scatterChart>
      <c:valAx>
        <c:axId val="15044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 Variable 1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443520"/>
        <c:crosses val="autoZero"/>
        <c:crossBetween val="midCat"/>
      </c:valAx>
      <c:valAx>
        <c:axId val="150443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Residuals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4419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44" r="0.75000000000000644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X Variable 1 Line Fit  Plot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'WP FR-16(7)(v)-Mains (Plastic)'!$A$47:$A$55</c:f>
              <c:numCache>
                <c:formatCode>0.00</c:formatCode>
                <c:ptCount val="9"/>
                <c:pt idx="0">
                  <c:v>0.75</c:v>
                </c:pt>
                <c:pt idx="1">
                  <c:v>1</c:v>
                </c:pt>
                <c:pt idx="2">
                  <c:v>1.25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12</c:v>
                </c:pt>
              </c:numCache>
            </c:numRef>
          </c:xVal>
          <c:yVal>
            <c:numRef>
              <c:f>'WP FR-16(7)(v)-Mains (Plastic)'!$C$47:$C$55</c:f>
              <c:numCache>
                <c:formatCode>General</c:formatCode>
                <c:ptCount val="9"/>
                <c:pt idx="0">
                  <c:v>-4.6100000000000003</c:v>
                </c:pt>
                <c:pt idx="1">
                  <c:v>-2.0499999999999998</c:v>
                </c:pt>
                <c:pt idx="2">
                  <c:v>0.5</c:v>
                </c:pt>
                <c:pt idx="3">
                  <c:v>8.17</c:v>
                </c:pt>
                <c:pt idx="4">
                  <c:v>18.39</c:v>
                </c:pt>
                <c:pt idx="5">
                  <c:v>28.61</c:v>
                </c:pt>
                <c:pt idx="6">
                  <c:v>49.05</c:v>
                </c:pt>
                <c:pt idx="7">
                  <c:v>69.489999999999995</c:v>
                </c:pt>
                <c:pt idx="8">
                  <c:v>110.37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BF-4CBD-B733-A122FE44D30D}"/>
            </c:ext>
          </c:extLst>
        </c:ser>
        <c:ser>
          <c:idx val="1"/>
          <c:order val="1"/>
          <c:tx>
            <c:v>Predicted Y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'WP FR-16(7)(v)-Mains (Plastic)'!$A$47:$A$55</c:f>
              <c:numCache>
                <c:formatCode>0.00</c:formatCode>
                <c:ptCount val="9"/>
                <c:pt idx="0">
                  <c:v>0.75</c:v>
                </c:pt>
                <c:pt idx="1">
                  <c:v>1</c:v>
                </c:pt>
                <c:pt idx="2">
                  <c:v>1.25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12</c:v>
                </c:pt>
              </c:numCache>
            </c:numRef>
          </c:xVal>
          <c:yVal>
            <c:numRef>
              <c:f>'WP FR-16(7)(v)-Mains (Plastic)'!$D$113:$D$121</c:f>
              <c:numCache>
                <c:formatCode>General</c:formatCode>
                <c:ptCount val="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3BF-4CBD-B733-A122FE44D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761664"/>
        <c:axId val="153768320"/>
      </c:scatterChart>
      <c:valAx>
        <c:axId val="153761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 Variable 1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768320"/>
        <c:crosses val="autoZero"/>
        <c:crossBetween val="midCat"/>
      </c:valAx>
      <c:valAx>
        <c:axId val="1537683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7616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44" r="0.75000000000000644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'WP FR-16(7)(v)-Mains (Plastic)'!$B$45</c:f>
              <c:strCache>
                <c:ptCount val="1"/>
                <c:pt idx="0">
                  <c:v>COST/FT</c:v>
                </c:pt>
              </c:strCache>
            </c:strRef>
          </c:tx>
          <c:spPr>
            <a:ln w="28575">
              <a:noFill/>
            </a:ln>
          </c:spPr>
          <c:xVal>
            <c:numRef>
              <c:f>'WP FR-16(7)(v)-Mains (Plastic)'!$A$46:$A$55</c:f>
              <c:numCache>
                <c:formatCode>0.00</c:formatCode>
                <c:ptCount val="10"/>
                <c:pt idx="0">
                  <c:v>0</c:v>
                </c:pt>
                <c:pt idx="1">
                  <c:v>0.75</c:v>
                </c:pt>
                <c:pt idx="2">
                  <c:v>1</c:v>
                </c:pt>
                <c:pt idx="3">
                  <c:v>1.25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12</c:v>
                </c:pt>
              </c:numCache>
            </c:numRef>
          </c:xVal>
          <c:yVal>
            <c:numRef>
              <c:f>'WP FR-16(7)(v)-Mains (Plastic)'!$B$46:$B$55</c:f>
              <c:numCache>
                <c:formatCode>#,##0.00_);\(#,##0.00\)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4.32</c:v>
                </c:pt>
                <c:pt idx="3">
                  <c:v>8.8000000000000007</c:v>
                </c:pt>
                <c:pt idx="4">
                  <c:v>12.27</c:v>
                </c:pt>
                <c:pt idx="5">
                  <c:v>6.72</c:v>
                </c:pt>
                <c:pt idx="6">
                  <c:v>25.34</c:v>
                </c:pt>
                <c:pt idx="7">
                  <c:v>36.85</c:v>
                </c:pt>
                <c:pt idx="8">
                  <c:v>70.489999999999995</c:v>
                </c:pt>
                <c:pt idx="9">
                  <c:v>117.73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F3-4B4F-A923-5DC86D9DEE6E}"/>
            </c:ext>
          </c:extLst>
        </c:ser>
        <c:ser>
          <c:idx val="1"/>
          <c:order val="1"/>
          <c:tx>
            <c:strRef>
              <c:f>'WP FR-16(7)(v)-Mains (Plastic)'!$C$45</c:f>
              <c:strCache>
                <c:ptCount val="1"/>
                <c:pt idx="0">
                  <c:v>ESTIMATED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'WP FR-16(7)(v)-Mains (Plastic)'!$A$46:$A$55</c:f>
              <c:numCache>
                <c:formatCode>0.00</c:formatCode>
                <c:ptCount val="10"/>
                <c:pt idx="0">
                  <c:v>0</c:v>
                </c:pt>
                <c:pt idx="1">
                  <c:v>0.75</c:v>
                </c:pt>
                <c:pt idx="2">
                  <c:v>1</c:v>
                </c:pt>
                <c:pt idx="3">
                  <c:v>1.25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12</c:v>
                </c:pt>
              </c:numCache>
            </c:numRef>
          </c:xVal>
          <c:yVal>
            <c:numRef>
              <c:f>'WP FR-16(7)(v)-Mains (Plastic)'!$C$46:$C$55</c:f>
              <c:numCache>
                <c:formatCode>General</c:formatCode>
                <c:ptCount val="10"/>
                <c:pt idx="0">
                  <c:v>-12.27</c:v>
                </c:pt>
                <c:pt idx="1">
                  <c:v>-4.6100000000000003</c:v>
                </c:pt>
                <c:pt idx="2">
                  <c:v>-2.0499999999999998</c:v>
                </c:pt>
                <c:pt idx="3">
                  <c:v>0.5</c:v>
                </c:pt>
                <c:pt idx="4">
                  <c:v>8.17</c:v>
                </c:pt>
                <c:pt idx="5">
                  <c:v>18.39</c:v>
                </c:pt>
                <c:pt idx="6">
                  <c:v>28.61</c:v>
                </c:pt>
                <c:pt idx="7">
                  <c:v>49.05</c:v>
                </c:pt>
                <c:pt idx="8">
                  <c:v>69.489999999999995</c:v>
                </c:pt>
                <c:pt idx="9">
                  <c:v>110.37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BF3-4B4F-A923-5DC86D9DE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798912"/>
        <c:axId val="153809280"/>
      </c:scatterChart>
      <c:valAx>
        <c:axId val="15379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Size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53809280"/>
        <c:crosses val="autoZero"/>
        <c:crossBetween val="midCat"/>
      </c:valAx>
      <c:valAx>
        <c:axId val="1538092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</a:t>
                </a:r>
              </a:p>
            </c:rich>
          </c:tx>
          <c:overlay val="0"/>
        </c:title>
        <c:numFmt formatCode="#,##0.00_);\(#,##0.00\)" sourceLinked="1"/>
        <c:majorTickMark val="out"/>
        <c:minorTickMark val="none"/>
        <c:tickLblPos val="nextTo"/>
        <c:crossAx val="1537989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34</xdr:row>
          <xdr:rowOff>209550</xdr:rowOff>
        </xdr:from>
        <xdr:to>
          <xdr:col>2</xdr:col>
          <xdr:colOff>1047750</xdr:colOff>
          <xdr:row>36</xdr:row>
          <xdr:rowOff>171450</xdr:rowOff>
        </xdr:to>
        <xdr:sp macro="" textlink="">
          <xdr:nvSpPr>
            <xdr:cNvPr id="3081" name="Button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1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18</xdr:row>
          <xdr:rowOff>19050</xdr:rowOff>
        </xdr:from>
        <xdr:to>
          <xdr:col>2</xdr:col>
          <xdr:colOff>1022350</xdr:colOff>
          <xdr:row>18</xdr:row>
          <xdr:rowOff>222250</xdr:rowOff>
        </xdr:to>
        <xdr:sp macro="" textlink="">
          <xdr:nvSpPr>
            <xdr:cNvPr id="3139" name="Button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1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19</xdr:row>
          <xdr:rowOff>19050</xdr:rowOff>
        </xdr:from>
        <xdr:to>
          <xdr:col>2</xdr:col>
          <xdr:colOff>1022350</xdr:colOff>
          <xdr:row>19</xdr:row>
          <xdr:rowOff>222250</xdr:rowOff>
        </xdr:to>
        <xdr:sp macro="" textlink="">
          <xdr:nvSpPr>
            <xdr:cNvPr id="3151" name="Button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1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20</xdr:row>
          <xdr:rowOff>19050</xdr:rowOff>
        </xdr:from>
        <xdr:to>
          <xdr:col>2</xdr:col>
          <xdr:colOff>1022350</xdr:colOff>
          <xdr:row>20</xdr:row>
          <xdr:rowOff>209550</xdr:rowOff>
        </xdr:to>
        <xdr:sp macro="" textlink="">
          <xdr:nvSpPr>
            <xdr:cNvPr id="3152" name="Button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1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21</xdr:row>
          <xdr:rowOff>19050</xdr:rowOff>
        </xdr:from>
        <xdr:to>
          <xdr:col>2</xdr:col>
          <xdr:colOff>1022350</xdr:colOff>
          <xdr:row>21</xdr:row>
          <xdr:rowOff>209550</xdr:rowOff>
        </xdr:to>
        <xdr:sp macro="" textlink="">
          <xdr:nvSpPr>
            <xdr:cNvPr id="3153" name="Button 81" hidden="1">
              <a:extLst>
                <a:ext uri="{63B3BB69-23CF-44E3-9099-C40C66FF867C}">
                  <a14:compatExt spid="_x0000_s3153"/>
                </a:ext>
                <a:ext uri="{FF2B5EF4-FFF2-40B4-BE49-F238E27FC236}">
                  <a16:creationId xmlns:a16="http://schemas.microsoft.com/office/drawing/2014/main" id="{00000000-0008-0000-0100-00005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22</xdr:row>
          <xdr:rowOff>19050</xdr:rowOff>
        </xdr:from>
        <xdr:to>
          <xdr:col>2</xdr:col>
          <xdr:colOff>1022350</xdr:colOff>
          <xdr:row>22</xdr:row>
          <xdr:rowOff>209550</xdr:rowOff>
        </xdr:to>
        <xdr:sp macro="" textlink="">
          <xdr:nvSpPr>
            <xdr:cNvPr id="3154" name="Button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1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23</xdr:row>
          <xdr:rowOff>19050</xdr:rowOff>
        </xdr:from>
        <xdr:to>
          <xdr:col>2</xdr:col>
          <xdr:colOff>1022350</xdr:colOff>
          <xdr:row>23</xdr:row>
          <xdr:rowOff>222250</xdr:rowOff>
        </xdr:to>
        <xdr:sp macro="" textlink="">
          <xdr:nvSpPr>
            <xdr:cNvPr id="3155" name="Button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1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24</xdr:row>
          <xdr:rowOff>19050</xdr:rowOff>
        </xdr:from>
        <xdr:to>
          <xdr:col>2</xdr:col>
          <xdr:colOff>1022350</xdr:colOff>
          <xdr:row>24</xdr:row>
          <xdr:rowOff>222250</xdr:rowOff>
        </xdr:to>
        <xdr:sp macro="" textlink="">
          <xdr:nvSpPr>
            <xdr:cNvPr id="3156" name="Button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1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25</xdr:row>
          <xdr:rowOff>19050</xdr:rowOff>
        </xdr:from>
        <xdr:to>
          <xdr:col>2</xdr:col>
          <xdr:colOff>1022350</xdr:colOff>
          <xdr:row>25</xdr:row>
          <xdr:rowOff>222250</xdr:rowOff>
        </xdr:to>
        <xdr:sp macro="" textlink="">
          <xdr:nvSpPr>
            <xdr:cNvPr id="3157" name="Button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1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26</xdr:row>
          <xdr:rowOff>19050</xdr:rowOff>
        </xdr:from>
        <xdr:to>
          <xdr:col>2</xdr:col>
          <xdr:colOff>1022350</xdr:colOff>
          <xdr:row>26</xdr:row>
          <xdr:rowOff>222250</xdr:rowOff>
        </xdr:to>
        <xdr:sp macro="" textlink="">
          <xdr:nvSpPr>
            <xdr:cNvPr id="3158" name="Button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1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27</xdr:row>
          <xdr:rowOff>0</xdr:rowOff>
        </xdr:from>
        <xdr:to>
          <xdr:col>2</xdr:col>
          <xdr:colOff>1022350</xdr:colOff>
          <xdr:row>27</xdr:row>
          <xdr:rowOff>209550</xdr:rowOff>
        </xdr:to>
        <xdr:sp macro="" textlink="">
          <xdr:nvSpPr>
            <xdr:cNvPr id="3159" name="Button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1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28</xdr:row>
          <xdr:rowOff>0</xdr:rowOff>
        </xdr:from>
        <xdr:to>
          <xdr:col>2</xdr:col>
          <xdr:colOff>1022350</xdr:colOff>
          <xdr:row>28</xdr:row>
          <xdr:rowOff>209550</xdr:rowOff>
        </xdr:to>
        <xdr:sp macro="" textlink="">
          <xdr:nvSpPr>
            <xdr:cNvPr id="3160" name="Button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1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29</xdr:row>
          <xdr:rowOff>0</xdr:rowOff>
        </xdr:from>
        <xdr:to>
          <xdr:col>2</xdr:col>
          <xdr:colOff>1022350</xdr:colOff>
          <xdr:row>29</xdr:row>
          <xdr:rowOff>209550</xdr:rowOff>
        </xdr:to>
        <xdr:sp macro="" textlink="">
          <xdr:nvSpPr>
            <xdr:cNvPr id="3161" name="Button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1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29</xdr:row>
          <xdr:rowOff>304800</xdr:rowOff>
        </xdr:from>
        <xdr:to>
          <xdr:col>2</xdr:col>
          <xdr:colOff>1022350</xdr:colOff>
          <xdr:row>30</xdr:row>
          <xdr:rowOff>209550</xdr:rowOff>
        </xdr:to>
        <xdr:sp macro="" textlink="">
          <xdr:nvSpPr>
            <xdr:cNvPr id="3162" name="Button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1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30</xdr:row>
          <xdr:rowOff>304800</xdr:rowOff>
        </xdr:from>
        <xdr:to>
          <xdr:col>2</xdr:col>
          <xdr:colOff>1022350</xdr:colOff>
          <xdr:row>31</xdr:row>
          <xdr:rowOff>209550</xdr:rowOff>
        </xdr:to>
        <xdr:sp macro="" textlink="">
          <xdr:nvSpPr>
            <xdr:cNvPr id="3163" name="Button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1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31</xdr:row>
          <xdr:rowOff>304800</xdr:rowOff>
        </xdr:from>
        <xdr:to>
          <xdr:col>2</xdr:col>
          <xdr:colOff>1022350</xdr:colOff>
          <xdr:row>32</xdr:row>
          <xdr:rowOff>209550</xdr:rowOff>
        </xdr:to>
        <xdr:sp macro="" textlink="">
          <xdr:nvSpPr>
            <xdr:cNvPr id="3165" name="Button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1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18</xdr:row>
          <xdr:rowOff>19050</xdr:rowOff>
        </xdr:from>
        <xdr:to>
          <xdr:col>3</xdr:col>
          <xdr:colOff>1047750</xdr:colOff>
          <xdr:row>18</xdr:row>
          <xdr:rowOff>247650</xdr:rowOff>
        </xdr:to>
        <xdr:sp macro="" textlink="">
          <xdr:nvSpPr>
            <xdr:cNvPr id="3166" name="Button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1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19</xdr:row>
          <xdr:rowOff>19050</xdr:rowOff>
        </xdr:from>
        <xdr:to>
          <xdr:col>3</xdr:col>
          <xdr:colOff>1047750</xdr:colOff>
          <xdr:row>19</xdr:row>
          <xdr:rowOff>222250</xdr:rowOff>
        </xdr:to>
        <xdr:sp macro="" textlink="">
          <xdr:nvSpPr>
            <xdr:cNvPr id="3167" name="Button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1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20</xdr:row>
          <xdr:rowOff>19050</xdr:rowOff>
        </xdr:from>
        <xdr:to>
          <xdr:col>3</xdr:col>
          <xdr:colOff>1028700</xdr:colOff>
          <xdr:row>20</xdr:row>
          <xdr:rowOff>209550</xdr:rowOff>
        </xdr:to>
        <xdr:sp macro="" textlink="">
          <xdr:nvSpPr>
            <xdr:cNvPr id="3168" name="Button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1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21</xdr:row>
          <xdr:rowOff>19050</xdr:rowOff>
        </xdr:from>
        <xdr:to>
          <xdr:col>3</xdr:col>
          <xdr:colOff>1009650</xdr:colOff>
          <xdr:row>21</xdr:row>
          <xdr:rowOff>228600</xdr:rowOff>
        </xdr:to>
        <xdr:sp macro="" textlink="">
          <xdr:nvSpPr>
            <xdr:cNvPr id="3169" name="Button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1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22</xdr:row>
          <xdr:rowOff>19050</xdr:rowOff>
        </xdr:from>
        <xdr:to>
          <xdr:col>3</xdr:col>
          <xdr:colOff>1028700</xdr:colOff>
          <xdr:row>22</xdr:row>
          <xdr:rowOff>209550</xdr:rowOff>
        </xdr:to>
        <xdr:sp macro="" textlink="">
          <xdr:nvSpPr>
            <xdr:cNvPr id="3170" name="Button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1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23</xdr:row>
          <xdr:rowOff>19050</xdr:rowOff>
        </xdr:from>
        <xdr:to>
          <xdr:col>3</xdr:col>
          <xdr:colOff>1028700</xdr:colOff>
          <xdr:row>23</xdr:row>
          <xdr:rowOff>209550</xdr:rowOff>
        </xdr:to>
        <xdr:sp macro="" textlink="">
          <xdr:nvSpPr>
            <xdr:cNvPr id="3171" name="Button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1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24</xdr:row>
          <xdr:rowOff>19050</xdr:rowOff>
        </xdr:from>
        <xdr:to>
          <xdr:col>3</xdr:col>
          <xdr:colOff>1009650</xdr:colOff>
          <xdr:row>24</xdr:row>
          <xdr:rowOff>228600</xdr:rowOff>
        </xdr:to>
        <xdr:sp macro="" textlink="">
          <xdr:nvSpPr>
            <xdr:cNvPr id="3172" name="Button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1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25</xdr:row>
          <xdr:rowOff>19050</xdr:rowOff>
        </xdr:from>
        <xdr:to>
          <xdr:col>3</xdr:col>
          <xdr:colOff>1009650</xdr:colOff>
          <xdr:row>25</xdr:row>
          <xdr:rowOff>228600</xdr:rowOff>
        </xdr:to>
        <xdr:sp macro="" textlink="">
          <xdr:nvSpPr>
            <xdr:cNvPr id="3173" name="Button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1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146050</xdr:colOff>
          <xdr:row>26</xdr:row>
          <xdr:rowOff>19050</xdr:rowOff>
        </xdr:from>
        <xdr:to>
          <xdr:col>3</xdr:col>
          <xdr:colOff>1009650</xdr:colOff>
          <xdr:row>26</xdr:row>
          <xdr:rowOff>228600</xdr:rowOff>
        </xdr:to>
        <xdr:sp macro="" textlink="">
          <xdr:nvSpPr>
            <xdr:cNvPr id="3174" name="Button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1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146050</xdr:colOff>
          <xdr:row>27</xdr:row>
          <xdr:rowOff>0</xdr:rowOff>
        </xdr:from>
        <xdr:to>
          <xdr:col>3</xdr:col>
          <xdr:colOff>1009650</xdr:colOff>
          <xdr:row>27</xdr:row>
          <xdr:rowOff>222250</xdr:rowOff>
        </xdr:to>
        <xdr:sp macro="" textlink="">
          <xdr:nvSpPr>
            <xdr:cNvPr id="3175" name="Button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1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146050</xdr:colOff>
          <xdr:row>28</xdr:row>
          <xdr:rowOff>0</xdr:rowOff>
        </xdr:from>
        <xdr:to>
          <xdr:col>3</xdr:col>
          <xdr:colOff>1009650</xdr:colOff>
          <xdr:row>28</xdr:row>
          <xdr:rowOff>209550</xdr:rowOff>
        </xdr:to>
        <xdr:sp macro="" textlink="">
          <xdr:nvSpPr>
            <xdr:cNvPr id="3176" name="Button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1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29</xdr:row>
          <xdr:rowOff>0</xdr:rowOff>
        </xdr:from>
        <xdr:to>
          <xdr:col>3</xdr:col>
          <xdr:colOff>1047750</xdr:colOff>
          <xdr:row>29</xdr:row>
          <xdr:rowOff>209550</xdr:rowOff>
        </xdr:to>
        <xdr:sp macro="" textlink="">
          <xdr:nvSpPr>
            <xdr:cNvPr id="3177" name="Button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1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30</xdr:row>
          <xdr:rowOff>19050</xdr:rowOff>
        </xdr:from>
        <xdr:to>
          <xdr:col>3</xdr:col>
          <xdr:colOff>1009650</xdr:colOff>
          <xdr:row>30</xdr:row>
          <xdr:rowOff>222250</xdr:rowOff>
        </xdr:to>
        <xdr:sp macro="" textlink="">
          <xdr:nvSpPr>
            <xdr:cNvPr id="3178" name="Button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1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31</xdr:row>
          <xdr:rowOff>19050</xdr:rowOff>
        </xdr:from>
        <xdr:to>
          <xdr:col>3</xdr:col>
          <xdr:colOff>1009650</xdr:colOff>
          <xdr:row>31</xdr:row>
          <xdr:rowOff>247650</xdr:rowOff>
        </xdr:to>
        <xdr:sp macro="" textlink="">
          <xdr:nvSpPr>
            <xdr:cNvPr id="3179" name="Button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1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31</xdr:row>
          <xdr:rowOff>304800</xdr:rowOff>
        </xdr:from>
        <xdr:to>
          <xdr:col>3</xdr:col>
          <xdr:colOff>990600</xdr:colOff>
          <xdr:row>32</xdr:row>
          <xdr:rowOff>209550</xdr:rowOff>
        </xdr:to>
        <xdr:sp macro="" textlink="">
          <xdr:nvSpPr>
            <xdr:cNvPr id="3180" name="Button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1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34</xdr:row>
          <xdr:rowOff>209550</xdr:rowOff>
        </xdr:from>
        <xdr:to>
          <xdr:col>3</xdr:col>
          <xdr:colOff>1047750</xdr:colOff>
          <xdr:row>36</xdr:row>
          <xdr:rowOff>171450</xdr:rowOff>
        </xdr:to>
        <xdr:sp macro="" textlink="">
          <xdr:nvSpPr>
            <xdr:cNvPr id="3200" name="Button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1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18</xdr:row>
          <xdr:rowOff>19050</xdr:rowOff>
        </xdr:from>
        <xdr:to>
          <xdr:col>4</xdr:col>
          <xdr:colOff>1022350</xdr:colOff>
          <xdr:row>18</xdr:row>
          <xdr:rowOff>222250</xdr:rowOff>
        </xdr:to>
        <xdr:sp macro="" textlink="">
          <xdr:nvSpPr>
            <xdr:cNvPr id="3201" name="Button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1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19</xdr:row>
          <xdr:rowOff>19050</xdr:rowOff>
        </xdr:from>
        <xdr:to>
          <xdr:col>4</xdr:col>
          <xdr:colOff>1022350</xdr:colOff>
          <xdr:row>19</xdr:row>
          <xdr:rowOff>222250</xdr:rowOff>
        </xdr:to>
        <xdr:sp macro="" textlink="">
          <xdr:nvSpPr>
            <xdr:cNvPr id="3202" name="Button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1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20</xdr:row>
          <xdr:rowOff>19050</xdr:rowOff>
        </xdr:from>
        <xdr:to>
          <xdr:col>4</xdr:col>
          <xdr:colOff>1022350</xdr:colOff>
          <xdr:row>20</xdr:row>
          <xdr:rowOff>209550</xdr:rowOff>
        </xdr:to>
        <xdr:sp macro="" textlink="">
          <xdr:nvSpPr>
            <xdr:cNvPr id="3203" name="Button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1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21</xdr:row>
          <xdr:rowOff>19050</xdr:rowOff>
        </xdr:from>
        <xdr:to>
          <xdr:col>4</xdr:col>
          <xdr:colOff>1022350</xdr:colOff>
          <xdr:row>21</xdr:row>
          <xdr:rowOff>209550</xdr:rowOff>
        </xdr:to>
        <xdr:sp macro="" textlink="">
          <xdr:nvSpPr>
            <xdr:cNvPr id="3204" name="Button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1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22</xdr:row>
          <xdr:rowOff>19050</xdr:rowOff>
        </xdr:from>
        <xdr:to>
          <xdr:col>4</xdr:col>
          <xdr:colOff>1022350</xdr:colOff>
          <xdr:row>22</xdr:row>
          <xdr:rowOff>209550</xdr:rowOff>
        </xdr:to>
        <xdr:sp macro="" textlink="">
          <xdr:nvSpPr>
            <xdr:cNvPr id="3205" name="Button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1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23</xdr:row>
          <xdr:rowOff>19050</xdr:rowOff>
        </xdr:from>
        <xdr:to>
          <xdr:col>4</xdr:col>
          <xdr:colOff>1022350</xdr:colOff>
          <xdr:row>23</xdr:row>
          <xdr:rowOff>222250</xdr:rowOff>
        </xdr:to>
        <xdr:sp macro="" textlink="">
          <xdr:nvSpPr>
            <xdr:cNvPr id="3206" name="Button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1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24</xdr:row>
          <xdr:rowOff>19050</xdr:rowOff>
        </xdr:from>
        <xdr:to>
          <xdr:col>4</xdr:col>
          <xdr:colOff>1022350</xdr:colOff>
          <xdr:row>24</xdr:row>
          <xdr:rowOff>222250</xdr:rowOff>
        </xdr:to>
        <xdr:sp macro="" textlink="">
          <xdr:nvSpPr>
            <xdr:cNvPr id="3207" name="Button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1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25</xdr:row>
          <xdr:rowOff>19050</xdr:rowOff>
        </xdr:from>
        <xdr:to>
          <xdr:col>4</xdr:col>
          <xdr:colOff>1022350</xdr:colOff>
          <xdr:row>25</xdr:row>
          <xdr:rowOff>222250</xdr:rowOff>
        </xdr:to>
        <xdr:sp macro="" textlink="">
          <xdr:nvSpPr>
            <xdr:cNvPr id="3208" name="Button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1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26</xdr:row>
          <xdr:rowOff>19050</xdr:rowOff>
        </xdr:from>
        <xdr:to>
          <xdr:col>4</xdr:col>
          <xdr:colOff>1022350</xdr:colOff>
          <xdr:row>26</xdr:row>
          <xdr:rowOff>222250</xdr:rowOff>
        </xdr:to>
        <xdr:sp macro="" textlink="">
          <xdr:nvSpPr>
            <xdr:cNvPr id="3209" name="Button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1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27</xdr:row>
          <xdr:rowOff>0</xdr:rowOff>
        </xdr:from>
        <xdr:to>
          <xdr:col>4</xdr:col>
          <xdr:colOff>1022350</xdr:colOff>
          <xdr:row>27</xdr:row>
          <xdr:rowOff>209550</xdr:rowOff>
        </xdr:to>
        <xdr:sp macro="" textlink="">
          <xdr:nvSpPr>
            <xdr:cNvPr id="3210" name="Button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1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28</xdr:row>
          <xdr:rowOff>0</xdr:rowOff>
        </xdr:from>
        <xdr:to>
          <xdr:col>4</xdr:col>
          <xdr:colOff>1022350</xdr:colOff>
          <xdr:row>28</xdr:row>
          <xdr:rowOff>209550</xdr:rowOff>
        </xdr:to>
        <xdr:sp macro="" textlink="">
          <xdr:nvSpPr>
            <xdr:cNvPr id="3211" name="Button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1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29</xdr:row>
          <xdr:rowOff>0</xdr:rowOff>
        </xdr:from>
        <xdr:to>
          <xdr:col>4</xdr:col>
          <xdr:colOff>1022350</xdr:colOff>
          <xdr:row>29</xdr:row>
          <xdr:rowOff>209550</xdr:rowOff>
        </xdr:to>
        <xdr:sp macro="" textlink="">
          <xdr:nvSpPr>
            <xdr:cNvPr id="3212" name="Button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1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29</xdr:row>
          <xdr:rowOff>304800</xdr:rowOff>
        </xdr:from>
        <xdr:to>
          <xdr:col>4</xdr:col>
          <xdr:colOff>1022350</xdr:colOff>
          <xdr:row>30</xdr:row>
          <xdr:rowOff>209550</xdr:rowOff>
        </xdr:to>
        <xdr:sp macro="" textlink="">
          <xdr:nvSpPr>
            <xdr:cNvPr id="3213" name="Button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1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30</xdr:row>
          <xdr:rowOff>304800</xdr:rowOff>
        </xdr:from>
        <xdr:to>
          <xdr:col>4</xdr:col>
          <xdr:colOff>1022350</xdr:colOff>
          <xdr:row>31</xdr:row>
          <xdr:rowOff>209550</xdr:rowOff>
        </xdr:to>
        <xdr:sp macro="" textlink="">
          <xdr:nvSpPr>
            <xdr:cNvPr id="3214" name="Button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1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31</xdr:row>
          <xdr:rowOff>304800</xdr:rowOff>
        </xdr:from>
        <xdr:to>
          <xdr:col>4</xdr:col>
          <xdr:colOff>1022350</xdr:colOff>
          <xdr:row>32</xdr:row>
          <xdr:rowOff>209550</xdr:rowOff>
        </xdr:to>
        <xdr:sp macro="" textlink="">
          <xdr:nvSpPr>
            <xdr:cNvPr id="3215" name="Button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1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18</xdr:row>
          <xdr:rowOff>19050</xdr:rowOff>
        </xdr:from>
        <xdr:to>
          <xdr:col>5</xdr:col>
          <xdr:colOff>1009650</xdr:colOff>
          <xdr:row>18</xdr:row>
          <xdr:rowOff>222250</xdr:rowOff>
        </xdr:to>
        <xdr:sp macro="" textlink="">
          <xdr:nvSpPr>
            <xdr:cNvPr id="3217" name="Button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1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19</xdr:row>
          <xdr:rowOff>19050</xdr:rowOff>
        </xdr:from>
        <xdr:to>
          <xdr:col>5</xdr:col>
          <xdr:colOff>1009650</xdr:colOff>
          <xdr:row>19</xdr:row>
          <xdr:rowOff>222250</xdr:rowOff>
        </xdr:to>
        <xdr:sp macro="" textlink="">
          <xdr:nvSpPr>
            <xdr:cNvPr id="3218" name="Button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1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20</xdr:row>
          <xdr:rowOff>19050</xdr:rowOff>
        </xdr:from>
        <xdr:to>
          <xdr:col>5</xdr:col>
          <xdr:colOff>1009650</xdr:colOff>
          <xdr:row>20</xdr:row>
          <xdr:rowOff>209550</xdr:rowOff>
        </xdr:to>
        <xdr:sp macro="" textlink="">
          <xdr:nvSpPr>
            <xdr:cNvPr id="3219" name="Button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1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21</xdr:row>
          <xdr:rowOff>19050</xdr:rowOff>
        </xdr:from>
        <xdr:to>
          <xdr:col>5</xdr:col>
          <xdr:colOff>1009650</xdr:colOff>
          <xdr:row>21</xdr:row>
          <xdr:rowOff>209550</xdr:rowOff>
        </xdr:to>
        <xdr:sp macro="" textlink="">
          <xdr:nvSpPr>
            <xdr:cNvPr id="3220" name="Button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1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22</xdr:row>
          <xdr:rowOff>19050</xdr:rowOff>
        </xdr:from>
        <xdr:to>
          <xdr:col>5</xdr:col>
          <xdr:colOff>1009650</xdr:colOff>
          <xdr:row>22</xdr:row>
          <xdr:rowOff>209550</xdr:rowOff>
        </xdr:to>
        <xdr:sp macro="" textlink="">
          <xdr:nvSpPr>
            <xdr:cNvPr id="3221" name="Button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1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23</xdr:row>
          <xdr:rowOff>19050</xdr:rowOff>
        </xdr:from>
        <xdr:to>
          <xdr:col>5</xdr:col>
          <xdr:colOff>1009650</xdr:colOff>
          <xdr:row>23</xdr:row>
          <xdr:rowOff>222250</xdr:rowOff>
        </xdr:to>
        <xdr:sp macro="" textlink="">
          <xdr:nvSpPr>
            <xdr:cNvPr id="3222" name="Button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1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24</xdr:row>
          <xdr:rowOff>19050</xdr:rowOff>
        </xdr:from>
        <xdr:to>
          <xdr:col>5</xdr:col>
          <xdr:colOff>1009650</xdr:colOff>
          <xdr:row>24</xdr:row>
          <xdr:rowOff>222250</xdr:rowOff>
        </xdr:to>
        <xdr:sp macro="" textlink="">
          <xdr:nvSpPr>
            <xdr:cNvPr id="3223" name="Button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1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25</xdr:row>
          <xdr:rowOff>19050</xdr:rowOff>
        </xdr:from>
        <xdr:to>
          <xdr:col>5</xdr:col>
          <xdr:colOff>1009650</xdr:colOff>
          <xdr:row>25</xdr:row>
          <xdr:rowOff>222250</xdr:rowOff>
        </xdr:to>
        <xdr:sp macro="" textlink="">
          <xdr:nvSpPr>
            <xdr:cNvPr id="3224" name="Button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1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26</xdr:row>
          <xdr:rowOff>19050</xdr:rowOff>
        </xdr:from>
        <xdr:to>
          <xdr:col>5</xdr:col>
          <xdr:colOff>1009650</xdr:colOff>
          <xdr:row>26</xdr:row>
          <xdr:rowOff>222250</xdr:rowOff>
        </xdr:to>
        <xdr:sp macro="" textlink="">
          <xdr:nvSpPr>
            <xdr:cNvPr id="3225" name="Button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1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27</xdr:row>
          <xdr:rowOff>0</xdr:rowOff>
        </xdr:from>
        <xdr:to>
          <xdr:col>5</xdr:col>
          <xdr:colOff>1009650</xdr:colOff>
          <xdr:row>27</xdr:row>
          <xdr:rowOff>209550</xdr:rowOff>
        </xdr:to>
        <xdr:sp macro="" textlink="">
          <xdr:nvSpPr>
            <xdr:cNvPr id="3226" name="Button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1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28</xdr:row>
          <xdr:rowOff>0</xdr:rowOff>
        </xdr:from>
        <xdr:to>
          <xdr:col>5</xdr:col>
          <xdr:colOff>1009650</xdr:colOff>
          <xdr:row>28</xdr:row>
          <xdr:rowOff>209550</xdr:rowOff>
        </xdr:to>
        <xdr:sp macro="" textlink="">
          <xdr:nvSpPr>
            <xdr:cNvPr id="3227" name="Button 155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1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29</xdr:row>
          <xdr:rowOff>0</xdr:rowOff>
        </xdr:from>
        <xdr:to>
          <xdr:col>5</xdr:col>
          <xdr:colOff>1009650</xdr:colOff>
          <xdr:row>29</xdr:row>
          <xdr:rowOff>209550</xdr:rowOff>
        </xdr:to>
        <xdr:sp macro="" textlink="">
          <xdr:nvSpPr>
            <xdr:cNvPr id="3228" name="Button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1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29</xdr:row>
          <xdr:rowOff>304800</xdr:rowOff>
        </xdr:from>
        <xdr:to>
          <xdr:col>5</xdr:col>
          <xdr:colOff>1009650</xdr:colOff>
          <xdr:row>30</xdr:row>
          <xdr:rowOff>209550</xdr:rowOff>
        </xdr:to>
        <xdr:sp macro="" textlink="">
          <xdr:nvSpPr>
            <xdr:cNvPr id="3229" name="Button 157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1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30</xdr:row>
          <xdr:rowOff>304800</xdr:rowOff>
        </xdr:from>
        <xdr:to>
          <xdr:col>5</xdr:col>
          <xdr:colOff>1009650</xdr:colOff>
          <xdr:row>31</xdr:row>
          <xdr:rowOff>209550</xdr:rowOff>
        </xdr:to>
        <xdr:sp macro="" textlink="">
          <xdr:nvSpPr>
            <xdr:cNvPr id="3230" name="Button 15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1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31</xdr:row>
          <xdr:rowOff>304800</xdr:rowOff>
        </xdr:from>
        <xdr:to>
          <xdr:col>5</xdr:col>
          <xdr:colOff>1009650</xdr:colOff>
          <xdr:row>32</xdr:row>
          <xdr:rowOff>209550</xdr:rowOff>
        </xdr:to>
        <xdr:sp macro="" textlink="">
          <xdr:nvSpPr>
            <xdr:cNvPr id="3231" name="Button 159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1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18</xdr:row>
          <xdr:rowOff>19050</xdr:rowOff>
        </xdr:from>
        <xdr:to>
          <xdr:col>6</xdr:col>
          <xdr:colOff>1009650</xdr:colOff>
          <xdr:row>18</xdr:row>
          <xdr:rowOff>222250</xdr:rowOff>
        </xdr:to>
        <xdr:sp macro="" textlink="">
          <xdr:nvSpPr>
            <xdr:cNvPr id="3233" name="Button 161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00000000-0008-0000-0100-0000A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19</xdr:row>
          <xdr:rowOff>19050</xdr:rowOff>
        </xdr:from>
        <xdr:to>
          <xdr:col>6</xdr:col>
          <xdr:colOff>1009650</xdr:colOff>
          <xdr:row>19</xdr:row>
          <xdr:rowOff>222250</xdr:rowOff>
        </xdr:to>
        <xdr:sp macro="" textlink="">
          <xdr:nvSpPr>
            <xdr:cNvPr id="3234" name="Button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1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20</xdr:row>
          <xdr:rowOff>19050</xdr:rowOff>
        </xdr:from>
        <xdr:to>
          <xdr:col>6</xdr:col>
          <xdr:colOff>1009650</xdr:colOff>
          <xdr:row>20</xdr:row>
          <xdr:rowOff>209550</xdr:rowOff>
        </xdr:to>
        <xdr:sp macro="" textlink="">
          <xdr:nvSpPr>
            <xdr:cNvPr id="3235" name="Button 163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0000000-0008-0000-0100-0000A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21</xdr:row>
          <xdr:rowOff>19050</xdr:rowOff>
        </xdr:from>
        <xdr:to>
          <xdr:col>6</xdr:col>
          <xdr:colOff>1009650</xdr:colOff>
          <xdr:row>21</xdr:row>
          <xdr:rowOff>209550</xdr:rowOff>
        </xdr:to>
        <xdr:sp macro="" textlink="">
          <xdr:nvSpPr>
            <xdr:cNvPr id="3236" name="Button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1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22</xdr:row>
          <xdr:rowOff>19050</xdr:rowOff>
        </xdr:from>
        <xdr:to>
          <xdr:col>6</xdr:col>
          <xdr:colOff>1009650</xdr:colOff>
          <xdr:row>22</xdr:row>
          <xdr:rowOff>209550</xdr:rowOff>
        </xdr:to>
        <xdr:sp macro="" textlink="">
          <xdr:nvSpPr>
            <xdr:cNvPr id="3237" name="Button 165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1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23</xdr:row>
          <xdr:rowOff>19050</xdr:rowOff>
        </xdr:from>
        <xdr:to>
          <xdr:col>6</xdr:col>
          <xdr:colOff>1009650</xdr:colOff>
          <xdr:row>23</xdr:row>
          <xdr:rowOff>222250</xdr:rowOff>
        </xdr:to>
        <xdr:sp macro="" textlink="">
          <xdr:nvSpPr>
            <xdr:cNvPr id="3238" name="Button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1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24</xdr:row>
          <xdr:rowOff>19050</xdr:rowOff>
        </xdr:from>
        <xdr:to>
          <xdr:col>6</xdr:col>
          <xdr:colOff>1009650</xdr:colOff>
          <xdr:row>24</xdr:row>
          <xdr:rowOff>222250</xdr:rowOff>
        </xdr:to>
        <xdr:sp macro="" textlink="">
          <xdr:nvSpPr>
            <xdr:cNvPr id="3239" name="Button 167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00000000-0008-0000-0100-0000A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25</xdr:row>
          <xdr:rowOff>19050</xdr:rowOff>
        </xdr:from>
        <xdr:to>
          <xdr:col>6</xdr:col>
          <xdr:colOff>1009650</xdr:colOff>
          <xdr:row>25</xdr:row>
          <xdr:rowOff>222250</xdr:rowOff>
        </xdr:to>
        <xdr:sp macro="" textlink="">
          <xdr:nvSpPr>
            <xdr:cNvPr id="3240" name="Button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1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26</xdr:row>
          <xdr:rowOff>19050</xdr:rowOff>
        </xdr:from>
        <xdr:to>
          <xdr:col>6</xdr:col>
          <xdr:colOff>1009650</xdr:colOff>
          <xdr:row>26</xdr:row>
          <xdr:rowOff>222250</xdr:rowOff>
        </xdr:to>
        <xdr:sp macro="" textlink="">
          <xdr:nvSpPr>
            <xdr:cNvPr id="3241" name="Button 169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00000000-0008-0000-0100-0000A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27</xdr:row>
          <xdr:rowOff>0</xdr:rowOff>
        </xdr:from>
        <xdr:to>
          <xdr:col>6</xdr:col>
          <xdr:colOff>1009650</xdr:colOff>
          <xdr:row>27</xdr:row>
          <xdr:rowOff>209550</xdr:rowOff>
        </xdr:to>
        <xdr:sp macro="" textlink="">
          <xdr:nvSpPr>
            <xdr:cNvPr id="3242" name="Button 170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000000-0008-0000-0100-0000A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28</xdr:row>
          <xdr:rowOff>0</xdr:rowOff>
        </xdr:from>
        <xdr:to>
          <xdr:col>6</xdr:col>
          <xdr:colOff>1009650</xdr:colOff>
          <xdr:row>28</xdr:row>
          <xdr:rowOff>209550</xdr:rowOff>
        </xdr:to>
        <xdr:sp macro="" textlink="">
          <xdr:nvSpPr>
            <xdr:cNvPr id="3243" name="Button 171" hidden="1">
              <a:extLst>
                <a:ext uri="{63B3BB69-23CF-44E3-9099-C40C66FF867C}">
                  <a14:compatExt spid="_x0000_s3243"/>
                </a:ext>
                <a:ext uri="{FF2B5EF4-FFF2-40B4-BE49-F238E27FC236}">
                  <a16:creationId xmlns:a16="http://schemas.microsoft.com/office/drawing/2014/main" id="{00000000-0008-0000-0100-0000A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29</xdr:row>
          <xdr:rowOff>0</xdr:rowOff>
        </xdr:from>
        <xdr:to>
          <xdr:col>6</xdr:col>
          <xdr:colOff>1009650</xdr:colOff>
          <xdr:row>29</xdr:row>
          <xdr:rowOff>209550</xdr:rowOff>
        </xdr:to>
        <xdr:sp macro="" textlink="">
          <xdr:nvSpPr>
            <xdr:cNvPr id="3244" name="Button 172" hidden="1">
              <a:extLst>
                <a:ext uri="{63B3BB69-23CF-44E3-9099-C40C66FF867C}">
                  <a14:compatExt spid="_x0000_s3244"/>
                </a:ext>
                <a:ext uri="{FF2B5EF4-FFF2-40B4-BE49-F238E27FC236}">
                  <a16:creationId xmlns:a16="http://schemas.microsoft.com/office/drawing/2014/main" id="{00000000-0008-0000-0100-0000A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29</xdr:row>
          <xdr:rowOff>304800</xdr:rowOff>
        </xdr:from>
        <xdr:to>
          <xdr:col>6</xdr:col>
          <xdr:colOff>1009650</xdr:colOff>
          <xdr:row>30</xdr:row>
          <xdr:rowOff>209550</xdr:rowOff>
        </xdr:to>
        <xdr:sp macro="" textlink="">
          <xdr:nvSpPr>
            <xdr:cNvPr id="3245" name="Button 173" hidden="1">
              <a:extLst>
                <a:ext uri="{63B3BB69-23CF-44E3-9099-C40C66FF867C}">
                  <a14:compatExt spid="_x0000_s3245"/>
                </a:ext>
                <a:ext uri="{FF2B5EF4-FFF2-40B4-BE49-F238E27FC236}">
                  <a16:creationId xmlns:a16="http://schemas.microsoft.com/office/drawing/2014/main" id="{00000000-0008-0000-0100-0000A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30</xdr:row>
          <xdr:rowOff>304800</xdr:rowOff>
        </xdr:from>
        <xdr:to>
          <xdr:col>6</xdr:col>
          <xdr:colOff>1009650</xdr:colOff>
          <xdr:row>31</xdr:row>
          <xdr:rowOff>209550</xdr:rowOff>
        </xdr:to>
        <xdr:sp macro="" textlink="">
          <xdr:nvSpPr>
            <xdr:cNvPr id="3246" name="Button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1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31</xdr:row>
          <xdr:rowOff>304800</xdr:rowOff>
        </xdr:from>
        <xdr:to>
          <xdr:col>6</xdr:col>
          <xdr:colOff>1009650</xdr:colOff>
          <xdr:row>32</xdr:row>
          <xdr:rowOff>209550</xdr:rowOff>
        </xdr:to>
        <xdr:sp macro="" textlink="">
          <xdr:nvSpPr>
            <xdr:cNvPr id="3247" name="Button 175" hidden="1">
              <a:extLst>
                <a:ext uri="{63B3BB69-23CF-44E3-9099-C40C66FF867C}">
                  <a14:compatExt spid="_x0000_s3247"/>
                </a:ext>
                <a:ext uri="{FF2B5EF4-FFF2-40B4-BE49-F238E27FC236}">
                  <a16:creationId xmlns:a16="http://schemas.microsoft.com/office/drawing/2014/main" id="{00000000-0008-0000-0100-0000A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18</xdr:row>
          <xdr:rowOff>19050</xdr:rowOff>
        </xdr:from>
        <xdr:to>
          <xdr:col>7</xdr:col>
          <xdr:colOff>1009650</xdr:colOff>
          <xdr:row>18</xdr:row>
          <xdr:rowOff>222250</xdr:rowOff>
        </xdr:to>
        <xdr:sp macro="" textlink="">
          <xdr:nvSpPr>
            <xdr:cNvPr id="3249" name="Button 177" hidden="1">
              <a:extLst>
                <a:ext uri="{63B3BB69-23CF-44E3-9099-C40C66FF867C}">
                  <a14:compatExt spid="_x0000_s3249"/>
                </a:ext>
                <a:ext uri="{FF2B5EF4-FFF2-40B4-BE49-F238E27FC236}">
                  <a16:creationId xmlns:a16="http://schemas.microsoft.com/office/drawing/2014/main" id="{00000000-0008-0000-0100-0000B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19</xdr:row>
          <xdr:rowOff>19050</xdr:rowOff>
        </xdr:from>
        <xdr:to>
          <xdr:col>7</xdr:col>
          <xdr:colOff>1009650</xdr:colOff>
          <xdr:row>19</xdr:row>
          <xdr:rowOff>222250</xdr:rowOff>
        </xdr:to>
        <xdr:sp macro="" textlink="">
          <xdr:nvSpPr>
            <xdr:cNvPr id="3250" name="Button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00000000-0008-0000-01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20</xdr:row>
          <xdr:rowOff>19050</xdr:rowOff>
        </xdr:from>
        <xdr:to>
          <xdr:col>7</xdr:col>
          <xdr:colOff>1009650</xdr:colOff>
          <xdr:row>20</xdr:row>
          <xdr:rowOff>209550</xdr:rowOff>
        </xdr:to>
        <xdr:sp macro="" textlink="">
          <xdr:nvSpPr>
            <xdr:cNvPr id="3251" name="Button 179" hidden="1">
              <a:extLst>
                <a:ext uri="{63B3BB69-23CF-44E3-9099-C40C66FF867C}">
                  <a14:compatExt spid="_x0000_s3251"/>
                </a:ext>
                <a:ext uri="{FF2B5EF4-FFF2-40B4-BE49-F238E27FC236}">
                  <a16:creationId xmlns:a16="http://schemas.microsoft.com/office/drawing/2014/main" id="{00000000-0008-0000-0100-0000B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21</xdr:row>
          <xdr:rowOff>19050</xdr:rowOff>
        </xdr:from>
        <xdr:to>
          <xdr:col>7</xdr:col>
          <xdr:colOff>1009650</xdr:colOff>
          <xdr:row>21</xdr:row>
          <xdr:rowOff>209550</xdr:rowOff>
        </xdr:to>
        <xdr:sp macro="" textlink="">
          <xdr:nvSpPr>
            <xdr:cNvPr id="3252" name="Button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1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22</xdr:row>
          <xdr:rowOff>19050</xdr:rowOff>
        </xdr:from>
        <xdr:to>
          <xdr:col>7</xdr:col>
          <xdr:colOff>1009650</xdr:colOff>
          <xdr:row>22</xdr:row>
          <xdr:rowOff>209550</xdr:rowOff>
        </xdr:to>
        <xdr:sp macro="" textlink="">
          <xdr:nvSpPr>
            <xdr:cNvPr id="3253" name="Button 181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00000000-0008-0000-0100-0000B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23</xdr:row>
          <xdr:rowOff>19050</xdr:rowOff>
        </xdr:from>
        <xdr:to>
          <xdr:col>7</xdr:col>
          <xdr:colOff>1009650</xdr:colOff>
          <xdr:row>23</xdr:row>
          <xdr:rowOff>222250</xdr:rowOff>
        </xdr:to>
        <xdr:sp macro="" textlink="">
          <xdr:nvSpPr>
            <xdr:cNvPr id="3254" name="Button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1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24</xdr:row>
          <xdr:rowOff>19050</xdr:rowOff>
        </xdr:from>
        <xdr:to>
          <xdr:col>7</xdr:col>
          <xdr:colOff>1009650</xdr:colOff>
          <xdr:row>24</xdr:row>
          <xdr:rowOff>222250</xdr:rowOff>
        </xdr:to>
        <xdr:sp macro="" textlink="">
          <xdr:nvSpPr>
            <xdr:cNvPr id="3255" name="Button 183" hidden="1">
              <a:extLst>
                <a:ext uri="{63B3BB69-23CF-44E3-9099-C40C66FF867C}">
                  <a14:compatExt spid="_x0000_s3255"/>
                </a:ext>
                <a:ext uri="{FF2B5EF4-FFF2-40B4-BE49-F238E27FC236}">
                  <a16:creationId xmlns:a16="http://schemas.microsoft.com/office/drawing/2014/main" id="{00000000-0008-0000-0100-0000B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25</xdr:row>
          <xdr:rowOff>19050</xdr:rowOff>
        </xdr:from>
        <xdr:to>
          <xdr:col>7</xdr:col>
          <xdr:colOff>1009650</xdr:colOff>
          <xdr:row>25</xdr:row>
          <xdr:rowOff>222250</xdr:rowOff>
        </xdr:to>
        <xdr:sp macro="" textlink="">
          <xdr:nvSpPr>
            <xdr:cNvPr id="3256" name="Button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1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26</xdr:row>
          <xdr:rowOff>19050</xdr:rowOff>
        </xdr:from>
        <xdr:to>
          <xdr:col>7</xdr:col>
          <xdr:colOff>1009650</xdr:colOff>
          <xdr:row>26</xdr:row>
          <xdr:rowOff>222250</xdr:rowOff>
        </xdr:to>
        <xdr:sp macro="" textlink="">
          <xdr:nvSpPr>
            <xdr:cNvPr id="3257" name="Button 185" hidden="1">
              <a:extLst>
                <a:ext uri="{63B3BB69-23CF-44E3-9099-C40C66FF867C}">
                  <a14:compatExt spid="_x0000_s3257"/>
                </a:ext>
                <a:ext uri="{FF2B5EF4-FFF2-40B4-BE49-F238E27FC236}">
                  <a16:creationId xmlns:a16="http://schemas.microsoft.com/office/drawing/2014/main" id="{00000000-0008-0000-0100-0000B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27</xdr:row>
          <xdr:rowOff>0</xdr:rowOff>
        </xdr:from>
        <xdr:to>
          <xdr:col>7</xdr:col>
          <xdr:colOff>1009650</xdr:colOff>
          <xdr:row>27</xdr:row>
          <xdr:rowOff>209550</xdr:rowOff>
        </xdr:to>
        <xdr:sp macro="" textlink="">
          <xdr:nvSpPr>
            <xdr:cNvPr id="3258" name="Button 186" hidden="1">
              <a:extLst>
                <a:ext uri="{63B3BB69-23CF-44E3-9099-C40C66FF867C}">
                  <a14:compatExt spid="_x0000_s3258"/>
                </a:ext>
                <a:ext uri="{FF2B5EF4-FFF2-40B4-BE49-F238E27FC236}">
                  <a16:creationId xmlns:a16="http://schemas.microsoft.com/office/drawing/2014/main" id="{00000000-0008-0000-0100-0000B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28</xdr:row>
          <xdr:rowOff>0</xdr:rowOff>
        </xdr:from>
        <xdr:to>
          <xdr:col>7</xdr:col>
          <xdr:colOff>1009650</xdr:colOff>
          <xdr:row>28</xdr:row>
          <xdr:rowOff>209550</xdr:rowOff>
        </xdr:to>
        <xdr:sp macro="" textlink="">
          <xdr:nvSpPr>
            <xdr:cNvPr id="3259" name="Button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1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29</xdr:row>
          <xdr:rowOff>0</xdr:rowOff>
        </xdr:from>
        <xdr:to>
          <xdr:col>7</xdr:col>
          <xdr:colOff>1009650</xdr:colOff>
          <xdr:row>29</xdr:row>
          <xdr:rowOff>209550</xdr:rowOff>
        </xdr:to>
        <xdr:sp macro="" textlink="">
          <xdr:nvSpPr>
            <xdr:cNvPr id="3260" name="Button 188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00000000-0008-0000-0100-0000B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29</xdr:row>
          <xdr:rowOff>304800</xdr:rowOff>
        </xdr:from>
        <xdr:to>
          <xdr:col>7</xdr:col>
          <xdr:colOff>1009650</xdr:colOff>
          <xdr:row>30</xdr:row>
          <xdr:rowOff>209550</xdr:rowOff>
        </xdr:to>
        <xdr:sp macro="" textlink="">
          <xdr:nvSpPr>
            <xdr:cNvPr id="3261" name="Button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1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30</xdr:row>
          <xdr:rowOff>304800</xdr:rowOff>
        </xdr:from>
        <xdr:to>
          <xdr:col>7</xdr:col>
          <xdr:colOff>1009650</xdr:colOff>
          <xdr:row>31</xdr:row>
          <xdr:rowOff>209550</xdr:rowOff>
        </xdr:to>
        <xdr:sp macro="" textlink="">
          <xdr:nvSpPr>
            <xdr:cNvPr id="3262" name="Button 190" hidden="1">
              <a:extLst>
                <a:ext uri="{63B3BB69-23CF-44E3-9099-C40C66FF867C}">
                  <a14:compatExt spid="_x0000_s3262"/>
                </a:ext>
                <a:ext uri="{FF2B5EF4-FFF2-40B4-BE49-F238E27FC236}">
                  <a16:creationId xmlns:a16="http://schemas.microsoft.com/office/drawing/2014/main" id="{00000000-0008-0000-0100-0000B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31</xdr:row>
          <xdr:rowOff>304800</xdr:rowOff>
        </xdr:from>
        <xdr:to>
          <xdr:col>7</xdr:col>
          <xdr:colOff>1009650</xdr:colOff>
          <xdr:row>32</xdr:row>
          <xdr:rowOff>209550</xdr:rowOff>
        </xdr:to>
        <xdr:sp macro="" textlink="">
          <xdr:nvSpPr>
            <xdr:cNvPr id="3263" name="Button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1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32</xdr:row>
          <xdr:rowOff>304800</xdr:rowOff>
        </xdr:from>
        <xdr:to>
          <xdr:col>3</xdr:col>
          <xdr:colOff>1047750</xdr:colOff>
          <xdr:row>33</xdr:row>
          <xdr:rowOff>222250</xdr:rowOff>
        </xdr:to>
        <xdr:sp macro="" textlink="">
          <xdr:nvSpPr>
            <xdr:cNvPr id="3272" name="Button 200" hidden="1">
              <a:extLst>
                <a:ext uri="{63B3BB69-23CF-44E3-9099-C40C66FF867C}">
                  <a14:compatExt spid="_x0000_s3272"/>
                </a:ext>
                <a:ext uri="{FF2B5EF4-FFF2-40B4-BE49-F238E27FC236}">
                  <a16:creationId xmlns:a16="http://schemas.microsoft.com/office/drawing/2014/main" id="{00000000-0008-0000-0100-0000C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32</xdr:row>
          <xdr:rowOff>304800</xdr:rowOff>
        </xdr:from>
        <xdr:to>
          <xdr:col>2</xdr:col>
          <xdr:colOff>1047750</xdr:colOff>
          <xdr:row>33</xdr:row>
          <xdr:rowOff>222250</xdr:rowOff>
        </xdr:to>
        <xdr:sp macro="" textlink="">
          <xdr:nvSpPr>
            <xdr:cNvPr id="3273" name="Button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1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32</xdr:row>
          <xdr:rowOff>304800</xdr:rowOff>
        </xdr:from>
        <xdr:to>
          <xdr:col>4</xdr:col>
          <xdr:colOff>1047750</xdr:colOff>
          <xdr:row>33</xdr:row>
          <xdr:rowOff>222250</xdr:rowOff>
        </xdr:to>
        <xdr:sp macro="" textlink="">
          <xdr:nvSpPr>
            <xdr:cNvPr id="3274" name="Button 202" hidden="1">
              <a:extLst>
                <a:ext uri="{63B3BB69-23CF-44E3-9099-C40C66FF867C}">
                  <a14:compatExt spid="_x0000_s3274"/>
                </a:ext>
                <a:ext uri="{FF2B5EF4-FFF2-40B4-BE49-F238E27FC236}">
                  <a16:creationId xmlns:a16="http://schemas.microsoft.com/office/drawing/2014/main" id="{00000000-0008-0000-0100-0000C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32</xdr:row>
          <xdr:rowOff>304800</xdr:rowOff>
        </xdr:from>
        <xdr:to>
          <xdr:col>5</xdr:col>
          <xdr:colOff>1047750</xdr:colOff>
          <xdr:row>33</xdr:row>
          <xdr:rowOff>222250</xdr:rowOff>
        </xdr:to>
        <xdr:sp macro="" textlink="">
          <xdr:nvSpPr>
            <xdr:cNvPr id="3275" name="Button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1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32</xdr:row>
          <xdr:rowOff>304800</xdr:rowOff>
        </xdr:from>
        <xdr:to>
          <xdr:col>6</xdr:col>
          <xdr:colOff>1047750</xdr:colOff>
          <xdr:row>33</xdr:row>
          <xdr:rowOff>222250</xdr:rowOff>
        </xdr:to>
        <xdr:sp macro="" textlink="">
          <xdr:nvSpPr>
            <xdr:cNvPr id="3276" name="Button 204" hidden="1">
              <a:extLst>
                <a:ext uri="{63B3BB69-23CF-44E3-9099-C40C66FF867C}">
                  <a14:compatExt spid="_x0000_s3276"/>
                </a:ext>
                <a:ext uri="{FF2B5EF4-FFF2-40B4-BE49-F238E27FC236}">
                  <a16:creationId xmlns:a16="http://schemas.microsoft.com/office/drawing/2014/main" id="{00000000-0008-0000-0100-0000C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32</xdr:row>
          <xdr:rowOff>304800</xdr:rowOff>
        </xdr:from>
        <xdr:to>
          <xdr:col>7</xdr:col>
          <xdr:colOff>1047750</xdr:colOff>
          <xdr:row>33</xdr:row>
          <xdr:rowOff>222250</xdr:rowOff>
        </xdr:to>
        <xdr:sp macro="" textlink="">
          <xdr:nvSpPr>
            <xdr:cNvPr id="3277" name="Button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1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34</xdr:row>
          <xdr:rowOff>209550</xdr:rowOff>
        </xdr:from>
        <xdr:to>
          <xdr:col>4</xdr:col>
          <xdr:colOff>1047750</xdr:colOff>
          <xdr:row>36</xdr:row>
          <xdr:rowOff>171450</xdr:rowOff>
        </xdr:to>
        <xdr:sp macro="" textlink="">
          <xdr:nvSpPr>
            <xdr:cNvPr id="3278" name="Button 206" hidden="1">
              <a:extLst>
                <a:ext uri="{63B3BB69-23CF-44E3-9099-C40C66FF867C}">
                  <a14:compatExt spid="_x0000_s3278"/>
                </a:ext>
                <a:ext uri="{FF2B5EF4-FFF2-40B4-BE49-F238E27FC236}">
                  <a16:creationId xmlns:a16="http://schemas.microsoft.com/office/drawing/2014/main" id="{00000000-0008-0000-0100-0000C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34</xdr:row>
          <xdr:rowOff>209550</xdr:rowOff>
        </xdr:from>
        <xdr:to>
          <xdr:col>5</xdr:col>
          <xdr:colOff>1047750</xdr:colOff>
          <xdr:row>36</xdr:row>
          <xdr:rowOff>171450</xdr:rowOff>
        </xdr:to>
        <xdr:sp macro="" textlink="">
          <xdr:nvSpPr>
            <xdr:cNvPr id="3279" name="Button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1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209550</xdr:rowOff>
        </xdr:from>
        <xdr:to>
          <xdr:col>6</xdr:col>
          <xdr:colOff>1047750</xdr:colOff>
          <xdr:row>36</xdr:row>
          <xdr:rowOff>171450</xdr:rowOff>
        </xdr:to>
        <xdr:sp macro="" textlink="">
          <xdr:nvSpPr>
            <xdr:cNvPr id="3280" name="Button 208" hidden="1">
              <a:extLst>
                <a:ext uri="{63B3BB69-23CF-44E3-9099-C40C66FF867C}">
                  <a14:compatExt spid="_x0000_s3280"/>
                </a:ext>
                <a:ext uri="{FF2B5EF4-FFF2-40B4-BE49-F238E27FC236}">
                  <a16:creationId xmlns:a16="http://schemas.microsoft.com/office/drawing/2014/main" id="{00000000-0008-0000-0100-0000D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34</xdr:row>
          <xdr:rowOff>209550</xdr:rowOff>
        </xdr:from>
        <xdr:to>
          <xdr:col>7</xdr:col>
          <xdr:colOff>1047750</xdr:colOff>
          <xdr:row>36</xdr:row>
          <xdr:rowOff>171450</xdr:rowOff>
        </xdr:to>
        <xdr:sp macro="" textlink="">
          <xdr:nvSpPr>
            <xdr:cNvPr id="3281" name="Button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00000000-0008-0000-01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34</xdr:row>
          <xdr:rowOff>209550</xdr:rowOff>
        </xdr:from>
        <xdr:to>
          <xdr:col>9</xdr:col>
          <xdr:colOff>0</xdr:colOff>
          <xdr:row>36</xdr:row>
          <xdr:rowOff>171450</xdr:rowOff>
        </xdr:to>
        <xdr:sp macro="" textlink="">
          <xdr:nvSpPr>
            <xdr:cNvPr id="3282" name="Button 210" hidden="1">
              <a:extLst>
                <a:ext uri="{63B3BB69-23CF-44E3-9099-C40C66FF867C}">
                  <a14:compatExt spid="_x0000_s3282"/>
                </a:ext>
                <a:ext uri="{FF2B5EF4-FFF2-40B4-BE49-F238E27FC236}">
                  <a16:creationId xmlns:a16="http://schemas.microsoft.com/office/drawing/2014/main" id="{00000000-0008-0000-0100-0000D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34</xdr:row>
          <xdr:rowOff>209550</xdr:rowOff>
        </xdr:from>
        <xdr:to>
          <xdr:col>9</xdr:col>
          <xdr:colOff>1047750</xdr:colOff>
          <xdr:row>36</xdr:row>
          <xdr:rowOff>171450</xdr:rowOff>
        </xdr:to>
        <xdr:sp macro="" textlink="">
          <xdr:nvSpPr>
            <xdr:cNvPr id="3283" name="Button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1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34</xdr:row>
          <xdr:rowOff>209550</xdr:rowOff>
        </xdr:from>
        <xdr:to>
          <xdr:col>10</xdr:col>
          <xdr:colOff>1047750</xdr:colOff>
          <xdr:row>36</xdr:row>
          <xdr:rowOff>171450</xdr:rowOff>
        </xdr:to>
        <xdr:sp macro="" textlink="">
          <xdr:nvSpPr>
            <xdr:cNvPr id="3284" name="Button 212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00000000-0008-0000-0100-0000D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171450</xdr:colOff>
          <xdr:row>34</xdr:row>
          <xdr:rowOff>209550</xdr:rowOff>
        </xdr:from>
        <xdr:to>
          <xdr:col>11</xdr:col>
          <xdr:colOff>1047750</xdr:colOff>
          <xdr:row>36</xdr:row>
          <xdr:rowOff>171450</xdr:rowOff>
        </xdr:to>
        <xdr:sp macro="" textlink="">
          <xdr:nvSpPr>
            <xdr:cNvPr id="3285" name="Button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1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34</xdr:row>
          <xdr:rowOff>209550</xdr:rowOff>
        </xdr:from>
        <xdr:to>
          <xdr:col>12</xdr:col>
          <xdr:colOff>1047750</xdr:colOff>
          <xdr:row>36</xdr:row>
          <xdr:rowOff>171450</xdr:rowOff>
        </xdr:to>
        <xdr:sp macro="" textlink="">
          <xdr:nvSpPr>
            <xdr:cNvPr id="3286" name="Button 214" hidden="1">
              <a:extLst>
                <a:ext uri="{63B3BB69-23CF-44E3-9099-C40C66FF867C}">
                  <a14:compatExt spid="_x0000_s3286"/>
                </a:ext>
                <a:ext uri="{FF2B5EF4-FFF2-40B4-BE49-F238E27FC236}">
                  <a16:creationId xmlns:a16="http://schemas.microsoft.com/office/drawing/2014/main" id="{00000000-0008-0000-0100-0000D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18</xdr:row>
          <xdr:rowOff>19050</xdr:rowOff>
        </xdr:from>
        <xdr:to>
          <xdr:col>8</xdr:col>
          <xdr:colOff>1009650</xdr:colOff>
          <xdr:row>18</xdr:row>
          <xdr:rowOff>222250</xdr:rowOff>
        </xdr:to>
        <xdr:sp macro="" textlink="">
          <xdr:nvSpPr>
            <xdr:cNvPr id="3287" name="Button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1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19</xdr:row>
          <xdr:rowOff>19050</xdr:rowOff>
        </xdr:from>
        <xdr:to>
          <xdr:col>8</xdr:col>
          <xdr:colOff>1009650</xdr:colOff>
          <xdr:row>19</xdr:row>
          <xdr:rowOff>222250</xdr:rowOff>
        </xdr:to>
        <xdr:sp macro="" textlink="">
          <xdr:nvSpPr>
            <xdr:cNvPr id="3288" name="Button 216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00000000-0008-0000-0100-0000D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20</xdr:row>
          <xdr:rowOff>19050</xdr:rowOff>
        </xdr:from>
        <xdr:to>
          <xdr:col>8</xdr:col>
          <xdr:colOff>1009650</xdr:colOff>
          <xdr:row>20</xdr:row>
          <xdr:rowOff>209550</xdr:rowOff>
        </xdr:to>
        <xdr:sp macro="" textlink="">
          <xdr:nvSpPr>
            <xdr:cNvPr id="3289" name="Button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1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21</xdr:row>
          <xdr:rowOff>19050</xdr:rowOff>
        </xdr:from>
        <xdr:to>
          <xdr:col>8</xdr:col>
          <xdr:colOff>1009650</xdr:colOff>
          <xdr:row>21</xdr:row>
          <xdr:rowOff>209550</xdr:rowOff>
        </xdr:to>
        <xdr:sp macro="" textlink="">
          <xdr:nvSpPr>
            <xdr:cNvPr id="3290" name="Button 218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00000000-0008-0000-0100-0000D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22</xdr:row>
          <xdr:rowOff>19050</xdr:rowOff>
        </xdr:from>
        <xdr:to>
          <xdr:col>8</xdr:col>
          <xdr:colOff>1009650</xdr:colOff>
          <xdr:row>22</xdr:row>
          <xdr:rowOff>209550</xdr:rowOff>
        </xdr:to>
        <xdr:sp macro="" textlink="">
          <xdr:nvSpPr>
            <xdr:cNvPr id="3291" name="Button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1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23</xdr:row>
          <xdr:rowOff>19050</xdr:rowOff>
        </xdr:from>
        <xdr:to>
          <xdr:col>8</xdr:col>
          <xdr:colOff>1009650</xdr:colOff>
          <xdr:row>23</xdr:row>
          <xdr:rowOff>228600</xdr:rowOff>
        </xdr:to>
        <xdr:sp macro="" textlink="">
          <xdr:nvSpPr>
            <xdr:cNvPr id="3292" name="Button 220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00000000-0008-0000-0100-0000D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24</xdr:row>
          <xdr:rowOff>19050</xdr:rowOff>
        </xdr:from>
        <xdr:to>
          <xdr:col>8</xdr:col>
          <xdr:colOff>1009650</xdr:colOff>
          <xdr:row>24</xdr:row>
          <xdr:rowOff>228600</xdr:rowOff>
        </xdr:to>
        <xdr:sp macro="" textlink="">
          <xdr:nvSpPr>
            <xdr:cNvPr id="3293" name="Button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1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25</xdr:row>
          <xdr:rowOff>19050</xdr:rowOff>
        </xdr:from>
        <xdr:to>
          <xdr:col>8</xdr:col>
          <xdr:colOff>1009650</xdr:colOff>
          <xdr:row>25</xdr:row>
          <xdr:rowOff>228600</xdr:rowOff>
        </xdr:to>
        <xdr:sp macro="" textlink="">
          <xdr:nvSpPr>
            <xdr:cNvPr id="3294" name="Button 222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00000000-0008-0000-0100-0000D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26</xdr:row>
          <xdr:rowOff>19050</xdr:rowOff>
        </xdr:from>
        <xdr:to>
          <xdr:col>8</xdr:col>
          <xdr:colOff>1009650</xdr:colOff>
          <xdr:row>26</xdr:row>
          <xdr:rowOff>228600</xdr:rowOff>
        </xdr:to>
        <xdr:sp macro="" textlink="">
          <xdr:nvSpPr>
            <xdr:cNvPr id="3295" name="Button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1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27</xdr:row>
          <xdr:rowOff>0</xdr:rowOff>
        </xdr:from>
        <xdr:to>
          <xdr:col>8</xdr:col>
          <xdr:colOff>1009650</xdr:colOff>
          <xdr:row>27</xdr:row>
          <xdr:rowOff>222250</xdr:rowOff>
        </xdr:to>
        <xdr:sp macro="" textlink="">
          <xdr:nvSpPr>
            <xdr:cNvPr id="3296" name="Button 224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00000000-0008-0000-0100-0000E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28</xdr:row>
          <xdr:rowOff>0</xdr:rowOff>
        </xdr:from>
        <xdr:to>
          <xdr:col>8</xdr:col>
          <xdr:colOff>1009650</xdr:colOff>
          <xdr:row>28</xdr:row>
          <xdr:rowOff>209550</xdr:rowOff>
        </xdr:to>
        <xdr:sp macro="" textlink="">
          <xdr:nvSpPr>
            <xdr:cNvPr id="3297" name="Button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1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29</xdr:row>
          <xdr:rowOff>0</xdr:rowOff>
        </xdr:from>
        <xdr:to>
          <xdr:col>8</xdr:col>
          <xdr:colOff>1009650</xdr:colOff>
          <xdr:row>29</xdr:row>
          <xdr:rowOff>209550</xdr:rowOff>
        </xdr:to>
        <xdr:sp macro="" textlink="">
          <xdr:nvSpPr>
            <xdr:cNvPr id="3298" name="Button 226" hidden="1">
              <a:extLst>
                <a:ext uri="{63B3BB69-23CF-44E3-9099-C40C66FF867C}">
                  <a14:compatExt spid="_x0000_s3298"/>
                </a:ext>
                <a:ext uri="{FF2B5EF4-FFF2-40B4-BE49-F238E27FC236}">
                  <a16:creationId xmlns:a16="http://schemas.microsoft.com/office/drawing/2014/main" id="{00000000-0008-0000-0100-0000E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29</xdr:row>
          <xdr:rowOff>304800</xdr:rowOff>
        </xdr:from>
        <xdr:to>
          <xdr:col>8</xdr:col>
          <xdr:colOff>1009650</xdr:colOff>
          <xdr:row>30</xdr:row>
          <xdr:rowOff>209550</xdr:rowOff>
        </xdr:to>
        <xdr:sp macro="" textlink="">
          <xdr:nvSpPr>
            <xdr:cNvPr id="3299" name="Button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1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30</xdr:row>
          <xdr:rowOff>304800</xdr:rowOff>
        </xdr:from>
        <xdr:to>
          <xdr:col>8</xdr:col>
          <xdr:colOff>1009650</xdr:colOff>
          <xdr:row>31</xdr:row>
          <xdr:rowOff>209550</xdr:rowOff>
        </xdr:to>
        <xdr:sp macro="" textlink="">
          <xdr:nvSpPr>
            <xdr:cNvPr id="3300" name="Button 228" hidden="1">
              <a:extLst>
                <a:ext uri="{63B3BB69-23CF-44E3-9099-C40C66FF867C}">
                  <a14:compatExt spid="_x0000_s3300"/>
                </a:ext>
                <a:ext uri="{FF2B5EF4-FFF2-40B4-BE49-F238E27FC236}">
                  <a16:creationId xmlns:a16="http://schemas.microsoft.com/office/drawing/2014/main" id="{00000000-0008-0000-0100-0000E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31</xdr:row>
          <xdr:rowOff>304800</xdr:rowOff>
        </xdr:from>
        <xdr:to>
          <xdr:col>8</xdr:col>
          <xdr:colOff>1009650</xdr:colOff>
          <xdr:row>32</xdr:row>
          <xdr:rowOff>209550</xdr:rowOff>
        </xdr:to>
        <xdr:sp macro="" textlink="">
          <xdr:nvSpPr>
            <xdr:cNvPr id="3301" name="Button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1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32</xdr:row>
          <xdr:rowOff>304800</xdr:rowOff>
        </xdr:from>
        <xdr:to>
          <xdr:col>8</xdr:col>
          <xdr:colOff>1047750</xdr:colOff>
          <xdr:row>33</xdr:row>
          <xdr:rowOff>222250</xdr:rowOff>
        </xdr:to>
        <xdr:sp macro="" textlink="">
          <xdr:nvSpPr>
            <xdr:cNvPr id="3302" name="Button 230" hidden="1">
              <a:extLst>
                <a:ext uri="{63B3BB69-23CF-44E3-9099-C40C66FF867C}">
                  <a14:compatExt spid="_x0000_s3302"/>
                </a:ext>
                <a:ext uri="{FF2B5EF4-FFF2-40B4-BE49-F238E27FC236}">
                  <a16:creationId xmlns:a16="http://schemas.microsoft.com/office/drawing/2014/main" id="{00000000-0008-0000-0100-0000E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18</xdr:row>
          <xdr:rowOff>19050</xdr:rowOff>
        </xdr:from>
        <xdr:to>
          <xdr:col>9</xdr:col>
          <xdr:colOff>1009650</xdr:colOff>
          <xdr:row>18</xdr:row>
          <xdr:rowOff>222250</xdr:rowOff>
        </xdr:to>
        <xdr:sp macro="" textlink="">
          <xdr:nvSpPr>
            <xdr:cNvPr id="3303" name="Button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1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19</xdr:row>
          <xdr:rowOff>19050</xdr:rowOff>
        </xdr:from>
        <xdr:to>
          <xdr:col>9</xdr:col>
          <xdr:colOff>1009650</xdr:colOff>
          <xdr:row>19</xdr:row>
          <xdr:rowOff>222250</xdr:rowOff>
        </xdr:to>
        <xdr:sp macro="" textlink="">
          <xdr:nvSpPr>
            <xdr:cNvPr id="3304" name="Button 232" hidden="1">
              <a:extLst>
                <a:ext uri="{63B3BB69-23CF-44E3-9099-C40C66FF867C}">
                  <a14:compatExt spid="_x0000_s3304"/>
                </a:ext>
                <a:ext uri="{FF2B5EF4-FFF2-40B4-BE49-F238E27FC236}">
                  <a16:creationId xmlns:a16="http://schemas.microsoft.com/office/drawing/2014/main" id="{00000000-0008-0000-0100-0000E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20</xdr:row>
          <xdr:rowOff>19050</xdr:rowOff>
        </xdr:from>
        <xdr:to>
          <xdr:col>9</xdr:col>
          <xdr:colOff>1009650</xdr:colOff>
          <xdr:row>20</xdr:row>
          <xdr:rowOff>209550</xdr:rowOff>
        </xdr:to>
        <xdr:sp macro="" textlink="">
          <xdr:nvSpPr>
            <xdr:cNvPr id="3305" name="Button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1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21</xdr:row>
          <xdr:rowOff>19050</xdr:rowOff>
        </xdr:from>
        <xdr:to>
          <xdr:col>9</xdr:col>
          <xdr:colOff>1009650</xdr:colOff>
          <xdr:row>21</xdr:row>
          <xdr:rowOff>209550</xdr:rowOff>
        </xdr:to>
        <xdr:sp macro="" textlink="">
          <xdr:nvSpPr>
            <xdr:cNvPr id="3306" name="Button 234" hidden="1">
              <a:extLst>
                <a:ext uri="{63B3BB69-23CF-44E3-9099-C40C66FF867C}">
                  <a14:compatExt spid="_x0000_s3306"/>
                </a:ext>
                <a:ext uri="{FF2B5EF4-FFF2-40B4-BE49-F238E27FC236}">
                  <a16:creationId xmlns:a16="http://schemas.microsoft.com/office/drawing/2014/main" id="{00000000-0008-0000-0100-0000E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22</xdr:row>
          <xdr:rowOff>19050</xdr:rowOff>
        </xdr:from>
        <xdr:to>
          <xdr:col>9</xdr:col>
          <xdr:colOff>1009650</xdr:colOff>
          <xdr:row>22</xdr:row>
          <xdr:rowOff>209550</xdr:rowOff>
        </xdr:to>
        <xdr:sp macro="" textlink="">
          <xdr:nvSpPr>
            <xdr:cNvPr id="3307" name="Button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1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23</xdr:row>
          <xdr:rowOff>19050</xdr:rowOff>
        </xdr:from>
        <xdr:to>
          <xdr:col>9</xdr:col>
          <xdr:colOff>1009650</xdr:colOff>
          <xdr:row>23</xdr:row>
          <xdr:rowOff>228600</xdr:rowOff>
        </xdr:to>
        <xdr:sp macro="" textlink="">
          <xdr:nvSpPr>
            <xdr:cNvPr id="3308" name="Button 236" hidden="1">
              <a:extLst>
                <a:ext uri="{63B3BB69-23CF-44E3-9099-C40C66FF867C}">
                  <a14:compatExt spid="_x0000_s3308"/>
                </a:ext>
                <a:ext uri="{FF2B5EF4-FFF2-40B4-BE49-F238E27FC236}">
                  <a16:creationId xmlns:a16="http://schemas.microsoft.com/office/drawing/2014/main" id="{00000000-0008-0000-0100-0000E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24</xdr:row>
          <xdr:rowOff>19050</xdr:rowOff>
        </xdr:from>
        <xdr:to>
          <xdr:col>9</xdr:col>
          <xdr:colOff>1009650</xdr:colOff>
          <xdr:row>24</xdr:row>
          <xdr:rowOff>228600</xdr:rowOff>
        </xdr:to>
        <xdr:sp macro="" textlink="">
          <xdr:nvSpPr>
            <xdr:cNvPr id="3309" name="Button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1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25</xdr:row>
          <xdr:rowOff>19050</xdr:rowOff>
        </xdr:from>
        <xdr:to>
          <xdr:col>9</xdr:col>
          <xdr:colOff>1009650</xdr:colOff>
          <xdr:row>25</xdr:row>
          <xdr:rowOff>228600</xdr:rowOff>
        </xdr:to>
        <xdr:sp macro="" textlink="">
          <xdr:nvSpPr>
            <xdr:cNvPr id="3310" name="Button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1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26</xdr:row>
          <xdr:rowOff>19050</xdr:rowOff>
        </xdr:from>
        <xdr:to>
          <xdr:col>9</xdr:col>
          <xdr:colOff>1009650</xdr:colOff>
          <xdr:row>26</xdr:row>
          <xdr:rowOff>228600</xdr:rowOff>
        </xdr:to>
        <xdr:sp macro="" textlink="">
          <xdr:nvSpPr>
            <xdr:cNvPr id="3311" name="Button 239" hidden="1">
              <a:extLst>
                <a:ext uri="{63B3BB69-23CF-44E3-9099-C40C66FF867C}">
                  <a14:compatExt spid="_x0000_s3311"/>
                </a:ext>
                <a:ext uri="{FF2B5EF4-FFF2-40B4-BE49-F238E27FC236}">
                  <a16:creationId xmlns:a16="http://schemas.microsoft.com/office/drawing/2014/main" id="{00000000-0008-0000-0100-0000E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27</xdr:row>
          <xdr:rowOff>0</xdr:rowOff>
        </xdr:from>
        <xdr:to>
          <xdr:col>9</xdr:col>
          <xdr:colOff>1009650</xdr:colOff>
          <xdr:row>27</xdr:row>
          <xdr:rowOff>222250</xdr:rowOff>
        </xdr:to>
        <xdr:sp macro="" textlink="">
          <xdr:nvSpPr>
            <xdr:cNvPr id="3312" name="Button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1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28</xdr:row>
          <xdr:rowOff>0</xdr:rowOff>
        </xdr:from>
        <xdr:to>
          <xdr:col>9</xdr:col>
          <xdr:colOff>1009650</xdr:colOff>
          <xdr:row>28</xdr:row>
          <xdr:rowOff>209550</xdr:rowOff>
        </xdr:to>
        <xdr:sp macro="" textlink="">
          <xdr:nvSpPr>
            <xdr:cNvPr id="3313" name="Button 241" hidden="1">
              <a:extLst>
                <a:ext uri="{63B3BB69-23CF-44E3-9099-C40C66FF867C}">
                  <a14:compatExt spid="_x0000_s3313"/>
                </a:ext>
                <a:ext uri="{FF2B5EF4-FFF2-40B4-BE49-F238E27FC236}">
                  <a16:creationId xmlns:a16="http://schemas.microsoft.com/office/drawing/2014/main" id="{00000000-0008-0000-0100-0000F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29</xdr:row>
          <xdr:rowOff>0</xdr:rowOff>
        </xdr:from>
        <xdr:to>
          <xdr:col>9</xdr:col>
          <xdr:colOff>1009650</xdr:colOff>
          <xdr:row>29</xdr:row>
          <xdr:rowOff>209550</xdr:rowOff>
        </xdr:to>
        <xdr:sp macro="" textlink="">
          <xdr:nvSpPr>
            <xdr:cNvPr id="3314" name="Button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1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29</xdr:row>
          <xdr:rowOff>304800</xdr:rowOff>
        </xdr:from>
        <xdr:to>
          <xdr:col>9</xdr:col>
          <xdr:colOff>1009650</xdr:colOff>
          <xdr:row>30</xdr:row>
          <xdr:rowOff>209550</xdr:rowOff>
        </xdr:to>
        <xdr:sp macro="" textlink="">
          <xdr:nvSpPr>
            <xdr:cNvPr id="3315" name="Button 243" hidden="1">
              <a:extLst>
                <a:ext uri="{63B3BB69-23CF-44E3-9099-C40C66FF867C}">
                  <a14:compatExt spid="_x0000_s3315"/>
                </a:ext>
                <a:ext uri="{FF2B5EF4-FFF2-40B4-BE49-F238E27FC236}">
                  <a16:creationId xmlns:a16="http://schemas.microsoft.com/office/drawing/2014/main" id="{00000000-0008-0000-0100-0000F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30</xdr:row>
          <xdr:rowOff>304800</xdr:rowOff>
        </xdr:from>
        <xdr:to>
          <xdr:col>9</xdr:col>
          <xdr:colOff>1009650</xdr:colOff>
          <xdr:row>31</xdr:row>
          <xdr:rowOff>209550</xdr:rowOff>
        </xdr:to>
        <xdr:sp macro="" textlink="">
          <xdr:nvSpPr>
            <xdr:cNvPr id="3316" name="Button 244" hidden="1">
              <a:extLst>
                <a:ext uri="{63B3BB69-23CF-44E3-9099-C40C66FF867C}">
                  <a14:compatExt spid="_x0000_s3316"/>
                </a:ext>
                <a:ext uri="{FF2B5EF4-FFF2-40B4-BE49-F238E27FC236}">
                  <a16:creationId xmlns:a16="http://schemas.microsoft.com/office/drawing/2014/main" id="{00000000-0008-0000-0100-0000F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31</xdr:row>
          <xdr:rowOff>304800</xdr:rowOff>
        </xdr:from>
        <xdr:to>
          <xdr:col>9</xdr:col>
          <xdr:colOff>1009650</xdr:colOff>
          <xdr:row>32</xdr:row>
          <xdr:rowOff>209550</xdr:rowOff>
        </xdr:to>
        <xdr:sp macro="" textlink="">
          <xdr:nvSpPr>
            <xdr:cNvPr id="3317" name="Button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1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32</xdr:row>
          <xdr:rowOff>304800</xdr:rowOff>
        </xdr:from>
        <xdr:to>
          <xdr:col>9</xdr:col>
          <xdr:colOff>1047750</xdr:colOff>
          <xdr:row>33</xdr:row>
          <xdr:rowOff>222250</xdr:rowOff>
        </xdr:to>
        <xdr:sp macro="" textlink="">
          <xdr:nvSpPr>
            <xdr:cNvPr id="3318" name="Button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1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18</xdr:row>
          <xdr:rowOff>19050</xdr:rowOff>
        </xdr:from>
        <xdr:to>
          <xdr:col>10</xdr:col>
          <xdr:colOff>1009650</xdr:colOff>
          <xdr:row>18</xdr:row>
          <xdr:rowOff>222250</xdr:rowOff>
        </xdr:to>
        <xdr:sp macro="" textlink="">
          <xdr:nvSpPr>
            <xdr:cNvPr id="3319" name="Button 247" hidden="1">
              <a:extLst>
                <a:ext uri="{63B3BB69-23CF-44E3-9099-C40C66FF867C}">
                  <a14:compatExt spid="_x0000_s3319"/>
                </a:ext>
                <a:ext uri="{FF2B5EF4-FFF2-40B4-BE49-F238E27FC236}">
                  <a16:creationId xmlns:a16="http://schemas.microsoft.com/office/drawing/2014/main" id="{00000000-0008-0000-0100-0000F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19</xdr:row>
          <xdr:rowOff>19050</xdr:rowOff>
        </xdr:from>
        <xdr:to>
          <xdr:col>10</xdr:col>
          <xdr:colOff>1009650</xdr:colOff>
          <xdr:row>19</xdr:row>
          <xdr:rowOff>222250</xdr:rowOff>
        </xdr:to>
        <xdr:sp macro="" textlink="">
          <xdr:nvSpPr>
            <xdr:cNvPr id="3320" name="Button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1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20</xdr:row>
          <xdr:rowOff>19050</xdr:rowOff>
        </xdr:from>
        <xdr:to>
          <xdr:col>10</xdr:col>
          <xdr:colOff>1009650</xdr:colOff>
          <xdr:row>20</xdr:row>
          <xdr:rowOff>209550</xdr:rowOff>
        </xdr:to>
        <xdr:sp macro="" textlink="">
          <xdr:nvSpPr>
            <xdr:cNvPr id="3321" name="Button 249" hidden="1">
              <a:extLst>
                <a:ext uri="{63B3BB69-23CF-44E3-9099-C40C66FF867C}">
                  <a14:compatExt spid="_x0000_s3321"/>
                </a:ext>
                <a:ext uri="{FF2B5EF4-FFF2-40B4-BE49-F238E27FC236}">
                  <a16:creationId xmlns:a16="http://schemas.microsoft.com/office/drawing/2014/main" id="{00000000-0008-0000-0100-0000F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21</xdr:row>
          <xdr:rowOff>19050</xdr:rowOff>
        </xdr:from>
        <xdr:to>
          <xdr:col>10</xdr:col>
          <xdr:colOff>1009650</xdr:colOff>
          <xdr:row>21</xdr:row>
          <xdr:rowOff>209550</xdr:rowOff>
        </xdr:to>
        <xdr:sp macro="" textlink="">
          <xdr:nvSpPr>
            <xdr:cNvPr id="3322" name="Button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1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22</xdr:row>
          <xdr:rowOff>19050</xdr:rowOff>
        </xdr:from>
        <xdr:to>
          <xdr:col>10</xdr:col>
          <xdr:colOff>1009650</xdr:colOff>
          <xdr:row>22</xdr:row>
          <xdr:rowOff>209550</xdr:rowOff>
        </xdr:to>
        <xdr:sp macro="" textlink="">
          <xdr:nvSpPr>
            <xdr:cNvPr id="3323" name="Button 251" hidden="1">
              <a:extLst>
                <a:ext uri="{63B3BB69-23CF-44E3-9099-C40C66FF867C}">
                  <a14:compatExt spid="_x0000_s3323"/>
                </a:ext>
                <a:ext uri="{FF2B5EF4-FFF2-40B4-BE49-F238E27FC236}">
                  <a16:creationId xmlns:a16="http://schemas.microsoft.com/office/drawing/2014/main" id="{00000000-0008-0000-0100-0000F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23</xdr:row>
          <xdr:rowOff>19050</xdr:rowOff>
        </xdr:from>
        <xdr:to>
          <xdr:col>10</xdr:col>
          <xdr:colOff>1009650</xdr:colOff>
          <xdr:row>23</xdr:row>
          <xdr:rowOff>228600</xdr:rowOff>
        </xdr:to>
        <xdr:sp macro="" textlink="">
          <xdr:nvSpPr>
            <xdr:cNvPr id="3324" name="Button 252" hidden="1">
              <a:extLst>
                <a:ext uri="{63B3BB69-23CF-44E3-9099-C40C66FF867C}">
                  <a14:compatExt spid="_x0000_s3324"/>
                </a:ext>
                <a:ext uri="{FF2B5EF4-FFF2-40B4-BE49-F238E27FC236}">
                  <a16:creationId xmlns:a16="http://schemas.microsoft.com/office/drawing/2014/main" id="{00000000-0008-0000-0100-0000F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24</xdr:row>
          <xdr:rowOff>19050</xdr:rowOff>
        </xdr:from>
        <xdr:to>
          <xdr:col>10</xdr:col>
          <xdr:colOff>1009650</xdr:colOff>
          <xdr:row>24</xdr:row>
          <xdr:rowOff>228600</xdr:rowOff>
        </xdr:to>
        <xdr:sp macro="" textlink="">
          <xdr:nvSpPr>
            <xdr:cNvPr id="3325" name="Button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1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25</xdr:row>
          <xdr:rowOff>19050</xdr:rowOff>
        </xdr:from>
        <xdr:to>
          <xdr:col>10</xdr:col>
          <xdr:colOff>1009650</xdr:colOff>
          <xdr:row>25</xdr:row>
          <xdr:rowOff>228600</xdr:rowOff>
        </xdr:to>
        <xdr:sp macro="" textlink="">
          <xdr:nvSpPr>
            <xdr:cNvPr id="3326" name="Button 254" hidden="1">
              <a:extLst>
                <a:ext uri="{63B3BB69-23CF-44E3-9099-C40C66FF867C}">
                  <a14:compatExt spid="_x0000_s3326"/>
                </a:ext>
                <a:ext uri="{FF2B5EF4-FFF2-40B4-BE49-F238E27FC236}">
                  <a16:creationId xmlns:a16="http://schemas.microsoft.com/office/drawing/2014/main" id="{00000000-0008-0000-0100-0000F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26</xdr:row>
          <xdr:rowOff>19050</xdr:rowOff>
        </xdr:from>
        <xdr:to>
          <xdr:col>10</xdr:col>
          <xdr:colOff>1009650</xdr:colOff>
          <xdr:row>26</xdr:row>
          <xdr:rowOff>228600</xdr:rowOff>
        </xdr:to>
        <xdr:sp macro="" textlink="">
          <xdr:nvSpPr>
            <xdr:cNvPr id="3327" name="Button 255" hidden="1">
              <a:extLst>
                <a:ext uri="{63B3BB69-23CF-44E3-9099-C40C66FF867C}">
                  <a14:compatExt spid="_x0000_s3327"/>
                </a:ext>
                <a:ext uri="{FF2B5EF4-FFF2-40B4-BE49-F238E27FC236}">
                  <a16:creationId xmlns:a16="http://schemas.microsoft.com/office/drawing/2014/main" id="{00000000-0008-0000-0100-0000F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27</xdr:row>
          <xdr:rowOff>0</xdr:rowOff>
        </xdr:from>
        <xdr:to>
          <xdr:col>10</xdr:col>
          <xdr:colOff>1009650</xdr:colOff>
          <xdr:row>27</xdr:row>
          <xdr:rowOff>222250</xdr:rowOff>
        </xdr:to>
        <xdr:sp macro="" textlink="">
          <xdr:nvSpPr>
            <xdr:cNvPr id="3328" name="Button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1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28</xdr:row>
          <xdr:rowOff>0</xdr:rowOff>
        </xdr:from>
        <xdr:to>
          <xdr:col>10</xdr:col>
          <xdr:colOff>1009650</xdr:colOff>
          <xdr:row>28</xdr:row>
          <xdr:rowOff>209550</xdr:rowOff>
        </xdr:to>
        <xdr:sp macro="" textlink="">
          <xdr:nvSpPr>
            <xdr:cNvPr id="3329" name="Button 257" hidden="1">
              <a:extLst>
                <a:ext uri="{63B3BB69-23CF-44E3-9099-C40C66FF867C}">
                  <a14:compatExt spid="_x0000_s3329"/>
                </a:ext>
                <a:ext uri="{FF2B5EF4-FFF2-40B4-BE49-F238E27FC236}">
                  <a16:creationId xmlns:a16="http://schemas.microsoft.com/office/drawing/2014/main" id="{00000000-0008-0000-0100-00000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29</xdr:row>
          <xdr:rowOff>0</xdr:rowOff>
        </xdr:from>
        <xdr:to>
          <xdr:col>10</xdr:col>
          <xdr:colOff>1009650</xdr:colOff>
          <xdr:row>29</xdr:row>
          <xdr:rowOff>209550</xdr:rowOff>
        </xdr:to>
        <xdr:sp macro="" textlink="">
          <xdr:nvSpPr>
            <xdr:cNvPr id="3330" name="Button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1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29</xdr:row>
          <xdr:rowOff>304800</xdr:rowOff>
        </xdr:from>
        <xdr:to>
          <xdr:col>10</xdr:col>
          <xdr:colOff>1009650</xdr:colOff>
          <xdr:row>30</xdr:row>
          <xdr:rowOff>209550</xdr:rowOff>
        </xdr:to>
        <xdr:sp macro="" textlink="">
          <xdr:nvSpPr>
            <xdr:cNvPr id="3331" name="Button 259" hidden="1">
              <a:extLst>
                <a:ext uri="{63B3BB69-23CF-44E3-9099-C40C66FF867C}">
                  <a14:compatExt spid="_x0000_s3331"/>
                </a:ext>
                <a:ext uri="{FF2B5EF4-FFF2-40B4-BE49-F238E27FC236}">
                  <a16:creationId xmlns:a16="http://schemas.microsoft.com/office/drawing/2014/main" id="{00000000-0008-0000-0100-00000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30</xdr:row>
          <xdr:rowOff>304800</xdr:rowOff>
        </xdr:from>
        <xdr:to>
          <xdr:col>10</xdr:col>
          <xdr:colOff>1009650</xdr:colOff>
          <xdr:row>31</xdr:row>
          <xdr:rowOff>209550</xdr:rowOff>
        </xdr:to>
        <xdr:sp macro="" textlink="">
          <xdr:nvSpPr>
            <xdr:cNvPr id="3332" name="Button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1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31</xdr:row>
          <xdr:rowOff>304800</xdr:rowOff>
        </xdr:from>
        <xdr:to>
          <xdr:col>10</xdr:col>
          <xdr:colOff>1009650</xdr:colOff>
          <xdr:row>32</xdr:row>
          <xdr:rowOff>209550</xdr:rowOff>
        </xdr:to>
        <xdr:sp macro="" textlink="">
          <xdr:nvSpPr>
            <xdr:cNvPr id="3333" name="Button 261" hidden="1">
              <a:extLst>
                <a:ext uri="{63B3BB69-23CF-44E3-9099-C40C66FF867C}">
                  <a14:compatExt spid="_x0000_s3333"/>
                </a:ext>
                <a:ext uri="{FF2B5EF4-FFF2-40B4-BE49-F238E27FC236}">
                  <a16:creationId xmlns:a16="http://schemas.microsoft.com/office/drawing/2014/main" id="{00000000-0008-0000-0100-00000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32</xdr:row>
          <xdr:rowOff>304800</xdr:rowOff>
        </xdr:from>
        <xdr:to>
          <xdr:col>10</xdr:col>
          <xdr:colOff>1028700</xdr:colOff>
          <xdr:row>33</xdr:row>
          <xdr:rowOff>222250</xdr:rowOff>
        </xdr:to>
        <xdr:sp macro="" textlink="">
          <xdr:nvSpPr>
            <xdr:cNvPr id="3334" name="Button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1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18</xdr:row>
          <xdr:rowOff>19050</xdr:rowOff>
        </xdr:from>
        <xdr:to>
          <xdr:col>11</xdr:col>
          <xdr:colOff>1022350</xdr:colOff>
          <xdr:row>18</xdr:row>
          <xdr:rowOff>222250</xdr:rowOff>
        </xdr:to>
        <xdr:sp macro="" textlink="">
          <xdr:nvSpPr>
            <xdr:cNvPr id="3335" name="Button 263" hidden="1">
              <a:extLst>
                <a:ext uri="{63B3BB69-23CF-44E3-9099-C40C66FF867C}">
                  <a14:compatExt spid="_x0000_s3335"/>
                </a:ext>
                <a:ext uri="{FF2B5EF4-FFF2-40B4-BE49-F238E27FC236}">
                  <a16:creationId xmlns:a16="http://schemas.microsoft.com/office/drawing/2014/main" id="{00000000-0008-0000-0100-00000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19</xdr:row>
          <xdr:rowOff>19050</xdr:rowOff>
        </xdr:from>
        <xdr:to>
          <xdr:col>11</xdr:col>
          <xdr:colOff>1022350</xdr:colOff>
          <xdr:row>19</xdr:row>
          <xdr:rowOff>222250</xdr:rowOff>
        </xdr:to>
        <xdr:sp macro="" textlink="">
          <xdr:nvSpPr>
            <xdr:cNvPr id="3336" name="Button 264" hidden="1">
              <a:extLst>
                <a:ext uri="{63B3BB69-23CF-44E3-9099-C40C66FF867C}">
                  <a14:compatExt spid="_x0000_s3336"/>
                </a:ext>
                <a:ext uri="{FF2B5EF4-FFF2-40B4-BE49-F238E27FC236}">
                  <a16:creationId xmlns:a16="http://schemas.microsoft.com/office/drawing/2014/main" id="{00000000-0008-0000-0100-00000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20</xdr:row>
          <xdr:rowOff>19050</xdr:rowOff>
        </xdr:from>
        <xdr:to>
          <xdr:col>11</xdr:col>
          <xdr:colOff>1022350</xdr:colOff>
          <xdr:row>20</xdr:row>
          <xdr:rowOff>209550</xdr:rowOff>
        </xdr:to>
        <xdr:sp macro="" textlink="">
          <xdr:nvSpPr>
            <xdr:cNvPr id="3337" name="Button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1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21</xdr:row>
          <xdr:rowOff>19050</xdr:rowOff>
        </xdr:from>
        <xdr:to>
          <xdr:col>11</xdr:col>
          <xdr:colOff>1022350</xdr:colOff>
          <xdr:row>21</xdr:row>
          <xdr:rowOff>209550</xdr:rowOff>
        </xdr:to>
        <xdr:sp macro="" textlink="">
          <xdr:nvSpPr>
            <xdr:cNvPr id="3338" name="Button 266" hidden="1">
              <a:extLst>
                <a:ext uri="{63B3BB69-23CF-44E3-9099-C40C66FF867C}">
                  <a14:compatExt spid="_x0000_s3338"/>
                </a:ext>
                <a:ext uri="{FF2B5EF4-FFF2-40B4-BE49-F238E27FC236}">
                  <a16:creationId xmlns:a16="http://schemas.microsoft.com/office/drawing/2014/main" id="{00000000-0008-0000-0100-00000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22</xdr:row>
          <xdr:rowOff>19050</xdr:rowOff>
        </xdr:from>
        <xdr:to>
          <xdr:col>11</xdr:col>
          <xdr:colOff>1022350</xdr:colOff>
          <xdr:row>22</xdr:row>
          <xdr:rowOff>209550</xdr:rowOff>
        </xdr:to>
        <xdr:sp macro="" textlink="">
          <xdr:nvSpPr>
            <xdr:cNvPr id="3339" name="Button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1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23</xdr:row>
          <xdr:rowOff>19050</xdr:rowOff>
        </xdr:from>
        <xdr:to>
          <xdr:col>11</xdr:col>
          <xdr:colOff>1022350</xdr:colOff>
          <xdr:row>23</xdr:row>
          <xdr:rowOff>228600</xdr:rowOff>
        </xdr:to>
        <xdr:sp macro="" textlink="">
          <xdr:nvSpPr>
            <xdr:cNvPr id="3340" name="Button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1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24</xdr:row>
          <xdr:rowOff>19050</xdr:rowOff>
        </xdr:from>
        <xdr:to>
          <xdr:col>11</xdr:col>
          <xdr:colOff>1022350</xdr:colOff>
          <xdr:row>24</xdr:row>
          <xdr:rowOff>228600</xdr:rowOff>
        </xdr:to>
        <xdr:sp macro="" textlink="">
          <xdr:nvSpPr>
            <xdr:cNvPr id="3341" name="Button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1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25</xdr:row>
          <xdr:rowOff>19050</xdr:rowOff>
        </xdr:from>
        <xdr:to>
          <xdr:col>11</xdr:col>
          <xdr:colOff>1022350</xdr:colOff>
          <xdr:row>25</xdr:row>
          <xdr:rowOff>228600</xdr:rowOff>
        </xdr:to>
        <xdr:sp macro="" textlink="">
          <xdr:nvSpPr>
            <xdr:cNvPr id="3342" name="Button 270" hidden="1">
              <a:extLst>
                <a:ext uri="{63B3BB69-23CF-44E3-9099-C40C66FF867C}">
                  <a14:compatExt spid="_x0000_s3342"/>
                </a:ext>
                <a:ext uri="{FF2B5EF4-FFF2-40B4-BE49-F238E27FC236}">
                  <a16:creationId xmlns:a16="http://schemas.microsoft.com/office/drawing/2014/main" id="{00000000-0008-0000-0100-00000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26</xdr:row>
          <xdr:rowOff>19050</xdr:rowOff>
        </xdr:from>
        <xdr:to>
          <xdr:col>11</xdr:col>
          <xdr:colOff>1022350</xdr:colOff>
          <xdr:row>26</xdr:row>
          <xdr:rowOff>228600</xdr:rowOff>
        </xdr:to>
        <xdr:sp macro="" textlink="">
          <xdr:nvSpPr>
            <xdr:cNvPr id="3343" name="Button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1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27</xdr:row>
          <xdr:rowOff>0</xdr:rowOff>
        </xdr:from>
        <xdr:to>
          <xdr:col>11</xdr:col>
          <xdr:colOff>1022350</xdr:colOff>
          <xdr:row>27</xdr:row>
          <xdr:rowOff>222250</xdr:rowOff>
        </xdr:to>
        <xdr:sp macro="" textlink="">
          <xdr:nvSpPr>
            <xdr:cNvPr id="3344" name="Button 272" hidden="1">
              <a:extLst>
                <a:ext uri="{63B3BB69-23CF-44E3-9099-C40C66FF867C}">
                  <a14:compatExt spid="_x0000_s3344"/>
                </a:ext>
                <a:ext uri="{FF2B5EF4-FFF2-40B4-BE49-F238E27FC236}">
                  <a16:creationId xmlns:a16="http://schemas.microsoft.com/office/drawing/2014/main" id="{00000000-0008-0000-0100-00001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28</xdr:row>
          <xdr:rowOff>0</xdr:rowOff>
        </xdr:from>
        <xdr:to>
          <xdr:col>11</xdr:col>
          <xdr:colOff>1022350</xdr:colOff>
          <xdr:row>28</xdr:row>
          <xdr:rowOff>209550</xdr:rowOff>
        </xdr:to>
        <xdr:sp macro="" textlink="">
          <xdr:nvSpPr>
            <xdr:cNvPr id="3345" name="Button 273" hidden="1">
              <a:extLst>
                <a:ext uri="{63B3BB69-23CF-44E3-9099-C40C66FF867C}">
                  <a14:compatExt spid="_x0000_s3345"/>
                </a:ext>
                <a:ext uri="{FF2B5EF4-FFF2-40B4-BE49-F238E27FC236}">
                  <a16:creationId xmlns:a16="http://schemas.microsoft.com/office/drawing/2014/main" id="{00000000-0008-0000-0100-00001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29</xdr:row>
          <xdr:rowOff>0</xdr:rowOff>
        </xdr:from>
        <xdr:to>
          <xdr:col>11</xdr:col>
          <xdr:colOff>1022350</xdr:colOff>
          <xdr:row>29</xdr:row>
          <xdr:rowOff>209550</xdr:rowOff>
        </xdr:to>
        <xdr:sp macro="" textlink="">
          <xdr:nvSpPr>
            <xdr:cNvPr id="3346" name="Button 274" hidden="1">
              <a:extLst>
                <a:ext uri="{63B3BB69-23CF-44E3-9099-C40C66FF867C}">
                  <a14:compatExt spid="_x0000_s3346"/>
                </a:ext>
                <a:ext uri="{FF2B5EF4-FFF2-40B4-BE49-F238E27FC236}">
                  <a16:creationId xmlns:a16="http://schemas.microsoft.com/office/drawing/2014/main" id="{00000000-0008-0000-0100-00001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29</xdr:row>
          <xdr:rowOff>304800</xdr:rowOff>
        </xdr:from>
        <xdr:to>
          <xdr:col>11</xdr:col>
          <xdr:colOff>1022350</xdr:colOff>
          <xdr:row>30</xdr:row>
          <xdr:rowOff>209550</xdr:rowOff>
        </xdr:to>
        <xdr:sp macro="" textlink="">
          <xdr:nvSpPr>
            <xdr:cNvPr id="3347" name="Button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1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30</xdr:row>
          <xdr:rowOff>304800</xdr:rowOff>
        </xdr:from>
        <xdr:to>
          <xdr:col>11</xdr:col>
          <xdr:colOff>1022350</xdr:colOff>
          <xdr:row>31</xdr:row>
          <xdr:rowOff>209550</xdr:rowOff>
        </xdr:to>
        <xdr:sp macro="" textlink="">
          <xdr:nvSpPr>
            <xdr:cNvPr id="3348" name="Button 276" hidden="1">
              <a:extLst>
                <a:ext uri="{63B3BB69-23CF-44E3-9099-C40C66FF867C}">
                  <a14:compatExt spid="_x0000_s3348"/>
                </a:ext>
                <a:ext uri="{FF2B5EF4-FFF2-40B4-BE49-F238E27FC236}">
                  <a16:creationId xmlns:a16="http://schemas.microsoft.com/office/drawing/2014/main" id="{00000000-0008-0000-0100-00001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31</xdr:row>
          <xdr:rowOff>304800</xdr:rowOff>
        </xdr:from>
        <xdr:to>
          <xdr:col>11</xdr:col>
          <xdr:colOff>1022350</xdr:colOff>
          <xdr:row>32</xdr:row>
          <xdr:rowOff>209550</xdr:rowOff>
        </xdr:to>
        <xdr:sp macro="" textlink="">
          <xdr:nvSpPr>
            <xdr:cNvPr id="3349" name="Button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1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133350</xdr:colOff>
          <xdr:row>32</xdr:row>
          <xdr:rowOff>304800</xdr:rowOff>
        </xdr:from>
        <xdr:to>
          <xdr:col>11</xdr:col>
          <xdr:colOff>1028700</xdr:colOff>
          <xdr:row>33</xdr:row>
          <xdr:rowOff>222250</xdr:rowOff>
        </xdr:to>
        <xdr:sp macro="" textlink="">
          <xdr:nvSpPr>
            <xdr:cNvPr id="3350" name="Button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1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18</xdr:row>
          <xdr:rowOff>19050</xdr:rowOff>
        </xdr:from>
        <xdr:to>
          <xdr:col>12</xdr:col>
          <xdr:colOff>1009650</xdr:colOff>
          <xdr:row>18</xdr:row>
          <xdr:rowOff>222250</xdr:rowOff>
        </xdr:to>
        <xdr:sp macro="" textlink="">
          <xdr:nvSpPr>
            <xdr:cNvPr id="3351" name="Button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1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19</xdr:row>
          <xdr:rowOff>19050</xdr:rowOff>
        </xdr:from>
        <xdr:to>
          <xdr:col>12</xdr:col>
          <xdr:colOff>1009650</xdr:colOff>
          <xdr:row>19</xdr:row>
          <xdr:rowOff>222250</xdr:rowOff>
        </xdr:to>
        <xdr:sp macro="" textlink="">
          <xdr:nvSpPr>
            <xdr:cNvPr id="3352" name="Button 280" hidden="1">
              <a:extLst>
                <a:ext uri="{63B3BB69-23CF-44E3-9099-C40C66FF867C}">
                  <a14:compatExt spid="_x0000_s3352"/>
                </a:ext>
                <a:ext uri="{FF2B5EF4-FFF2-40B4-BE49-F238E27FC236}">
                  <a16:creationId xmlns:a16="http://schemas.microsoft.com/office/drawing/2014/main" id="{00000000-0008-0000-0100-00001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20</xdr:row>
          <xdr:rowOff>19050</xdr:rowOff>
        </xdr:from>
        <xdr:to>
          <xdr:col>12</xdr:col>
          <xdr:colOff>1009650</xdr:colOff>
          <xdr:row>20</xdr:row>
          <xdr:rowOff>209550</xdr:rowOff>
        </xdr:to>
        <xdr:sp macro="" textlink="">
          <xdr:nvSpPr>
            <xdr:cNvPr id="3353" name="Button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1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21</xdr:row>
          <xdr:rowOff>19050</xdr:rowOff>
        </xdr:from>
        <xdr:to>
          <xdr:col>12</xdr:col>
          <xdr:colOff>1009650</xdr:colOff>
          <xdr:row>21</xdr:row>
          <xdr:rowOff>209550</xdr:rowOff>
        </xdr:to>
        <xdr:sp macro="" textlink="">
          <xdr:nvSpPr>
            <xdr:cNvPr id="3354" name="Button 282" hidden="1">
              <a:extLst>
                <a:ext uri="{63B3BB69-23CF-44E3-9099-C40C66FF867C}">
                  <a14:compatExt spid="_x0000_s3354"/>
                </a:ext>
                <a:ext uri="{FF2B5EF4-FFF2-40B4-BE49-F238E27FC236}">
                  <a16:creationId xmlns:a16="http://schemas.microsoft.com/office/drawing/2014/main" id="{00000000-0008-0000-0100-00001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22</xdr:row>
          <xdr:rowOff>19050</xdr:rowOff>
        </xdr:from>
        <xdr:to>
          <xdr:col>12</xdr:col>
          <xdr:colOff>1009650</xdr:colOff>
          <xdr:row>22</xdr:row>
          <xdr:rowOff>209550</xdr:rowOff>
        </xdr:to>
        <xdr:sp macro="" textlink="">
          <xdr:nvSpPr>
            <xdr:cNvPr id="3355" name="Button 283" hidden="1">
              <a:extLst>
                <a:ext uri="{63B3BB69-23CF-44E3-9099-C40C66FF867C}">
                  <a14:compatExt spid="_x0000_s3355"/>
                </a:ext>
                <a:ext uri="{FF2B5EF4-FFF2-40B4-BE49-F238E27FC236}">
                  <a16:creationId xmlns:a16="http://schemas.microsoft.com/office/drawing/2014/main" id="{00000000-0008-0000-0100-00001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23</xdr:row>
          <xdr:rowOff>19050</xdr:rowOff>
        </xdr:from>
        <xdr:to>
          <xdr:col>12</xdr:col>
          <xdr:colOff>1009650</xdr:colOff>
          <xdr:row>23</xdr:row>
          <xdr:rowOff>228600</xdr:rowOff>
        </xdr:to>
        <xdr:sp macro="" textlink="">
          <xdr:nvSpPr>
            <xdr:cNvPr id="3356" name="Button 284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00000000-0008-0000-0100-00001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24</xdr:row>
          <xdr:rowOff>19050</xdr:rowOff>
        </xdr:from>
        <xdr:to>
          <xdr:col>12</xdr:col>
          <xdr:colOff>1009650</xdr:colOff>
          <xdr:row>24</xdr:row>
          <xdr:rowOff>228600</xdr:rowOff>
        </xdr:to>
        <xdr:sp macro="" textlink="">
          <xdr:nvSpPr>
            <xdr:cNvPr id="3357" name="Button 285" hidden="1">
              <a:extLst>
                <a:ext uri="{63B3BB69-23CF-44E3-9099-C40C66FF867C}">
                  <a14:compatExt spid="_x0000_s3357"/>
                </a:ext>
                <a:ext uri="{FF2B5EF4-FFF2-40B4-BE49-F238E27FC236}">
                  <a16:creationId xmlns:a16="http://schemas.microsoft.com/office/drawing/2014/main" id="{00000000-0008-0000-0100-00001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25</xdr:row>
          <xdr:rowOff>19050</xdr:rowOff>
        </xdr:from>
        <xdr:to>
          <xdr:col>12</xdr:col>
          <xdr:colOff>1009650</xdr:colOff>
          <xdr:row>25</xdr:row>
          <xdr:rowOff>228600</xdr:rowOff>
        </xdr:to>
        <xdr:sp macro="" textlink="">
          <xdr:nvSpPr>
            <xdr:cNvPr id="3358" name="Button 286" hidden="1">
              <a:extLst>
                <a:ext uri="{63B3BB69-23CF-44E3-9099-C40C66FF867C}">
                  <a14:compatExt spid="_x0000_s3358"/>
                </a:ext>
                <a:ext uri="{FF2B5EF4-FFF2-40B4-BE49-F238E27FC236}">
                  <a16:creationId xmlns:a16="http://schemas.microsoft.com/office/drawing/2014/main" id="{00000000-0008-0000-0100-00001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26</xdr:row>
          <xdr:rowOff>19050</xdr:rowOff>
        </xdr:from>
        <xdr:to>
          <xdr:col>12</xdr:col>
          <xdr:colOff>1009650</xdr:colOff>
          <xdr:row>26</xdr:row>
          <xdr:rowOff>228600</xdr:rowOff>
        </xdr:to>
        <xdr:sp macro="" textlink="">
          <xdr:nvSpPr>
            <xdr:cNvPr id="3359" name="Button 287" hidden="1">
              <a:extLst>
                <a:ext uri="{63B3BB69-23CF-44E3-9099-C40C66FF867C}">
                  <a14:compatExt spid="_x0000_s3359"/>
                </a:ext>
                <a:ext uri="{FF2B5EF4-FFF2-40B4-BE49-F238E27FC236}">
                  <a16:creationId xmlns:a16="http://schemas.microsoft.com/office/drawing/2014/main" id="{00000000-0008-0000-0100-00001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27</xdr:row>
          <xdr:rowOff>0</xdr:rowOff>
        </xdr:from>
        <xdr:to>
          <xdr:col>12</xdr:col>
          <xdr:colOff>1009650</xdr:colOff>
          <xdr:row>27</xdr:row>
          <xdr:rowOff>222250</xdr:rowOff>
        </xdr:to>
        <xdr:sp macro="" textlink="">
          <xdr:nvSpPr>
            <xdr:cNvPr id="3360" name="Button 288" hidden="1">
              <a:extLst>
                <a:ext uri="{63B3BB69-23CF-44E3-9099-C40C66FF867C}">
                  <a14:compatExt spid="_x0000_s3360"/>
                </a:ext>
                <a:ext uri="{FF2B5EF4-FFF2-40B4-BE49-F238E27FC236}">
                  <a16:creationId xmlns:a16="http://schemas.microsoft.com/office/drawing/2014/main" id="{00000000-0008-0000-0100-00002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28</xdr:row>
          <xdr:rowOff>0</xdr:rowOff>
        </xdr:from>
        <xdr:to>
          <xdr:col>12</xdr:col>
          <xdr:colOff>1009650</xdr:colOff>
          <xdr:row>28</xdr:row>
          <xdr:rowOff>209550</xdr:rowOff>
        </xdr:to>
        <xdr:sp macro="" textlink="">
          <xdr:nvSpPr>
            <xdr:cNvPr id="3361" name="Button 289" hidden="1">
              <a:extLst>
                <a:ext uri="{63B3BB69-23CF-44E3-9099-C40C66FF867C}">
                  <a14:compatExt spid="_x0000_s3361"/>
                </a:ext>
                <a:ext uri="{FF2B5EF4-FFF2-40B4-BE49-F238E27FC236}">
                  <a16:creationId xmlns:a16="http://schemas.microsoft.com/office/drawing/2014/main" id="{00000000-0008-0000-0100-00002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29</xdr:row>
          <xdr:rowOff>0</xdr:rowOff>
        </xdr:from>
        <xdr:to>
          <xdr:col>12</xdr:col>
          <xdr:colOff>1009650</xdr:colOff>
          <xdr:row>29</xdr:row>
          <xdr:rowOff>209550</xdr:rowOff>
        </xdr:to>
        <xdr:sp macro="" textlink="">
          <xdr:nvSpPr>
            <xdr:cNvPr id="3362" name="Button 290" hidden="1">
              <a:extLst>
                <a:ext uri="{63B3BB69-23CF-44E3-9099-C40C66FF867C}">
                  <a14:compatExt spid="_x0000_s3362"/>
                </a:ext>
                <a:ext uri="{FF2B5EF4-FFF2-40B4-BE49-F238E27FC236}">
                  <a16:creationId xmlns:a16="http://schemas.microsoft.com/office/drawing/2014/main" id="{00000000-0008-0000-0100-00002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29</xdr:row>
          <xdr:rowOff>304800</xdr:rowOff>
        </xdr:from>
        <xdr:to>
          <xdr:col>12</xdr:col>
          <xdr:colOff>1009650</xdr:colOff>
          <xdr:row>30</xdr:row>
          <xdr:rowOff>209550</xdr:rowOff>
        </xdr:to>
        <xdr:sp macro="" textlink="">
          <xdr:nvSpPr>
            <xdr:cNvPr id="3363" name="Button 291" hidden="1">
              <a:extLst>
                <a:ext uri="{63B3BB69-23CF-44E3-9099-C40C66FF867C}">
                  <a14:compatExt spid="_x0000_s3363"/>
                </a:ext>
                <a:ext uri="{FF2B5EF4-FFF2-40B4-BE49-F238E27FC236}">
                  <a16:creationId xmlns:a16="http://schemas.microsoft.com/office/drawing/2014/main" id="{00000000-0008-0000-0100-00002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30</xdr:row>
          <xdr:rowOff>304800</xdr:rowOff>
        </xdr:from>
        <xdr:to>
          <xdr:col>12</xdr:col>
          <xdr:colOff>1009650</xdr:colOff>
          <xdr:row>31</xdr:row>
          <xdr:rowOff>209550</xdr:rowOff>
        </xdr:to>
        <xdr:sp macro="" textlink="">
          <xdr:nvSpPr>
            <xdr:cNvPr id="3364" name="Button 292" hidden="1">
              <a:extLst>
                <a:ext uri="{63B3BB69-23CF-44E3-9099-C40C66FF867C}">
                  <a14:compatExt spid="_x0000_s3364"/>
                </a:ext>
                <a:ext uri="{FF2B5EF4-FFF2-40B4-BE49-F238E27FC236}">
                  <a16:creationId xmlns:a16="http://schemas.microsoft.com/office/drawing/2014/main" id="{00000000-0008-0000-0100-00002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31</xdr:row>
          <xdr:rowOff>304800</xdr:rowOff>
        </xdr:from>
        <xdr:to>
          <xdr:col>12</xdr:col>
          <xdr:colOff>1009650</xdr:colOff>
          <xdr:row>32</xdr:row>
          <xdr:rowOff>209550</xdr:rowOff>
        </xdr:to>
        <xdr:sp macro="" textlink="">
          <xdr:nvSpPr>
            <xdr:cNvPr id="3365" name="Button 293" hidden="1">
              <a:extLst>
                <a:ext uri="{63B3BB69-23CF-44E3-9099-C40C66FF867C}">
                  <a14:compatExt spid="_x0000_s3365"/>
                </a:ext>
                <a:ext uri="{FF2B5EF4-FFF2-40B4-BE49-F238E27FC236}">
                  <a16:creationId xmlns:a16="http://schemas.microsoft.com/office/drawing/2014/main" id="{00000000-0008-0000-0100-00002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32</xdr:row>
          <xdr:rowOff>304800</xdr:rowOff>
        </xdr:from>
        <xdr:to>
          <xdr:col>12</xdr:col>
          <xdr:colOff>1022350</xdr:colOff>
          <xdr:row>33</xdr:row>
          <xdr:rowOff>222250</xdr:rowOff>
        </xdr:to>
        <xdr:sp macro="" textlink="">
          <xdr:nvSpPr>
            <xdr:cNvPr id="3366" name="Button 294" hidden="1">
              <a:extLst>
                <a:ext uri="{63B3BB69-23CF-44E3-9099-C40C66FF867C}">
                  <a14:compatExt spid="_x0000_s3366"/>
                </a:ext>
                <a:ext uri="{FF2B5EF4-FFF2-40B4-BE49-F238E27FC236}">
                  <a16:creationId xmlns:a16="http://schemas.microsoft.com/office/drawing/2014/main" id="{00000000-0008-0000-0100-00002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</xdr:row>
          <xdr:rowOff>57150</xdr:rowOff>
        </xdr:from>
        <xdr:to>
          <xdr:col>6</xdr:col>
          <xdr:colOff>1047750</xdr:colOff>
          <xdr:row>4</xdr:row>
          <xdr:rowOff>57150</xdr:rowOff>
        </xdr:to>
        <xdr:sp macro="" textlink="">
          <xdr:nvSpPr>
            <xdr:cNvPr id="3367" name="Button 295" hidden="1">
              <a:extLst>
                <a:ext uri="{63B3BB69-23CF-44E3-9099-C40C66FF867C}">
                  <a14:compatExt spid="_x0000_s3367"/>
                </a:ext>
                <a:ext uri="{FF2B5EF4-FFF2-40B4-BE49-F238E27FC236}">
                  <a16:creationId xmlns:a16="http://schemas.microsoft.com/office/drawing/2014/main" id="{00000000-0008-0000-0100-00002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E-3.1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4</xdr:row>
          <xdr:rowOff>57150</xdr:rowOff>
        </xdr:from>
        <xdr:to>
          <xdr:col>3</xdr:col>
          <xdr:colOff>266700</xdr:colOff>
          <xdr:row>9</xdr:row>
          <xdr:rowOff>95250</xdr:rowOff>
        </xdr:to>
        <xdr:sp macro="" textlink="">
          <xdr:nvSpPr>
            <xdr:cNvPr id="3368" name="Button 296" hidden="1">
              <a:extLst>
                <a:ext uri="{63B3BB69-23CF-44E3-9099-C40C66FF867C}">
                  <a14:compatExt spid="_x0000_s3368"/>
                </a:ext>
                <a:ext uri="{FF2B5EF4-FFF2-40B4-BE49-F238E27FC236}">
                  <a16:creationId xmlns:a16="http://schemas.microsoft.com/office/drawing/2014/main" id="{00000000-0008-0000-0100-00002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Print All COS Studies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261257</xdr:colOff>
      <xdr:row>22</xdr:row>
      <xdr:rowOff>10885</xdr:rowOff>
    </xdr:from>
    <xdr:to>
      <xdr:col>12</xdr:col>
      <xdr:colOff>478972</xdr:colOff>
      <xdr:row>38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 bwMode="auto">
        <a:xfrm>
          <a:off x="12354197" y="3698965"/>
          <a:ext cx="956855" cy="268224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261257</xdr:colOff>
      <xdr:row>22</xdr:row>
      <xdr:rowOff>10885</xdr:rowOff>
    </xdr:from>
    <xdr:to>
      <xdr:col>12</xdr:col>
      <xdr:colOff>478972</xdr:colOff>
      <xdr:row>38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 bwMode="auto">
        <a:xfrm>
          <a:off x="12354197" y="3698965"/>
          <a:ext cx="956855" cy="268224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261257</xdr:colOff>
      <xdr:row>22</xdr:row>
      <xdr:rowOff>10885</xdr:rowOff>
    </xdr:from>
    <xdr:to>
      <xdr:col>12</xdr:col>
      <xdr:colOff>478972</xdr:colOff>
      <xdr:row>38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 bwMode="auto">
        <a:xfrm>
          <a:off x="12354197" y="3698965"/>
          <a:ext cx="956855" cy="268224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88</xdr:row>
      <xdr:rowOff>0</xdr:rowOff>
    </xdr:from>
    <xdr:to>
      <xdr:col>19</xdr:col>
      <xdr:colOff>0</xdr:colOff>
      <xdr:row>98</xdr:row>
      <xdr:rowOff>0</xdr:rowOff>
    </xdr:to>
    <xdr:graphicFrame macro="">
      <xdr:nvGraphicFramePr>
        <xdr:cNvPr id="11269" name="Chart 3">
          <a:extLst>
            <a:ext uri="{FF2B5EF4-FFF2-40B4-BE49-F238E27FC236}">
              <a16:creationId xmlns:a16="http://schemas.microsoft.com/office/drawing/2014/main" id="{00000000-0008-0000-1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90</xdr:row>
      <xdr:rowOff>0</xdr:rowOff>
    </xdr:from>
    <xdr:to>
      <xdr:col>19</xdr:col>
      <xdr:colOff>0</xdr:colOff>
      <xdr:row>100</xdr:row>
      <xdr:rowOff>0</xdr:rowOff>
    </xdr:to>
    <xdr:graphicFrame macro="">
      <xdr:nvGraphicFramePr>
        <xdr:cNvPr id="11270" name="Chart 4">
          <a:extLst>
            <a:ext uri="{FF2B5EF4-FFF2-40B4-BE49-F238E27FC236}">
              <a16:creationId xmlns:a16="http://schemas.microsoft.com/office/drawing/2014/main" id="{00000000-0008-0000-1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363642</xdr:colOff>
      <xdr:row>41</xdr:row>
      <xdr:rowOff>8467</xdr:rowOff>
    </xdr:from>
    <xdr:to>
      <xdr:col>28</xdr:col>
      <xdr:colOff>548217</xdr:colOff>
      <xdr:row>55</xdr:row>
      <xdr:rowOff>110066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292100</xdr:colOff>
      <xdr:row>51</xdr:row>
      <xdr:rowOff>12700</xdr:rowOff>
    </xdr:from>
    <xdr:to>
      <xdr:col>7</xdr:col>
      <xdr:colOff>1193800</xdr:colOff>
      <xdr:row>57</xdr:row>
      <xdr:rowOff>50800</xdr:rowOff>
    </xdr:to>
    <xdr:sp macro="" textlink="">
      <xdr:nvSpPr>
        <xdr:cNvPr id="6" name="Line Callout 1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 bwMode="auto">
        <a:xfrm>
          <a:off x="4559300" y="8534400"/>
          <a:ext cx="3073400" cy="1028700"/>
        </a:xfrm>
        <a:prstGeom prst="borderCallout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Used</a:t>
          </a:r>
          <a:r>
            <a:rPr lang="en-US" sz="1100" baseline="0"/>
            <a:t> minimum average cost 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261257</xdr:colOff>
      <xdr:row>28</xdr:row>
      <xdr:rowOff>10885</xdr:rowOff>
    </xdr:from>
    <xdr:to>
      <xdr:col>12</xdr:col>
      <xdr:colOff>478972</xdr:colOff>
      <xdr:row>44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 bwMode="auto">
        <a:xfrm>
          <a:off x="12050486" y="3603171"/>
          <a:ext cx="957943" cy="2612572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249351</xdr:colOff>
      <xdr:row>28</xdr:row>
      <xdr:rowOff>10885</xdr:rowOff>
    </xdr:from>
    <xdr:to>
      <xdr:col>12</xdr:col>
      <xdr:colOff>467066</xdr:colOff>
      <xdr:row>44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 bwMode="auto">
        <a:xfrm>
          <a:off x="13072382" y="4678135"/>
          <a:ext cx="967809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273163</xdr:colOff>
      <xdr:row>27</xdr:row>
      <xdr:rowOff>165666</xdr:rowOff>
    </xdr:from>
    <xdr:to>
      <xdr:col>13</xdr:col>
      <xdr:colOff>490878</xdr:colOff>
      <xdr:row>43</xdr:row>
      <xdr:rowOff>165667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 bwMode="auto">
        <a:xfrm>
          <a:off x="13060476" y="4666229"/>
          <a:ext cx="967808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237445</xdr:colOff>
      <xdr:row>27</xdr:row>
      <xdr:rowOff>165666</xdr:rowOff>
    </xdr:from>
    <xdr:to>
      <xdr:col>12</xdr:col>
      <xdr:colOff>455160</xdr:colOff>
      <xdr:row>43</xdr:row>
      <xdr:rowOff>165667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 bwMode="auto">
        <a:xfrm>
          <a:off x="12608039" y="4666229"/>
          <a:ext cx="967809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249351</xdr:colOff>
      <xdr:row>28</xdr:row>
      <xdr:rowOff>10885</xdr:rowOff>
    </xdr:from>
    <xdr:to>
      <xdr:col>13</xdr:col>
      <xdr:colOff>467066</xdr:colOff>
      <xdr:row>44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>
          <a:off x="13131914" y="4678135"/>
          <a:ext cx="967808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213632</xdr:colOff>
      <xdr:row>27</xdr:row>
      <xdr:rowOff>165666</xdr:rowOff>
    </xdr:from>
    <xdr:to>
      <xdr:col>13</xdr:col>
      <xdr:colOff>431347</xdr:colOff>
      <xdr:row>43</xdr:row>
      <xdr:rowOff>165667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 bwMode="auto">
        <a:xfrm>
          <a:off x="13096195" y="4666229"/>
          <a:ext cx="967808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237445</xdr:colOff>
      <xdr:row>27</xdr:row>
      <xdr:rowOff>141853</xdr:rowOff>
    </xdr:from>
    <xdr:to>
      <xdr:col>12</xdr:col>
      <xdr:colOff>455160</xdr:colOff>
      <xdr:row>43</xdr:row>
      <xdr:rowOff>141854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 bwMode="auto">
        <a:xfrm>
          <a:off x="12036539" y="4642416"/>
          <a:ext cx="967809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261257</xdr:colOff>
      <xdr:row>22</xdr:row>
      <xdr:rowOff>10885</xdr:rowOff>
    </xdr:from>
    <xdr:to>
      <xdr:col>12</xdr:col>
      <xdr:colOff>478972</xdr:colOff>
      <xdr:row>38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 bwMode="auto">
        <a:xfrm>
          <a:off x="12354197" y="3698965"/>
          <a:ext cx="956855" cy="268224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%20Case%20Filings/DEK%20Gas%20Case%202021-00190/SFR%20Model/KPSC%20GAS%20SFRs-2021%20-%20FP%20Working%20Copy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Tracking"/>
      <sheetName val="LOGO"/>
      <sheetName val="ALLOCTABLE"/>
      <sheetName val="GOTO"/>
      <sheetName val="PRINT"/>
      <sheetName val="BASE PERIOD"/>
      <sheetName val="STAFF-DR-01-002"/>
      <sheetName val="O&amp;M Table"/>
      <sheetName val="BP_Data"/>
      <sheetName val="BP Rev by Product"/>
      <sheetName val="BP Bdgt Data"/>
      <sheetName val="FP Bdgt Data"/>
      <sheetName val="BP Bdgt Rev"/>
      <sheetName val="BP Actual Rev"/>
      <sheetName val="STAFF-DR-01-001a"/>
      <sheetName val="FP Rev by Product"/>
      <sheetName val="FORECASTED PERIOD"/>
      <sheetName val="BP vs FP by Acct"/>
      <sheetName val="Rate Case Drivers"/>
      <sheetName val="SCH_A Rate Base"/>
      <sheetName val="SCH_B1"/>
      <sheetName val="SCH B-2"/>
      <sheetName val="SCH B-2.1"/>
      <sheetName val="SCH B-2.2"/>
      <sheetName val="WPB-2.2a-f - Base"/>
      <sheetName val="WPB-2.2g"/>
      <sheetName val="WPB-2.2h"/>
      <sheetName val="WPB-2.2i Erlanger"/>
      <sheetName val="SCH B-2.3"/>
      <sheetName val="SCH B-2.4"/>
      <sheetName val="SCH B-2.5"/>
      <sheetName val="SCH B-2.6"/>
      <sheetName val="SCH B-2.7"/>
      <sheetName val="SCH B-3"/>
      <sheetName val="SCH B-3.1"/>
      <sheetName val="WPB-3.1a"/>
      <sheetName val="SCH B-3.2 - Proposed Rate"/>
      <sheetName val="SCH B-3.2 - Current Rate"/>
      <sheetName val="SCH B-4"/>
      <sheetName val="SCH_B5s"/>
      <sheetName val="WPB-5's"/>
      <sheetName val="SCH_B6"/>
      <sheetName val="WPB-6's"/>
      <sheetName val="SCH_B7s"/>
      <sheetName val="SCH_B8"/>
      <sheetName val="SCH_C1"/>
      <sheetName val="SCH_C2"/>
      <sheetName val="WPC_2"/>
      <sheetName val="WPC-2e - Adj Summary"/>
      <sheetName val="SCH_C2.1 - Base Period"/>
      <sheetName val="SCH_C2.1 - Forecasted Period"/>
      <sheetName val="SCH_D1"/>
      <sheetName val="SCH_D2.1"/>
      <sheetName val="SCH_D2.2"/>
      <sheetName val="SCH_D2.3"/>
      <sheetName val="SCH_D2.4"/>
      <sheetName val="SCH_D2.5"/>
      <sheetName val="SCH_D2.6"/>
      <sheetName val="SCH_D2.7"/>
      <sheetName val="SCH_D2.8"/>
      <sheetName val="SCH_D2.9"/>
      <sheetName val="SCH_D2.10"/>
      <sheetName val="SCH_D2.11"/>
      <sheetName val="SCH_D2.12"/>
      <sheetName val="SCH_D2.13"/>
      <sheetName val="SCH_D2.14"/>
      <sheetName val="SCH_D2.15"/>
      <sheetName val="SCH_D2.16"/>
      <sheetName val="SCH_D2.17"/>
      <sheetName val="SCH_D2.18"/>
      <sheetName val="SCH_D2.19"/>
      <sheetName val="SCH_D2.20"/>
      <sheetName val="SCH_D2.21"/>
      <sheetName val="SCH_D2.22"/>
      <sheetName val="SCH_D2.23"/>
      <sheetName val="SCH_D2.24"/>
      <sheetName val="SCH_D2.25"/>
      <sheetName val="SCH_D2.26"/>
      <sheetName val="SCH_D2.27"/>
      <sheetName val="SCH_D2.28"/>
      <sheetName val="SCH_D2.29"/>
      <sheetName val="SCH_D3"/>
      <sheetName val="SCH_D4"/>
      <sheetName val="SCH_D5"/>
      <sheetName val="SCH_E1"/>
      <sheetName val="SCH_E2"/>
      <sheetName val="SCH_F1"/>
      <sheetName val="SCH_F2.1"/>
      <sheetName val="SCH_F2.2"/>
      <sheetName val="SCH_F2.3"/>
      <sheetName val="SCH_F3"/>
      <sheetName val="SCH_F4"/>
      <sheetName val="SCH_F5"/>
      <sheetName val="SCH_F6"/>
      <sheetName val="SCH_F7"/>
      <sheetName val="SCH_G1"/>
      <sheetName val="SCH_G2"/>
      <sheetName val="SCH_G3"/>
      <sheetName val="SCH_H"/>
      <sheetName val="SCH_I1 - Total Co."/>
      <sheetName val="SCH_I1 - Gas Only"/>
      <sheetName val="Staff-DR-01-007(not used)"/>
      <sheetName val="Staff-DR-01-052(not used)"/>
      <sheetName val="SCH_I2.1"/>
      <sheetName val="Base Period Cust"/>
      <sheetName val="MCF Sales"/>
      <sheetName val="SCH_I3"/>
      <sheetName val="SCH_I4"/>
      <sheetName val="SCH_I5"/>
      <sheetName val="SCH_J1 - Base"/>
      <sheetName val="SCH_J1 - Forecast"/>
      <sheetName val="SCH_J2 - Base"/>
      <sheetName val="SCH_J2 - Forecast"/>
      <sheetName val="SCH_J3 - Base"/>
      <sheetName val="SCH_J3 - Forecast"/>
      <sheetName val="SCH_J4"/>
      <sheetName val="SCH K DEK"/>
      <sheetName val="RB vs Cap BP Staff DR, pg1"/>
      <sheetName val="RB vs Cap BP Staff DR, pg2"/>
      <sheetName val="RB vs Cap BP Staff DR, pg3"/>
      <sheetName val="RB vs CAP BP Staff DR, pg5"/>
      <sheetName val="FP vs. BP RB Ratio Compare"/>
      <sheetName val="RB vs Cap BP Staff DR, pg4"/>
      <sheetName val="RB vs CAP FP 16(6)(f) Page 1"/>
      <sheetName val="RB vs CAP FP 16(6)(f) Page 2"/>
      <sheetName val="RB vs CAP FP 16(6)(f) Page 3"/>
      <sheetName val="RB vs CAP FP 16(6)(f) Page 4"/>
      <sheetName val="RB vs CAP FP 16(6)(f) Page 5"/>
      <sheetName val="KPSC GAS SFRs-2021 - FP Working"/>
    </sheetNames>
    <definedNames>
      <definedName name="PLANT_IN_SERVICE" refersTo="='SCH_B1'!$I$18"/>
      <definedName name="SIT" refersTo="='LOGO'!$C$22"/>
    </definedNames>
    <sheetDataSet>
      <sheetData sheetId="0" refreshError="1"/>
      <sheetData sheetId="1">
        <row r="18">
          <cell r="I18">
            <v>44439</v>
          </cell>
        </row>
        <row r="22">
          <cell r="C22">
            <v>0.05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5">
          <cell r="I25">
            <v>33063477</v>
          </cell>
        </row>
        <row r="33">
          <cell r="I33">
            <v>15228161</v>
          </cell>
        </row>
      </sheetData>
      <sheetData sheetId="20">
        <row r="18">
          <cell r="I18">
            <v>771808162</v>
          </cell>
        </row>
        <row r="20">
          <cell r="I20">
            <v>-206903281</v>
          </cell>
        </row>
        <row r="22">
          <cell r="C22" t="str">
            <v>Net Plant in Service (Line 1 + Line 2)</v>
          </cell>
        </row>
        <row r="26">
          <cell r="I26">
            <v>0</v>
          </cell>
        </row>
        <row r="28">
          <cell r="I28">
            <v>4001401</v>
          </cell>
        </row>
        <row r="32">
          <cell r="I32">
            <v>-1643017</v>
          </cell>
        </row>
        <row r="38">
          <cell r="I38">
            <v>-29269976</v>
          </cell>
        </row>
        <row r="63">
          <cell r="S63">
            <v>-1207622</v>
          </cell>
        </row>
      </sheetData>
      <sheetData sheetId="21" refreshError="1"/>
      <sheetData sheetId="22">
        <row r="192">
          <cell r="I192">
            <v>4625622</v>
          </cell>
        </row>
        <row r="217">
          <cell r="I217">
            <v>6418835</v>
          </cell>
        </row>
        <row r="218">
          <cell r="I218">
            <v>964570</v>
          </cell>
        </row>
        <row r="219">
          <cell r="I219">
            <v>4270758</v>
          </cell>
        </row>
        <row r="220">
          <cell r="I220">
            <v>1082301</v>
          </cell>
        </row>
        <row r="221">
          <cell r="I221">
            <v>93588102</v>
          </cell>
        </row>
        <row r="222">
          <cell r="I222">
            <v>177835435</v>
          </cell>
        </row>
        <row r="223">
          <cell r="I223">
            <v>124489937</v>
          </cell>
        </row>
        <row r="224">
          <cell r="I224">
            <v>39801914</v>
          </cell>
        </row>
        <row r="225">
          <cell r="I225">
            <v>1440378</v>
          </cell>
        </row>
        <row r="226">
          <cell r="I226">
            <v>2724163</v>
          </cell>
        </row>
        <row r="227">
          <cell r="I227">
            <v>-199512</v>
          </cell>
        </row>
        <row r="228">
          <cell r="I228">
            <v>5801205</v>
          </cell>
        </row>
        <row r="229">
          <cell r="I229">
            <v>220515027</v>
          </cell>
        </row>
        <row r="230">
          <cell r="I230">
            <v>15152456</v>
          </cell>
        </row>
        <row r="231">
          <cell r="I231">
            <v>15613757</v>
          </cell>
        </row>
        <row r="232">
          <cell r="I232">
            <v>8054798</v>
          </cell>
        </row>
        <row r="233">
          <cell r="I233">
            <v>6676569</v>
          </cell>
        </row>
        <row r="234">
          <cell r="I234">
            <v>495565</v>
          </cell>
        </row>
        <row r="235">
          <cell r="I235">
            <v>71355</v>
          </cell>
        </row>
        <row r="236">
          <cell r="I236">
            <v>60329</v>
          </cell>
        </row>
        <row r="237">
          <cell r="I237">
            <v>31156</v>
          </cell>
        </row>
        <row r="238">
          <cell r="I238">
            <v>0</v>
          </cell>
        </row>
        <row r="278">
          <cell r="I278">
            <v>32001263</v>
          </cell>
        </row>
        <row r="321">
          <cell r="I321">
            <v>10292179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227">
          <cell r="K227">
            <v>2553891</v>
          </cell>
        </row>
        <row r="258">
          <cell r="K258">
            <v>9443</v>
          </cell>
        </row>
        <row r="259">
          <cell r="K259">
            <v>560736</v>
          </cell>
        </row>
        <row r="260">
          <cell r="K260">
            <v>131300</v>
          </cell>
        </row>
        <row r="261">
          <cell r="K261">
            <v>128967</v>
          </cell>
        </row>
        <row r="262">
          <cell r="K262">
            <v>44277541</v>
          </cell>
        </row>
        <row r="263">
          <cell r="K263">
            <v>55447119</v>
          </cell>
        </row>
        <row r="264">
          <cell r="K264">
            <v>13475765</v>
          </cell>
        </row>
        <row r="265">
          <cell r="K265">
            <v>2095544</v>
          </cell>
        </row>
        <row r="266">
          <cell r="K266">
            <v>485983</v>
          </cell>
        </row>
        <row r="267">
          <cell r="K267">
            <v>1211353</v>
          </cell>
        </row>
        <row r="268">
          <cell r="K268">
            <v>-1630558</v>
          </cell>
        </row>
        <row r="269">
          <cell r="K269">
            <v>2532186</v>
          </cell>
        </row>
        <row r="270">
          <cell r="K270">
            <v>60408691</v>
          </cell>
        </row>
        <row r="271">
          <cell r="K271">
            <v>-1592501</v>
          </cell>
        </row>
        <row r="272">
          <cell r="K272">
            <v>697071</v>
          </cell>
        </row>
        <row r="273">
          <cell r="K273">
            <v>2934578</v>
          </cell>
        </row>
        <row r="274">
          <cell r="K274">
            <v>3013669</v>
          </cell>
        </row>
        <row r="275">
          <cell r="K275">
            <v>453205</v>
          </cell>
        </row>
        <row r="276">
          <cell r="K276">
            <v>56662</v>
          </cell>
        </row>
        <row r="277">
          <cell r="K277">
            <v>30453</v>
          </cell>
        </row>
        <row r="278">
          <cell r="K278">
            <v>22860</v>
          </cell>
        </row>
        <row r="279">
          <cell r="K279">
            <v>0</v>
          </cell>
        </row>
        <row r="280">
          <cell r="K280">
            <v>-3530184</v>
          </cell>
        </row>
        <row r="329">
          <cell r="K329">
            <v>15753985</v>
          </cell>
        </row>
        <row r="385">
          <cell r="K385">
            <v>7205027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17">
          <cell r="O17">
            <v>0</v>
          </cell>
        </row>
        <row r="29">
          <cell r="O29">
            <v>1785156</v>
          </cell>
        </row>
        <row r="31">
          <cell r="O31">
            <v>1692954</v>
          </cell>
        </row>
        <row r="35">
          <cell r="O35">
            <v>422179</v>
          </cell>
        </row>
        <row r="37">
          <cell r="O37">
            <v>101112</v>
          </cell>
        </row>
      </sheetData>
      <sheetData sheetId="40" refreshError="1"/>
      <sheetData sheetId="41">
        <row r="79">
          <cell r="P79">
            <v>-29269976</v>
          </cell>
        </row>
      </sheetData>
      <sheetData sheetId="42">
        <row r="111">
          <cell r="T111">
            <v>4001586</v>
          </cell>
        </row>
        <row r="114">
          <cell r="R114">
            <v>-66033425</v>
          </cell>
        </row>
        <row r="115">
          <cell r="T115">
            <v>-3066510</v>
          </cell>
        </row>
        <row r="122">
          <cell r="R122">
            <v>-73883100.904109597</v>
          </cell>
        </row>
        <row r="227">
          <cell r="AE227">
            <v>-3704475</v>
          </cell>
        </row>
        <row r="322">
          <cell r="AM322">
            <v>3495043</v>
          </cell>
        </row>
        <row r="336">
          <cell r="AM336">
            <v>-3066510</v>
          </cell>
        </row>
      </sheetData>
      <sheetData sheetId="43" refreshError="1"/>
      <sheetData sheetId="44" refreshError="1"/>
      <sheetData sheetId="45">
        <row r="22">
          <cell r="G22">
            <v>30456</v>
          </cell>
        </row>
        <row r="30">
          <cell r="I30">
            <v>33063474</v>
          </cell>
        </row>
      </sheetData>
      <sheetData sheetId="46">
        <row r="17">
          <cell r="N17">
            <v>70672933</v>
          </cell>
        </row>
        <row r="18">
          <cell r="N18">
            <v>40470602</v>
          </cell>
        </row>
        <row r="19">
          <cell r="N19">
            <v>310224</v>
          </cell>
        </row>
        <row r="25">
          <cell r="N25">
            <v>336370</v>
          </cell>
        </row>
        <row r="26">
          <cell r="N26">
            <v>372572</v>
          </cell>
        </row>
        <row r="27">
          <cell r="N27">
            <v>708942</v>
          </cell>
        </row>
        <row r="30">
          <cell r="N30">
            <v>40470602</v>
          </cell>
        </row>
        <row r="31">
          <cell r="N31">
            <v>565774</v>
          </cell>
        </row>
        <row r="32">
          <cell r="N32">
            <v>41036376</v>
          </cell>
        </row>
        <row r="33">
          <cell r="N33">
            <v>535852</v>
          </cell>
        </row>
        <row r="34">
          <cell r="N34">
            <v>8313881</v>
          </cell>
        </row>
        <row r="35">
          <cell r="N35">
            <v>4354792</v>
          </cell>
        </row>
        <row r="36">
          <cell r="N36">
            <v>389010</v>
          </cell>
        </row>
        <row r="37">
          <cell r="N37">
            <v>399560</v>
          </cell>
        </row>
        <row r="38">
          <cell r="N38">
            <v>6649851</v>
          </cell>
        </row>
        <row r="39">
          <cell r="N39">
            <v>407760</v>
          </cell>
        </row>
        <row r="42">
          <cell r="N42">
            <v>19004235</v>
          </cell>
        </row>
        <row r="47">
          <cell r="N47">
            <v>4686340</v>
          </cell>
        </row>
      </sheetData>
      <sheetData sheetId="47" refreshError="1"/>
      <sheetData sheetId="48" refreshError="1"/>
      <sheetData sheetId="49" refreshError="1"/>
      <sheetData sheetId="50">
        <row r="134">
          <cell r="J134">
            <v>258339</v>
          </cell>
        </row>
        <row r="135">
          <cell r="J135">
            <v>1332086</v>
          </cell>
        </row>
        <row r="136">
          <cell r="J136">
            <v>175613</v>
          </cell>
        </row>
        <row r="137">
          <cell r="J137">
            <v>-10975</v>
          </cell>
        </row>
        <row r="138">
          <cell r="J138">
            <v>620320</v>
          </cell>
        </row>
        <row r="139">
          <cell r="J139">
            <v>1294237</v>
          </cell>
        </row>
        <row r="140">
          <cell r="J140">
            <v>2896126</v>
          </cell>
        </row>
        <row r="145">
          <cell r="J145">
            <v>1128603</v>
          </cell>
        </row>
        <row r="146">
          <cell r="J146">
            <v>34344</v>
          </cell>
        </row>
        <row r="147">
          <cell r="J147">
            <v>647372</v>
          </cell>
        </row>
        <row r="148">
          <cell r="J148">
            <v>17493</v>
          </cell>
        </row>
        <row r="149">
          <cell r="J149">
            <v>-24928</v>
          </cell>
        </row>
        <row r="171">
          <cell r="J171">
            <v>187499</v>
          </cell>
        </row>
        <row r="172">
          <cell r="J172">
            <v>950</v>
          </cell>
        </row>
        <row r="173">
          <cell r="J173">
            <v>4250853</v>
          </cell>
        </row>
        <row r="174">
          <cell r="J174">
            <v>0</v>
          </cell>
        </row>
        <row r="175">
          <cell r="J175">
            <v>1171882</v>
          </cell>
        </row>
        <row r="270">
          <cell r="J270">
            <v>4307700</v>
          </cell>
        </row>
        <row r="273">
          <cell r="J273">
            <v>620302</v>
          </cell>
        </row>
      </sheetData>
      <sheetData sheetId="51">
        <row r="230">
          <cell r="AE230">
            <v>-53783</v>
          </cell>
        </row>
        <row r="231">
          <cell r="W231">
            <v>-1227152</v>
          </cell>
        </row>
        <row r="234">
          <cell r="Y234">
            <v>70692</v>
          </cell>
        </row>
        <row r="242">
          <cell r="AE242">
            <v>-241662</v>
          </cell>
        </row>
        <row r="295">
          <cell r="Y295">
            <v>-966</v>
          </cell>
        </row>
        <row r="296">
          <cell r="Y296">
            <v>-29240</v>
          </cell>
        </row>
        <row r="299">
          <cell r="Y299">
            <v>-202083</v>
          </cell>
        </row>
        <row r="364">
          <cell r="U364">
            <v>-583357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27">
          <cell r="J27">
            <v>-1037127</v>
          </cell>
        </row>
        <row r="50">
          <cell r="U50">
            <v>929348</v>
          </cell>
          <cell r="V50">
            <v>15932171</v>
          </cell>
          <cell r="W50">
            <v>3179841</v>
          </cell>
        </row>
        <row r="53">
          <cell r="U53">
            <v>-595582</v>
          </cell>
          <cell r="V53">
            <v>-739819</v>
          </cell>
          <cell r="W53">
            <v>345235</v>
          </cell>
          <cell r="X53">
            <v>-46959.495999999999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>
        <row r="22">
          <cell r="Q22">
            <v>-8610382</v>
          </cell>
        </row>
        <row r="25">
          <cell r="Q25">
            <v>234602</v>
          </cell>
        </row>
        <row r="29">
          <cell r="Q29">
            <v>-9503788</v>
          </cell>
        </row>
        <row r="32">
          <cell r="Q32">
            <v>716846</v>
          </cell>
        </row>
        <row r="33">
          <cell r="Q33">
            <v>1328808</v>
          </cell>
        </row>
        <row r="65">
          <cell r="Q65">
            <v>-6777000</v>
          </cell>
        </row>
        <row r="99">
          <cell r="Q99">
            <v>872168</v>
          </cell>
        </row>
        <row r="105">
          <cell r="Q105">
            <v>632684</v>
          </cell>
        </row>
        <row r="118">
          <cell r="Q118">
            <v>4926344</v>
          </cell>
        </row>
        <row r="120">
          <cell r="Q120">
            <v>1417793</v>
          </cell>
        </row>
        <row r="121">
          <cell r="Q121">
            <v>-72079</v>
          </cell>
        </row>
        <row r="122">
          <cell r="Q122">
            <v>-630436</v>
          </cell>
        </row>
        <row r="123">
          <cell r="Q123">
            <v>15664</v>
          </cell>
        </row>
        <row r="125">
          <cell r="Q125">
            <v>730942</v>
          </cell>
        </row>
        <row r="127">
          <cell r="Q127">
            <v>-60747</v>
          </cell>
        </row>
        <row r="254">
          <cell r="AJ254">
            <v>0.99370000000000003</v>
          </cell>
        </row>
      </sheetData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>
        <row r="17">
          <cell r="G17">
            <v>861861344</v>
          </cell>
          <cell r="K17">
            <v>0.10299999999999999</v>
          </cell>
        </row>
        <row r="18">
          <cell r="G18">
            <v>794320510</v>
          </cell>
          <cell r="K18">
            <v>3.8429999999999999E-2</v>
          </cell>
        </row>
        <row r="19">
          <cell r="G19">
            <v>43936209</v>
          </cell>
          <cell r="K19">
            <v>1.6670000000000001E-2</v>
          </cell>
        </row>
      </sheetData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38" Type="http://schemas.openxmlformats.org/officeDocument/2006/relationships/ctrlProp" Target="../ctrlProps/ctrlProp135.xml"/><Relationship Id="rId154" Type="http://schemas.openxmlformats.org/officeDocument/2006/relationships/ctrlProp" Target="../ctrlProps/ctrlProp151.xml"/><Relationship Id="rId159" Type="http://schemas.openxmlformats.org/officeDocument/2006/relationships/ctrlProp" Target="../ctrlProps/ctrlProp156.xml"/><Relationship Id="rId175" Type="http://schemas.openxmlformats.org/officeDocument/2006/relationships/ctrlProp" Target="../ctrlProps/ctrlProp172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28" Type="http://schemas.openxmlformats.org/officeDocument/2006/relationships/ctrlProp" Target="../ctrlProps/ctrlProp125.xml"/><Relationship Id="rId144" Type="http://schemas.openxmlformats.org/officeDocument/2006/relationships/ctrlProp" Target="../ctrlProps/ctrlProp141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65" Type="http://schemas.openxmlformats.org/officeDocument/2006/relationships/ctrlProp" Target="../ctrlProps/ctrlProp162.xml"/><Relationship Id="rId181" Type="http://schemas.openxmlformats.org/officeDocument/2006/relationships/ctrlProp" Target="../ctrlProps/ctrlProp178.xml"/><Relationship Id="rId186" Type="http://schemas.openxmlformats.org/officeDocument/2006/relationships/ctrlProp" Target="../ctrlProps/ctrlProp183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134" Type="http://schemas.openxmlformats.org/officeDocument/2006/relationships/ctrlProp" Target="../ctrlProps/ctrlProp131.xml"/><Relationship Id="rId139" Type="http://schemas.openxmlformats.org/officeDocument/2006/relationships/ctrlProp" Target="../ctrlProps/ctrlProp13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55" Type="http://schemas.openxmlformats.org/officeDocument/2006/relationships/ctrlProp" Target="../ctrlProps/ctrlProp152.xml"/><Relationship Id="rId171" Type="http://schemas.openxmlformats.org/officeDocument/2006/relationships/ctrlProp" Target="../ctrlProps/ctrlProp168.xml"/><Relationship Id="rId176" Type="http://schemas.openxmlformats.org/officeDocument/2006/relationships/ctrlProp" Target="../ctrlProps/ctrlProp173.xml"/><Relationship Id="rId192" Type="http://schemas.openxmlformats.org/officeDocument/2006/relationships/ctrlProp" Target="../ctrlProps/ctrlProp189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24" Type="http://schemas.openxmlformats.org/officeDocument/2006/relationships/ctrlProp" Target="../ctrlProps/ctrlProp121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45" Type="http://schemas.openxmlformats.org/officeDocument/2006/relationships/ctrlProp" Target="../ctrlProps/ctrlProp142.xml"/><Relationship Id="rId161" Type="http://schemas.openxmlformats.org/officeDocument/2006/relationships/ctrlProp" Target="../ctrlProps/ctrlProp158.xml"/><Relationship Id="rId166" Type="http://schemas.openxmlformats.org/officeDocument/2006/relationships/ctrlProp" Target="../ctrlProps/ctrlProp163.xml"/><Relationship Id="rId182" Type="http://schemas.openxmlformats.org/officeDocument/2006/relationships/ctrlProp" Target="../ctrlProps/ctrlProp179.xml"/><Relationship Id="rId187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51" Type="http://schemas.openxmlformats.org/officeDocument/2006/relationships/ctrlProp" Target="../ctrlProps/ctrlProp148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72" Type="http://schemas.openxmlformats.org/officeDocument/2006/relationships/ctrlProp" Target="../ctrlProps/ctrlProp169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141" Type="http://schemas.openxmlformats.org/officeDocument/2006/relationships/ctrlProp" Target="../ctrlProps/ctrlProp138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79" Type="http://schemas.openxmlformats.org/officeDocument/2006/relationships/ctrlProp" Target="../ctrlProps/ctrlProp176.xml"/><Relationship Id="rId190" Type="http://schemas.openxmlformats.org/officeDocument/2006/relationships/ctrlProp" Target="../ctrlProps/ctrlProp187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M29"/>
  <sheetViews>
    <sheetView topLeftCell="F1" zoomScale="70" zoomScaleNormal="70" workbookViewId="0">
      <selection activeCell="I25" sqref="I25"/>
    </sheetView>
  </sheetViews>
  <sheetFormatPr defaultColWidth="8.765625" defaultRowHeight="15.5"/>
  <cols>
    <col min="1" max="1" width="10.765625" style="1284" customWidth="1"/>
    <col min="2" max="2" width="17.765625" style="1284" bestFit="1" customWidth="1"/>
    <col min="3" max="3" width="66.07421875" style="1284" bestFit="1" customWidth="1"/>
    <col min="4" max="4" width="3.765625" style="1284" customWidth="1"/>
    <col min="5" max="5" width="31.23046875" style="1284" bestFit="1" customWidth="1"/>
    <col min="6" max="6" width="3.765625" style="1284" customWidth="1"/>
    <col min="7" max="7" width="63.23046875" style="1284" bestFit="1" customWidth="1"/>
    <col min="8" max="8" width="3.765625" style="1284" customWidth="1"/>
    <col min="9" max="9" width="66.765625" style="1284" bestFit="1" customWidth="1"/>
    <col min="10" max="10" width="3.765625" style="1284" customWidth="1"/>
    <col min="11" max="11" width="28.53515625" style="1284" bestFit="1" customWidth="1"/>
    <col min="12" max="12" width="8.765625" style="1284"/>
    <col min="13" max="13" width="22.53515625" style="1284" bestFit="1" customWidth="1"/>
    <col min="14" max="16384" width="8.765625" style="1284"/>
  </cols>
  <sheetData>
    <row r="1" spans="1:13">
      <c r="B1" s="1285"/>
      <c r="C1" s="1286"/>
      <c r="D1" s="1286"/>
      <c r="E1" s="1286"/>
      <c r="F1" s="1286"/>
      <c r="G1" s="1286"/>
      <c r="H1" s="1286"/>
      <c r="I1" s="1286"/>
      <c r="J1" s="1286"/>
      <c r="K1" s="1286"/>
      <c r="L1" s="1285"/>
      <c r="M1" s="1285"/>
    </row>
    <row r="2" spans="1:13">
      <c r="B2" s="1285"/>
      <c r="C2" s="1286"/>
      <c r="D2" s="1286"/>
      <c r="E2" s="1286"/>
      <c r="F2" s="1286"/>
      <c r="G2" s="1286"/>
      <c r="H2" s="1286"/>
      <c r="I2" s="1286"/>
      <c r="J2" s="1286"/>
      <c r="K2" s="1286"/>
      <c r="L2" s="1285"/>
      <c r="M2" s="1285"/>
    </row>
    <row r="3" spans="1:13">
      <c r="A3" s="1287" t="s">
        <v>1245</v>
      </c>
      <c r="B3" s="1288"/>
      <c r="C3" s="1289"/>
      <c r="D3" s="1286"/>
      <c r="E3" s="1290" t="s">
        <v>803</v>
      </c>
      <c r="F3" s="1286"/>
      <c r="G3" s="1286"/>
      <c r="H3" s="1286"/>
      <c r="I3" s="1286"/>
      <c r="J3" s="1286"/>
      <c r="K3" s="1286"/>
      <c r="L3" s="1285"/>
      <c r="M3" s="1285"/>
    </row>
    <row r="4" spans="1:13">
      <c r="A4" s="1291" t="s">
        <v>1246</v>
      </c>
      <c r="B4" s="1291" t="s">
        <v>1247</v>
      </c>
      <c r="C4" s="1292" t="s">
        <v>804</v>
      </c>
      <c r="D4" s="1290"/>
      <c r="E4" s="1290" t="s">
        <v>805</v>
      </c>
      <c r="F4" s="1290"/>
      <c r="G4" s="1290" t="s">
        <v>806</v>
      </c>
      <c r="H4" s="1290"/>
      <c r="I4" s="1290" t="s">
        <v>807</v>
      </c>
      <c r="J4" s="1290"/>
      <c r="K4" s="1293" t="s">
        <v>808</v>
      </c>
      <c r="L4" s="1290"/>
      <c r="M4" s="1290" t="s">
        <v>809</v>
      </c>
    </row>
    <row r="5" spans="1:13" ht="46.5">
      <c r="A5" s="1284" t="s">
        <v>861</v>
      </c>
      <c r="B5" s="1285" t="s">
        <v>868</v>
      </c>
      <c r="C5" s="1294" t="s">
        <v>560</v>
      </c>
      <c r="D5" s="1286"/>
      <c r="E5" s="1295" t="s">
        <v>1231</v>
      </c>
      <c r="F5" s="1286"/>
      <c r="G5" s="1286" t="s">
        <v>860</v>
      </c>
      <c r="H5" s="1286"/>
      <c r="I5" s="1286" t="s">
        <v>810</v>
      </c>
      <c r="J5" s="1286"/>
      <c r="K5" s="1286" t="s">
        <v>811</v>
      </c>
      <c r="L5" s="1285"/>
      <c r="M5" s="1285"/>
    </row>
    <row r="6" spans="1:13">
      <c r="A6" s="1284" t="s">
        <v>864</v>
      </c>
      <c r="B6" s="1285" t="s">
        <v>867</v>
      </c>
      <c r="C6" s="1296" t="s">
        <v>863</v>
      </c>
      <c r="D6" s="1286"/>
      <c r="E6" s="1295" t="s">
        <v>812</v>
      </c>
      <c r="F6" s="1286"/>
      <c r="G6" s="1286" t="s">
        <v>862</v>
      </c>
      <c r="H6" s="1286"/>
      <c r="I6" s="1286" t="s">
        <v>810</v>
      </c>
      <c r="J6" s="1286"/>
      <c r="K6" s="1286" t="s">
        <v>811</v>
      </c>
      <c r="L6" s="1285"/>
      <c r="M6" s="1285"/>
    </row>
    <row r="7" spans="1:13">
      <c r="A7" s="1284" t="s">
        <v>865</v>
      </c>
      <c r="B7" s="1285" t="s">
        <v>1232</v>
      </c>
      <c r="C7" s="1296" t="s">
        <v>826</v>
      </c>
      <c r="D7" s="1286"/>
      <c r="E7" s="1295"/>
      <c r="F7" s="1286"/>
      <c r="G7" s="1286" t="s">
        <v>866</v>
      </c>
      <c r="H7" s="1286"/>
      <c r="I7" s="1286" t="s">
        <v>810</v>
      </c>
      <c r="J7" s="1286"/>
      <c r="K7" s="1286" t="s">
        <v>811</v>
      </c>
      <c r="L7" s="1285"/>
      <c r="M7" s="1285"/>
    </row>
    <row r="8" spans="1:13">
      <c r="A8" s="1284" t="s">
        <v>865</v>
      </c>
      <c r="B8" s="1285" t="s">
        <v>1233</v>
      </c>
      <c r="C8" s="1295" t="s">
        <v>869</v>
      </c>
      <c r="D8" s="1286"/>
      <c r="E8" s="1295"/>
      <c r="F8" s="1286"/>
      <c r="G8" s="1286" t="s">
        <v>822</v>
      </c>
      <c r="H8" s="1286"/>
      <c r="I8" s="1286" t="s">
        <v>814</v>
      </c>
      <c r="J8" s="1286"/>
      <c r="K8" s="1286" t="s">
        <v>870</v>
      </c>
      <c r="L8" s="1285"/>
      <c r="M8" s="1285"/>
    </row>
    <row r="9" spans="1:13" ht="31">
      <c r="A9" s="1284" t="s">
        <v>871</v>
      </c>
      <c r="B9" s="1285" t="s">
        <v>867</v>
      </c>
      <c r="C9" s="1294" t="s">
        <v>828</v>
      </c>
      <c r="E9" s="1297" t="s">
        <v>296</v>
      </c>
      <c r="G9" s="1298" t="s">
        <v>872</v>
      </c>
      <c r="I9" s="1298" t="s">
        <v>1248</v>
      </c>
      <c r="K9" s="1298" t="s">
        <v>1249</v>
      </c>
      <c r="L9" s="1285"/>
      <c r="M9" s="1285"/>
    </row>
    <row r="10" spans="1:13">
      <c r="A10" s="1284" t="s">
        <v>873</v>
      </c>
      <c r="B10" s="1285" t="s">
        <v>1234</v>
      </c>
      <c r="C10" s="1294" t="s">
        <v>830</v>
      </c>
      <c r="E10" s="1295" t="s">
        <v>813</v>
      </c>
      <c r="G10" s="1298" t="s">
        <v>874</v>
      </c>
      <c r="I10" s="1286" t="s">
        <v>1250</v>
      </c>
      <c r="K10" s="1286" t="s">
        <v>811</v>
      </c>
      <c r="L10" s="1285"/>
      <c r="M10" s="1285"/>
    </row>
    <row r="11" spans="1:13">
      <c r="A11" s="1284" t="s">
        <v>873</v>
      </c>
      <c r="B11" s="1285" t="s">
        <v>1235</v>
      </c>
      <c r="C11" s="1294" t="s">
        <v>829</v>
      </c>
      <c r="D11" s="1286"/>
      <c r="E11" s="1295" t="s">
        <v>813</v>
      </c>
      <c r="F11" s="1286"/>
      <c r="G11" s="1298" t="s">
        <v>875</v>
      </c>
      <c r="H11" s="1286"/>
      <c r="I11" s="1286" t="s">
        <v>1250</v>
      </c>
      <c r="J11" s="1286"/>
      <c r="K11" s="1286" t="s">
        <v>811</v>
      </c>
      <c r="L11" s="1285"/>
      <c r="M11" s="1285"/>
    </row>
    <row r="12" spans="1:13">
      <c r="A12" s="1284" t="s">
        <v>873</v>
      </c>
      <c r="B12" s="1285" t="s">
        <v>1236</v>
      </c>
      <c r="C12" s="1294" t="s">
        <v>831</v>
      </c>
      <c r="D12" s="1286"/>
      <c r="E12" s="1295" t="s">
        <v>813</v>
      </c>
      <c r="F12" s="1286"/>
      <c r="G12" s="1298" t="s">
        <v>876</v>
      </c>
      <c r="H12" s="1298"/>
      <c r="I12" s="1310" t="s">
        <v>891</v>
      </c>
      <c r="J12" s="1298"/>
      <c r="K12" s="1298" t="s">
        <v>1251</v>
      </c>
      <c r="L12" s="1285" t="s">
        <v>1265</v>
      </c>
      <c r="M12" s="1285"/>
    </row>
    <row r="13" spans="1:13">
      <c r="A13" s="1284" t="s">
        <v>878</v>
      </c>
      <c r="B13" s="1285" t="s">
        <v>880</v>
      </c>
      <c r="C13" s="1296" t="s">
        <v>832</v>
      </c>
      <c r="D13" s="1286"/>
      <c r="E13" s="1295" t="s">
        <v>813</v>
      </c>
      <c r="F13" s="1286"/>
      <c r="G13" s="1298" t="s">
        <v>877</v>
      </c>
      <c r="H13" s="1298"/>
      <c r="I13" s="1310" t="s">
        <v>892</v>
      </c>
      <c r="J13" s="1298"/>
      <c r="K13" s="1298" t="s">
        <v>1251</v>
      </c>
      <c r="L13" s="1285" t="s">
        <v>1265</v>
      </c>
      <c r="M13" s="1285"/>
    </row>
    <row r="14" spans="1:13">
      <c r="A14" s="1284" t="s">
        <v>879</v>
      </c>
      <c r="B14" s="1285" t="s">
        <v>881</v>
      </c>
      <c r="C14" s="1296" t="s">
        <v>833</v>
      </c>
      <c r="D14" s="1286"/>
      <c r="E14" s="1295" t="s">
        <v>813</v>
      </c>
      <c r="F14" s="1286"/>
      <c r="G14" s="1298" t="s">
        <v>882</v>
      </c>
      <c r="H14" s="1298"/>
      <c r="I14" s="1310" t="s">
        <v>893</v>
      </c>
      <c r="J14" s="1298"/>
      <c r="K14" s="1298" t="s">
        <v>1251</v>
      </c>
      <c r="L14" s="1285" t="s">
        <v>1265</v>
      </c>
      <c r="M14" s="1285"/>
    </row>
    <row r="15" spans="1:13">
      <c r="A15" s="1284" t="s">
        <v>883</v>
      </c>
      <c r="B15" s="1285" t="s">
        <v>867</v>
      </c>
      <c r="C15" s="1296" t="s">
        <v>834</v>
      </c>
      <c r="D15" s="1286"/>
      <c r="E15" s="1295" t="s">
        <v>813</v>
      </c>
      <c r="F15" s="1286"/>
      <c r="G15" s="1286" t="s">
        <v>885</v>
      </c>
      <c r="H15" s="1286"/>
      <c r="I15" s="1298" t="s">
        <v>884</v>
      </c>
      <c r="J15" s="1298"/>
      <c r="K15" s="1298" t="s">
        <v>815</v>
      </c>
      <c r="L15" s="1285"/>
      <c r="M15" s="1285"/>
    </row>
    <row r="16" spans="1:13">
      <c r="A16" s="1284" t="s">
        <v>886</v>
      </c>
      <c r="B16" s="1285" t="s">
        <v>867</v>
      </c>
      <c r="C16" s="1296" t="s">
        <v>835</v>
      </c>
      <c r="D16" s="1286"/>
      <c r="E16" s="1295" t="s">
        <v>813</v>
      </c>
      <c r="F16" s="1286"/>
      <c r="G16" s="1286" t="s">
        <v>887</v>
      </c>
      <c r="H16" s="1286"/>
      <c r="I16" s="1286" t="s">
        <v>1252</v>
      </c>
      <c r="J16" s="1286"/>
      <c r="K16" s="1286" t="s">
        <v>1253</v>
      </c>
      <c r="L16" s="1285"/>
      <c r="M16" s="1285"/>
    </row>
    <row r="17" spans="1:13">
      <c r="A17" s="1284" t="s">
        <v>1237</v>
      </c>
      <c r="B17" s="1285" t="s">
        <v>888</v>
      </c>
      <c r="C17" s="1296" t="s">
        <v>836</v>
      </c>
      <c r="D17" s="1286"/>
      <c r="E17" s="1295" t="s">
        <v>813</v>
      </c>
      <c r="F17" s="1286"/>
      <c r="G17" s="1286" t="s">
        <v>889</v>
      </c>
      <c r="H17" s="1286"/>
      <c r="I17" s="1286" t="s">
        <v>890</v>
      </c>
      <c r="J17" s="1286"/>
      <c r="K17" s="1286" t="s">
        <v>894</v>
      </c>
      <c r="L17" s="1285"/>
      <c r="M17" s="1285"/>
    </row>
    <row r="18" spans="1:13">
      <c r="A18" s="1284" t="s">
        <v>1238</v>
      </c>
      <c r="B18" s="1299" t="s">
        <v>601</v>
      </c>
      <c r="C18" s="1300" t="s">
        <v>1240</v>
      </c>
      <c r="D18" s="1301"/>
      <c r="E18" s="1299" t="s">
        <v>813</v>
      </c>
      <c r="F18" s="1307"/>
      <c r="G18" s="1300" t="str">
        <f>C18</f>
        <v>Computation Of The Rate Increase Amount By Rate Class</v>
      </c>
      <c r="H18" s="1308"/>
      <c r="I18" s="1300" t="s">
        <v>1241</v>
      </c>
      <c r="J18" s="1307"/>
      <c r="K18" s="1300" t="s">
        <v>1242</v>
      </c>
      <c r="L18" s="1308"/>
      <c r="M18" s="1309"/>
    </row>
    <row r="19" spans="1:13" ht="31">
      <c r="A19" s="1284" t="s">
        <v>1239</v>
      </c>
      <c r="B19" s="1299" t="s">
        <v>601</v>
      </c>
      <c r="C19" s="1302" t="s">
        <v>1243</v>
      </c>
      <c r="D19" s="1301"/>
      <c r="E19" s="1299" t="s">
        <v>813</v>
      </c>
      <c r="F19" s="1299"/>
      <c r="G19" s="1300" t="str">
        <f>C19</f>
        <v>Cost of Service Study - Computation of Present Total Return Earned (Present NOI)</v>
      </c>
      <c r="H19" s="1301"/>
      <c r="I19" s="1300" t="s">
        <v>1244</v>
      </c>
      <c r="J19" s="1299"/>
      <c r="K19" s="1300" t="s">
        <v>811</v>
      </c>
      <c r="L19" s="1303"/>
      <c r="M19" s="1304"/>
    </row>
    <row r="20" spans="1:13">
      <c r="B20" s="1285"/>
      <c r="C20" s="1286"/>
      <c r="D20" s="1286"/>
      <c r="E20" s="1286"/>
      <c r="F20" s="1286"/>
      <c r="G20" s="1286"/>
      <c r="H20" s="1286"/>
      <c r="I20" s="1305"/>
      <c r="J20" s="1286"/>
      <c r="K20" s="1286"/>
      <c r="L20" s="1285"/>
      <c r="M20" s="1285"/>
    </row>
    <row r="21" spans="1:13">
      <c r="B21" s="1285"/>
      <c r="C21" s="1286"/>
      <c r="D21" s="1286"/>
      <c r="E21" s="1286"/>
      <c r="F21" s="1286"/>
      <c r="G21" s="1286"/>
      <c r="H21" s="1286"/>
      <c r="I21" s="1286"/>
      <c r="J21" s="1286"/>
      <c r="K21" s="1286"/>
      <c r="L21" s="1285"/>
      <c r="M21" s="1285"/>
    </row>
    <row r="22" spans="1:13">
      <c r="B22" s="1285"/>
      <c r="C22" s="1286"/>
      <c r="D22" s="1286"/>
      <c r="E22" s="1286"/>
      <c r="F22" s="1286"/>
      <c r="G22" s="1286"/>
      <c r="H22" s="1286"/>
      <c r="I22" s="1305"/>
      <c r="J22" s="1286"/>
      <c r="K22" s="1286"/>
      <c r="L22" s="1285"/>
      <c r="M22" s="1285"/>
    </row>
    <row r="23" spans="1:13">
      <c r="B23" s="1285"/>
      <c r="C23" s="1286"/>
      <c r="D23" s="1286"/>
      <c r="E23" s="1286"/>
      <c r="F23" s="1286"/>
      <c r="G23" s="1286"/>
      <c r="H23" s="1286"/>
      <c r="I23" s="1305"/>
      <c r="J23" s="1286"/>
      <c r="K23" s="1286"/>
      <c r="L23" s="1285"/>
      <c r="M23" s="1285"/>
    </row>
    <row r="24" spans="1:13">
      <c r="B24" s="1285"/>
      <c r="C24" s="1286"/>
      <c r="D24" s="1286"/>
      <c r="E24" s="1286"/>
      <c r="F24" s="1286"/>
      <c r="G24" s="1286"/>
      <c r="H24" s="1286"/>
      <c r="I24" s="1286"/>
      <c r="J24" s="1286"/>
      <c r="K24" s="1286"/>
      <c r="L24" s="1285"/>
      <c r="M24" s="1285"/>
    </row>
    <row r="25" spans="1:13">
      <c r="B25" s="1285"/>
      <c r="C25" s="1286"/>
      <c r="D25" s="1286"/>
      <c r="E25" s="1286"/>
      <c r="F25" s="1286"/>
      <c r="G25" s="1286"/>
      <c r="H25" s="1286"/>
      <c r="I25" s="1305"/>
      <c r="J25" s="1286"/>
      <c r="K25" s="1286"/>
      <c r="L25" s="1285"/>
      <c r="M25" s="1285"/>
    </row>
    <row r="26" spans="1:13">
      <c r="B26" s="1285"/>
      <c r="C26" s="1286"/>
      <c r="D26" s="1286"/>
      <c r="E26" s="1286"/>
      <c r="F26" s="1286"/>
      <c r="G26" s="1286"/>
      <c r="H26" s="1286"/>
      <c r="I26" s="1305"/>
      <c r="J26" s="1286"/>
      <c r="K26" s="1286"/>
      <c r="L26" s="1285"/>
      <c r="M26" s="1285"/>
    </row>
    <row r="27" spans="1:13">
      <c r="B27" s="1285"/>
      <c r="C27" s="1286"/>
      <c r="D27" s="1286"/>
      <c r="E27" s="1286"/>
      <c r="F27" s="1286"/>
      <c r="G27" s="1286"/>
      <c r="H27" s="1286"/>
      <c r="I27" s="1305"/>
      <c r="J27" s="1286"/>
      <c r="K27" s="1286"/>
      <c r="L27" s="1285"/>
      <c r="M27" s="1285"/>
    </row>
    <row r="28" spans="1:13">
      <c r="B28" s="1285"/>
      <c r="C28" s="1286"/>
      <c r="D28" s="1286"/>
      <c r="E28" s="1286"/>
      <c r="F28" s="1286"/>
      <c r="G28" s="1286"/>
      <c r="H28" s="1286"/>
      <c r="I28" s="1305"/>
      <c r="J28" s="1286"/>
      <c r="K28" s="1286"/>
      <c r="L28" s="1285"/>
      <c r="M28" s="1285"/>
    </row>
    <row r="29" spans="1:13">
      <c r="B29" s="1285"/>
      <c r="C29" s="1306"/>
      <c r="D29" s="1286"/>
      <c r="E29" s="1286"/>
      <c r="F29" s="1286"/>
      <c r="G29" s="1286"/>
      <c r="H29" s="1286"/>
      <c r="I29" s="1305"/>
      <c r="J29" s="1286"/>
      <c r="K29" s="1286"/>
      <c r="L29" s="1285"/>
      <c r="M29" s="1285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9">
    <tabColor rgb="FF7030A0"/>
    <pageSetUpPr fitToPage="1"/>
  </sheetPr>
  <dimension ref="A1:Q900"/>
  <sheetViews>
    <sheetView topLeftCell="A555" zoomScale="80" zoomScaleNormal="80" zoomScaleSheetLayoutView="80" workbookViewId="0"/>
  </sheetViews>
  <sheetFormatPr defaultColWidth="8.765625" defaultRowHeight="12.5"/>
  <cols>
    <col min="1" max="1" width="6.4609375" style="330" customWidth="1"/>
    <col min="2" max="2" width="3.53515625" style="330" customWidth="1"/>
    <col min="3" max="3" width="39.23046875" style="330" customWidth="1"/>
    <col min="4" max="4" width="7.53515625" style="331" customWidth="1"/>
    <col min="5" max="5" width="7.765625" style="330" customWidth="1"/>
    <col min="6" max="6" width="13.765625" style="330" customWidth="1"/>
    <col min="7" max="8" width="11.765625" style="330" customWidth="1"/>
    <col min="9" max="9" width="11.765625" style="351" customWidth="1"/>
    <col min="10" max="11" width="11.765625" style="330" customWidth="1"/>
    <col min="12" max="12" width="12.765625" style="330" customWidth="1"/>
    <col min="13" max="16384" width="8.765625" style="330"/>
  </cols>
  <sheetData>
    <row r="1" spans="1:12" ht="13">
      <c r="A1" s="341" t="str">
        <f>co_name</f>
        <v>DUKE ENERGY KENTUCKY, INC.</v>
      </c>
      <c r="C1" s="195"/>
      <c r="D1" s="342"/>
      <c r="E1" s="195"/>
      <c r="G1" s="195"/>
      <c r="H1" s="195"/>
      <c r="I1" s="340"/>
      <c r="K1" s="1187" t="s">
        <v>1457</v>
      </c>
      <c r="L1" s="195"/>
    </row>
    <row r="2" spans="1:12" ht="13">
      <c r="A2" s="577" t="s">
        <v>1202</v>
      </c>
      <c r="C2" s="195"/>
      <c r="D2" s="342"/>
      <c r="E2" s="195"/>
      <c r="F2" s="342"/>
      <c r="G2" s="195"/>
      <c r="H2" s="195"/>
      <c r="I2" s="340"/>
      <c r="K2" s="1187" t="s">
        <v>435</v>
      </c>
      <c r="L2" s="195"/>
    </row>
    <row r="3" spans="1:12" ht="13">
      <c r="A3" s="341" t="str">
        <f>case_name</f>
        <v>CASE NO: 2021-00190</v>
      </c>
      <c r="C3" s="195"/>
      <c r="D3" s="342"/>
      <c r="E3" s="195"/>
      <c r="F3" s="342"/>
      <c r="G3" s="195"/>
      <c r="H3" s="195"/>
      <c r="I3" s="340"/>
      <c r="K3" s="359" t="str">
        <f>Witness</f>
        <v>JAMES E. ZIOLKOWSKI</v>
      </c>
      <c r="L3" s="195"/>
    </row>
    <row r="4" spans="1:12" ht="13">
      <c r="A4" s="341" t="str">
        <f>data_filing</f>
        <v>DATA: 12 MONTH FORECASTED PERIOD</v>
      </c>
      <c r="C4" s="195"/>
      <c r="D4" s="342"/>
      <c r="E4" s="195"/>
      <c r="F4" s="342"/>
      <c r="G4" s="195"/>
      <c r="H4" s="195"/>
      <c r="I4" s="340"/>
      <c r="K4" s="359" t="str">
        <f>"PAGE "&amp;Pages-17&amp;" OF "&amp;Pages</f>
        <v>PAGE 1 OF 18</v>
      </c>
      <c r="L4" s="195"/>
    </row>
    <row r="5" spans="1:12" ht="13">
      <c r="A5" s="341" t="str">
        <f>type</f>
        <v xml:space="preserve">TYPE OF FILING: "X" ORIGINAL   UPDATED    REVISED  </v>
      </c>
      <c r="C5" s="195"/>
      <c r="D5" s="342"/>
      <c r="E5" s="195"/>
      <c r="F5" s="342"/>
      <c r="G5" s="195"/>
      <c r="H5" s="195"/>
      <c r="I5" s="340"/>
      <c r="J5" s="342"/>
      <c r="K5" s="195"/>
      <c r="L5" s="195"/>
    </row>
    <row r="6" spans="1:12" ht="13">
      <c r="A6" s="341"/>
      <c r="C6" s="195"/>
      <c r="D6" s="342"/>
      <c r="E6" s="195"/>
      <c r="F6" s="342"/>
      <c r="G6" s="195"/>
      <c r="H6" s="195"/>
      <c r="I6" s="340"/>
      <c r="J6" s="342"/>
      <c r="K6" s="195"/>
      <c r="L6" s="195"/>
    </row>
    <row r="7" spans="1:12" ht="13">
      <c r="A7" s="341"/>
      <c r="C7" s="195"/>
      <c r="D7" s="342"/>
      <c r="E7" s="195"/>
      <c r="F7" s="342" t="s">
        <v>229</v>
      </c>
      <c r="G7" s="195"/>
      <c r="H7" s="195"/>
      <c r="I7" s="340"/>
      <c r="J7" s="342"/>
      <c r="K7" s="195"/>
      <c r="L7" s="195"/>
    </row>
    <row r="8" spans="1:12" ht="13">
      <c r="A8" s="342" t="s">
        <v>907</v>
      </c>
      <c r="B8" s="195"/>
      <c r="C8" s="195"/>
      <c r="D8" s="342"/>
      <c r="E8" s="195"/>
      <c r="F8" s="821" t="s">
        <v>839</v>
      </c>
      <c r="G8" s="352" t="s">
        <v>766</v>
      </c>
      <c r="H8" s="352" t="s">
        <v>1256</v>
      </c>
      <c r="I8" s="352" t="s">
        <v>974</v>
      </c>
      <c r="J8" s="352" t="s">
        <v>546</v>
      </c>
      <c r="K8" s="352" t="s">
        <v>229</v>
      </c>
      <c r="L8" s="342" t="s">
        <v>342</v>
      </c>
    </row>
    <row r="9" spans="1:12" ht="13">
      <c r="A9" s="344" t="s">
        <v>908</v>
      </c>
      <c r="B9" s="343" t="s">
        <v>102</v>
      </c>
      <c r="C9" s="343"/>
      <c r="D9" s="344" t="s">
        <v>337</v>
      </c>
      <c r="E9" s="343"/>
      <c r="F9" s="822" t="s">
        <v>842</v>
      </c>
      <c r="G9" s="353" t="s">
        <v>338</v>
      </c>
      <c r="H9" s="353" t="s">
        <v>404</v>
      </c>
      <c r="I9" s="353" t="s">
        <v>1257</v>
      </c>
      <c r="J9" s="353" t="s">
        <v>547</v>
      </c>
      <c r="K9" s="353" t="s">
        <v>341</v>
      </c>
      <c r="L9" s="344" t="s">
        <v>340</v>
      </c>
    </row>
    <row r="10" spans="1:12" ht="13">
      <c r="C10" s="572" t="s">
        <v>354</v>
      </c>
      <c r="D10" s="342"/>
      <c r="E10" s="195"/>
      <c r="G10" s="780">
        <v>3</v>
      </c>
      <c r="H10" s="780">
        <v>4</v>
      </c>
      <c r="I10" s="780">
        <v>5</v>
      </c>
      <c r="J10" s="780">
        <v>6</v>
      </c>
      <c r="K10" s="351"/>
    </row>
    <row r="11" spans="1:12" ht="13">
      <c r="A11" s="331">
        <v>1</v>
      </c>
      <c r="B11" s="330" t="s">
        <v>100</v>
      </c>
      <c r="D11" s="342"/>
      <c r="E11" s="195"/>
      <c r="G11" s="351"/>
      <c r="H11" s="351"/>
      <c r="J11" s="351"/>
      <c r="K11" s="351"/>
    </row>
    <row r="12" spans="1:12" ht="13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 t="shared" ref="F12:K12" si="0">F101</f>
        <v>287745763</v>
      </c>
      <c r="G12" s="347">
        <f t="shared" si="0"/>
        <v>246256080</v>
      </c>
      <c r="H12" s="347">
        <f t="shared" si="0"/>
        <v>39544534</v>
      </c>
      <c r="I12" s="347">
        <f t="shared" si="0"/>
        <v>1161959</v>
      </c>
      <c r="J12" s="347">
        <f t="shared" si="0"/>
        <v>783190</v>
      </c>
      <c r="K12" s="347">
        <f t="shared" si="0"/>
        <v>287745763</v>
      </c>
      <c r="L12" s="347">
        <f>F12-K12</f>
        <v>0</v>
      </c>
    </row>
    <row r="13" spans="1:12" ht="13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 t="shared" ref="F13:K13" si="1">-F151</f>
        <v>-75120106</v>
      </c>
      <c r="G13" s="347">
        <f t="shared" si="1"/>
        <v>-64501944</v>
      </c>
      <c r="H13" s="347">
        <f t="shared" si="1"/>
        <v>-10333046</v>
      </c>
      <c r="I13" s="347">
        <f t="shared" si="1"/>
        <v>-172677</v>
      </c>
      <c r="J13" s="347">
        <f t="shared" si="1"/>
        <v>-112439</v>
      </c>
      <c r="K13" s="347">
        <f t="shared" si="1"/>
        <v>-75120106</v>
      </c>
      <c r="L13" s="347">
        <f>F13-K13</f>
        <v>0</v>
      </c>
    </row>
    <row r="14" spans="1:12" ht="13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 t="shared" ref="F14:K14" si="2">F326</f>
        <v>-37679274</v>
      </c>
      <c r="G14" s="347">
        <f t="shared" si="2"/>
        <v>-32191285</v>
      </c>
      <c r="H14" s="347">
        <f t="shared" si="2"/>
        <v>-5192674</v>
      </c>
      <c r="I14" s="347">
        <f t="shared" si="2"/>
        <v>-175945</v>
      </c>
      <c r="J14" s="347">
        <f t="shared" si="2"/>
        <v>-119370</v>
      </c>
      <c r="K14" s="347">
        <f t="shared" si="2"/>
        <v>-37679274</v>
      </c>
      <c r="L14" s="347">
        <f>F14-K14</f>
        <v>0</v>
      </c>
    </row>
    <row r="15" spans="1:12" ht="13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3">SUM(F12:F14)</f>
        <v>174946383</v>
      </c>
      <c r="G15" s="346">
        <f t="shared" si="3"/>
        <v>149562851</v>
      </c>
      <c r="H15" s="346">
        <f t="shared" si="3"/>
        <v>24018814</v>
      </c>
      <c r="I15" s="346">
        <f t="shared" si="3"/>
        <v>813337</v>
      </c>
      <c r="J15" s="346">
        <f t="shared" si="3"/>
        <v>551381</v>
      </c>
      <c r="K15" s="346">
        <f t="shared" si="3"/>
        <v>174946383</v>
      </c>
      <c r="L15" s="346">
        <f>F15-K15</f>
        <v>0</v>
      </c>
    </row>
    <row r="16" spans="1:12" ht="13">
      <c r="A16" s="331">
        <v>6</v>
      </c>
      <c r="D16" s="342"/>
      <c r="E16" s="195"/>
      <c r="G16" s="351"/>
      <c r="H16" s="351"/>
      <c r="J16" s="351"/>
      <c r="K16" s="351"/>
      <c r="L16" s="351"/>
    </row>
    <row r="17" spans="1:12" ht="13">
      <c r="A17" s="331">
        <v>7</v>
      </c>
      <c r="B17" s="330" t="s">
        <v>98</v>
      </c>
      <c r="D17" s="342"/>
      <c r="E17" s="195"/>
      <c r="G17" s="351"/>
      <c r="H17" s="351"/>
      <c r="J17" s="351"/>
      <c r="K17" s="351"/>
      <c r="L17" s="351"/>
    </row>
    <row r="18" spans="1:12" ht="13">
      <c r="A18" s="331">
        <v>8</v>
      </c>
      <c r="C18" s="330" t="str">
        <f>'FR-16(7)(v)-1 Functional'!C18</f>
        <v>TOTAL O&amp;M EXPENSE</v>
      </c>
      <c r="D18" s="342"/>
      <c r="E18" s="195"/>
      <c r="F18" s="345">
        <f t="shared" ref="F18:K18" si="4">F433</f>
        <v>9610144</v>
      </c>
      <c r="G18" s="347">
        <f t="shared" si="4"/>
        <v>8637497</v>
      </c>
      <c r="H18" s="347">
        <f t="shared" si="4"/>
        <v>933004</v>
      </c>
      <c r="I18" s="347">
        <f t="shared" si="4"/>
        <v>26022</v>
      </c>
      <c r="J18" s="347">
        <f t="shared" si="4"/>
        <v>13621</v>
      </c>
      <c r="K18" s="347">
        <f t="shared" si="4"/>
        <v>9610144</v>
      </c>
      <c r="L18" s="347">
        <f t="shared" ref="L18:L24" si="5">F18-K18</f>
        <v>0</v>
      </c>
    </row>
    <row r="19" spans="1:12" ht="13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 t="shared" ref="F19:K19" si="6">F465</f>
        <v>7064014</v>
      </c>
      <c r="G19" s="347">
        <f t="shared" si="6"/>
        <v>6082463</v>
      </c>
      <c r="H19" s="347">
        <f t="shared" si="6"/>
        <v>929929</v>
      </c>
      <c r="I19" s="347">
        <f t="shared" si="6"/>
        <v>31029</v>
      </c>
      <c r="J19" s="347">
        <f t="shared" si="6"/>
        <v>20593</v>
      </c>
      <c r="K19" s="347">
        <f t="shared" si="6"/>
        <v>7064014</v>
      </c>
      <c r="L19" s="347">
        <f t="shared" si="5"/>
        <v>0</v>
      </c>
    </row>
    <row r="20" spans="1:12" ht="13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1778626</v>
      </c>
      <c r="G20" s="347">
        <f>$G$495</f>
        <v>1530162</v>
      </c>
      <c r="H20" s="347">
        <f>$H$495</f>
        <v>235370</v>
      </c>
      <c r="I20" s="347">
        <f>$I$495</f>
        <v>7866</v>
      </c>
      <c r="J20" s="347">
        <f>$J$495</f>
        <v>5228</v>
      </c>
      <c r="K20" s="347">
        <f>$K$495</f>
        <v>1778626</v>
      </c>
      <c r="L20" s="347">
        <f t="shared" si="5"/>
        <v>0</v>
      </c>
    </row>
    <row r="21" spans="1:12" ht="13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 t="shared" ref="F21:K21" si="7">SUM(F17:F20)</f>
        <v>18452784</v>
      </c>
      <c r="G21" s="346">
        <f t="shared" si="7"/>
        <v>16250122</v>
      </c>
      <c r="H21" s="346">
        <f t="shared" si="7"/>
        <v>2098303</v>
      </c>
      <c r="I21" s="346">
        <f t="shared" si="7"/>
        <v>64917</v>
      </c>
      <c r="J21" s="346">
        <f t="shared" si="7"/>
        <v>39442</v>
      </c>
      <c r="K21" s="346">
        <f t="shared" si="7"/>
        <v>18452784</v>
      </c>
      <c r="L21" s="346">
        <f t="shared" si="5"/>
        <v>0</v>
      </c>
    </row>
    <row r="22" spans="1:12" ht="13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>F557</f>
        <v>1727274</v>
      </c>
      <c r="G22" s="347">
        <f>$G$557</f>
        <v>1473466</v>
      </c>
      <c r="H22" s="347">
        <f>$H$557</f>
        <v>240122</v>
      </c>
      <c r="I22" s="347">
        <f>$I$557</f>
        <v>8133</v>
      </c>
      <c r="J22" s="347">
        <f>$J$557</f>
        <v>5554</v>
      </c>
      <c r="K22" s="347">
        <f>$K$557</f>
        <v>1727275</v>
      </c>
      <c r="L22" s="347">
        <f t="shared" si="5"/>
        <v>-1</v>
      </c>
    </row>
    <row r="23" spans="1:12" ht="13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>F605</f>
        <v>544855</v>
      </c>
      <c r="G23" s="345">
        <f t="shared" ref="G23:K23" si="8">G605</f>
        <v>464916</v>
      </c>
      <c r="H23" s="345">
        <f t="shared" si="8"/>
        <v>75621</v>
      </c>
      <c r="I23" s="345">
        <f t="shared" si="8"/>
        <v>2568</v>
      </c>
      <c r="J23" s="345">
        <f t="shared" si="8"/>
        <v>1749</v>
      </c>
      <c r="K23" s="345">
        <f t="shared" si="8"/>
        <v>544855</v>
      </c>
      <c r="L23" s="347">
        <f t="shared" si="5"/>
        <v>0</v>
      </c>
    </row>
    <row r="24" spans="1:12" ht="13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 t="shared" ref="F24:K24" si="9">SUM(F21:F23)</f>
        <v>20724913</v>
      </c>
      <c r="G24" s="346">
        <f t="shared" si="9"/>
        <v>18188504</v>
      </c>
      <c r="H24" s="346">
        <f t="shared" si="9"/>
        <v>2414046</v>
      </c>
      <c r="I24" s="346">
        <f t="shared" si="9"/>
        <v>75618</v>
      </c>
      <c r="J24" s="346">
        <f t="shared" si="9"/>
        <v>46745</v>
      </c>
      <c r="K24" s="346">
        <f t="shared" si="9"/>
        <v>20724914</v>
      </c>
      <c r="L24" s="346">
        <f t="shared" si="5"/>
        <v>-1</v>
      </c>
    </row>
    <row r="25" spans="1:12" ht="13">
      <c r="A25" s="331">
        <v>15</v>
      </c>
      <c r="D25" s="342"/>
      <c r="E25" s="195"/>
      <c r="G25" s="351"/>
      <c r="H25" s="351"/>
      <c r="J25" s="351"/>
      <c r="K25" s="351"/>
      <c r="L25" s="351"/>
    </row>
    <row r="26" spans="1:12" ht="13">
      <c r="A26" s="331">
        <v>16</v>
      </c>
      <c r="B26" s="330" t="s">
        <v>43</v>
      </c>
      <c r="D26" s="342"/>
      <c r="E26" s="195"/>
      <c r="F26" s="345">
        <f t="shared" ref="F26:K26" si="10">F334</f>
        <v>12351215</v>
      </c>
      <c r="G26" s="347">
        <f t="shared" si="10"/>
        <v>10559138</v>
      </c>
      <c r="H26" s="347">
        <f t="shared" si="10"/>
        <v>1695728</v>
      </c>
      <c r="I26" s="347">
        <f t="shared" si="10"/>
        <v>57422</v>
      </c>
      <c r="J26" s="347">
        <f t="shared" si="10"/>
        <v>38927</v>
      </c>
      <c r="K26" s="347">
        <f t="shared" si="10"/>
        <v>12351215</v>
      </c>
      <c r="L26" s="347">
        <f t="shared" ref="L26:L31" si="11">F26-K26</f>
        <v>0</v>
      </c>
    </row>
    <row r="27" spans="1:12" ht="13">
      <c r="A27" s="331">
        <v>17</v>
      </c>
      <c r="B27" s="357" t="s">
        <v>103</v>
      </c>
      <c r="C27" s="357"/>
      <c r="D27" s="342"/>
      <c r="E27" s="195"/>
      <c r="F27" s="345">
        <f>-F630</f>
        <v>-150489</v>
      </c>
      <c r="G27" s="347">
        <f>-$G$630</f>
        <v>-136076</v>
      </c>
      <c r="H27" s="347">
        <f>-$H$630</f>
        <v>-13888</v>
      </c>
      <c r="I27" s="347">
        <f>-$I$630</f>
        <v>-352</v>
      </c>
      <c r="J27" s="347">
        <f>-$J$630</f>
        <v>-173</v>
      </c>
      <c r="K27" s="347">
        <f>-$K$630</f>
        <v>-150489</v>
      </c>
      <c r="L27" s="347">
        <f t="shared" si="11"/>
        <v>0</v>
      </c>
    </row>
    <row r="28" spans="1:12" ht="13">
      <c r="A28" s="331">
        <v>18</v>
      </c>
      <c r="C28" s="330" t="str">
        <f>'FR-16(7)(v)-1 Functional'!C28</f>
        <v>TOTAL GAS COST OF SERVICE</v>
      </c>
      <c r="D28" s="342"/>
      <c r="E28" s="195"/>
      <c r="F28" s="346">
        <f t="shared" ref="F28:K28" si="12">SUM(F24:F27)</f>
        <v>32925639</v>
      </c>
      <c r="G28" s="346">
        <f t="shared" si="12"/>
        <v>28611566</v>
      </c>
      <c r="H28" s="346">
        <f t="shared" si="12"/>
        <v>4095886</v>
      </c>
      <c r="I28" s="346">
        <f t="shared" si="12"/>
        <v>132688</v>
      </c>
      <c r="J28" s="346">
        <f t="shared" si="12"/>
        <v>85499</v>
      </c>
      <c r="K28" s="346">
        <f t="shared" si="12"/>
        <v>32925640</v>
      </c>
      <c r="L28" s="346">
        <f t="shared" si="11"/>
        <v>-1</v>
      </c>
    </row>
    <row r="29" spans="1:12" ht="13">
      <c r="A29" s="1104">
        <v>19</v>
      </c>
      <c r="B29" s="1105" t="s">
        <v>1184</v>
      </c>
      <c r="C29" s="1106"/>
      <c r="D29" s="1107">
        <f>1-'WP FR-16(7)(v)Rate Incr (40.0%)'!I11</f>
        <v>0</v>
      </c>
      <c r="E29" s="1108"/>
      <c r="F29" s="1106"/>
      <c r="G29" s="1106"/>
      <c r="H29" s="1106"/>
      <c r="I29" s="1106"/>
      <c r="J29" s="1106"/>
      <c r="K29" s="1112"/>
      <c r="L29" s="1112">
        <f t="shared" si="11"/>
        <v>0</v>
      </c>
    </row>
    <row r="30" spans="1:12" ht="13">
      <c r="A30" s="1104">
        <v>20</v>
      </c>
      <c r="B30" s="1113" t="s">
        <v>1185</v>
      </c>
      <c r="C30" s="1017"/>
      <c r="D30" s="1114"/>
      <c r="E30" s="1108"/>
      <c r="F30" s="1115">
        <f t="shared" ref="F30:K30" si="13">F28+F29</f>
        <v>32925639</v>
      </c>
      <c r="G30" s="1115">
        <f t="shared" si="13"/>
        <v>28611566</v>
      </c>
      <c r="H30" s="1115">
        <f t="shared" si="13"/>
        <v>4095886</v>
      </c>
      <c r="I30" s="1115">
        <f t="shared" si="13"/>
        <v>132688</v>
      </c>
      <c r="J30" s="1115">
        <f t="shared" si="13"/>
        <v>85499</v>
      </c>
      <c r="K30" s="1115">
        <f t="shared" si="13"/>
        <v>32925640</v>
      </c>
      <c r="L30" s="1119">
        <f t="shared" si="11"/>
        <v>-1</v>
      </c>
    </row>
    <row r="31" spans="1:12" ht="13">
      <c r="A31" s="1104">
        <v>21</v>
      </c>
      <c r="B31" s="1120" t="s">
        <v>843</v>
      </c>
      <c r="C31" s="1106"/>
      <c r="D31" s="1114"/>
      <c r="E31" s="1108"/>
      <c r="F31" s="1119">
        <f t="shared" ref="F31:K31" si="14">F745</f>
        <v>32787426</v>
      </c>
      <c r="G31" s="1119">
        <f t="shared" si="14"/>
        <v>22131002</v>
      </c>
      <c r="H31" s="1119">
        <f t="shared" si="14"/>
        <v>8489246</v>
      </c>
      <c r="I31" s="1119">
        <f t="shared" si="14"/>
        <v>1635888</v>
      </c>
      <c r="J31" s="1119">
        <f t="shared" si="14"/>
        <v>531290</v>
      </c>
      <c r="K31" s="1119">
        <f t="shared" si="14"/>
        <v>32787426</v>
      </c>
      <c r="L31" s="1119">
        <f t="shared" si="11"/>
        <v>0</v>
      </c>
    </row>
    <row r="32" spans="1:12" ht="13">
      <c r="A32" s="1104">
        <v>22</v>
      </c>
      <c r="B32" s="1121" t="s">
        <v>1186</v>
      </c>
      <c r="C32" s="1017"/>
      <c r="D32" s="1114"/>
      <c r="E32" s="1108"/>
      <c r="F32" s="1124">
        <f>F30-F31</f>
        <v>138213</v>
      </c>
      <c r="G32" s="1124">
        <f t="shared" ref="G32:L32" si="15">G30-G31</f>
        <v>6480564</v>
      </c>
      <c r="H32" s="1124">
        <f t="shared" si="15"/>
        <v>-4393360</v>
      </c>
      <c r="I32" s="1124">
        <f t="shared" si="15"/>
        <v>-1503200</v>
      </c>
      <c r="J32" s="1124">
        <f t="shared" si="15"/>
        <v>-445791</v>
      </c>
      <c r="K32" s="1124">
        <f t="shared" si="15"/>
        <v>138214</v>
      </c>
      <c r="L32" s="1124">
        <f t="shared" si="15"/>
        <v>-1</v>
      </c>
    </row>
    <row r="33" spans="1:15" ht="13">
      <c r="A33" s="1104">
        <v>23</v>
      </c>
      <c r="B33" s="1017"/>
      <c r="C33" s="1017"/>
      <c r="D33" s="1114"/>
      <c r="E33" s="1108"/>
      <c r="F33" s="1017"/>
      <c r="G33" s="1017"/>
      <c r="H33" s="1017"/>
      <c r="I33" s="1017"/>
      <c r="J33" s="1017"/>
      <c r="K33" s="1017"/>
      <c r="L33" s="1017"/>
    </row>
    <row r="34" spans="1:15" ht="13">
      <c r="A34" s="1104">
        <v>24</v>
      </c>
      <c r="B34" s="1017" t="s">
        <v>104</v>
      </c>
      <c r="C34" s="1017"/>
      <c r="D34" s="1114"/>
      <c r="E34" s="1108"/>
      <c r="F34" s="1119">
        <f t="shared" ref="F34:K34" si="16">F654+F26</f>
        <v>12656501</v>
      </c>
      <c r="G34" s="1119">
        <f t="shared" si="16"/>
        <v>6042890</v>
      </c>
      <c r="H34" s="1119">
        <f t="shared" si="16"/>
        <v>5050815</v>
      </c>
      <c r="I34" s="1119">
        <f t="shared" si="16"/>
        <v>1187876</v>
      </c>
      <c r="J34" s="1119">
        <f t="shared" si="16"/>
        <v>374918</v>
      </c>
      <c r="K34" s="1119">
        <f t="shared" si="16"/>
        <v>12656499</v>
      </c>
      <c r="L34" s="1119">
        <f>F34-K34</f>
        <v>2</v>
      </c>
    </row>
    <row r="35" spans="1:15" ht="13">
      <c r="A35" s="1104">
        <v>25</v>
      </c>
      <c r="B35" s="1017" t="s">
        <v>105</v>
      </c>
      <c r="C35" s="1017"/>
      <c r="D35" s="1114"/>
      <c r="E35" s="1108"/>
      <c r="F35" s="1129">
        <f t="shared" ref="F35:L35" si="17">IF(F331=0,0,ROUND(F34/F331,5))</f>
        <v>7.2349999999999998E-2</v>
      </c>
      <c r="G35" s="1129">
        <f t="shared" si="17"/>
        <v>4.0399999999999998E-2</v>
      </c>
      <c r="H35" s="1129">
        <f t="shared" si="17"/>
        <v>0.21029</v>
      </c>
      <c r="I35" s="1129">
        <f t="shared" si="17"/>
        <v>1.4604999999999999</v>
      </c>
      <c r="J35" s="1129">
        <f t="shared" si="17"/>
        <v>0.67996000000000001</v>
      </c>
      <c r="K35" s="1129">
        <f t="shared" si="17"/>
        <v>7.2349999999999998E-2</v>
      </c>
      <c r="L35" s="1129">
        <f t="shared" si="17"/>
        <v>0</v>
      </c>
    </row>
    <row r="36" spans="1:15" ht="13">
      <c r="A36" s="1104">
        <v>26</v>
      </c>
      <c r="B36" s="1017" t="s">
        <v>42</v>
      </c>
      <c r="C36" s="1017"/>
      <c r="D36" s="1114"/>
      <c r="E36" s="1108"/>
      <c r="F36" s="1129">
        <f t="shared" ref="F36:L36" si="18">$F$688</f>
        <v>7.060000000000001E-2</v>
      </c>
      <c r="G36" s="1129">
        <f t="shared" si="18"/>
        <v>7.060000000000001E-2</v>
      </c>
      <c r="H36" s="1129">
        <f t="shared" si="18"/>
        <v>7.060000000000001E-2</v>
      </c>
      <c r="I36" s="1129">
        <f t="shared" si="18"/>
        <v>7.060000000000001E-2</v>
      </c>
      <c r="J36" s="1129">
        <f t="shared" si="18"/>
        <v>7.060000000000001E-2</v>
      </c>
      <c r="K36" s="1129">
        <f t="shared" si="18"/>
        <v>7.060000000000001E-2</v>
      </c>
      <c r="L36" s="1129">
        <f t="shared" si="18"/>
        <v>7.060000000000001E-2</v>
      </c>
      <c r="O36" s="653" t="s">
        <v>1188</v>
      </c>
    </row>
    <row r="37" spans="1:15" ht="13">
      <c r="A37" s="1104">
        <v>27</v>
      </c>
      <c r="B37" s="1017" t="s">
        <v>106</v>
      </c>
      <c r="C37" s="1017"/>
      <c r="D37" s="1114"/>
      <c r="E37" s="1108"/>
      <c r="F37" s="1129">
        <f t="shared" ref="F37:K38" si="19">IF($F$670=0,0,(F35-$F$683-$F$684-$F$686)*$F$673/$F$670)</f>
        <v>0.10646187173712017</v>
      </c>
      <c r="G37" s="1129">
        <f t="shared" si="19"/>
        <v>4.3436917095634346E-2</v>
      </c>
      <c r="H37" s="1129">
        <f t="shared" si="19"/>
        <v>0.3785639763770749</v>
      </c>
      <c r="I37" s="1129">
        <f t="shared" si="19"/>
        <v>2.8447432734766678</v>
      </c>
      <c r="J37" s="1129">
        <f t="shared" si="19"/>
        <v>1.3050406726671107</v>
      </c>
      <c r="K37" s="1129">
        <f t="shared" si="19"/>
        <v>0.10646187173712017</v>
      </c>
      <c r="L37" s="1129">
        <f>IF(F670=0,0,(L35-F683-F684-F686)*F673/F670)</f>
        <v>-3.6256609274194343E-2</v>
      </c>
      <c r="O37" s="653" t="s">
        <v>1189</v>
      </c>
    </row>
    <row r="38" spans="1:15" ht="13">
      <c r="A38" s="1104">
        <v>28</v>
      </c>
      <c r="B38" s="1017" t="s">
        <v>107</v>
      </c>
      <c r="C38" s="1017"/>
      <c r="D38" s="1114"/>
      <c r="E38" s="1108"/>
      <c r="F38" s="1129">
        <f t="shared" si="19"/>
        <v>0.10300980066912017</v>
      </c>
      <c r="G38" s="1129">
        <f t="shared" si="19"/>
        <v>0.10300980066912017</v>
      </c>
      <c r="H38" s="1129">
        <f t="shared" si="19"/>
        <v>0.10300980066912017</v>
      </c>
      <c r="I38" s="1129">
        <f t="shared" si="19"/>
        <v>0.10300980066912017</v>
      </c>
      <c r="J38" s="1129">
        <f t="shared" si="19"/>
        <v>0.10300980066912017</v>
      </c>
      <c r="K38" s="1129">
        <f t="shared" si="19"/>
        <v>0.10300980066912017</v>
      </c>
      <c r="L38" s="1129">
        <f>IF($F$670=0,0,(L36-$F$683-$F$684-$F$686)*$F$673/$F$670)</f>
        <v>0.10300980066912017</v>
      </c>
    </row>
    <row r="39" spans="1:15" ht="13">
      <c r="A39" s="1104">
        <v>29</v>
      </c>
      <c r="B39" s="1017"/>
      <c r="C39" s="1017"/>
      <c r="D39" s="1114"/>
      <c r="E39" s="1108"/>
      <c r="F39" s="1017" t="s">
        <v>343</v>
      </c>
      <c r="G39" s="1017"/>
      <c r="H39" s="1017"/>
      <c r="I39" s="1017"/>
      <c r="J39" s="1017"/>
      <c r="K39" s="1017"/>
      <c r="L39" s="1017"/>
    </row>
    <row r="40" spans="1:15" ht="13">
      <c r="A40" s="1104">
        <v>30</v>
      </c>
      <c r="B40" s="1017" t="s">
        <v>108</v>
      </c>
      <c r="C40" s="1017"/>
      <c r="D40" s="1114"/>
      <c r="E40" s="1108"/>
      <c r="F40" s="1119">
        <f t="shared" ref="F40:K40" si="20">F744</f>
        <v>28822100</v>
      </c>
      <c r="G40" s="1119">
        <f t="shared" si="20"/>
        <v>19548553</v>
      </c>
      <c r="H40" s="1119">
        <f t="shared" si="20"/>
        <v>7397381</v>
      </c>
      <c r="I40" s="1119">
        <f t="shared" si="20"/>
        <v>1413868</v>
      </c>
      <c r="J40" s="1119">
        <f t="shared" si="20"/>
        <v>462298</v>
      </c>
      <c r="K40" s="1119">
        <f t="shared" si="20"/>
        <v>28822100</v>
      </c>
      <c r="L40" s="1119">
        <f>F40-K40</f>
        <v>0</v>
      </c>
    </row>
    <row r="41" spans="1:15" ht="13">
      <c r="A41" s="1104">
        <v>31</v>
      </c>
      <c r="B41" s="1017" t="s">
        <v>109</v>
      </c>
      <c r="C41" s="1017"/>
      <c r="D41" s="1114"/>
      <c r="E41" s="1108"/>
      <c r="F41" s="1119">
        <f t="shared" ref="F41:L41" si="21">F28-F40</f>
        <v>4103539</v>
      </c>
      <c r="G41" s="1119">
        <f t="shared" si="21"/>
        <v>9063013</v>
      </c>
      <c r="H41" s="1119">
        <f t="shared" si="21"/>
        <v>-3301495</v>
      </c>
      <c r="I41" s="1119">
        <f t="shared" si="21"/>
        <v>-1281180</v>
      </c>
      <c r="J41" s="1119">
        <f t="shared" si="21"/>
        <v>-376799</v>
      </c>
      <c r="K41" s="1119">
        <f t="shared" si="21"/>
        <v>4103540</v>
      </c>
      <c r="L41" s="1119">
        <f t="shared" si="21"/>
        <v>-1</v>
      </c>
    </row>
    <row r="42" spans="1:15" ht="13">
      <c r="A42" s="1104">
        <v>32</v>
      </c>
      <c r="B42" s="1017"/>
      <c r="C42" s="1017" t="s">
        <v>283</v>
      </c>
      <c r="D42" s="1114"/>
      <c r="E42" s="1108"/>
      <c r="F42" s="1133">
        <f t="shared" ref="F42:L42" si="22">IF(F40=0,0,ROUND(F41/F40,5))</f>
        <v>0.14237</v>
      </c>
      <c r="G42" s="1133">
        <f t="shared" si="22"/>
        <v>0.46361999999999998</v>
      </c>
      <c r="H42" s="1133">
        <f t="shared" si="22"/>
        <v>-0.44630999999999998</v>
      </c>
      <c r="I42" s="1133">
        <f t="shared" si="22"/>
        <v>-0.90615000000000001</v>
      </c>
      <c r="J42" s="1133">
        <f t="shared" si="22"/>
        <v>-0.81506000000000001</v>
      </c>
      <c r="K42" s="1133">
        <f t="shared" si="22"/>
        <v>0.14237</v>
      </c>
      <c r="L42" s="1133">
        <f t="shared" si="22"/>
        <v>0</v>
      </c>
    </row>
    <row r="43" spans="1:15" ht="13">
      <c r="A43" s="1104">
        <v>33</v>
      </c>
      <c r="B43" s="1017" t="s">
        <v>110</v>
      </c>
      <c r="C43" s="1017"/>
      <c r="D43" s="1114"/>
      <c r="E43" s="1108"/>
      <c r="F43" s="1119">
        <f t="shared" ref="F43:L43" si="23">F31-F40</f>
        <v>3965326</v>
      </c>
      <c r="G43" s="1119">
        <f t="shared" si="23"/>
        <v>2582449</v>
      </c>
      <c r="H43" s="1119">
        <f t="shared" si="23"/>
        <v>1091865</v>
      </c>
      <c r="I43" s="1119">
        <f t="shared" si="23"/>
        <v>222020</v>
      </c>
      <c r="J43" s="1119">
        <f t="shared" si="23"/>
        <v>68992</v>
      </c>
      <c r="K43" s="1119">
        <f t="shared" si="23"/>
        <v>3965326</v>
      </c>
      <c r="L43" s="1119">
        <f t="shared" si="23"/>
        <v>0</v>
      </c>
    </row>
    <row r="44" spans="1:15" ht="13">
      <c r="A44" s="1104">
        <v>34</v>
      </c>
      <c r="B44" s="1017"/>
      <c r="C44" s="1017" t="s">
        <v>283</v>
      </c>
      <c r="D44" s="1114"/>
      <c r="E44" s="1108"/>
      <c r="F44" s="1133">
        <f t="shared" ref="F44:L44" si="24">IF(F40=0,0,ROUND(F43/F40,5))</f>
        <v>0.13758000000000001</v>
      </c>
      <c r="G44" s="1133">
        <f t="shared" si="24"/>
        <v>0.1321</v>
      </c>
      <c r="H44" s="1133">
        <f t="shared" si="24"/>
        <v>0.14760000000000001</v>
      </c>
      <c r="I44" s="1133">
        <f t="shared" si="24"/>
        <v>0.15703</v>
      </c>
      <c r="J44" s="1133">
        <f t="shared" si="24"/>
        <v>0.14924000000000001</v>
      </c>
      <c r="K44" s="1133">
        <f t="shared" si="24"/>
        <v>0.13758000000000001</v>
      </c>
      <c r="L44" s="1133">
        <f t="shared" si="24"/>
        <v>0</v>
      </c>
    </row>
    <row r="45" spans="1:15" ht="13">
      <c r="A45" s="341"/>
      <c r="C45" s="195"/>
      <c r="D45" s="342"/>
      <c r="E45" s="195"/>
      <c r="G45" s="340"/>
      <c r="H45" s="340"/>
      <c r="I45" s="195"/>
      <c r="J45" s="342"/>
      <c r="K45" s="195"/>
      <c r="L45" s="195"/>
    </row>
    <row r="46" spans="1:15" ht="13">
      <c r="A46" s="341" t="str">
        <f>co_name</f>
        <v>DUKE ENERGY KENTUCKY, INC.</v>
      </c>
      <c r="C46" s="195"/>
      <c r="D46" s="342"/>
      <c r="E46" s="195"/>
      <c r="F46" s="342"/>
      <c r="G46" s="340"/>
      <c r="H46" s="340"/>
      <c r="I46" s="195"/>
      <c r="K46" s="359" t="str">
        <f>$K$1</f>
        <v>FR-16(7)(v)-6</v>
      </c>
      <c r="L46" s="195"/>
    </row>
    <row r="47" spans="1:15" ht="13">
      <c r="A47" s="341" t="str">
        <f>$A$2</f>
        <v>DISTRIBUTION CUSTOMER ALLOCATED - GAS COST OF SERVICE</v>
      </c>
      <c r="C47" s="195"/>
      <c r="D47" s="342"/>
      <c r="E47" s="195"/>
      <c r="F47" s="342"/>
      <c r="G47" s="340"/>
      <c r="H47" s="340"/>
      <c r="I47" s="195"/>
      <c r="K47" s="359" t="str">
        <f>$K$2</f>
        <v>WITNESS RESPONSIBLE:</v>
      </c>
      <c r="L47" s="195"/>
    </row>
    <row r="48" spans="1:15" ht="13">
      <c r="A48" s="341" t="str">
        <f>case_name</f>
        <v>CASE NO: 2021-00190</v>
      </c>
      <c r="C48" s="195"/>
      <c r="D48" s="342"/>
      <c r="E48" s="195"/>
      <c r="F48" s="342"/>
      <c r="G48" s="340"/>
      <c r="H48" s="340"/>
      <c r="I48" s="195"/>
      <c r="K48" s="359" t="str">
        <f>Witness</f>
        <v>JAMES E. ZIOLKOWSKI</v>
      </c>
      <c r="L48" s="195"/>
    </row>
    <row r="49" spans="1:12" ht="13">
      <c r="A49" s="341" t="str">
        <f>data_filing</f>
        <v>DATA: 12 MONTH FORECASTED PERIOD</v>
      </c>
      <c r="C49" s="195"/>
      <c r="D49" s="342"/>
      <c r="E49" s="195"/>
      <c r="F49" s="342"/>
      <c r="G49" s="340"/>
      <c r="H49" s="340"/>
      <c r="I49" s="195"/>
      <c r="K49" s="359" t="str">
        <f>"PAGE "&amp;Pages-16&amp;" OF "&amp;Pages</f>
        <v>PAGE 2 OF 18</v>
      </c>
      <c r="L49" s="195"/>
    </row>
    <row r="50" spans="1:12" ht="13">
      <c r="A50" s="341" t="str">
        <f>type</f>
        <v xml:space="preserve">TYPE OF FILING: "X" ORIGINAL   UPDATED    REVISED  </v>
      </c>
      <c r="C50" s="195"/>
      <c r="D50" s="342"/>
      <c r="E50" s="195"/>
      <c r="F50" s="342"/>
      <c r="G50" s="340"/>
      <c r="H50" s="340"/>
      <c r="I50" s="195"/>
      <c r="J50" s="342"/>
      <c r="K50" s="195"/>
      <c r="L50" s="195"/>
    </row>
    <row r="51" spans="1:12" ht="13">
      <c r="A51" s="341"/>
      <c r="C51" s="195"/>
      <c r="D51" s="342"/>
      <c r="E51" s="195"/>
      <c r="F51" s="342"/>
      <c r="G51" s="340"/>
      <c r="H51" s="340"/>
      <c r="I51" s="195"/>
      <c r="J51" s="342"/>
      <c r="K51" s="195"/>
      <c r="L51" s="195"/>
    </row>
    <row r="52" spans="1:12" ht="13">
      <c r="A52" s="341"/>
      <c r="C52" s="195"/>
      <c r="D52" s="342"/>
      <c r="E52" s="195"/>
      <c r="F52" s="342" t="str">
        <f>$F$7</f>
        <v>TOTAL</v>
      </c>
      <c r="G52" s="340"/>
      <c r="H52" s="340"/>
      <c r="I52" s="195"/>
      <c r="J52" s="342"/>
      <c r="K52" s="195"/>
      <c r="L52" s="195"/>
    </row>
    <row r="53" spans="1:12" ht="13">
      <c r="A53" s="342" t="s">
        <v>907</v>
      </c>
      <c r="B53" s="195"/>
      <c r="C53" s="195"/>
      <c r="D53" s="342"/>
      <c r="E53" s="195"/>
      <c r="F53" s="342" t="str">
        <f>$F$8</f>
        <v>DISTRIBUTION</v>
      </c>
      <c r="G53" s="352" t="str">
        <f>$G$8</f>
        <v>RS</v>
      </c>
      <c r="H53" s="352" t="str">
        <f>$H$8</f>
        <v>GS</v>
      </c>
      <c r="I53" s="342" t="str">
        <f>$I$8</f>
        <v>FT-L</v>
      </c>
      <c r="J53" s="342" t="str">
        <f>$J$8</f>
        <v>INTERUPT</v>
      </c>
      <c r="K53" s="342" t="s">
        <v>229</v>
      </c>
      <c r="L53" s="342" t="s">
        <v>342</v>
      </c>
    </row>
    <row r="54" spans="1:12" ht="13">
      <c r="A54" s="344" t="s">
        <v>908</v>
      </c>
      <c r="B54" s="343" t="s">
        <v>95</v>
      </c>
      <c r="C54" s="343"/>
      <c r="D54" s="344" t="s">
        <v>337</v>
      </c>
      <c r="E54" s="343"/>
      <c r="F54" s="342" t="str">
        <f>$F$9</f>
        <v>CUSTOMER</v>
      </c>
      <c r="G54" s="353" t="str">
        <f>$G$9</f>
        <v>RESIDENTIAL</v>
      </c>
      <c r="H54" s="353" t="str">
        <f>$H$9</f>
        <v>GEN SERV</v>
      </c>
      <c r="I54" s="344" t="str">
        <f>$I$9</f>
        <v>FIRM TRANS</v>
      </c>
      <c r="J54" s="344" t="str">
        <f>$J$9</f>
        <v>TRANS</v>
      </c>
      <c r="K54" s="344" t="s">
        <v>341</v>
      </c>
      <c r="L54" s="344" t="s">
        <v>340</v>
      </c>
    </row>
    <row r="55" spans="1:12" ht="13">
      <c r="C55" s="572" t="s">
        <v>344</v>
      </c>
      <c r="D55" s="342"/>
      <c r="E55" s="195"/>
      <c r="F55" s="755"/>
      <c r="G55" s="627">
        <f>$G$10</f>
        <v>3</v>
      </c>
      <c r="H55" s="627">
        <f>$H$10</f>
        <v>4</v>
      </c>
      <c r="I55" s="627">
        <f>$I$10</f>
        <v>5</v>
      </c>
      <c r="J55" s="627">
        <f>$J$10</f>
        <v>6</v>
      </c>
      <c r="L55" s="330" t="s">
        <v>343</v>
      </c>
    </row>
    <row r="56" spans="1:12" ht="13">
      <c r="A56" s="331">
        <v>1</v>
      </c>
      <c r="B56" s="330" t="s">
        <v>14</v>
      </c>
      <c r="E56" s="195"/>
      <c r="G56" s="351"/>
      <c r="H56" s="351"/>
      <c r="I56" s="330"/>
    </row>
    <row r="57" spans="1:12" ht="13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3">
        <f>'FR-16(7)(v)-4 DISTR Classified'!I57</f>
        <v>0</v>
      </c>
      <c r="G57" s="347">
        <f>F57-SUM(H57:J57)</f>
        <v>0</v>
      </c>
      <c r="H57" s="347">
        <f>ROUND($F$57*VLOOKUP($D$57,ALLOCTABLE_DISTR_CUSTOMER,$H$10,FALSE),0)</f>
        <v>0</v>
      </c>
      <c r="I57" s="345">
        <f>ROUND(F57*VLOOKUP(D57,ALLOCTABLE_DISTR_CUSTOMER,$I$10,FALSE),0)</f>
        <v>0</v>
      </c>
      <c r="J57" s="345">
        <f>ROUND(F57*VLOOKUP(D57,ALLOCTABLE_DISTR_CUSTOMER,$J$10,FALSE),0)</f>
        <v>0</v>
      </c>
      <c r="K57" s="345">
        <f>SUM($G$57:$J$57)</f>
        <v>0</v>
      </c>
      <c r="L57" s="345">
        <f>F57-$K$57</f>
        <v>0</v>
      </c>
    </row>
    <row r="58" spans="1:12" ht="13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3">
        <f>'FR-16(7)(v)-4 DISTR Classified'!I58</f>
        <v>0</v>
      </c>
      <c r="G58" s="347">
        <f>F58-SUM(H58:J58)</f>
        <v>0</v>
      </c>
      <c r="H58" s="347">
        <f>ROUND($F$58*VLOOKUP($D$58,ALLOCTABLE_DISTR_CUSTOMER,$H$10,FALSE),0)</f>
        <v>0</v>
      </c>
      <c r="I58" s="345">
        <f>ROUND(F58*VLOOKUP(D58,ALLOCTABLE_DISTR_CUSTOMER,$I$10,FALSE),0)</f>
        <v>0</v>
      </c>
      <c r="J58" s="345">
        <f>ROUND(F58*VLOOKUP(D58,ALLOCTABLE_DISTR_CUSTOMER,$J$10,FALSE),0)</f>
        <v>0</v>
      </c>
      <c r="K58" s="345">
        <f>SUM($G$58:$J$58)</f>
        <v>0</v>
      </c>
      <c r="L58" s="345">
        <f>F58-$K$58</f>
        <v>0</v>
      </c>
    </row>
    <row r="59" spans="1:12" ht="13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0</v>
      </c>
      <c r="G59" s="346">
        <f>SUM($G$57:$G$58)</f>
        <v>0</v>
      </c>
      <c r="H59" s="346">
        <f>SUM($H$57:$H$58)</f>
        <v>0</v>
      </c>
      <c r="I59" s="346">
        <f>SUM($I$57:$I$58)</f>
        <v>0</v>
      </c>
      <c r="J59" s="346">
        <f>SUM($J$57:$J$58)</f>
        <v>0</v>
      </c>
      <c r="K59" s="346">
        <f>SUM($K$57:$K$58)</f>
        <v>0</v>
      </c>
      <c r="L59" s="346">
        <f>SUM($L$57:$L$58)</f>
        <v>0</v>
      </c>
    </row>
    <row r="60" spans="1:12" ht="13">
      <c r="A60" s="331">
        <v>5</v>
      </c>
      <c r="D60" s="342"/>
      <c r="E60" s="195"/>
      <c r="G60" s="351"/>
      <c r="H60" s="351"/>
      <c r="I60" s="330"/>
    </row>
    <row r="61" spans="1:12" ht="13">
      <c r="A61" s="331">
        <v>6</v>
      </c>
      <c r="B61" s="330" t="s">
        <v>15</v>
      </c>
      <c r="D61" s="342"/>
      <c r="E61" s="195"/>
      <c r="G61" s="351"/>
      <c r="H61" s="351"/>
      <c r="I61" s="330"/>
    </row>
    <row r="62" spans="1:12" ht="13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1"/>
      <c r="G62" s="347"/>
      <c r="H62" s="347"/>
      <c r="I62" s="345"/>
      <c r="J62" s="345"/>
      <c r="K62" s="345"/>
      <c r="L62" s="345"/>
    </row>
    <row r="63" spans="1:12" ht="13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346">
        <f>SUM($G$62)</f>
        <v>0</v>
      </c>
      <c r="H63" s="346">
        <f>SUM($H$62)</f>
        <v>0</v>
      </c>
      <c r="I63" s="346">
        <f>SUM($I$62)</f>
        <v>0</v>
      </c>
      <c r="J63" s="346">
        <f>SUM($J$62)</f>
        <v>0</v>
      </c>
      <c r="K63" s="346">
        <f>SUM($K$62)</f>
        <v>0</v>
      </c>
      <c r="L63" s="346">
        <f>SUM($L$62)</f>
        <v>0</v>
      </c>
    </row>
    <row r="64" spans="1:12" ht="13">
      <c r="A64" s="331">
        <v>9</v>
      </c>
      <c r="D64" s="342"/>
      <c r="E64" s="195"/>
      <c r="G64" s="351"/>
      <c r="H64" s="351"/>
      <c r="I64" s="330"/>
    </row>
    <row r="65" spans="1:12" ht="13">
      <c r="A65" s="331">
        <v>10</v>
      </c>
      <c r="B65" s="330" t="s">
        <v>16</v>
      </c>
      <c r="D65" s="342"/>
      <c r="E65" s="195"/>
      <c r="F65" s="345">
        <f>F63+F59</f>
        <v>0</v>
      </c>
      <c r="G65" s="347">
        <f>$G$63+$G$59</f>
        <v>0</v>
      </c>
      <c r="H65" s="347">
        <f>$H$63+$H$59</f>
        <v>0</v>
      </c>
      <c r="I65" s="345">
        <f>$I$63+$I$59</f>
        <v>0</v>
      </c>
      <c r="J65" s="345">
        <f>$J$63+$J$59</f>
        <v>0</v>
      </c>
      <c r="K65" s="345">
        <f>$K$63+$K$59</f>
        <v>0</v>
      </c>
      <c r="L65" s="345">
        <f>$L$63+$L$59</f>
        <v>0</v>
      </c>
    </row>
    <row r="66" spans="1:12" ht="13">
      <c r="A66" s="331">
        <v>11</v>
      </c>
      <c r="D66" s="342"/>
      <c r="E66" s="195"/>
      <c r="G66" s="351"/>
      <c r="H66" s="351"/>
      <c r="I66" s="330"/>
    </row>
    <row r="67" spans="1:12" ht="13">
      <c r="A67" s="331">
        <v>12</v>
      </c>
      <c r="B67" s="330" t="s">
        <v>17</v>
      </c>
      <c r="D67" s="342"/>
      <c r="E67" s="195"/>
      <c r="G67" s="351"/>
      <c r="H67" s="351"/>
      <c r="I67" s="330"/>
    </row>
    <row r="68" spans="1:12" ht="13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3">
        <f>'FR-16(7)(v)-4 DISTR Classified'!I68</f>
        <v>0</v>
      </c>
      <c r="G68" s="347">
        <f t="shared" ref="G68:G77" si="25">F68-SUM(H68:J68)</f>
        <v>0</v>
      </c>
      <c r="H68" s="347">
        <f>ROUND($F$68*VLOOKUP($D$68,ALLOCTABLE_DISTR_CUSTOMER,$H$10,FALSE),0)</f>
        <v>0</v>
      </c>
      <c r="I68" s="345">
        <f t="shared" ref="I68:I77" si="26">ROUND(F68*VLOOKUP(D68,ALLOCTABLE_DISTR_CUSTOMER,$I$10,FALSE),0)</f>
        <v>0</v>
      </c>
      <c r="J68" s="345">
        <f t="shared" ref="J68:J77" si="27">ROUND(F68*VLOOKUP(D68,ALLOCTABLE_DISTR_CUSTOMER,$J$10,FALSE),0)</f>
        <v>0</v>
      </c>
      <c r="K68" s="345">
        <f t="shared" ref="K68:K77" si="28">SUM(G68:J68)</f>
        <v>0</v>
      </c>
      <c r="L68" s="345">
        <f t="shared" ref="L68:L77" si="29">F68-K68</f>
        <v>0</v>
      </c>
    </row>
    <row r="69" spans="1:12" ht="13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3">
        <f>'FR-16(7)(v)-4 DISTR Classified'!I69</f>
        <v>0</v>
      </c>
      <c r="G69" s="347">
        <f t="shared" si="25"/>
        <v>0</v>
      </c>
      <c r="H69" s="347">
        <f>ROUND($F$69*VLOOKUP($D$69,ALLOCTABLE_DISTR_CUSTOMER,$H$10,FALSE),0)</f>
        <v>0</v>
      </c>
      <c r="I69" s="345">
        <f t="shared" si="26"/>
        <v>0</v>
      </c>
      <c r="J69" s="345">
        <f t="shared" si="27"/>
        <v>0</v>
      </c>
      <c r="K69" s="345">
        <f t="shared" si="28"/>
        <v>0</v>
      </c>
      <c r="L69" s="345">
        <f t="shared" si="29"/>
        <v>0</v>
      </c>
    </row>
    <row r="70" spans="1:12" ht="13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3">
        <f>'FR-16(7)(v)-4 DISTR Classified'!I70</f>
        <v>0</v>
      </c>
      <c r="G70" s="347">
        <f t="shared" si="25"/>
        <v>0</v>
      </c>
      <c r="H70" s="347">
        <f>ROUND($F$70*VLOOKUP($D$70,ALLOCTABLE_DISTR_CUSTOMER,$H$10,FALSE),0)</f>
        <v>0</v>
      </c>
      <c r="I70" s="345">
        <f t="shared" si="26"/>
        <v>0</v>
      </c>
      <c r="J70" s="345">
        <f t="shared" si="27"/>
        <v>0</v>
      </c>
      <c r="K70" s="345">
        <f t="shared" si="28"/>
        <v>0</v>
      </c>
      <c r="L70" s="345">
        <f t="shared" si="29"/>
        <v>0</v>
      </c>
    </row>
    <row r="71" spans="1:12" ht="13">
      <c r="A71" s="331">
        <v>16</v>
      </c>
      <c r="C71" s="330" t="str">
        <f>'FR-16(7)(v)-1 Functional'!C71</f>
        <v>MAINS - (2761, 2762, 2763, 2765)</v>
      </c>
      <c r="D71" s="342" t="s">
        <v>291</v>
      </c>
      <c r="E71" s="195"/>
      <c r="F71" s="473">
        <f>'FR-16(7)(v)-4 DISTR Classified'!I71</f>
        <v>0</v>
      </c>
      <c r="G71" s="347">
        <f t="shared" si="25"/>
        <v>0</v>
      </c>
      <c r="H71" s="347">
        <f>ROUND($F$71*VLOOKUP($D$71,ALLOCTABLE_DISTR_CUSTOMER,$H$10,FALSE),0)</f>
        <v>0</v>
      </c>
      <c r="I71" s="345">
        <f t="shared" si="26"/>
        <v>0</v>
      </c>
      <c r="J71" s="345">
        <f t="shared" si="27"/>
        <v>0</v>
      </c>
      <c r="K71" s="345">
        <f t="shared" si="28"/>
        <v>0</v>
      </c>
      <c r="L71" s="345">
        <f t="shared" si="29"/>
        <v>0</v>
      </c>
    </row>
    <row r="72" spans="1:12" ht="13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3">
        <f>'FR-16(7)(v)-4 DISTR Classified'!I72</f>
        <v>226116720</v>
      </c>
      <c r="G72" s="347">
        <f t="shared" si="25"/>
        <v>198085030</v>
      </c>
      <c r="H72" s="347">
        <f>ROUND($F$72*VLOOKUP($D$72,ALLOCTABLE_DISTR_CUSTOMER,$H$10,FALSE),0)</f>
        <v>27233498</v>
      </c>
      <c r="I72" s="345">
        <f t="shared" si="26"/>
        <v>431883</v>
      </c>
      <c r="J72" s="345">
        <f t="shared" si="27"/>
        <v>366309</v>
      </c>
      <c r="K72" s="345">
        <f t="shared" si="28"/>
        <v>226116720</v>
      </c>
      <c r="L72" s="345">
        <f t="shared" si="29"/>
        <v>0</v>
      </c>
    </row>
    <row r="73" spans="1:12" ht="13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3">
        <f>'FR-16(7)(v)-4 DISTR Classified'!I73</f>
        <v>30766213</v>
      </c>
      <c r="G73" s="347">
        <f t="shared" si="25"/>
        <v>24635122</v>
      </c>
      <c r="H73" s="347">
        <f>ROUND($F$73*VLOOKUP($D$73,ALLOCTABLE_DISTR_CUSTOMER,$H$10,FALSE),0)</f>
        <v>5195798</v>
      </c>
      <c r="I73" s="345">
        <f t="shared" si="26"/>
        <v>568252</v>
      </c>
      <c r="J73" s="345">
        <f t="shared" si="27"/>
        <v>367041</v>
      </c>
      <c r="K73" s="345">
        <f t="shared" si="28"/>
        <v>30766213</v>
      </c>
      <c r="L73" s="345">
        <f t="shared" si="29"/>
        <v>0</v>
      </c>
    </row>
    <row r="74" spans="1:12" ht="13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3">
        <f>'FR-16(7)(v)-4 DISTR Classified'!I74</f>
        <v>0</v>
      </c>
      <c r="G74" s="347">
        <f t="shared" si="25"/>
        <v>0</v>
      </c>
      <c r="H74" s="347">
        <f>ROUND($F$74*VLOOKUP($D$74,ALLOCTABLE_DISTR_CUSTOMER,$H$10,FALSE),0)</f>
        <v>0</v>
      </c>
      <c r="I74" s="345">
        <f t="shared" si="26"/>
        <v>0</v>
      </c>
      <c r="J74" s="345">
        <f t="shared" si="27"/>
        <v>0</v>
      </c>
      <c r="K74" s="345">
        <f t="shared" si="28"/>
        <v>0</v>
      </c>
      <c r="L74" s="345">
        <f t="shared" si="29"/>
        <v>0</v>
      </c>
    </row>
    <row r="75" spans="1:12" ht="13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3">
        <f>'FR-16(7)(v)-4 DISTR Classified'!I75</f>
        <v>14731367</v>
      </c>
      <c r="G75" s="347">
        <f t="shared" si="25"/>
        <v>9112234</v>
      </c>
      <c r="H75" s="347">
        <f>ROUND($F$75*VLOOKUP($D$75,ALLOCTABLE_DISTR_CUSTOMER,$H$10,FALSE),0)</f>
        <v>5482573</v>
      </c>
      <c r="I75" s="345">
        <f t="shared" si="26"/>
        <v>113137</v>
      </c>
      <c r="J75" s="345">
        <f t="shared" si="27"/>
        <v>23423</v>
      </c>
      <c r="K75" s="345">
        <f t="shared" si="28"/>
        <v>14731367</v>
      </c>
      <c r="L75" s="345">
        <f t="shared" si="29"/>
        <v>0</v>
      </c>
    </row>
    <row r="76" spans="1:12" ht="13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3">
        <f>'FR-16(7)(v)-4 DISTR Classified'!I76</f>
        <v>0</v>
      </c>
      <c r="G76" s="347">
        <f t="shared" si="25"/>
        <v>0</v>
      </c>
      <c r="H76" s="347">
        <f>ROUND($F$76*VLOOKUP($D$76,ALLOCTABLE_DISTR_CUSTOMER,$H$10,FALSE),0)</f>
        <v>0</v>
      </c>
      <c r="I76" s="345">
        <f t="shared" si="26"/>
        <v>0</v>
      </c>
      <c r="J76" s="345">
        <f t="shared" si="27"/>
        <v>0</v>
      </c>
      <c r="K76" s="345">
        <f t="shared" si="28"/>
        <v>0</v>
      </c>
      <c r="L76" s="345">
        <f t="shared" si="29"/>
        <v>0</v>
      </c>
    </row>
    <row r="77" spans="1:12" ht="13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3">
        <f>'FR-16(7)(v)-4 DISTR Classified'!I77</f>
        <v>0</v>
      </c>
      <c r="G77" s="347">
        <f t="shared" si="25"/>
        <v>0</v>
      </c>
      <c r="H77" s="347">
        <f>ROUND($F$77*VLOOKUP($D$77,ALLOCTABLE_DISTR_CUSTOMER,$H$10,FALSE),0)</f>
        <v>0</v>
      </c>
      <c r="I77" s="345">
        <f t="shared" si="26"/>
        <v>0</v>
      </c>
      <c r="J77" s="345">
        <f t="shared" si="27"/>
        <v>0</v>
      </c>
      <c r="K77" s="345">
        <f t="shared" si="28"/>
        <v>0</v>
      </c>
      <c r="L77" s="345">
        <f t="shared" si="29"/>
        <v>0</v>
      </c>
    </row>
    <row r="78" spans="1:12" ht="13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L78" si="30">SUM(F68:F77)</f>
        <v>271614300</v>
      </c>
      <c r="G78" s="346">
        <f>SUM(G68:G77)</f>
        <v>231832386</v>
      </c>
      <c r="H78" s="346">
        <f t="shared" si="30"/>
        <v>37911869</v>
      </c>
      <c r="I78" s="346">
        <f t="shared" si="30"/>
        <v>1113272</v>
      </c>
      <c r="J78" s="346">
        <f t="shared" si="30"/>
        <v>756773</v>
      </c>
      <c r="K78" s="346">
        <f t="shared" si="30"/>
        <v>271614300</v>
      </c>
      <c r="L78" s="346">
        <f t="shared" si="30"/>
        <v>0</v>
      </c>
    </row>
    <row r="79" spans="1:12" ht="13">
      <c r="A79" s="331">
        <v>24</v>
      </c>
      <c r="D79" s="342"/>
      <c r="E79" s="195"/>
      <c r="G79" s="351"/>
      <c r="H79" s="351"/>
      <c r="I79" s="330"/>
    </row>
    <row r="80" spans="1:12" ht="13">
      <c r="A80" s="331">
        <v>25</v>
      </c>
      <c r="B80" s="330" t="s">
        <v>18</v>
      </c>
      <c r="D80" s="342"/>
      <c r="E80" s="195"/>
      <c r="F80" s="345">
        <f>F78+F63</f>
        <v>271614300</v>
      </c>
      <c r="G80" s="347">
        <f>G78+$G$63</f>
        <v>231832386</v>
      </c>
      <c r="H80" s="347">
        <f>H78+$H$63</f>
        <v>37911869</v>
      </c>
      <c r="I80" s="345">
        <f>I78+$I$63</f>
        <v>1113272</v>
      </c>
      <c r="J80" s="345">
        <f>J78+$J$63</f>
        <v>756773</v>
      </c>
      <c r="K80" s="345">
        <f>K78+$K$63</f>
        <v>271614300</v>
      </c>
      <c r="L80" s="345">
        <f>L78+$L$63</f>
        <v>0</v>
      </c>
    </row>
    <row r="81" spans="1:12" ht="13">
      <c r="A81" s="331">
        <v>26</v>
      </c>
      <c r="B81" s="330" t="s">
        <v>19</v>
      </c>
      <c r="D81" s="342"/>
      <c r="E81" s="195"/>
      <c r="F81" s="345">
        <f t="shared" ref="F81:L81" si="31">F78+F65</f>
        <v>271614300</v>
      </c>
      <c r="G81" s="347">
        <f>G78+G65</f>
        <v>231832386</v>
      </c>
      <c r="H81" s="347">
        <f t="shared" si="31"/>
        <v>37911869</v>
      </c>
      <c r="I81" s="345">
        <f t="shared" si="31"/>
        <v>1113272</v>
      </c>
      <c r="J81" s="345">
        <f t="shared" si="31"/>
        <v>756773</v>
      </c>
      <c r="K81" s="345">
        <f t="shared" si="31"/>
        <v>271614300</v>
      </c>
      <c r="L81" s="345">
        <f t="shared" si="31"/>
        <v>0</v>
      </c>
    </row>
    <row r="82" spans="1:12" ht="13">
      <c r="A82" s="331">
        <v>27</v>
      </c>
      <c r="D82" s="342"/>
      <c r="E82" s="195"/>
      <c r="G82" s="351"/>
      <c r="H82" s="351"/>
      <c r="I82" s="330"/>
    </row>
    <row r="83" spans="1:12" ht="13">
      <c r="A83" s="331">
        <v>28</v>
      </c>
      <c r="B83" s="330" t="s">
        <v>20</v>
      </c>
      <c r="D83" s="342"/>
      <c r="E83" s="195"/>
      <c r="G83" s="351"/>
      <c r="H83" s="351"/>
      <c r="I83" s="330"/>
    </row>
    <row r="84" spans="1:12" ht="13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3">
        <f>'FR-16(7)(v)-4 DISTR Classified'!I84</f>
        <v>0</v>
      </c>
      <c r="G84" s="347">
        <f t="shared" ref="G84:G89" si="32">F84-SUM(H84:J84)</f>
        <v>0</v>
      </c>
      <c r="H84" s="347">
        <f>ROUND($F$84*VLOOKUP($D$84,ALLOCTABLE_DISTR_CUSTOMER,$H$10,FALSE),0)</f>
        <v>0</v>
      </c>
      <c r="I84" s="345">
        <f t="shared" ref="I84:I89" si="33">ROUND(F84*VLOOKUP(D84,ALLOCTABLE_DISTR_CUSTOMER,$I$10,FALSE),0)</f>
        <v>0</v>
      </c>
      <c r="J84" s="345">
        <f t="shared" ref="J84:J89" si="34">ROUND(F84*VLOOKUP(D84,ALLOCTABLE_DISTR_CUSTOMER,$J$10,FALSE),0)</f>
        <v>0</v>
      </c>
      <c r="K84" s="345">
        <f t="shared" ref="K84:K89" si="35">SUM(G84:J84)</f>
        <v>0</v>
      </c>
      <c r="L84" s="345">
        <f t="shared" ref="L84:L89" si="36">F84-K84</f>
        <v>0</v>
      </c>
    </row>
    <row r="85" spans="1:12" ht="13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3">
        <f>'FR-16(7)(v)-4 DISTR Classified'!I85</f>
        <v>0</v>
      </c>
      <c r="G85" s="347">
        <f t="shared" si="32"/>
        <v>0</v>
      </c>
      <c r="H85" s="347">
        <f>ROUND($F$85*VLOOKUP($D$85,ALLOCTABLE_DISTR_CUSTOMER,$H$10,FALSE),0)</f>
        <v>0</v>
      </c>
      <c r="I85" s="345">
        <f t="shared" si="33"/>
        <v>0</v>
      </c>
      <c r="J85" s="345">
        <f t="shared" si="34"/>
        <v>0</v>
      </c>
      <c r="K85" s="345">
        <f t="shared" si="35"/>
        <v>0</v>
      </c>
      <c r="L85" s="345">
        <f t="shared" si="36"/>
        <v>0</v>
      </c>
    </row>
    <row r="86" spans="1:12" ht="13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3">
        <f>'FR-16(7)(v)-4 DISTR Classified'!I86</f>
        <v>4023937</v>
      </c>
      <c r="G86" s="347">
        <f t="shared" si="32"/>
        <v>3358982</v>
      </c>
      <c r="H86" s="347">
        <f>ROUND($F$86*VLOOKUP($D$86,ALLOCTABLE_DISTR_CUSTOMER,$H$10,FALSE),0)</f>
        <v>618519</v>
      </c>
      <c r="I86" s="345">
        <f t="shared" si="33"/>
        <v>28248</v>
      </c>
      <c r="J86" s="345">
        <f t="shared" si="34"/>
        <v>18188</v>
      </c>
      <c r="K86" s="345">
        <f t="shared" si="35"/>
        <v>4023937</v>
      </c>
      <c r="L86" s="345">
        <f t="shared" si="36"/>
        <v>0</v>
      </c>
    </row>
    <row r="87" spans="1:12" ht="13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3">
        <f>'FR-16(7)(v)-4 DISTR Classified'!I87</f>
        <v>7459729</v>
      </c>
      <c r="G87" s="347">
        <f t="shared" si="32"/>
        <v>6887866</v>
      </c>
      <c r="H87" s="347">
        <f>ROUND($F$87*VLOOKUP($D$87,ALLOCTABLE_DISTR_CUSTOMER,$H$10,FALSE),0)</f>
        <v>562389</v>
      </c>
      <c r="I87" s="345">
        <f t="shared" si="33"/>
        <v>7833</v>
      </c>
      <c r="J87" s="345">
        <f t="shared" si="34"/>
        <v>1641</v>
      </c>
      <c r="K87" s="345">
        <f t="shared" si="35"/>
        <v>7459729</v>
      </c>
      <c r="L87" s="345">
        <f t="shared" si="36"/>
        <v>0</v>
      </c>
    </row>
    <row r="88" spans="1:12" ht="13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3">
        <f>'FR-16(7)(v)-4 DISTR Classified'!I88</f>
        <v>722179</v>
      </c>
      <c r="G88" s="347">
        <f t="shared" si="32"/>
        <v>666817</v>
      </c>
      <c r="H88" s="347">
        <f>ROUND($F$88*VLOOKUP($D$88,ALLOCTABLE_DISTR_CUSTOMER,$H$10,FALSE),0)</f>
        <v>54445</v>
      </c>
      <c r="I88" s="345">
        <f t="shared" si="33"/>
        <v>758</v>
      </c>
      <c r="J88" s="345">
        <f t="shared" si="34"/>
        <v>159</v>
      </c>
      <c r="K88" s="345">
        <f t="shared" si="35"/>
        <v>722179</v>
      </c>
      <c r="L88" s="345">
        <f t="shared" si="36"/>
        <v>0</v>
      </c>
    </row>
    <row r="89" spans="1:12" ht="13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3">
        <f>'FR-16(7)(v)-4 DISTR Classified'!I89</f>
        <v>0</v>
      </c>
      <c r="G89" s="347">
        <f t="shared" si="32"/>
        <v>0</v>
      </c>
      <c r="H89" s="347">
        <f>ROUND($F$89*VLOOKUP($D$89,ALLOCTABLE_DISTR_CUSTOMER,$H$10,FALSE),0)</f>
        <v>0</v>
      </c>
      <c r="I89" s="345">
        <f t="shared" si="33"/>
        <v>0</v>
      </c>
      <c r="J89" s="345">
        <f t="shared" si="34"/>
        <v>0</v>
      </c>
      <c r="K89" s="345">
        <f t="shared" si="35"/>
        <v>0</v>
      </c>
      <c r="L89" s="345">
        <f t="shared" si="36"/>
        <v>0</v>
      </c>
    </row>
    <row r="90" spans="1:12" ht="13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4">
        <f t="shared" ref="F90:L90" si="37">SUM(F84:F89)</f>
        <v>12205845</v>
      </c>
      <c r="G90" s="346">
        <f>SUM(G84:G89)</f>
        <v>10913665</v>
      </c>
      <c r="H90" s="346">
        <f t="shared" si="37"/>
        <v>1235353</v>
      </c>
      <c r="I90" s="346">
        <f t="shared" si="37"/>
        <v>36839</v>
      </c>
      <c r="J90" s="346">
        <f t="shared" si="37"/>
        <v>19988</v>
      </c>
      <c r="K90" s="346">
        <f t="shared" si="37"/>
        <v>12205845</v>
      </c>
      <c r="L90" s="346">
        <f t="shared" si="37"/>
        <v>0</v>
      </c>
    </row>
    <row r="91" spans="1:12" ht="13">
      <c r="A91" s="331">
        <v>36</v>
      </c>
      <c r="D91" s="342"/>
      <c r="E91" s="195"/>
      <c r="G91" s="351"/>
      <c r="H91" s="351"/>
      <c r="I91" s="330"/>
    </row>
    <row r="92" spans="1:12" ht="13">
      <c r="A92" s="331">
        <v>37</v>
      </c>
      <c r="B92" s="330" t="s">
        <v>21</v>
      </c>
      <c r="D92" s="342"/>
      <c r="E92" s="195"/>
      <c r="G92" s="351"/>
      <c r="H92" s="351"/>
      <c r="I92" s="330"/>
    </row>
    <row r="93" spans="1:12" ht="13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3">
        <f>'FR-16(7)(v)-4 DISTR Classified'!I93</f>
        <v>0</v>
      </c>
      <c r="G93" s="347">
        <f t="shared" ref="G93:G98" si="38">F93-SUM(H93:J93)</f>
        <v>0</v>
      </c>
      <c r="H93" s="347">
        <f>ROUND($F$93*VLOOKUP($D$93,ALLOCTABLE_DISTR_CUSTOMER,$H$10,FALSE),0)</f>
        <v>0</v>
      </c>
      <c r="I93" s="345">
        <f t="shared" ref="I93:I98" si="39">ROUND(F93*VLOOKUP(D93,ALLOCTABLE_DISTR_CUSTOMER,$I$10,FALSE),0)</f>
        <v>0</v>
      </c>
      <c r="J93" s="345">
        <f t="shared" ref="J93:J98" si="40">ROUND(F93*VLOOKUP(D93,ALLOCTABLE_DISTR_CUSTOMER,$J$10,FALSE),0)</f>
        <v>0</v>
      </c>
      <c r="K93" s="345">
        <f t="shared" ref="K93:K98" si="41">SUM(G93:J93)</f>
        <v>0</v>
      </c>
      <c r="L93" s="345">
        <f t="shared" ref="L93:L98" si="42">F93-K93</f>
        <v>0</v>
      </c>
    </row>
    <row r="94" spans="1:12" ht="13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3">
        <f>'FR-16(7)(v)-4 DISTR Classified'!I94</f>
        <v>0</v>
      </c>
      <c r="G94" s="347">
        <f t="shared" si="38"/>
        <v>0</v>
      </c>
      <c r="H94" s="347">
        <f>ROUND($F$94*VLOOKUP($D$94,ALLOCTABLE_DISTR_CUSTOMER,$H$10,FALSE),0)</f>
        <v>0</v>
      </c>
      <c r="I94" s="345">
        <f t="shared" si="39"/>
        <v>0</v>
      </c>
      <c r="J94" s="345">
        <f t="shared" si="40"/>
        <v>0</v>
      </c>
      <c r="K94" s="345">
        <f t="shared" si="41"/>
        <v>0</v>
      </c>
      <c r="L94" s="345">
        <f t="shared" si="42"/>
        <v>0</v>
      </c>
    </row>
    <row r="95" spans="1:12" ht="13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3">
        <f>'FR-16(7)(v)-4 DISTR Classified'!I95</f>
        <v>1294170</v>
      </c>
      <c r="G95" s="347">
        <f t="shared" si="38"/>
        <v>1080308</v>
      </c>
      <c r="H95" s="347">
        <f>ROUND($F$95*VLOOKUP($D$95,ALLOCTABLE_DISTR_CUSTOMER,$H$10,FALSE),0)</f>
        <v>198927</v>
      </c>
      <c r="I95" s="345">
        <f t="shared" si="39"/>
        <v>9085</v>
      </c>
      <c r="J95" s="345">
        <f t="shared" si="40"/>
        <v>5850</v>
      </c>
      <c r="K95" s="345">
        <f t="shared" si="41"/>
        <v>1294170</v>
      </c>
      <c r="L95" s="345">
        <f t="shared" si="42"/>
        <v>0</v>
      </c>
    </row>
    <row r="96" spans="1:12" ht="13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3">
        <f>'FR-16(7)(v)-4 DISTR Classified'!I96</f>
        <v>2399182</v>
      </c>
      <c r="G96" s="347">
        <f t="shared" si="38"/>
        <v>2215261</v>
      </c>
      <c r="H96" s="347">
        <f>ROUND($F$96*VLOOKUP($D$96,ALLOCTABLE_DISTR_CUSTOMER,$H$10,FALSE),0)</f>
        <v>180874</v>
      </c>
      <c r="I96" s="345">
        <f t="shared" si="39"/>
        <v>2519</v>
      </c>
      <c r="J96" s="345">
        <f t="shared" si="40"/>
        <v>528</v>
      </c>
      <c r="K96" s="345">
        <f t="shared" si="41"/>
        <v>2399182</v>
      </c>
      <c r="L96" s="345">
        <f t="shared" si="42"/>
        <v>0</v>
      </c>
    </row>
    <row r="97" spans="1:12" ht="13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3">
        <f>'FR-16(7)(v)-4 DISTR Classified'!I97</f>
        <v>232266</v>
      </c>
      <c r="G97" s="347">
        <f t="shared" si="38"/>
        <v>214460</v>
      </c>
      <c r="H97" s="347">
        <f>ROUND($F$97*VLOOKUP($D$97,ALLOCTABLE_DISTR_CUSTOMER,$H$10,FALSE),0)</f>
        <v>17511</v>
      </c>
      <c r="I97" s="345">
        <f t="shared" si="39"/>
        <v>244</v>
      </c>
      <c r="J97" s="345">
        <f t="shared" si="40"/>
        <v>51</v>
      </c>
      <c r="K97" s="345">
        <f t="shared" si="41"/>
        <v>232266</v>
      </c>
      <c r="L97" s="345">
        <f t="shared" si="42"/>
        <v>0</v>
      </c>
    </row>
    <row r="98" spans="1:12" ht="13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3">
        <f>'FR-16(7)(v)-4 DISTR Classified'!I98</f>
        <v>0</v>
      </c>
      <c r="G98" s="347">
        <f t="shared" si="38"/>
        <v>0</v>
      </c>
      <c r="H98" s="347">
        <f>ROUND($F$98*VLOOKUP($D$98,ALLOCTABLE_DISTR_CUSTOMER,$H$10,FALSE),0)</f>
        <v>0</v>
      </c>
      <c r="I98" s="345">
        <f t="shared" si="39"/>
        <v>0</v>
      </c>
      <c r="J98" s="345">
        <f t="shared" si="40"/>
        <v>0</v>
      </c>
      <c r="K98" s="345">
        <f t="shared" si="41"/>
        <v>0</v>
      </c>
      <c r="L98" s="345">
        <f t="shared" si="42"/>
        <v>0</v>
      </c>
    </row>
    <row r="99" spans="1:12" ht="13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L99" si="43">SUM(F93:F98)</f>
        <v>3925618</v>
      </c>
      <c r="G99" s="346">
        <f>SUM(G93:G98)</f>
        <v>3510029</v>
      </c>
      <c r="H99" s="346">
        <f t="shared" si="43"/>
        <v>397312</v>
      </c>
      <c r="I99" s="346">
        <f t="shared" si="43"/>
        <v>11848</v>
      </c>
      <c r="J99" s="346">
        <f t="shared" si="43"/>
        <v>6429</v>
      </c>
      <c r="K99" s="346">
        <f t="shared" si="43"/>
        <v>3925618</v>
      </c>
      <c r="L99" s="346">
        <f t="shared" si="43"/>
        <v>0</v>
      </c>
    </row>
    <row r="100" spans="1:12" ht="13">
      <c r="A100" s="331">
        <v>45</v>
      </c>
      <c r="E100" s="195"/>
      <c r="G100" s="351"/>
      <c r="H100" s="351"/>
      <c r="I100" s="330"/>
    </row>
    <row r="101" spans="1:12" ht="13">
      <c r="A101" s="331">
        <v>46</v>
      </c>
      <c r="B101" s="330" t="s">
        <v>95</v>
      </c>
      <c r="E101" s="195"/>
      <c r="F101" s="345">
        <f t="shared" ref="F101:L101" si="44">F81+F90+F99</f>
        <v>287745763</v>
      </c>
      <c r="G101" s="347">
        <f>G81+G90+G99</f>
        <v>246256080</v>
      </c>
      <c r="H101" s="347">
        <f t="shared" si="44"/>
        <v>39544534</v>
      </c>
      <c r="I101" s="345">
        <f t="shared" si="44"/>
        <v>1161959</v>
      </c>
      <c r="J101" s="345">
        <f t="shared" si="44"/>
        <v>783190</v>
      </c>
      <c r="K101" s="345">
        <f t="shared" si="44"/>
        <v>287745763</v>
      </c>
      <c r="L101" s="345">
        <f t="shared" si="44"/>
        <v>0</v>
      </c>
    </row>
    <row r="102" spans="1:12" ht="13">
      <c r="B102" s="341"/>
      <c r="C102" s="195"/>
      <c r="D102" s="342"/>
      <c r="E102" s="195"/>
      <c r="G102" s="340"/>
      <c r="H102" s="340"/>
      <c r="I102" s="195"/>
      <c r="J102" s="342"/>
      <c r="K102" s="195"/>
      <c r="L102" s="195"/>
    </row>
    <row r="103" spans="1:12" ht="13">
      <c r="A103" s="341" t="str">
        <f>co_name</f>
        <v>DUKE ENERGY KENTUCKY, INC.</v>
      </c>
      <c r="C103" s="195"/>
      <c r="D103" s="342"/>
      <c r="E103" s="195"/>
      <c r="F103" s="342"/>
      <c r="G103" s="340"/>
      <c r="H103" s="340"/>
      <c r="I103" s="195"/>
      <c r="K103" s="359" t="str">
        <f>$K$1</f>
        <v>FR-16(7)(v)-6</v>
      </c>
      <c r="L103" s="195"/>
    </row>
    <row r="104" spans="1:12" ht="13">
      <c r="A104" s="341" t="str">
        <f>$A$2</f>
        <v>DISTRIBUTION CUSTOMER ALLOCATED - GAS COST OF SERVICE</v>
      </c>
      <c r="C104" s="195"/>
      <c r="D104" s="342"/>
      <c r="E104" s="195"/>
      <c r="F104" s="342"/>
      <c r="G104" s="340"/>
      <c r="H104" s="340"/>
      <c r="I104" s="195"/>
      <c r="K104" s="359" t="str">
        <f>$K$2</f>
        <v>WITNESS RESPONSIBLE:</v>
      </c>
      <c r="L104" s="195"/>
    </row>
    <row r="105" spans="1:12" ht="13">
      <c r="A105" s="341" t="str">
        <f>case_name</f>
        <v>CASE NO: 2021-00190</v>
      </c>
      <c r="C105" s="195"/>
      <c r="D105" s="342"/>
      <c r="E105" s="195"/>
      <c r="F105" s="342"/>
      <c r="G105" s="340"/>
      <c r="H105" s="340"/>
      <c r="I105" s="195"/>
      <c r="K105" s="359" t="str">
        <f>Witness</f>
        <v>JAMES E. ZIOLKOWSKI</v>
      </c>
      <c r="L105" s="195"/>
    </row>
    <row r="106" spans="1:12" ht="13">
      <c r="A106" s="341" t="str">
        <f>data_filing</f>
        <v>DATA: 12 MONTH FORECASTED PERIOD</v>
      </c>
      <c r="C106" s="195"/>
      <c r="D106" s="342"/>
      <c r="E106" s="195"/>
      <c r="F106" s="342"/>
      <c r="G106" s="340"/>
      <c r="H106" s="340"/>
      <c r="I106" s="195"/>
      <c r="K106" s="359" t="str">
        <f>"PAGE "&amp;Pages-15&amp;" OF "&amp;Pages</f>
        <v>PAGE 3 OF 18</v>
      </c>
      <c r="L106" s="195"/>
    </row>
    <row r="107" spans="1:12" ht="13">
      <c r="A107" s="341" t="str">
        <f>type</f>
        <v xml:space="preserve">TYPE OF FILING: "X" ORIGINAL   UPDATED    REVISED  </v>
      </c>
      <c r="C107" s="195"/>
      <c r="D107" s="342"/>
      <c r="E107" s="195"/>
      <c r="F107" s="342"/>
      <c r="G107" s="340"/>
      <c r="H107" s="340"/>
      <c r="I107" s="195"/>
      <c r="J107" s="342"/>
      <c r="K107" s="195"/>
      <c r="L107" s="195"/>
    </row>
    <row r="108" spans="1:12" ht="13">
      <c r="A108" s="341"/>
      <c r="C108" s="195"/>
      <c r="D108" s="342"/>
      <c r="E108" s="195"/>
      <c r="F108" s="342"/>
      <c r="G108" s="340"/>
      <c r="H108" s="340"/>
      <c r="I108" s="195"/>
      <c r="J108" s="342"/>
      <c r="K108" s="195"/>
      <c r="L108" s="195"/>
    </row>
    <row r="109" spans="1:12" ht="13">
      <c r="B109" s="341"/>
      <c r="C109" s="195"/>
      <c r="D109" s="342"/>
      <c r="E109" s="195"/>
      <c r="F109" s="342" t="str">
        <f>$F$7</f>
        <v>TOTAL</v>
      </c>
      <c r="G109" s="340"/>
      <c r="H109" s="340"/>
      <c r="I109" s="195"/>
      <c r="J109" s="342"/>
      <c r="K109" s="195"/>
      <c r="L109" s="195"/>
    </row>
    <row r="110" spans="1:12" ht="13">
      <c r="A110" s="342" t="s">
        <v>907</v>
      </c>
      <c r="B110" s="195"/>
      <c r="C110" s="195"/>
      <c r="D110" s="342"/>
      <c r="E110" s="195"/>
      <c r="F110" s="342" t="str">
        <f>$F$8</f>
        <v>DISTRIBUTION</v>
      </c>
      <c r="G110" s="352" t="str">
        <f>$G$8</f>
        <v>RS</v>
      </c>
      <c r="H110" s="352" t="str">
        <f>$H$8</f>
        <v>GS</v>
      </c>
      <c r="I110" s="342" t="str">
        <f>$I$8</f>
        <v>FT-L</v>
      </c>
      <c r="J110" s="342" t="str">
        <f>$J$8</f>
        <v>INTERUPT</v>
      </c>
      <c r="K110" s="342" t="s">
        <v>229</v>
      </c>
      <c r="L110" s="342" t="s">
        <v>342</v>
      </c>
    </row>
    <row r="111" spans="1:12" ht="13">
      <c r="A111" s="344" t="s">
        <v>908</v>
      </c>
      <c r="B111" s="343" t="s">
        <v>22</v>
      </c>
      <c r="C111" s="343"/>
      <c r="D111" s="344" t="s">
        <v>337</v>
      </c>
      <c r="E111" s="343"/>
      <c r="F111" s="342" t="str">
        <f>$F$9</f>
        <v>CUSTOMER</v>
      </c>
      <c r="G111" s="353" t="str">
        <f>$G$9</f>
        <v>RESIDENTIAL</v>
      </c>
      <c r="H111" s="353" t="str">
        <f>$H$9</f>
        <v>GEN SERV</v>
      </c>
      <c r="I111" s="344" t="str">
        <f>$I$9</f>
        <v>FIRM TRANS</v>
      </c>
      <c r="J111" s="344" t="str">
        <f>$J$9</f>
        <v>TRANS</v>
      </c>
      <c r="K111" s="344" t="s">
        <v>341</v>
      </c>
      <c r="L111" s="344" t="s">
        <v>340</v>
      </c>
    </row>
    <row r="112" spans="1:12" ht="13">
      <c r="C112" s="572" t="s">
        <v>345</v>
      </c>
      <c r="D112" s="342"/>
      <c r="E112" s="195"/>
      <c r="F112" s="755"/>
      <c r="G112" s="627">
        <f>$G$10</f>
        <v>3</v>
      </c>
      <c r="H112" s="627">
        <f>$H$10</f>
        <v>4</v>
      </c>
      <c r="I112" s="627">
        <f>$I$10</f>
        <v>5</v>
      </c>
      <c r="J112" s="627">
        <f>$J$10</f>
        <v>6</v>
      </c>
    </row>
    <row r="113" spans="1:12" ht="13">
      <c r="A113" s="331">
        <v>1</v>
      </c>
      <c r="B113" s="330" t="s">
        <v>14</v>
      </c>
      <c r="D113" s="342"/>
      <c r="E113" s="195"/>
      <c r="I113" s="330"/>
    </row>
    <row r="114" spans="1:12" ht="13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3">
        <f>'FR-16(7)(v)-4 DISTR Classified'!I114</f>
        <v>0</v>
      </c>
      <c r="G114" s="347">
        <f>F114-SUM(H114:J114)</f>
        <v>0</v>
      </c>
      <c r="H114" s="345">
        <f>ROUND($F$114*VLOOKUP($D$114,ALLOCTABLE_DISTR_CUSTOMER,$H$10,FALSE),0)</f>
        <v>0</v>
      </c>
      <c r="I114" s="345">
        <f>ROUND(F114*VLOOKUP(D114,ALLOCTABLE_DISTR_CUSTOMER,$I$10,FALSE),0)</f>
        <v>0</v>
      </c>
      <c r="J114" s="345">
        <f>ROUND(F114*VLOOKUP(D114,ALLOCTABLE_DISTR_CUSTOMER,$J$10,FALSE),0)</f>
        <v>0</v>
      </c>
      <c r="K114" s="345">
        <f>SUM(G114:J114)</f>
        <v>0</v>
      </c>
      <c r="L114" s="345">
        <f>F114-K114</f>
        <v>0</v>
      </c>
    </row>
    <row r="115" spans="1:12" ht="13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L115" si="45">SUM(F114:F114)</f>
        <v>0</v>
      </c>
      <c r="G115" s="346">
        <f>SUM(G114:G114)</f>
        <v>0</v>
      </c>
      <c r="H115" s="346">
        <f t="shared" si="45"/>
        <v>0</v>
      </c>
      <c r="I115" s="346">
        <f t="shared" si="45"/>
        <v>0</v>
      </c>
      <c r="J115" s="346">
        <f t="shared" si="45"/>
        <v>0</v>
      </c>
      <c r="K115" s="346">
        <f t="shared" si="45"/>
        <v>0</v>
      </c>
      <c r="L115" s="346">
        <f t="shared" si="45"/>
        <v>0</v>
      </c>
    </row>
    <row r="116" spans="1:12" ht="13">
      <c r="A116" s="331">
        <v>4</v>
      </c>
      <c r="D116" s="342"/>
      <c r="E116" s="195"/>
      <c r="I116" s="330"/>
    </row>
    <row r="117" spans="1:12" ht="13">
      <c r="A117" s="331">
        <v>5</v>
      </c>
      <c r="B117" s="330" t="s">
        <v>15</v>
      </c>
      <c r="D117" s="342"/>
      <c r="E117" s="195"/>
      <c r="I117" s="330"/>
    </row>
    <row r="118" spans="1:12" ht="13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1"/>
      <c r="G118" s="345"/>
      <c r="H118" s="345"/>
      <c r="I118" s="345"/>
      <c r="J118" s="345"/>
      <c r="K118" s="345"/>
      <c r="L118" s="345"/>
    </row>
    <row r="119" spans="1:12" ht="13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L119" si="46">SUM(F118:F118)</f>
        <v>0</v>
      </c>
      <c r="G119" s="346">
        <f>SUM(G118:G118)</f>
        <v>0</v>
      </c>
      <c r="H119" s="346">
        <f t="shared" si="46"/>
        <v>0</v>
      </c>
      <c r="I119" s="346">
        <f t="shared" si="46"/>
        <v>0</v>
      </c>
      <c r="J119" s="346">
        <f t="shared" si="46"/>
        <v>0</v>
      </c>
      <c r="K119" s="346">
        <f t="shared" si="46"/>
        <v>0</v>
      </c>
      <c r="L119" s="346">
        <f t="shared" si="46"/>
        <v>0</v>
      </c>
    </row>
    <row r="120" spans="1:12" ht="13">
      <c r="A120" s="331">
        <v>8</v>
      </c>
      <c r="D120" s="342"/>
      <c r="E120" s="195"/>
      <c r="I120" s="330"/>
    </row>
    <row r="121" spans="1:12" ht="13">
      <c r="A121" s="331">
        <v>9</v>
      </c>
      <c r="B121" s="330" t="s">
        <v>17</v>
      </c>
      <c r="D121" s="342"/>
      <c r="E121" s="195"/>
      <c r="I121" s="330"/>
    </row>
    <row r="122" spans="1:12" ht="13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3">
        <f>'FR-16(7)(v)-4 DISTR Classified'!I122</f>
        <v>0</v>
      </c>
      <c r="G122" s="347">
        <f t="shared" ref="G122:G130" si="47">F122-SUM(H122:J122)</f>
        <v>0</v>
      </c>
      <c r="H122" s="345">
        <f>ROUND($F$122*VLOOKUP($D$122,ALLOCTABLE_DISTR_CUSTOMER,$H$10,FALSE),0)</f>
        <v>0</v>
      </c>
      <c r="I122" s="345">
        <f t="shared" ref="I122:I130" si="48">ROUND(F122*VLOOKUP(D122,ALLOCTABLE_DISTR_CUSTOMER,$I$10,FALSE),0)</f>
        <v>0</v>
      </c>
      <c r="J122" s="345">
        <f t="shared" ref="J122:J130" si="49">ROUND(F122*VLOOKUP(D122,ALLOCTABLE_DISTR_CUSTOMER,$J$10,FALSE),0)</f>
        <v>0</v>
      </c>
      <c r="K122" s="345">
        <f t="shared" ref="K122:K130" si="50">SUM(G122:J122)</f>
        <v>0</v>
      </c>
      <c r="L122" s="345">
        <f t="shared" ref="L122:L130" si="51">F122-K122</f>
        <v>0</v>
      </c>
    </row>
    <row r="123" spans="1:12" ht="13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3">
        <f>'FR-16(7)(v)-4 DISTR Classified'!I123</f>
        <v>0</v>
      </c>
      <c r="G123" s="347">
        <f t="shared" si="47"/>
        <v>0</v>
      </c>
      <c r="H123" s="345">
        <f>ROUND($F$123*VLOOKUP($D$123,ALLOCTABLE_DISTR_CUSTOMER,$H$10,FALSE),0)</f>
        <v>0</v>
      </c>
      <c r="I123" s="345">
        <f t="shared" si="48"/>
        <v>0</v>
      </c>
      <c r="J123" s="345">
        <f t="shared" si="49"/>
        <v>0</v>
      </c>
      <c r="K123" s="345">
        <f t="shared" si="50"/>
        <v>0</v>
      </c>
      <c r="L123" s="345">
        <f t="shared" si="51"/>
        <v>0</v>
      </c>
    </row>
    <row r="124" spans="1:12" ht="13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3">
        <f>'FR-16(7)(v)-4 DISTR Classified'!I124</f>
        <v>0</v>
      </c>
      <c r="G124" s="347">
        <f t="shared" si="47"/>
        <v>0</v>
      </c>
      <c r="H124" s="345">
        <f>ROUND($F$124*VLOOKUP($D$124,ALLOCTABLE_DISTR_CUSTOMER,$H$10,FALSE),0)</f>
        <v>0</v>
      </c>
      <c r="I124" s="345">
        <f t="shared" si="48"/>
        <v>0</v>
      </c>
      <c r="J124" s="345">
        <f t="shared" si="49"/>
        <v>0</v>
      </c>
      <c r="K124" s="345">
        <f t="shared" si="50"/>
        <v>0</v>
      </c>
      <c r="L124" s="345">
        <f t="shared" si="51"/>
        <v>0</v>
      </c>
    </row>
    <row r="125" spans="1:12" ht="13">
      <c r="A125" s="331">
        <v>13</v>
      </c>
      <c r="C125" s="330" t="str">
        <f>'FR-16(7)(v)-1 Functional'!C125</f>
        <v>MAINS - (2761, 2762, 2763, 2765)</v>
      </c>
      <c r="D125" s="342" t="str">
        <f>D71</f>
        <v>K401</v>
      </c>
      <c r="E125" s="195"/>
      <c r="F125" s="473">
        <f>'FR-16(7)(v)-4 DISTR Classified'!I125</f>
        <v>0</v>
      </c>
      <c r="G125" s="347">
        <f t="shared" si="47"/>
        <v>0</v>
      </c>
      <c r="H125" s="345">
        <f>ROUND($F$125*VLOOKUP($D$125,ALLOCTABLE_DISTR_CUSTOMER,$H$10,FALSE),0)</f>
        <v>0</v>
      </c>
      <c r="I125" s="345">
        <f t="shared" si="48"/>
        <v>0</v>
      </c>
      <c r="J125" s="345">
        <f t="shared" si="49"/>
        <v>0</v>
      </c>
      <c r="K125" s="345">
        <f t="shared" si="50"/>
        <v>0</v>
      </c>
      <c r="L125" s="345">
        <f t="shared" si="51"/>
        <v>0</v>
      </c>
    </row>
    <row r="126" spans="1:12" ht="13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3">
        <f>'FR-16(7)(v)-4 DISTR Classified'!I126</f>
        <v>61310319</v>
      </c>
      <c r="G126" s="347">
        <f t="shared" si="47"/>
        <v>53709678</v>
      </c>
      <c r="H126" s="345">
        <f>ROUND($F$126*VLOOKUP($D$126,ALLOCTABLE_DISTR_CUSTOMER,$H$10,FALSE),0)</f>
        <v>7384215</v>
      </c>
      <c r="I126" s="345">
        <f t="shared" si="48"/>
        <v>117103</v>
      </c>
      <c r="J126" s="345">
        <f t="shared" si="49"/>
        <v>99323</v>
      </c>
      <c r="K126" s="345">
        <f t="shared" si="50"/>
        <v>61310319</v>
      </c>
      <c r="L126" s="345">
        <f t="shared" si="51"/>
        <v>0</v>
      </c>
    </row>
    <row r="127" spans="1:12" ht="13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3">
        <f>'FR-16(7)(v)-4 DISTR Classified'!I127</f>
        <v>-895430</v>
      </c>
      <c r="G127" s="347">
        <f t="shared" si="47"/>
        <v>-716989</v>
      </c>
      <c r="H127" s="345">
        <f>ROUND($F$127*VLOOKUP($D$127,ALLOCTABLE_DISTR_CUSTOMER,$H$10,FALSE),0)</f>
        <v>-151220</v>
      </c>
      <c r="I127" s="345">
        <f t="shared" si="48"/>
        <v>-16539</v>
      </c>
      <c r="J127" s="345">
        <f t="shared" si="49"/>
        <v>-10682</v>
      </c>
      <c r="K127" s="345">
        <f t="shared" si="50"/>
        <v>-895430</v>
      </c>
      <c r="L127" s="345">
        <f t="shared" si="51"/>
        <v>0</v>
      </c>
    </row>
    <row r="128" spans="1:12" ht="13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3">
        <f>'FR-16(7)(v)-4 DISTR Classified'!I128</f>
        <v>0</v>
      </c>
      <c r="G128" s="347">
        <f t="shared" si="47"/>
        <v>0</v>
      </c>
      <c r="H128" s="345">
        <f>ROUND($F$128*VLOOKUP($D$128,ALLOCTABLE_DISTR_CUSTOMER,$H$10,FALSE),0)</f>
        <v>0</v>
      </c>
      <c r="I128" s="345">
        <f t="shared" si="48"/>
        <v>0</v>
      </c>
      <c r="J128" s="345">
        <f t="shared" si="49"/>
        <v>0</v>
      </c>
      <c r="K128" s="345">
        <f t="shared" si="50"/>
        <v>0</v>
      </c>
      <c r="L128" s="345">
        <f t="shared" si="51"/>
        <v>0</v>
      </c>
    </row>
    <row r="129" spans="1:12" ht="13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3">
        <f>'FR-16(7)(v)-4 DISTR Classified'!I129</f>
        <v>5948247</v>
      </c>
      <c r="G129" s="347">
        <f t="shared" si="47"/>
        <v>3679347</v>
      </c>
      <c r="H129" s="345">
        <f>ROUND($F$129*VLOOKUP($D$129,ALLOCTABLE_DISTR_CUSTOMER,$H$10,FALSE),0)</f>
        <v>2213759</v>
      </c>
      <c r="I129" s="345">
        <f t="shared" si="48"/>
        <v>45683</v>
      </c>
      <c r="J129" s="345">
        <f t="shared" si="49"/>
        <v>9458</v>
      </c>
      <c r="K129" s="345">
        <f t="shared" si="50"/>
        <v>5948247</v>
      </c>
      <c r="L129" s="345">
        <f t="shared" si="51"/>
        <v>0</v>
      </c>
    </row>
    <row r="130" spans="1:12" ht="13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3">
        <f>'FR-16(7)(v)-4 DISTR Classified'!I130</f>
        <v>0</v>
      </c>
      <c r="G130" s="347">
        <f t="shared" si="47"/>
        <v>0</v>
      </c>
      <c r="H130" s="345">
        <f>ROUND($F$130*VLOOKUP($D$130,ALLOCTABLE_DISTR_CUSTOMER,$H$10,FALSE),0)</f>
        <v>0</v>
      </c>
      <c r="I130" s="345">
        <f t="shared" si="48"/>
        <v>0</v>
      </c>
      <c r="J130" s="345">
        <f t="shared" si="49"/>
        <v>0</v>
      </c>
      <c r="K130" s="345">
        <f t="shared" si="50"/>
        <v>0</v>
      </c>
      <c r="L130" s="345">
        <f t="shared" si="51"/>
        <v>0</v>
      </c>
    </row>
    <row r="131" spans="1:12" ht="13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L131" si="52">SUM(F121:F130)</f>
        <v>66363136</v>
      </c>
      <c r="G131" s="346">
        <f>SUM(G121:G130)</f>
        <v>56672036</v>
      </c>
      <c r="H131" s="346">
        <f t="shared" si="52"/>
        <v>9446754</v>
      </c>
      <c r="I131" s="346">
        <f t="shared" si="52"/>
        <v>146247</v>
      </c>
      <c r="J131" s="346">
        <f t="shared" si="52"/>
        <v>98099</v>
      </c>
      <c r="K131" s="346">
        <f t="shared" si="52"/>
        <v>66363136</v>
      </c>
      <c r="L131" s="346">
        <f t="shared" si="52"/>
        <v>0</v>
      </c>
    </row>
    <row r="132" spans="1:12" ht="13">
      <c r="A132" s="331">
        <v>20</v>
      </c>
      <c r="D132" s="342"/>
      <c r="E132" s="195"/>
      <c r="I132" s="330"/>
    </row>
    <row r="133" spans="1:12" ht="13">
      <c r="A133" s="331">
        <v>21</v>
      </c>
      <c r="B133" s="330" t="s">
        <v>20</v>
      </c>
      <c r="D133" s="342"/>
      <c r="E133" s="195"/>
      <c r="I133" s="330"/>
    </row>
    <row r="134" spans="1:12" ht="13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3">
        <f>'FR-16(7)(v)-4 DISTR Classified'!I134</f>
        <v>0</v>
      </c>
      <c r="G134" s="347">
        <f t="shared" ref="G134:G139" si="53">F134-SUM(H134:J134)</f>
        <v>0</v>
      </c>
      <c r="H134" s="345">
        <f>ROUND($F$134*VLOOKUP($D$134,ALLOCTABLE_DISTR_CUSTOMER,$H$10,FALSE),0)</f>
        <v>0</v>
      </c>
      <c r="I134" s="345">
        <f t="shared" ref="I134:I139" si="54">ROUND(F134*VLOOKUP(D134,ALLOCTABLE_DISTR_CUSTOMER,$I$10,FALSE),0)</f>
        <v>0</v>
      </c>
      <c r="J134" s="345">
        <f t="shared" ref="J134:J139" si="55">ROUND(F134*VLOOKUP(D134,ALLOCTABLE_DISTR_CUSTOMER,$J$10,FALSE),0)</f>
        <v>0</v>
      </c>
      <c r="K134" s="345">
        <f t="shared" ref="K134:K139" si="56">SUM(G134:J134)</f>
        <v>0</v>
      </c>
      <c r="L134" s="345">
        <f t="shared" ref="L134:L139" si="57">F134-K134</f>
        <v>0</v>
      </c>
    </row>
    <row r="135" spans="1:12" ht="13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3">
        <f>'FR-16(7)(v)-4 DISTR Classified'!I135</f>
        <v>0</v>
      </c>
      <c r="G135" s="347">
        <f t="shared" si="53"/>
        <v>0</v>
      </c>
      <c r="H135" s="345">
        <f>ROUND($F$135*VLOOKUP($D$135,ALLOCTABLE_DISTR_CUSTOMER,$H$10,FALSE),0)</f>
        <v>0</v>
      </c>
      <c r="I135" s="345">
        <f t="shared" si="54"/>
        <v>0</v>
      </c>
      <c r="J135" s="345">
        <f t="shared" si="55"/>
        <v>0</v>
      </c>
      <c r="K135" s="345">
        <f t="shared" si="56"/>
        <v>0</v>
      </c>
      <c r="L135" s="345">
        <f t="shared" si="57"/>
        <v>0</v>
      </c>
    </row>
    <row r="136" spans="1:12" ht="13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3">
        <f>'FR-16(7)(v)-4 DISTR Classified'!I136</f>
        <v>1980954</v>
      </c>
      <c r="G136" s="347">
        <f t="shared" si="53"/>
        <v>1653602</v>
      </c>
      <c r="H136" s="345">
        <f>ROUND($F$136*VLOOKUP($D$136,ALLOCTABLE_DISTR_CUSTOMER,$H$10,FALSE),0)</f>
        <v>304492</v>
      </c>
      <c r="I136" s="345">
        <f t="shared" si="54"/>
        <v>13906</v>
      </c>
      <c r="J136" s="345">
        <f t="shared" si="55"/>
        <v>8954</v>
      </c>
      <c r="K136" s="345">
        <f t="shared" si="56"/>
        <v>1980954</v>
      </c>
      <c r="L136" s="345">
        <f t="shared" si="57"/>
        <v>0</v>
      </c>
    </row>
    <row r="137" spans="1:12" ht="13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3">
        <f>'FR-16(7)(v)-4 DISTR Classified'!I137</f>
        <v>3672369</v>
      </c>
      <c r="G137" s="347">
        <f t="shared" si="53"/>
        <v>3390845</v>
      </c>
      <c r="H137" s="345">
        <f>ROUND($F$137*VLOOKUP($D$137,ALLOCTABLE_DISTR_CUSTOMER,$H$10,FALSE),0)</f>
        <v>276860</v>
      </c>
      <c r="I137" s="345">
        <f t="shared" si="54"/>
        <v>3856</v>
      </c>
      <c r="J137" s="345">
        <f t="shared" si="55"/>
        <v>808</v>
      </c>
      <c r="K137" s="345">
        <f t="shared" si="56"/>
        <v>3672369</v>
      </c>
      <c r="L137" s="345">
        <f t="shared" si="57"/>
        <v>0</v>
      </c>
    </row>
    <row r="138" spans="1:12" ht="13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3">
        <f>'FR-16(7)(v)-4 DISTR Classified'!I138</f>
        <v>355523</v>
      </c>
      <c r="G138" s="347">
        <f t="shared" si="53"/>
        <v>328269</v>
      </c>
      <c r="H138" s="345">
        <f>ROUND($F$138*VLOOKUP($D$138,ALLOCTABLE_DISTR_CUSTOMER,$H$10,FALSE),0)</f>
        <v>26803</v>
      </c>
      <c r="I138" s="345">
        <f t="shared" si="54"/>
        <v>373</v>
      </c>
      <c r="J138" s="345">
        <f t="shared" si="55"/>
        <v>78</v>
      </c>
      <c r="K138" s="345">
        <f t="shared" si="56"/>
        <v>355523</v>
      </c>
      <c r="L138" s="345">
        <f t="shared" si="57"/>
        <v>0</v>
      </c>
    </row>
    <row r="139" spans="1:12" ht="13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3">
        <f>'FR-16(7)(v)-4 DISTR Classified'!I139</f>
        <v>0</v>
      </c>
      <c r="G139" s="347">
        <f t="shared" si="53"/>
        <v>0</v>
      </c>
      <c r="H139" s="345">
        <f>ROUND($F$139*VLOOKUP($D$139,ALLOCTABLE_DISTR_CUSTOMER,$H$10,FALSE),0)</f>
        <v>0</v>
      </c>
      <c r="I139" s="345">
        <f t="shared" si="54"/>
        <v>0</v>
      </c>
      <c r="J139" s="345">
        <f t="shared" si="55"/>
        <v>0</v>
      </c>
      <c r="K139" s="345">
        <f t="shared" si="56"/>
        <v>0</v>
      </c>
      <c r="L139" s="345">
        <f t="shared" si="57"/>
        <v>0</v>
      </c>
    </row>
    <row r="140" spans="1:12" ht="13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L140" si="58">SUM(F133:F139)</f>
        <v>6008846</v>
      </c>
      <c r="G140" s="346">
        <f>SUM(G133:G139)</f>
        <v>5372716</v>
      </c>
      <c r="H140" s="346">
        <f t="shared" si="58"/>
        <v>608155</v>
      </c>
      <c r="I140" s="346">
        <f t="shared" si="58"/>
        <v>18135</v>
      </c>
      <c r="J140" s="346">
        <f t="shared" si="58"/>
        <v>9840</v>
      </c>
      <c r="K140" s="346">
        <f t="shared" si="58"/>
        <v>6008846</v>
      </c>
      <c r="L140" s="346">
        <f t="shared" si="58"/>
        <v>0</v>
      </c>
    </row>
    <row r="141" spans="1:12" ht="13">
      <c r="A141" s="331">
        <v>29</v>
      </c>
      <c r="C141" s="363"/>
      <c r="D141" s="342"/>
      <c r="E141" s="195"/>
      <c r="I141" s="330"/>
    </row>
    <row r="142" spans="1:12" ht="13">
      <c r="A142" s="331">
        <v>30</v>
      </c>
      <c r="B142" s="330" t="s">
        <v>21</v>
      </c>
      <c r="C142" s="363"/>
      <c r="D142" s="342"/>
      <c r="E142" s="195"/>
      <c r="I142" s="330"/>
    </row>
    <row r="143" spans="1:12" ht="13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3">
        <f>'FR-16(7)(v)-4 DISTR Classified'!I143</f>
        <v>0</v>
      </c>
      <c r="G143" s="347">
        <f t="shared" ref="G143:G148" si="59">F143-SUM(H143:J143)</f>
        <v>0</v>
      </c>
      <c r="H143" s="345">
        <f>ROUND($F$143*VLOOKUP($D$143,ALLOCTABLE_DISTR_CUSTOMER,$H$10,FALSE),0)</f>
        <v>0</v>
      </c>
      <c r="I143" s="345">
        <f t="shared" ref="I143:I148" si="60">ROUND(F143*VLOOKUP(D143,ALLOCTABLE_DISTR_CUSTOMER,$I$10,FALSE),0)</f>
        <v>0</v>
      </c>
      <c r="J143" s="345">
        <f t="shared" ref="J143:J148" si="61">ROUND(F143*VLOOKUP(D143,ALLOCTABLE_DISTR_CUSTOMER,$J$10,FALSE),0)</f>
        <v>0</v>
      </c>
      <c r="K143" s="345">
        <f t="shared" ref="K143:K148" si="62">SUM(G143:J143)</f>
        <v>0</v>
      </c>
      <c r="L143" s="345">
        <f t="shared" ref="L143:L148" si="63">F143-K143</f>
        <v>0</v>
      </c>
    </row>
    <row r="144" spans="1:12" ht="13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3">
        <f>'FR-16(7)(v)-4 DISTR Classified'!I144</f>
        <v>0</v>
      </c>
      <c r="G144" s="347">
        <f t="shared" si="59"/>
        <v>0</v>
      </c>
      <c r="H144" s="345">
        <f>ROUND($F$144*VLOOKUP($D$144,ALLOCTABLE_DISTR_CUSTOMER,$H$10,FALSE),0)</f>
        <v>0</v>
      </c>
      <c r="I144" s="345">
        <f t="shared" si="60"/>
        <v>0</v>
      </c>
      <c r="J144" s="345">
        <f t="shared" si="61"/>
        <v>0</v>
      </c>
      <c r="K144" s="345">
        <f t="shared" si="62"/>
        <v>0</v>
      </c>
      <c r="L144" s="345">
        <f t="shared" si="63"/>
        <v>0</v>
      </c>
    </row>
    <row r="145" spans="1:12" ht="13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3">
        <f>'FR-16(7)(v)-4 DISTR Classified'!I145</f>
        <v>905982</v>
      </c>
      <c r="G145" s="347">
        <f t="shared" si="59"/>
        <v>756269</v>
      </c>
      <c r="H145" s="345">
        <f>ROUND($F$145*VLOOKUP($D$145,ALLOCTABLE_DISTR_CUSTOMER,$H$10,FALSE),0)</f>
        <v>139258</v>
      </c>
      <c r="I145" s="345">
        <f t="shared" si="60"/>
        <v>6360</v>
      </c>
      <c r="J145" s="345">
        <f t="shared" si="61"/>
        <v>4095</v>
      </c>
      <c r="K145" s="345">
        <f t="shared" si="62"/>
        <v>905982</v>
      </c>
      <c r="L145" s="345">
        <f t="shared" si="63"/>
        <v>0</v>
      </c>
    </row>
    <row r="146" spans="1:12" ht="13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3">
        <f>'FR-16(7)(v)-4 DISTR Classified'!I146</f>
        <v>1679545</v>
      </c>
      <c r="G146" s="347">
        <f t="shared" si="59"/>
        <v>1550791</v>
      </c>
      <c r="H146" s="345">
        <f>ROUND($F$146*VLOOKUP($D$146,ALLOCTABLE_DISTR_CUSTOMER,$H$10,FALSE),0)</f>
        <v>126621</v>
      </c>
      <c r="I146" s="345">
        <f t="shared" si="60"/>
        <v>1764</v>
      </c>
      <c r="J146" s="345">
        <f t="shared" si="61"/>
        <v>369</v>
      </c>
      <c r="K146" s="345">
        <f t="shared" si="62"/>
        <v>1679545</v>
      </c>
      <c r="L146" s="345">
        <f t="shared" si="63"/>
        <v>0</v>
      </c>
    </row>
    <row r="147" spans="1:12" ht="13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3">
        <f>'FR-16(7)(v)-4 DISTR Classified'!I147</f>
        <v>162597</v>
      </c>
      <c r="G147" s="347">
        <f t="shared" si="59"/>
        <v>150132</v>
      </c>
      <c r="H147" s="345">
        <f>ROUND($F$147*VLOOKUP($D$147,ALLOCTABLE_DISTR_CUSTOMER,$H$10,FALSE),0)</f>
        <v>12258</v>
      </c>
      <c r="I147" s="345">
        <f t="shared" si="60"/>
        <v>171</v>
      </c>
      <c r="J147" s="345">
        <f t="shared" si="61"/>
        <v>36</v>
      </c>
      <c r="K147" s="345">
        <f t="shared" si="62"/>
        <v>162597</v>
      </c>
      <c r="L147" s="345">
        <f t="shared" si="63"/>
        <v>0</v>
      </c>
    </row>
    <row r="148" spans="1:12" ht="13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3">
        <f>'FR-16(7)(v)-4 DISTR Classified'!I148</f>
        <v>0</v>
      </c>
      <c r="G148" s="347">
        <f t="shared" si="59"/>
        <v>0</v>
      </c>
      <c r="H148" s="345">
        <f>ROUND($F$148*VLOOKUP($D$148,ALLOCTABLE_DISTR_CUSTOMER,$H$10,FALSE),0)</f>
        <v>0</v>
      </c>
      <c r="I148" s="345">
        <f t="shared" si="60"/>
        <v>0</v>
      </c>
      <c r="J148" s="345">
        <f t="shared" si="61"/>
        <v>0</v>
      </c>
      <c r="K148" s="345">
        <f t="shared" si="62"/>
        <v>0</v>
      </c>
      <c r="L148" s="345">
        <f t="shared" si="63"/>
        <v>0</v>
      </c>
    </row>
    <row r="149" spans="1:12" ht="13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2748124</v>
      </c>
      <c r="G149" s="346">
        <f t="shared" ref="G149:L149" si="64">SUM(G142:G148)</f>
        <v>2457192</v>
      </c>
      <c r="H149" s="346">
        <f t="shared" si="64"/>
        <v>278137</v>
      </c>
      <c r="I149" s="346">
        <f t="shared" si="64"/>
        <v>8295</v>
      </c>
      <c r="J149" s="346">
        <f t="shared" si="64"/>
        <v>4500</v>
      </c>
      <c r="K149" s="346">
        <f t="shared" si="64"/>
        <v>2748124</v>
      </c>
      <c r="L149" s="346">
        <f t="shared" si="64"/>
        <v>0</v>
      </c>
    </row>
    <row r="150" spans="1:12" ht="13">
      <c r="A150" s="331">
        <v>38</v>
      </c>
      <c r="D150" s="342"/>
      <c r="E150" s="195"/>
      <c r="I150" s="330"/>
    </row>
    <row r="151" spans="1:12" ht="13">
      <c r="A151" s="331">
        <v>39</v>
      </c>
      <c r="B151" s="330" t="s">
        <v>23</v>
      </c>
      <c r="D151" s="342"/>
      <c r="E151" s="195"/>
      <c r="F151" s="345">
        <f t="shared" ref="F151:L151" si="65">F149+F140+F131+F119+F115</f>
        <v>75120106</v>
      </c>
      <c r="G151" s="345">
        <f>G149+G140+G131+G119+G115</f>
        <v>64501944</v>
      </c>
      <c r="H151" s="345">
        <f t="shared" si="65"/>
        <v>10333046</v>
      </c>
      <c r="I151" s="345">
        <f t="shared" si="65"/>
        <v>172677</v>
      </c>
      <c r="J151" s="345">
        <f t="shared" si="65"/>
        <v>112439</v>
      </c>
      <c r="K151" s="345">
        <f t="shared" si="65"/>
        <v>75120106</v>
      </c>
      <c r="L151" s="345">
        <f t="shared" si="65"/>
        <v>0</v>
      </c>
    </row>
    <row r="152" spans="1:12" ht="13">
      <c r="B152" s="341"/>
      <c r="C152" s="195"/>
      <c r="D152" s="342"/>
      <c r="E152" s="195"/>
      <c r="G152" s="340"/>
      <c r="H152" s="340"/>
      <c r="I152" s="195"/>
      <c r="J152" s="342"/>
      <c r="K152" s="195"/>
    </row>
    <row r="153" spans="1:12" ht="13">
      <c r="A153" s="341" t="str">
        <f>co_name</f>
        <v>DUKE ENERGY KENTUCKY, INC.</v>
      </c>
      <c r="C153" s="195"/>
      <c r="D153" s="342"/>
      <c r="E153" s="195"/>
      <c r="F153" s="342"/>
      <c r="G153" s="340"/>
      <c r="H153" s="340"/>
      <c r="I153" s="195"/>
      <c r="K153" s="359" t="str">
        <f>$K$1</f>
        <v>FR-16(7)(v)-6</v>
      </c>
    </row>
    <row r="154" spans="1:12" ht="13">
      <c r="A154" s="341" t="str">
        <f>$A$2</f>
        <v>DISTRIBUTION CUSTOMER ALLOCATED - GAS COST OF SERVICE</v>
      </c>
      <c r="C154" s="195"/>
      <c r="D154" s="342"/>
      <c r="E154" s="195"/>
      <c r="F154" s="342"/>
      <c r="G154" s="340"/>
      <c r="H154" s="340"/>
      <c r="I154" s="195"/>
      <c r="K154" s="359" t="str">
        <f>$K$2</f>
        <v>WITNESS RESPONSIBLE:</v>
      </c>
    </row>
    <row r="155" spans="1:12" ht="13">
      <c r="A155" s="341" t="str">
        <f>case_name</f>
        <v>CASE NO: 2021-00190</v>
      </c>
      <c r="C155" s="195"/>
      <c r="D155" s="342"/>
      <c r="E155" s="195"/>
      <c r="F155" s="342"/>
      <c r="G155" s="340"/>
      <c r="H155" s="340"/>
      <c r="I155" s="195"/>
      <c r="K155" s="359" t="str">
        <f>Witness</f>
        <v>JAMES E. ZIOLKOWSKI</v>
      </c>
    </row>
    <row r="156" spans="1:12" ht="13">
      <c r="A156" s="341" t="str">
        <f>data_filing</f>
        <v>DATA: 12 MONTH FORECASTED PERIOD</v>
      </c>
      <c r="C156" s="195"/>
      <c r="D156" s="342"/>
      <c r="E156" s="195"/>
      <c r="F156" s="342"/>
      <c r="G156" s="340"/>
      <c r="H156" s="340"/>
      <c r="I156" s="195"/>
      <c r="K156" s="359" t="str">
        <f>"PAGE "&amp;Pages-14&amp;" OF "&amp;Pages</f>
        <v>PAGE 4 OF 18</v>
      </c>
    </row>
    <row r="157" spans="1:12" ht="13">
      <c r="A157" s="341" t="str">
        <f>type</f>
        <v xml:space="preserve">TYPE OF FILING: "X" ORIGINAL   UPDATED    REVISED  </v>
      </c>
      <c r="C157" s="195"/>
      <c r="D157" s="342"/>
      <c r="E157" s="195"/>
      <c r="F157" s="342"/>
      <c r="G157" s="340"/>
      <c r="H157" s="340"/>
      <c r="I157" s="195"/>
      <c r="J157" s="342"/>
      <c r="K157" s="195"/>
    </row>
    <row r="158" spans="1:12" ht="13">
      <c r="A158" s="341"/>
      <c r="C158" s="195"/>
      <c r="D158" s="342"/>
      <c r="E158" s="195"/>
      <c r="F158" s="342"/>
      <c r="G158" s="340"/>
      <c r="H158" s="340"/>
      <c r="I158" s="195"/>
      <c r="J158" s="342"/>
      <c r="K158" s="195"/>
    </row>
    <row r="159" spans="1:12" ht="13">
      <c r="B159" s="341"/>
      <c r="C159" s="195"/>
      <c r="D159" s="342"/>
      <c r="E159" s="195"/>
      <c r="F159" s="342" t="str">
        <f>$F$7</f>
        <v>TOTAL</v>
      </c>
      <c r="G159" s="340"/>
      <c r="H159" s="340"/>
      <c r="I159" s="195"/>
      <c r="J159" s="342"/>
      <c r="K159" s="195"/>
    </row>
    <row r="160" spans="1:12" ht="13">
      <c r="A160" s="342" t="s">
        <v>907</v>
      </c>
      <c r="B160" s="195"/>
      <c r="C160" s="195"/>
      <c r="D160" s="342"/>
      <c r="E160" s="195"/>
      <c r="F160" s="342" t="str">
        <f>$F$8</f>
        <v>DISTRIBUTION</v>
      </c>
      <c r="G160" s="352" t="str">
        <f>$G$8</f>
        <v>RS</v>
      </c>
      <c r="H160" s="352" t="str">
        <f>$H$8</f>
        <v>GS</v>
      </c>
      <c r="I160" s="342" t="str">
        <f>$I$8</f>
        <v>FT-L</v>
      </c>
      <c r="J160" s="342" t="str">
        <f>$J$8</f>
        <v>INTERUPT</v>
      </c>
      <c r="K160" s="342" t="s">
        <v>229</v>
      </c>
      <c r="L160" s="342" t="s">
        <v>342</v>
      </c>
    </row>
    <row r="161" spans="1:12" ht="13">
      <c r="A161" s="344" t="s">
        <v>908</v>
      </c>
      <c r="B161" s="343" t="str">
        <f>"NET GAS PLANT"</f>
        <v>NET GAS PLANT</v>
      </c>
      <c r="C161" s="343"/>
      <c r="D161" s="344" t="s">
        <v>337</v>
      </c>
      <c r="E161" s="343"/>
      <c r="F161" s="342" t="str">
        <f>$F$9</f>
        <v>CUSTOMER</v>
      </c>
      <c r="G161" s="353" t="str">
        <f>$G$9</f>
        <v>RESIDENTIAL</v>
      </c>
      <c r="H161" s="353" t="str">
        <f>$H$9</f>
        <v>GEN SERV</v>
      </c>
      <c r="I161" s="344" t="str">
        <f>$I$9</f>
        <v>FIRM TRANS</v>
      </c>
      <c r="J161" s="344" t="str">
        <f>$J$9</f>
        <v>TRANS</v>
      </c>
      <c r="K161" s="344" t="s">
        <v>341</v>
      </c>
      <c r="L161" s="344" t="s">
        <v>340</v>
      </c>
    </row>
    <row r="162" spans="1:12" ht="13">
      <c r="C162" s="572" t="s">
        <v>346</v>
      </c>
      <c r="D162" s="342"/>
      <c r="E162" s="195"/>
      <c r="F162" s="755"/>
      <c r="G162" s="627">
        <f>$G$10</f>
        <v>3</v>
      </c>
      <c r="H162" s="627">
        <f>$H$10</f>
        <v>4</v>
      </c>
      <c r="I162" s="627">
        <f>$I$10</f>
        <v>5</v>
      </c>
      <c r="J162" s="627">
        <f>$J$10</f>
        <v>6</v>
      </c>
    </row>
    <row r="163" spans="1:12" ht="13">
      <c r="A163" s="331">
        <v>1</v>
      </c>
      <c r="B163" s="330" t="s">
        <v>14</v>
      </c>
      <c r="D163" s="342"/>
      <c r="E163" s="195"/>
      <c r="I163" s="330"/>
    </row>
    <row r="164" spans="1:12" ht="13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0</v>
      </c>
      <c r="G164" s="345">
        <f>$G$59</f>
        <v>0</v>
      </c>
      <c r="H164" s="345">
        <f>$H$59</f>
        <v>0</v>
      </c>
      <c r="I164" s="345">
        <f>$I$59</f>
        <v>0</v>
      </c>
      <c r="J164" s="345">
        <f>$J$59</f>
        <v>0</v>
      </c>
      <c r="K164" s="345">
        <f>$K$59</f>
        <v>0</v>
      </c>
      <c r="L164" s="345">
        <f>F164-K164</f>
        <v>0</v>
      </c>
    </row>
    <row r="165" spans="1:12" ht="13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 t="shared" ref="F165:K165" si="66">-F115</f>
        <v>0</v>
      </c>
      <c r="G165" s="345">
        <f t="shared" si="66"/>
        <v>0</v>
      </c>
      <c r="H165" s="345">
        <f t="shared" si="66"/>
        <v>0</v>
      </c>
      <c r="I165" s="345">
        <f t="shared" si="66"/>
        <v>0</v>
      </c>
      <c r="J165" s="345">
        <f t="shared" si="66"/>
        <v>0</v>
      </c>
      <c r="K165" s="345">
        <f t="shared" si="66"/>
        <v>0</v>
      </c>
      <c r="L165" s="345">
        <f>F165-K165</f>
        <v>0</v>
      </c>
    </row>
    <row r="166" spans="1:12" ht="13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L166" si="67">SUM(F164:F165)</f>
        <v>0</v>
      </c>
      <c r="G166" s="346">
        <f t="shared" si="67"/>
        <v>0</v>
      </c>
      <c r="H166" s="346">
        <f t="shared" si="67"/>
        <v>0</v>
      </c>
      <c r="I166" s="346">
        <f t="shared" si="67"/>
        <v>0</v>
      </c>
      <c r="J166" s="346">
        <f t="shared" si="67"/>
        <v>0</v>
      </c>
      <c r="K166" s="346">
        <f t="shared" si="67"/>
        <v>0</v>
      </c>
      <c r="L166" s="346">
        <f t="shared" si="67"/>
        <v>0</v>
      </c>
    </row>
    <row r="167" spans="1:12" ht="13">
      <c r="A167" s="331">
        <v>5</v>
      </c>
      <c r="D167" s="342"/>
      <c r="E167" s="195"/>
      <c r="I167" s="330"/>
    </row>
    <row r="168" spans="1:12" ht="13">
      <c r="A168" s="331">
        <v>6</v>
      </c>
      <c r="B168" s="357" t="s">
        <v>15</v>
      </c>
      <c r="C168" s="357"/>
      <c r="D168" s="342"/>
      <c r="E168" s="195"/>
      <c r="F168" s="345"/>
      <c r="G168" s="345"/>
      <c r="H168" s="345"/>
      <c r="I168" s="345"/>
      <c r="J168" s="345"/>
      <c r="K168" s="345"/>
    </row>
    <row r="169" spans="1:12" ht="13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345">
        <f>$G$63</f>
        <v>0</v>
      </c>
      <c r="H169" s="345">
        <f>$H$63</f>
        <v>0</v>
      </c>
      <c r="I169" s="345">
        <f>$I$63</f>
        <v>0</v>
      </c>
      <c r="J169" s="345">
        <f>$J$63</f>
        <v>0</v>
      </c>
      <c r="K169" s="345">
        <f>$K$63</f>
        <v>0</v>
      </c>
      <c r="L169" s="345">
        <f>F169-K169</f>
        <v>0</v>
      </c>
    </row>
    <row r="170" spans="1:12" ht="13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 t="shared" ref="F170:K170" si="68">-F119</f>
        <v>0</v>
      </c>
      <c r="G170" s="345">
        <f t="shared" si="68"/>
        <v>0</v>
      </c>
      <c r="H170" s="345">
        <f t="shared" si="68"/>
        <v>0</v>
      </c>
      <c r="I170" s="345">
        <f t="shared" si="68"/>
        <v>0</v>
      </c>
      <c r="J170" s="345">
        <f t="shared" si="68"/>
        <v>0</v>
      </c>
      <c r="K170" s="345">
        <f t="shared" si="68"/>
        <v>0</v>
      </c>
      <c r="L170" s="345">
        <f>F170-K170</f>
        <v>0</v>
      </c>
    </row>
    <row r="171" spans="1:12" ht="13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L171" si="69">SUM(F168:F170)</f>
        <v>0</v>
      </c>
      <c r="G171" s="346">
        <f t="shared" si="69"/>
        <v>0</v>
      </c>
      <c r="H171" s="346">
        <f t="shared" si="69"/>
        <v>0</v>
      </c>
      <c r="I171" s="346">
        <f t="shared" si="69"/>
        <v>0</v>
      </c>
      <c r="J171" s="346">
        <f t="shared" si="69"/>
        <v>0</v>
      </c>
      <c r="K171" s="346">
        <f t="shared" si="69"/>
        <v>0</v>
      </c>
      <c r="L171" s="346">
        <f t="shared" si="69"/>
        <v>0</v>
      </c>
    </row>
    <row r="172" spans="1:12" ht="13">
      <c r="A172" s="331">
        <v>10</v>
      </c>
      <c r="D172" s="342"/>
      <c r="E172" s="195"/>
      <c r="I172" s="330"/>
    </row>
    <row r="173" spans="1:12" ht="13">
      <c r="A173" s="331">
        <v>11</v>
      </c>
      <c r="B173" s="330" t="s">
        <v>17</v>
      </c>
      <c r="D173" s="342"/>
      <c r="E173" s="195"/>
      <c r="I173" s="330"/>
    </row>
    <row r="174" spans="1:12" ht="13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 t="shared" ref="F174:K174" si="70">F78</f>
        <v>271614300</v>
      </c>
      <c r="G174" s="345">
        <f t="shared" si="70"/>
        <v>231832386</v>
      </c>
      <c r="H174" s="345">
        <f t="shared" si="70"/>
        <v>37911869</v>
      </c>
      <c r="I174" s="345">
        <f t="shared" si="70"/>
        <v>1113272</v>
      </c>
      <c r="J174" s="345">
        <f t="shared" si="70"/>
        <v>756773</v>
      </c>
      <c r="K174" s="345">
        <f t="shared" si="70"/>
        <v>271614300</v>
      </c>
      <c r="L174" s="345">
        <f>F174-K174</f>
        <v>0</v>
      </c>
    </row>
    <row r="175" spans="1:12" ht="13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 t="shared" ref="F175:K175" si="71">-F131</f>
        <v>-66363136</v>
      </c>
      <c r="G175" s="345">
        <f t="shared" si="71"/>
        <v>-56672036</v>
      </c>
      <c r="H175" s="345">
        <f t="shared" si="71"/>
        <v>-9446754</v>
      </c>
      <c r="I175" s="345">
        <f t="shared" si="71"/>
        <v>-146247</v>
      </c>
      <c r="J175" s="345">
        <f t="shared" si="71"/>
        <v>-98099</v>
      </c>
      <c r="K175" s="345">
        <f t="shared" si="71"/>
        <v>-66363136</v>
      </c>
      <c r="L175" s="345">
        <f>F175-K175</f>
        <v>0</v>
      </c>
    </row>
    <row r="176" spans="1:12" ht="13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L176" si="72">SUM(F173:F175)</f>
        <v>205251164</v>
      </c>
      <c r="G176" s="346">
        <f t="shared" si="72"/>
        <v>175160350</v>
      </c>
      <c r="H176" s="346">
        <f t="shared" si="72"/>
        <v>28465115</v>
      </c>
      <c r="I176" s="346">
        <f t="shared" si="72"/>
        <v>967025</v>
      </c>
      <c r="J176" s="346">
        <f t="shared" si="72"/>
        <v>658674</v>
      </c>
      <c r="K176" s="346">
        <f t="shared" si="72"/>
        <v>205251164</v>
      </c>
      <c r="L176" s="346">
        <f t="shared" si="72"/>
        <v>0</v>
      </c>
    </row>
    <row r="177" spans="1:12" ht="13">
      <c r="A177" s="331">
        <v>15</v>
      </c>
      <c r="D177" s="342"/>
      <c r="E177" s="195"/>
      <c r="I177" s="330"/>
    </row>
    <row r="178" spans="1:12" ht="13">
      <c r="A178" s="331">
        <v>16</v>
      </c>
      <c r="B178" s="330" t="s">
        <v>429</v>
      </c>
      <c r="D178" s="342"/>
      <c r="E178" s="195"/>
      <c r="F178" s="345">
        <f t="shared" ref="F178:L178" si="73">F176+F171+F166</f>
        <v>205251164</v>
      </c>
      <c r="G178" s="345">
        <f t="shared" si="73"/>
        <v>175160350</v>
      </c>
      <c r="H178" s="345">
        <f t="shared" si="73"/>
        <v>28465115</v>
      </c>
      <c r="I178" s="345">
        <f t="shared" si="73"/>
        <v>967025</v>
      </c>
      <c r="J178" s="345">
        <f t="shared" si="73"/>
        <v>658674</v>
      </c>
      <c r="K178" s="345">
        <f t="shared" si="73"/>
        <v>205251164</v>
      </c>
      <c r="L178" s="345">
        <f t="shared" si="73"/>
        <v>0</v>
      </c>
    </row>
    <row r="179" spans="1:12" ht="13">
      <c r="A179" s="331">
        <v>17</v>
      </c>
      <c r="B179" s="330" t="s">
        <v>24</v>
      </c>
      <c r="D179" s="342"/>
      <c r="E179" s="195"/>
      <c r="F179" s="345">
        <f t="shared" ref="F179:L179" si="74">F176+F171</f>
        <v>205251164</v>
      </c>
      <c r="G179" s="345">
        <f t="shared" si="74"/>
        <v>175160350</v>
      </c>
      <c r="H179" s="345">
        <f t="shared" si="74"/>
        <v>28465115</v>
      </c>
      <c r="I179" s="345">
        <f t="shared" si="74"/>
        <v>967025</v>
      </c>
      <c r="J179" s="345">
        <f t="shared" si="74"/>
        <v>658674</v>
      </c>
      <c r="K179" s="345">
        <f t="shared" si="74"/>
        <v>205251164</v>
      </c>
      <c r="L179" s="345">
        <f t="shared" si="74"/>
        <v>0</v>
      </c>
    </row>
    <row r="180" spans="1:12" ht="13">
      <c r="A180" s="331">
        <v>18</v>
      </c>
      <c r="D180" s="342"/>
      <c r="E180" s="195"/>
      <c r="I180" s="330"/>
    </row>
    <row r="181" spans="1:12" ht="13">
      <c r="A181" s="331">
        <v>19</v>
      </c>
      <c r="B181" s="330" t="s">
        <v>20</v>
      </c>
      <c r="D181" s="342"/>
      <c r="E181" s="195"/>
      <c r="I181" s="330"/>
    </row>
    <row r="182" spans="1:12" ht="13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 t="shared" ref="F182:K182" si="75">F90</f>
        <v>12205845</v>
      </c>
      <c r="G182" s="345">
        <f t="shared" si="75"/>
        <v>10913665</v>
      </c>
      <c r="H182" s="345">
        <f t="shared" si="75"/>
        <v>1235353</v>
      </c>
      <c r="I182" s="345">
        <f t="shared" si="75"/>
        <v>36839</v>
      </c>
      <c r="J182" s="345">
        <f t="shared" si="75"/>
        <v>19988</v>
      </c>
      <c r="K182" s="345">
        <f t="shared" si="75"/>
        <v>12205845</v>
      </c>
      <c r="L182" s="345">
        <f>F182-K182</f>
        <v>0</v>
      </c>
    </row>
    <row r="183" spans="1:12" ht="13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 t="shared" ref="F183:K183" si="76">-F140</f>
        <v>-6008846</v>
      </c>
      <c r="G183" s="345">
        <f t="shared" si="76"/>
        <v>-5372716</v>
      </c>
      <c r="H183" s="345">
        <f t="shared" si="76"/>
        <v>-608155</v>
      </c>
      <c r="I183" s="345">
        <f t="shared" si="76"/>
        <v>-18135</v>
      </c>
      <c r="J183" s="345">
        <f t="shared" si="76"/>
        <v>-9840</v>
      </c>
      <c r="K183" s="345">
        <f t="shared" si="76"/>
        <v>-6008846</v>
      </c>
      <c r="L183" s="345">
        <f>F183-K183</f>
        <v>0</v>
      </c>
    </row>
    <row r="184" spans="1:12" ht="13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L184" si="77">SUM(F181:F183)</f>
        <v>6196999</v>
      </c>
      <c r="G184" s="346">
        <f t="shared" si="77"/>
        <v>5540949</v>
      </c>
      <c r="H184" s="346">
        <f t="shared" si="77"/>
        <v>627198</v>
      </c>
      <c r="I184" s="346">
        <f t="shared" si="77"/>
        <v>18704</v>
      </c>
      <c r="J184" s="346">
        <f t="shared" si="77"/>
        <v>10148</v>
      </c>
      <c r="K184" s="346">
        <f t="shared" si="77"/>
        <v>6196999</v>
      </c>
      <c r="L184" s="346">
        <f t="shared" si="77"/>
        <v>0</v>
      </c>
    </row>
    <row r="185" spans="1:12" ht="13">
      <c r="A185" s="331">
        <v>23</v>
      </c>
      <c r="D185" s="342"/>
      <c r="E185" s="195"/>
      <c r="F185" s="345"/>
      <c r="G185" s="345"/>
      <c r="H185" s="345"/>
      <c r="I185" s="345"/>
      <c r="J185" s="345"/>
      <c r="K185" s="345"/>
    </row>
    <row r="186" spans="1:12" ht="13">
      <c r="A186" s="331">
        <v>24</v>
      </c>
      <c r="B186" s="330" t="s">
        <v>21</v>
      </c>
      <c r="D186" s="342"/>
      <c r="E186" s="195"/>
      <c r="F186" s="345"/>
      <c r="G186" s="345"/>
      <c r="H186" s="345"/>
      <c r="I186" s="345"/>
      <c r="J186" s="345"/>
      <c r="K186" s="345"/>
    </row>
    <row r="187" spans="1:12" ht="13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 t="shared" ref="F187:K187" si="78">F99</f>
        <v>3925618</v>
      </c>
      <c r="G187" s="345">
        <f t="shared" si="78"/>
        <v>3510029</v>
      </c>
      <c r="H187" s="345">
        <f t="shared" si="78"/>
        <v>397312</v>
      </c>
      <c r="I187" s="345">
        <f t="shared" si="78"/>
        <v>11848</v>
      </c>
      <c r="J187" s="345">
        <f t="shared" si="78"/>
        <v>6429</v>
      </c>
      <c r="K187" s="345">
        <f t="shared" si="78"/>
        <v>3925618</v>
      </c>
      <c r="L187" s="345">
        <f>F187-K187</f>
        <v>0</v>
      </c>
    </row>
    <row r="188" spans="1:12" ht="13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 t="shared" ref="F188:K188" si="79">-F149</f>
        <v>-2748124</v>
      </c>
      <c r="G188" s="345">
        <f t="shared" si="79"/>
        <v>-2457192</v>
      </c>
      <c r="H188" s="345">
        <f t="shared" si="79"/>
        <v>-278137</v>
      </c>
      <c r="I188" s="345">
        <f t="shared" si="79"/>
        <v>-8295</v>
      </c>
      <c r="J188" s="345">
        <f t="shared" si="79"/>
        <v>-4500</v>
      </c>
      <c r="K188" s="345">
        <f t="shared" si="79"/>
        <v>-2748124</v>
      </c>
      <c r="L188" s="345">
        <f>F188-K188</f>
        <v>0</v>
      </c>
    </row>
    <row r="189" spans="1:12" ht="13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L189" si="80">SUM(F186:F188)</f>
        <v>1177494</v>
      </c>
      <c r="G189" s="346">
        <f t="shared" si="80"/>
        <v>1052837</v>
      </c>
      <c r="H189" s="346">
        <f t="shared" si="80"/>
        <v>119175</v>
      </c>
      <c r="I189" s="346">
        <f t="shared" si="80"/>
        <v>3553</v>
      </c>
      <c r="J189" s="346">
        <f t="shared" si="80"/>
        <v>1929</v>
      </c>
      <c r="K189" s="346">
        <f t="shared" si="80"/>
        <v>1177494</v>
      </c>
      <c r="L189" s="346">
        <f t="shared" si="80"/>
        <v>0</v>
      </c>
    </row>
    <row r="190" spans="1:12" ht="13">
      <c r="A190" s="331">
        <v>28</v>
      </c>
      <c r="D190" s="342"/>
      <c r="E190" s="195"/>
      <c r="F190" s="345"/>
      <c r="G190" s="345"/>
      <c r="H190" s="345"/>
      <c r="I190" s="345"/>
      <c r="J190" s="345"/>
      <c r="K190" s="345"/>
      <c r="L190" s="345"/>
    </row>
    <row r="191" spans="1:12" ht="13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L191" si="81">F189+F184+F176+F171+F166</f>
        <v>212625657</v>
      </c>
      <c r="G191" s="345">
        <f t="shared" si="81"/>
        <v>181754136</v>
      </c>
      <c r="H191" s="345">
        <f t="shared" si="81"/>
        <v>29211488</v>
      </c>
      <c r="I191" s="345">
        <f t="shared" si="81"/>
        <v>989282</v>
      </c>
      <c r="J191" s="345">
        <f t="shared" si="81"/>
        <v>670751</v>
      </c>
      <c r="K191" s="345">
        <f t="shared" si="81"/>
        <v>212625657</v>
      </c>
      <c r="L191" s="345">
        <f t="shared" si="81"/>
        <v>0</v>
      </c>
    </row>
    <row r="192" spans="1:12" ht="13">
      <c r="B192" s="341"/>
      <c r="C192" s="195"/>
      <c r="D192" s="342"/>
      <c r="E192" s="195"/>
      <c r="G192" s="340"/>
      <c r="H192" s="340"/>
      <c r="I192" s="195"/>
      <c r="J192" s="342"/>
      <c r="K192" s="195"/>
      <c r="L192" s="195"/>
    </row>
    <row r="193" spans="1:12" ht="13">
      <c r="A193" s="341" t="str">
        <f>co_name</f>
        <v>DUKE ENERGY KENTUCKY, INC.</v>
      </c>
      <c r="C193" s="195"/>
      <c r="D193" s="342"/>
      <c r="E193" s="195"/>
      <c r="F193" s="342"/>
      <c r="G193" s="340"/>
      <c r="H193" s="340"/>
      <c r="I193" s="195"/>
      <c r="K193" s="359" t="str">
        <f>$K$1</f>
        <v>FR-16(7)(v)-6</v>
      </c>
      <c r="L193" s="195"/>
    </row>
    <row r="194" spans="1:12" ht="13">
      <c r="A194" s="341" t="str">
        <f>$A$2</f>
        <v>DISTRIBUTION CUSTOMER ALLOCATED - GAS COST OF SERVICE</v>
      </c>
      <c r="C194" s="195"/>
      <c r="D194" s="342"/>
      <c r="E194" s="195"/>
      <c r="F194" s="342"/>
      <c r="G194" s="340"/>
      <c r="H194" s="340"/>
      <c r="I194" s="195"/>
      <c r="K194" s="359" t="str">
        <f>$K$2</f>
        <v>WITNESS RESPONSIBLE:</v>
      </c>
      <c r="L194" s="195"/>
    </row>
    <row r="195" spans="1:12" ht="13">
      <c r="A195" s="341" t="str">
        <f>case_name</f>
        <v>CASE NO: 2021-00190</v>
      </c>
      <c r="C195" s="195"/>
      <c r="D195" s="342"/>
      <c r="E195" s="195"/>
      <c r="F195" s="342"/>
      <c r="G195" s="340"/>
      <c r="H195" s="340"/>
      <c r="I195" s="195"/>
      <c r="K195" s="359" t="str">
        <f>Witness</f>
        <v>JAMES E. ZIOLKOWSKI</v>
      </c>
      <c r="L195" s="195"/>
    </row>
    <row r="196" spans="1:12" ht="13">
      <c r="A196" s="341" t="str">
        <f>data_filing</f>
        <v>DATA: 12 MONTH FORECASTED PERIOD</v>
      </c>
      <c r="C196" s="195"/>
      <c r="D196" s="342"/>
      <c r="E196" s="195"/>
      <c r="F196" s="342"/>
      <c r="G196" s="340"/>
      <c r="H196" s="340"/>
      <c r="I196" s="195"/>
      <c r="K196" s="359" t="str">
        <f>"PAGE "&amp;Pages-13&amp;" OF "&amp;Pages</f>
        <v>PAGE 5 OF 18</v>
      </c>
      <c r="L196" s="195"/>
    </row>
    <row r="197" spans="1:12" ht="13">
      <c r="A197" s="341" t="str">
        <f>type</f>
        <v xml:space="preserve">TYPE OF FILING: "X" ORIGINAL   UPDATED    REVISED  </v>
      </c>
      <c r="C197" s="195"/>
      <c r="D197" s="342"/>
      <c r="E197" s="195"/>
      <c r="F197" s="342"/>
      <c r="G197" s="340"/>
      <c r="H197" s="340"/>
      <c r="I197" s="195"/>
      <c r="J197" s="342"/>
      <c r="K197" s="195"/>
      <c r="L197" s="195"/>
    </row>
    <row r="198" spans="1:12" ht="13">
      <c r="B198" s="341"/>
      <c r="C198" s="195"/>
      <c r="D198" s="342"/>
      <c r="E198" s="195"/>
      <c r="F198" s="342"/>
      <c r="G198" s="340"/>
      <c r="H198" s="340"/>
      <c r="I198" s="195"/>
      <c r="J198" s="342"/>
      <c r="K198" s="195"/>
      <c r="L198" s="195"/>
    </row>
    <row r="199" spans="1:12" ht="13">
      <c r="B199" s="341"/>
      <c r="C199" s="195"/>
      <c r="D199" s="342"/>
      <c r="E199" s="195"/>
      <c r="F199" s="342" t="str">
        <f>$F$7</f>
        <v>TOTAL</v>
      </c>
      <c r="G199" s="340"/>
      <c r="H199" s="340"/>
      <c r="I199" s="195"/>
      <c r="J199" s="342"/>
      <c r="K199" s="195"/>
      <c r="L199" s="195"/>
    </row>
    <row r="200" spans="1:12" ht="13">
      <c r="A200" s="342" t="s">
        <v>907</v>
      </c>
      <c r="B200" s="195"/>
      <c r="C200" s="195"/>
      <c r="D200" s="342"/>
      <c r="E200" s="195"/>
      <c r="F200" s="342" t="str">
        <f>$F$8</f>
        <v>DISTRIBUTION</v>
      </c>
      <c r="G200" s="352" t="str">
        <f>$G$8</f>
        <v>RS</v>
      </c>
      <c r="H200" s="352" t="str">
        <f>$H$8</f>
        <v>GS</v>
      </c>
      <c r="I200" s="342" t="str">
        <f>$I$8</f>
        <v>FT-L</v>
      </c>
      <c r="J200" s="342" t="str">
        <f>$J$8</f>
        <v>INTERUPT</v>
      </c>
      <c r="K200" s="342" t="s">
        <v>229</v>
      </c>
      <c r="L200" s="342" t="s">
        <v>342</v>
      </c>
    </row>
    <row r="201" spans="1:12" ht="13">
      <c r="A201" s="344" t="s">
        <v>908</v>
      </c>
      <c r="B201" s="343" t="s">
        <v>946</v>
      </c>
      <c r="C201" s="343"/>
      <c r="D201" s="344" t="s">
        <v>337</v>
      </c>
      <c r="E201" s="343"/>
      <c r="F201" s="342" t="str">
        <f>$F$9</f>
        <v>CUSTOMER</v>
      </c>
      <c r="G201" s="353" t="str">
        <f>$G$9</f>
        <v>RESIDENTIAL</v>
      </c>
      <c r="H201" s="353" t="str">
        <f>$H$9</f>
        <v>GEN SERV</v>
      </c>
      <c r="I201" s="344" t="str">
        <f>$I$9</f>
        <v>FIRM TRANS</v>
      </c>
      <c r="J201" s="344" t="str">
        <f>$J$9</f>
        <v>TRANS</v>
      </c>
      <c r="K201" s="344" t="s">
        <v>341</v>
      </c>
      <c r="L201" s="344" t="s">
        <v>340</v>
      </c>
    </row>
    <row r="202" spans="1:12" ht="13">
      <c r="C202" s="572" t="s">
        <v>347</v>
      </c>
      <c r="D202" s="342"/>
      <c r="E202" s="195"/>
      <c r="F202" s="755"/>
      <c r="G202" s="627">
        <f>$G$10</f>
        <v>3</v>
      </c>
      <c r="H202" s="627">
        <f>$H$10</f>
        <v>4</v>
      </c>
      <c r="I202" s="627">
        <f>$I$10</f>
        <v>5</v>
      </c>
      <c r="J202" s="627">
        <f>$J$10</f>
        <v>6</v>
      </c>
    </row>
    <row r="203" spans="1:12" ht="13">
      <c r="A203" s="331">
        <v>1</v>
      </c>
      <c r="B203" s="330" t="s">
        <v>26</v>
      </c>
      <c r="D203" s="342"/>
      <c r="E203" s="195"/>
      <c r="I203" s="330"/>
    </row>
    <row r="204" spans="1:12" ht="13">
      <c r="A204" s="331">
        <v>2</v>
      </c>
      <c r="B204" s="330" t="s">
        <v>816</v>
      </c>
      <c r="D204" s="342"/>
      <c r="E204" s="195"/>
      <c r="I204" s="330"/>
    </row>
    <row r="205" spans="1:12" ht="13">
      <c r="A205" s="331">
        <v>3</v>
      </c>
      <c r="B205" s="330" t="s">
        <v>27</v>
      </c>
      <c r="D205" s="342"/>
      <c r="E205" s="195"/>
      <c r="I205" s="330"/>
    </row>
    <row r="206" spans="1:12" ht="13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3">
        <f>'FR-16(7)(v)-4 DISTR Classified'!I206</f>
        <v>24854281</v>
      </c>
      <c r="G206" s="347">
        <f t="shared" ref="G206:G214" si="82">F206-SUM(H206:J206)</f>
        <v>21245937</v>
      </c>
      <c r="H206" s="345">
        <f>ROUND($F$206*VLOOKUP($D$206,ALLOCTABLE_DISTR_CUSTOMER,$H$10,FALSE),0)</f>
        <v>3414481</v>
      </c>
      <c r="I206" s="345">
        <f t="shared" ref="I206:I214" si="83">ROUND(F206*VLOOKUP(D206,ALLOCTABLE_DISTR_CUSTOMER,$I$10,FALSE),0)</f>
        <v>115572</v>
      </c>
      <c r="J206" s="345">
        <f t="shared" ref="J206:J214" si="84">ROUND(F206*VLOOKUP(D206,ALLOCTABLE_DISTR_CUSTOMER,$J$10,FALSE),0)</f>
        <v>78291</v>
      </c>
      <c r="K206" s="345">
        <f t="shared" ref="K206:K214" si="85">SUM(G206:J206)</f>
        <v>24854281</v>
      </c>
      <c r="L206" s="345">
        <f t="shared" ref="L206:L214" si="86">F206-K206</f>
        <v>0</v>
      </c>
    </row>
    <row r="207" spans="1:12" ht="13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3">
        <f>'FR-16(7)(v)-4 DISTR Classified'!I207</f>
        <v>0</v>
      </c>
      <c r="G207" s="347">
        <f t="shared" si="82"/>
        <v>0</v>
      </c>
      <c r="H207" s="345">
        <f>ROUND($F$207*VLOOKUP($D$207,ALLOCTABLE_DISTR_CUSTOMER,$H$10,FALSE),0)</f>
        <v>0</v>
      </c>
      <c r="I207" s="345">
        <f t="shared" si="83"/>
        <v>0</v>
      </c>
      <c r="J207" s="345">
        <f t="shared" si="84"/>
        <v>0</v>
      </c>
      <c r="K207" s="345">
        <f t="shared" si="85"/>
        <v>0</v>
      </c>
      <c r="L207" s="345">
        <f t="shared" si="86"/>
        <v>0</v>
      </c>
    </row>
    <row r="208" spans="1:12" ht="13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3">
        <f>'FR-16(7)(v)-4 DISTR Classified'!I208</f>
        <v>-565357</v>
      </c>
      <c r="G208" s="347">
        <f t="shared" si="82"/>
        <v>-482475</v>
      </c>
      <c r="H208" s="345">
        <f>ROUND($F$208*VLOOKUP($D$208,ALLOCTABLE_DISTR_CUSTOMER,$H$10,FALSE),0)</f>
        <v>-78404</v>
      </c>
      <c r="I208" s="345">
        <f t="shared" si="83"/>
        <v>-2663</v>
      </c>
      <c r="J208" s="345">
        <f t="shared" si="84"/>
        <v>-1815</v>
      </c>
      <c r="K208" s="345">
        <f t="shared" si="85"/>
        <v>-565357</v>
      </c>
      <c r="L208" s="345">
        <f t="shared" si="86"/>
        <v>0</v>
      </c>
    </row>
    <row r="209" spans="1:12" ht="13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3">
        <f>'FR-16(7)(v)-4 DISTR Classified'!I209</f>
        <v>-585673</v>
      </c>
      <c r="G209" s="347">
        <f t="shared" si="82"/>
        <v>-500645</v>
      </c>
      <c r="H209" s="345">
        <f>ROUND($F$209*VLOOKUP($D$209,ALLOCTABLE_DISTR_CUSTOMER,$H$10,FALSE),0)</f>
        <v>-80460</v>
      </c>
      <c r="I209" s="345">
        <f t="shared" si="83"/>
        <v>-2723</v>
      </c>
      <c r="J209" s="345">
        <f t="shared" si="84"/>
        <v>-1845</v>
      </c>
      <c r="K209" s="345">
        <f t="shared" si="85"/>
        <v>-585673</v>
      </c>
      <c r="L209" s="345">
        <f t="shared" si="86"/>
        <v>0</v>
      </c>
    </row>
    <row r="210" spans="1:12" ht="13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3">
        <f>'FR-16(7)(v)-4 DISTR Classified'!I210</f>
        <v>0</v>
      </c>
      <c r="G210" s="347">
        <f t="shared" si="82"/>
        <v>0</v>
      </c>
      <c r="H210" s="345">
        <f>ROUND($F$210*VLOOKUP($D$210,ALLOCTABLE_DISTR_CUSTOMER,$H$10,FALSE),0)</f>
        <v>0</v>
      </c>
      <c r="I210" s="345">
        <f t="shared" si="83"/>
        <v>0</v>
      </c>
      <c r="J210" s="345">
        <f t="shared" si="84"/>
        <v>0</v>
      </c>
      <c r="K210" s="345">
        <f t="shared" si="85"/>
        <v>0</v>
      </c>
      <c r="L210" s="345">
        <f t="shared" si="86"/>
        <v>0</v>
      </c>
    </row>
    <row r="211" spans="1:12" ht="13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3">
        <f>'FR-16(7)(v)-4 DISTR Classified'!I211</f>
        <v>0</v>
      </c>
      <c r="G211" s="347">
        <f t="shared" si="82"/>
        <v>0</v>
      </c>
      <c r="H211" s="345">
        <f>ROUND($F$211*VLOOKUP($D$211,ALLOCTABLE_DISTR_CUSTOMER,$H$10,FALSE),0)</f>
        <v>0</v>
      </c>
      <c r="I211" s="345">
        <f t="shared" si="83"/>
        <v>0</v>
      </c>
      <c r="J211" s="345">
        <f t="shared" si="84"/>
        <v>0</v>
      </c>
      <c r="K211" s="345">
        <f t="shared" si="85"/>
        <v>0</v>
      </c>
      <c r="L211" s="345">
        <f t="shared" si="86"/>
        <v>0</v>
      </c>
    </row>
    <row r="212" spans="1:12" ht="13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3">
        <f>'FR-16(7)(v)-4 DISTR Classified'!I212</f>
        <v>-238064</v>
      </c>
      <c r="G212" s="347">
        <f t="shared" si="82"/>
        <v>-212861</v>
      </c>
      <c r="H212" s="345">
        <f>ROUND($F$212*VLOOKUP($D$212,ALLOCTABLE_DISTR_CUSTOMER,$H$10,FALSE),0)</f>
        <v>-24094</v>
      </c>
      <c r="I212" s="345">
        <f t="shared" si="83"/>
        <v>-719</v>
      </c>
      <c r="J212" s="345">
        <f t="shared" si="84"/>
        <v>-390</v>
      </c>
      <c r="K212" s="345">
        <f t="shared" si="85"/>
        <v>-238064</v>
      </c>
      <c r="L212" s="345">
        <f t="shared" si="86"/>
        <v>0</v>
      </c>
    </row>
    <row r="213" spans="1:12" ht="13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3">
        <f>'FR-16(7)(v)-4 DISTR Classified'!I213</f>
        <v>0</v>
      </c>
      <c r="G213" s="347">
        <f t="shared" si="82"/>
        <v>0</v>
      </c>
      <c r="H213" s="345">
        <f>ROUND($F$213*VLOOKUP($D$213,ALLOCTABLE_DISTR_CUSTOMER,$H$10,FALSE),0)</f>
        <v>0</v>
      </c>
      <c r="I213" s="345">
        <f t="shared" si="83"/>
        <v>0</v>
      </c>
      <c r="J213" s="345">
        <f t="shared" si="84"/>
        <v>0</v>
      </c>
      <c r="K213" s="345">
        <f t="shared" si="85"/>
        <v>0</v>
      </c>
      <c r="L213" s="345">
        <f t="shared" si="86"/>
        <v>0</v>
      </c>
    </row>
    <row r="214" spans="1:12" ht="13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3">
        <f>'FR-16(7)(v)-4 DISTR Classified'!I214</f>
        <v>2944277</v>
      </c>
      <c r="G214" s="347">
        <f t="shared" si="82"/>
        <v>2516827</v>
      </c>
      <c r="H214" s="345">
        <f>ROUND($F$214*VLOOKUP($D$214,ALLOCTABLE_DISTR_CUSTOMER,$H$10,FALSE),0)</f>
        <v>404485</v>
      </c>
      <c r="I214" s="345">
        <f t="shared" si="83"/>
        <v>13691</v>
      </c>
      <c r="J214" s="345">
        <f t="shared" si="84"/>
        <v>9274</v>
      </c>
      <c r="K214" s="345">
        <f t="shared" si="85"/>
        <v>2944277</v>
      </c>
      <c r="L214" s="345">
        <f t="shared" si="86"/>
        <v>0</v>
      </c>
    </row>
    <row r="215" spans="1:12" ht="13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L215" si="87">SUM(F206:F214)</f>
        <v>26409464</v>
      </c>
      <c r="G215" s="346">
        <f>SUM(G206:G214)</f>
        <v>22566783</v>
      </c>
      <c r="H215" s="346">
        <f t="shared" si="87"/>
        <v>3636008</v>
      </c>
      <c r="I215" s="346">
        <f t="shared" si="87"/>
        <v>123158</v>
      </c>
      <c r="J215" s="346">
        <f t="shared" si="87"/>
        <v>83515</v>
      </c>
      <c r="K215" s="346">
        <f t="shared" si="87"/>
        <v>26409464</v>
      </c>
      <c r="L215" s="346">
        <f t="shared" si="87"/>
        <v>0</v>
      </c>
    </row>
    <row r="216" spans="1:12" ht="13">
      <c r="A216" s="331">
        <v>14</v>
      </c>
      <c r="D216" s="342"/>
      <c r="E216" s="195"/>
      <c r="I216" s="330"/>
    </row>
    <row r="217" spans="1:12" ht="13">
      <c r="A217" s="331">
        <v>15</v>
      </c>
      <c r="B217" s="330" t="s">
        <v>28</v>
      </c>
      <c r="D217" s="342"/>
      <c r="E217" s="195"/>
      <c r="I217" s="330"/>
    </row>
    <row r="218" spans="1:12" ht="13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3">
        <f>'FR-16(7)(v)-4 DISTR Classified'!I218</f>
        <v>0</v>
      </c>
      <c r="G218" s="347">
        <f t="shared" ref="G218:G228" si="88">F218-SUM(H218:J218)</f>
        <v>0</v>
      </c>
      <c r="H218" s="345">
        <f>ROUND($F$218*VLOOKUP($D$218,ALLOCTABLE_DISTR_CUSTOMER,$H$10,FALSE),0)</f>
        <v>0</v>
      </c>
      <c r="I218" s="345">
        <f t="shared" ref="I218:I225" si="89">ROUND(F218*VLOOKUP(D218,ALLOCTABLE_DISTR_CUSTOMER,$I$10,FALSE),0)</f>
        <v>0</v>
      </c>
      <c r="J218" s="345">
        <f t="shared" ref="J218:J225" si="90">ROUND(F218*VLOOKUP(D218,ALLOCTABLE_DISTR_CUSTOMER,$J$10,FALSE),0)</f>
        <v>0</v>
      </c>
      <c r="K218" s="345">
        <f t="shared" ref="K218:K228" si="91">SUM(G218:J218)</f>
        <v>0</v>
      </c>
      <c r="L218" s="345">
        <f t="shared" ref="L218:L228" si="92">F218-K218</f>
        <v>0</v>
      </c>
    </row>
    <row r="219" spans="1:12" ht="13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3">
        <f>'FR-16(7)(v)-4 DISTR Classified'!I219</f>
        <v>0</v>
      </c>
      <c r="G219" s="347">
        <f t="shared" si="88"/>
        <v>0</v>
      </c>
      <c r="H219" s="345">
        <f>ROUND($F$219*VLOOKUP($D$219,ALLOCTABLE_DISTR_CUSTOMER,$H$10,FALSE),0)</f>
        <v>0</v>
      </c>
      <c r="I219" s="345">
        <f t="shared" si="89"/>
        <v>0</v>
      </c>
      <c r="J219" s="345">
        <f t="shared" si="90"/>
        <v>0</v>
      </c>
      <c r="K219" s="345">
        <f t="shared" si="91"/>
        <v>0</v>
      </c>
      <c r="L219" s="345">
        <f t="shared" si="92"/>
        <v>0</v>
      </c>
    </row>
    <row r="220" spans="1:12" ht="13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3">
        <f>'FR-16(7)(v)-4 DISTR Classified'!I220</f>
        <v>0</v>
      </c>
      <c r="G220" s="347">
        <f t="shared" si="88"/>
        <v>0</v>
      </c>
      <c r="H220" s="345">
        <f>ROUND($F$220*VLOOKUP($D$220,ALLOCTABLE_DISTR_CUSTOMER,$H$10,FALSE),0)</f>
        <v>0</v>
      </c>
      <c r="I220" s="345">
        <f t="shared" si="89"/>
        <v>0</v>
      </c>
      <c r="J220" s="345">
        <f t="shared" si="90"/>
        <v>0</v>
      </c>
      <c r="K220" s="345">
        <f t="shared" si="91"/>
        <v>0</v>
      </c>
      <c r="L220" s="345">
        <f t="shared" si="92"/>
        <v>0</v>
      </c>
    </row>
    <row r="221" spans="1:12" ht="13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3">
        <f>'FR-16(7)(v)-4 DISTR Classified'!I221</f>
        <v>0</v>
      </c>
      <c r="G221" s="347">
        <f t="shared" si="88"/>
        <v>0</v>
      </c>
      <c r="H221" s="345">
        <f>ROUND($F$221*VLOOKUP($D$221,ALLOCTABLE_DISTR_CUSTOMER,$H$10,FALSE),0)</f>
        <v>0</v>
      </c>
      <c r="I221" s="345">
        <f t="shared" si="89"/>
        <v>0</v>
      </c>
      <c r="J221" s="345">
        <f t="shared" si="90"/>
        <v>0</v>
      </c>
      <c r="K221" s="345">
        <f t="shared" si="91"/>
        <v>0</v>
      </c>
      <c r="L221" s="345">
        <f t="shared" si="92"/>
        <v>0</v>
      </c>
    </row>
    <row r="222" spans="1:12" ht="13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3">
        <f>'FR-16(7)(v)-4 DISTR Classified'!I222</f>
        <v>0</v>
      </c>
      <c r="G222" s="347">
        <f t="shared" si="88"/>
        <v>0</v>
      </c>
      <c r="H222" s="345">
        <f>ROUND($F$222*VLOOKUP($D$222,ALLOCTABLE_DISTR_CUSTOMER,$H$10,FALSE),0)</f>
        <v>0</v>
      </c>
      <c r="I222" s="345">
        <f t="shared" si="89"/>
        <v>0</v>
      </c>
      <c r="J222" s="345">
        <f t="shared" si="90"/>
        <v>0</v>
      </c>
      <c r="K222" s="345">
        <f t="shared" si="91"/>
        <v>0</v>
      </c>
      <c r="L222" s="345">
        <f t="shared" si="92"/>
        <v>0</v>
      </c>
    </row>
    <row r="223" spans="1:12" ht="13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3">
        <f>'FR-16(7)(v)-4 DISTR Classified'!I223</f>
        <v>0</v>
      </c>
      <c r="G223" s="347">
        <f t="shared" si="88"/>
        <v>0</v>
      </c>
      <c r="H223" s="345">
        <f>ROUND($F$223*VLOOKUP($D$223,ALLOCTABLE_DISTR_CUSTOMER,$H$10,FALSE),0)</f>
        <v>0</v>
      </c>
      <c r="I223" s="345">
        <f t="shared" si="89"/>
        <v>0</v>
      </c>
      <c r="J223" s="345">
        <f t="shared" si="90"/>
        <v>0</v>
      </c>
      <c r="K223" s="345">
        <f t="shared" si="91"/>
        <v>0</v>
      </c>
      <c r="L223" s="345">
        <f t="shared" si="92"/>
        <v>0</v>
      </c>
    </row>
    <row r="224" spans="1:12" ht="13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3">
        <f>'FR-16(7)(v)-4 DISTR Classified'!I224</f>
        <v>0</v>
      </c>
      <c r="G224" s="347">
        <f t="shared" si="88"/>
        <v>0</v>
      </c>
      <c r="H224" s="345">
        <f>ROUND($F$224*VLOOKUP($D$224,ALLOCTABLE_DISTR_CUSTOMER,$H$10,FALSE),0)</f>
        <v>0</v>
      </c>
      <c r="I224" s="345">
        <f t="shared" si="89"/>
        <v>0</v>
      </c>
      <c r="J224" s="345">
        <f t="shared" si="90"/>
        <v>0</v>
      </c>
      <c r="K224" s="345">
        <f t="shared" si="91"/>
        <v>0</v>
      </c>
      <c r="L224" s="345">
        <f t="shared" si="92"/>
        <v>0</v>
      </c>
    </row>
    <row r="225" spans="1:12" ht="13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3">
        <f>'FR-16(7)(v)-4 DISTR Classified'!I225</f>
        <v>0</v>
      </c>
      <c r="G225" s="347">
        <f t="shared" si="88"/>
        <v>0</v>
      </c>
      <c r="H225" s="345">
        <f>ROUND($F$225*VLOOKUP($D$225,ALLOCTABLE_DISTR_CUSTOMER,$H$10,FALSE),0)</f>
        <v>0</v>
      </c>
      <c r="I225" s="345">
        <f t="shared" si="89"/>
        <v>0</v>
      </c>
      <c r="J225" s="345">
        <f t="shared" si="90"/>
        <v>0</v>
      </c>
      <c r="K225" s="345">
        <f t="shared" si="91"/>
        <v>0</v>
      </c>
      <c r="L225" s="345">
        <f t="shared" si="92"/>
        <v>0</v>
      </c>
    </row>
    <row r="226" spans="1:12" ht="13">
      <c r="A226" s="331">
        <v>24</v>
      </c>
      <c r="C226" s="612" t="str">
        <f>'FR-16(7)(v)-1 Functional'!C226</f>
        <v>RATE CASE EXPENSE AMORT</v>
      </c>
      <c r="D226" s="342" t="str">
        <f>'FR-16(7)(v)-1 Functional'!D226</f>
        <v>AG39</v>
      </c>
      <c r="F226" s="473">
        <f>'FR-16(7)(v)-4 DISTR Classified'!I226</f>
        <v>0</v>
      </c>
      <c r="G226" s="347">
        <f t="shared" si="88"/>
        <v>0</v>
      </c>
      <c r="H226" s="345">
        <f>ROUND($F$226*VLOOKUP($D$226,ALLOCTABLE_DISTR_CUSTOMER,$H$10,FALSE),0)</f>
        <v>0</v>
      </c>
      <c r="I226" s="345">
        <f>ROUND(F226*VLOOKUP(D226,ALLOCTABLE_DISTR_CUSTOMER,$I$10,FALSE),0)</f>
        <v>0</v>
      </c>
      <c r="J226" s="345">
        <f>ROUND(F226*VLOOKUP(D226,ALLOCTABLE_DISTR_CUSTOMER,$J$10,FALSE),0)</f>
        <v>0</v>
      </c>
      <c r="K226" s="345">
        <f>SUM(G226:J226)</f>
        <v>0</v>
      </c>
      <c r="L226" s="345">
        <f>F226-K226</f>
        <v>0</v>
      </c>
    </row>
    <row r="227" spans="1:12" ht="13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3">
        <f>'FR-16(7)(v)-4 DISTR Classified'!I227</f>
        <v>0</v>
      </c>
      <c r="G227" s="347">
        <f t="shared" si="88"/>
        <v>0</v>
      </c>
      <c r="H227" s="345">
        <f>ROUND($F$227*VLOOKUP($D$227,ALLOCTABLE_DISTR_CUSTOMER,$H$10,FALSE),0)</f>
        <v>0</v>
      </c>
      <c r="I227" s="345">
        <f>ROUND(F227*VLOOKUP(D227,ALLOCTABLE_DISTR_CUSTOMER,$I$10,FALSE),0)</f>
        <v>0</v>
      </c>
      <c r="J227" s="345">
        <f>ROUND(F227*VLOOKUP(D227,ALLOCTABLE_DISTR_CUSTOMER,$J$10,FALSE),0)</f>
        <v>0</v>
      </c>
      <c r="K227" s="345">
        <f>SUM(G227:J227)</f>
        <v>0</v>
      </c>
      <c r="L227" s="345">
        <f>F227-K227</f>
        <v>0</v>
      </c>
    </row>
    <row r="228" spans="1:12" ht="13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3">
        <f>'FR-16(7)(v)-4 DISTR Classified'!I228</f>
        <v>0</v>
      </c>
      <c r="G228" s="347">
        <f t="shared" si="88"/>
        <v>0</v>
      </c>
      <c r="H228" s="345">
        <f>ROUND($F$228*VLOOKUP($D$228,ALLOCTABLE_DISTR_CUSTOMER,$H$10,FALSE),0)</f>
        <v>0</v>
      </c>
      <c r="I228" s="345">
        <f>ROUND(F228*VLOOKUP(D228,ALLOCTABLE_DISTR_CUSTOMER,$I$10,FALSE),0)</f>
        <v>0</v>
      </c>
      <c r="J228" s="345">
        <f>ROUND(F228*VLOOKUP(D228,ALLOCTABLE_DISTR_CUSTOMER,$J$10,FALSE),0)</f>
        <v>0</v>
      </c>
      <c r="K228" s="345">
        <f t="shared" si="91"/>
        <v>0</v>
      </c>
      <c r="L228" s="345">
        <f t="shared" si="92"/>
        <v>0</v>
      </c>
    </row>
    <row r="229" spans="1:12" ht="13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L229" si="93">SUM(F217:F228)</f>
        <v>0</v>
      </c>
      <c r="G229" s="346">
        <f>SUM(G217:G228)</f>
        <v>0</v>
      </c>
      <c r="H229" s="346">
        <f t="shared" si="93"/>
        <v>0</v>
      </c>
      <c r="I229" s="346">
        <f t="shared" si="93"/>
        <v>0</v>
      </c>
      <c r="J229" s="346">
        <f t="shared" si="93"/>
        <v>0</v>
      </c>
      <c r="K229" s="346">
        <f t="shared" si="93"/>
        <v>0</v>
      </c>
      <c r="L229" s="346">
        <f t="shared" si="93"/>
        <v>0</v>
      </c>
    </row>
    <row r="230" spans="1:12" ht="13">
      <c r="A230" s="331">
        <v>28</v>
      </c>
      <c r="D230" s="342"/>
      <c r="E230" s="195"/>
      <c r="I230" s="330"/>
    </row>
    <row r="231" spans="1:12" ht="13">
      <c r="A231" s="331">
        <v>29</v>
      </c>
      <c r="B231" s="351" t="s">
        <v>817</v>
      </c>
      <c r="C231" s="351"/>
      <c r="D231" s="342"/>
      <c r="E231" s="195"/>
      <c r="I231" s="330"/>
    </row>
    <row r="232" spans="1:12" ht="13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3">
        <f>'FR-16(7)(v)-4 DISTR Classified'!I232</f>
        <v>620485</v>
      </c>
      <c r="G232" s="347">
        <f>F232-SUM(H232:J232)</f>
        <v>529522</v>
      </c>
      <c r="H232" s="345">
        <f>ROUND($F$232*VLOOKUP($D$232,ALLOCTABLE_DISTR_CUSTOMER,$H$10,FALSE),0)</f>
        <v>86049</v>
      </c>
      <c r="I232" s="345">
        <f>ROUND(F232*VLOOKUP(D232,ALLOCTABLE_DISTR_CUSTOMER,$I$10,FALSE),0)</f>
        <v>2922</v>
      </c>
      <c r="J232" s="345">
        <f>ROUND(F232*VLOOKUP(D232,ALLOCTABLE_DISTR_CUSTOMER,$J$10,FALSE),0)</f>
        <v>1992</v>
      </c>
      <c r="K232" s="345">
        <f>SUM(G232:J232)</f>
        <v>620485</v>
      </c>
      <c r="L232" s="345">
        <f>F232-K232</f>
        <v>0</v>
      </c>
    </row>
    <row r="233" spans="1:12" ht="13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3">
        <f>'FR-16(7)(v)-4 DISTR Classified'!I233</f>
        <v>0</v>
      </c>
      <c r="G233" s="347">
        <f>F233-SUM(H233:J233)</f>
        <v>0</v>
      </c>
      <c r="H233" s="345">
        <f>ROUND($F$233*VLOOKUP($D$233,ALLOCTABLE_DISTR_CUSTOMER,$H$10,FALSE),0)</f>
        <v>0</v>
      </c>
      <c r="I233" s="345">
        <f>ROUND(F233*VLOOKUP(D233,ALLOCTABLE_DISTR_CUSTOMER,$I$10,FALSE),0)</f>
        <v>0</v>
      </c>
      <c r="J233" s="345">
        <f>ROUND(F233*VLOOKUP(D233,ALLOCTABLE_DISTR_CUSTOMER,$J$10,FALSE),0)</f>
        <v>0</v>
      </c>
      <c r="K233" s="345">
        <f>SUM(G233:J233)</f>
        <v>0</v>
      </c>
      <c r="L233" s="345">
        <f>F233-K233</f>
        <v>0</v>
      </c>
    </row>
    <row r="234" spans="1:12" ht="13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3">
        <f>'FR-16(7)(v)-4 DISTR Classified'!I234</f>
        <v>0</v>
      </c>
      <c r="G234" s="347">
        <f>F234-SUM(H234:J234)</f>
        <v>0</v>
      </c>
      <c r="H234" s="345">
        <f>ROUND($F$234*VLOOKUP($D$234,ALLOCTABLE_DISTR_CUSTOMER,$H$10,FALSE),0)</f>
        <v>0</v>
      </c>
      <c r="I234" s="345">
        <f>ROUND(F234*VLOOKUP(D234,ALLOCTABLE_DISTR_CUSTOMER,$I$10,FALSE),0)</f>
        <v>0</v>
      </c>
      <c r="J234" s="345">
        <f>ROUND(F234*VLOOKUP(D234,ALLOCTABLE_DISTR_CUSTOMER,$J$10,FALSE),0)</f>
        <v>0</v>
      </c>
      <c r="K234" s="345">
        <f>SUM(G234:J234)</f>
        <v>0</v>
      </c>
      <c r="L234" s="345">
        <f>F234-K234</f>
        <v>0</v>
      </c>
    </row>
    <row r="235" spans="1:12" ht="13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3">
        <f>'FR-16(7)(v)-4 DISTR Classified'!I235</f>
        <v>11016909</v>
      </c>
      <c r="G235" s="347">
        <f>F235-SUM(H235:J235)</f>
        <v>9417474</v>
      </c>
      <c r="H235" s="345">
        <f>ROUND($F$235*VLOOKUP($D$235,ALLOCTABLE_DISTR_CUSTOMER,$H$10,FALSE),0)</f>
        <v>1513503</v>
      </c>
      <c r="I235" s="345">
        <f>ROUND(F235*VLOOKUP(D235,ALLOCTABLE_DISTR_CUSTOMER,$I$10,FALSE),0)</f>
        <v>51229</v>
      </c>
      <c r="J235" s="345">
        <f>ROUND(F235*VLOOKUP(D235,ALLOCTABLE_DISTR_CUSTOMER,$J$10,FALSE),0)</f>
        <v>34703</v>
      </c>
      <c r="K235" s="345">
        <f>SUM(G235:J235)</f>
        <v>11016909</v>
      </c>
      <c r="L235" s="345">
        <f>F235-K235</f>
        <v>0</v>
      </c>
    </row>
    <row r="236" spans="1:12" ht="13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L236" si="94">SUM(F231:F235)</f>
        <v>11637394</v>
      </c>
      <c r="G236" s="346">
        <f>SUM(G231:G235)</f>
        <v>9946996</v>
      </c>
      <c r="H236" s="346">
        <f t="shared" si="94"/>
        <v>1599552</v>
      </c>
      <c r="I236" s="346">
        <f t="shared" si="94"/>
        <v>54151</v>
      </c>
      <c r="J236" s="346">
        <f t="shared" si="94"/>
        <v>36695</v>
      </c>
      <c r="K236" s="346">
        <f t="shared" si="94"/>
        <v>11637394</v>
      </c>
      <c r="L236" s="346">
        <f t="shared" si="94"/>
        <v>0</v>
      </c>
    </row>
    <row r="237" spans="1:12" ht="13">
      <c r="A237" s="331">
        <v>35</v>
      </c>
      <c r="D237" s="342"/>
      <c r="E237" s="195"/>
      <c r="I237" s="330"/>
    </row>
    <row r="238" spans="1:12" ht="13">
      <c r="A238" s="331">
        <v>36</v>
      </c>
      <c r="B238" s="330" t="s">
        <v>821</v>
      </c>
      <c r="D238" s="342"/>
      <c r="E238" s="195"/>
      <c r="F238" s="345">
        <f t="shared" ref="F238:L238" si="95">F236+F229+F215</f>
        <v>38046858</v>
      </c>
      <c r="G238" s="345">
        <f>G236+G229+G215</f>
        <v>32513779</v>
      </c>
      <c r="H238" s="345">
        <f t="shared" si="95"/>
        <v>5235560</v>
      </c>
      <c r="I238" s="345">
        <f t="shared" si="95"/>
        <v>177309</v>
      </c>
      <c r="J238" s="345">
        <f t="shared" si="95"/>
        <v>120210</v>
      </c>
      <c r="K238" s="345">
        <f t="shared" si="95"/>
        <v>38046858</v>
      </c>
      <c r="L238" s="345">
        <f t="shared" si="95"/>
        <v>0</v>
      </c>
    </row>
    <row r="239" spans="1:12" ht="13">
      <c r="B239" s="341"/>
      <c r="C239" s="195"/>
      <c r="D239" s="342"/>
      <c r="E239" s="195"/>
      <c r="G239" s="340"/>
      <c r="H239" s="340"/>
      <c r="I239" s="195"/>
      <c r="J239" s="342"/>
      <c r="K239" s="195"/>
      <c r="L239" s="195"/>
    </row>
    <row r="240" spans="1:12" ht="13">
      <c r="A240" s="341" t="str">
        <f>co_name</f>
        <v>DUKE ENERGY KENTUCKY, INC.</v>
      </c>
      <c r="C240" s="195"/>
      <c r="D240" s="342"/>
      <c r="E240" s="195"/>
      <c r="F240" s="342"/>
      <c r="G240" s="340"/>
      <c r="H240" s="340"/>
      <c r="I240" s="195"/>
      <c r="K240" s="359" t="str">
        <f>$K$1</f>
        <v>FR-16(7)(v)-6</v>
      </c>
      <c r="L240" s="195"/>
    </row>
    <row r="241" spans="1:12" ht="13">
      <c r="A241" s="341" t="str">
        <f>$A$2</f>
        <v>DISTRIBUTION CUSTOMER ALLOCATED - GAS COST OF SERVICE</v>
      </c>
      <c r="C241" s="195"/>
      <c r="D241" s="342"/>
      <c r="E241" s="195"/>
      <c r="F241" s="342"/>
      <c r="G241" s="340"/>
      <c r="H241" s="340"/>
      <c r="I241" s="195"/>
      <c r="K241" s="359" t="str">
        <f>$K$2</f>
        <v>WITNESS RESPONSIBLE:</v>
      </c>
      <c r="L241" s="195"/>
    </row>
    <row r="242" spans="1:12" ht="13">
      <c r="A242" s="341" t="str">
        <f>case_name</f>
        <v>CASE NO: 2021-00190</v>
      </c>
      <c r="C242" s="195"/>
      <c r="D242" s="342"/>
      <c r="E242" s="195"/>
      <c r="F242" s="342"/>
      <c r="G242" s="340"/>
      <c r="H242" s="340"/>
      <c r="I242" s="195"/>
      <c r="K242" s="359" t="str">
        <f>Witness</f>
        <v>JAMES E. ZIOLKOWSKI</v>
      </c>
      <c r="L242" s="195"/>
    </row>
    <row r="243" spans="1:12" ht="13">
      <c r="A243" s="341" t="str">
        <f>data_filing</f>
        <v>DATA: 12 MONTH FORECASTED PERIOD</v>
      </c>
      <c r="C243" s="195"/>
      <c r="D243" s="342"/>
      <c r="E243" s="195"/>
      <c r="F243" s="342"/>
      <c r="G243" s="340"/>
      <c r="H243" s="340"/>
      <c r="I243" s="195"/>
      <c r="K243" s="359" t="str">
        <f>"PAGE "&amp;Pages-12&amp;" OF "&amp;Pages</f>
        <v>PAGE 6 OF 18</v>
      </c>
      <c r="L243" s="195"/>
    </row>
    <row r="244" spans="1:12" ht="13">
      <c r="A244" s="341" t="str">
        <f>type</f>
        <v xml:space="preserve">TYPE OF FILING: "X" ORIGINAL   UPDATED    REVISED  </v>
      </c>
      <c r="C244" s="195"/>
      <c r="D244" s="342"/>
      <c r="E244" s="195"/>
      <c r="F244" s="342"/>
      <c r="G244" s="340"/>
      <c r="H244" s="340"/>
      <c r="I244" s="195"/>
      <c r="J244" s="342"/>
      <c r="K244" s="195"/>
      <c r="L244" s="195"/>
    </row>
    <row r="245" spans="1:12" ht="13">
      <c r="B245" s="341"/>
      <c r="C245" s="195"/>
      <c r="D245" s="342"/>
      <c r="E245" s="195"/>
      <c r="F245" s="342"/>
      <c r="G245" s="340"/>
      <c r="H245" s="340"/>
      <c r="I245" s="195"/>
      <c r="J245" s="342"/>
      <c r="K245" s="195"/>
      <c r="L245" s="195"/>
    </row>
    <row r="246" spans="1:12" ht="13">
      <c r="B246" s="341"/>
      <c r="C246" s="195"/>
      <c r="D246" s="342"/>
      <c r="E246" s="195"/>
      <c r="F246" s="342" t="str">
        <f>$F$7</f>
        <v>TOTAL</v>
      </c>
      <c r="G246" s="340"/>
      <c r="H246" s="340"/>
      <c r="I246" s="195"/>
      <c r="J246" s="342"/>
      <c r="K246" s="195"/>
      <c r="L246" s="195"/>
    </row>
    <row r="247" spans="1:12" ht="13">
      <c r="A247" s="342" t="s">
        <v>907</v>
      </c>
      <c r="B247" s="195"/>
      <c r="C247" s="195"/>
      <c r="D247" s="342"/>
      <c r="E247" s="195"/>
      <c r="F247" s="342" t="str">
        <f>$F$8</f>
        <v>DISTRIBUTION</v>
      </c>
      <c r="G247" s="352" t="str">
        <f>$G$8</f>
        <v>RS</v>
      </c>
      <c r="H247" s="352" t="str">
        <f>$H$8</f>
        <v>GS</v>
      </c>
      <c r="I247" s="342" t="str">
        <f>$I$8</f>
        <v>FT-L</v>
      </c>
      <c r="J247" s="342" t="str">
        <f>$J$8</f>
        <v>INTERUPT</v>
      </c>
      <c r="K247" s="342" t="s">
        <v>229</v>
      </c>
      <c r="L247" s="342" t="s">
        <v>342</v>
      </c>
    </row>
    <row r="248" spans="1:12" ht="13">
      <c r="A248" s="344" t="s">
        <v>908</v>
      </c>
      <c r="B248" s="343" t="s">
        <v>947</v>
      </c>
      <c r="C248" s="343"/>
      <c r="D248" s="344" t="s">
        <v>337</v>
      </c>
      <c r="E248" s="343"/>
      <c r="F248" s="342" t="str">
        <f>$F$9</f>
        <v>CUSTOMER</v>
      </c>
      <c r="G248" s="353" t="str">
        <f>$G$9</f>
        <v>RESIDENTIAL</v>
      </c>
      <c r="H248" s="353" t="str">
        <f>$H$9</f>
        <v>GEN SERV</v>
      </c>
      <c r="I248" s="344" t="str">
        <f>$I$9</f>
        <v>FIRM TRANS</v>
      </c>
      <c r="J248" s="344" t="str">
        <f>$J$9</f>
        <v>TRANS</v>
      </c>
      <c r="K248" s="344" t="s">
        <v>341</v>
      </c>
      <c r="L248" s="344" t="s">
        <v>340</v>
      </c>
    </row>
    <row r="249" spans="1:12" ht="13">
      <c r="C249" s="572" t="s">
        <v>555</v>
      </c>
      <c r="D249" s="342"/>
      <c r="E249" s="195"/>
      <c r="F249" s="755"/>
      <c r="G249" s="627">
        <f>$G$10</f>
        <v>3</v>
      </c>
      <c r="H249" s="627">
        <f>$H$10</f>
        <v>4</v>
      </c>
      <c r="I249" s="627">
        <f>$I$10</f>
        <v>5</v>
      </c>
      <c r="J249" s="627">
        <f>$J$10</f>
        <v>6</v>
      </c>
    </row>
    <row r="250" spans="1:12" ht="13">
      <c r="A250" s="331">
        <v>1</v>
      </c>
      <c r="B250" s="330" t="s">
        <v>819</v>
      </c>
      <c r="D250" s="342"/>
      <c r="E250" s="195"/>
      <c r="I250" s="330"/>
    </row>
    <row r="251" spans="1:12" ht="13">
      <c r="A251" s="331">
        <v>2</v>
      </c>
      <c r="B251" s="330" t="s">
        <v>29</v>
      </c>
      <c r="D251" s="342"/>
      <c r="E251" s="195"/>
      <c r="I251" s="330"/>
    </row>
    <row r="252" spans="1:12" ht="13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3">
        <f>'FR-16(7)(v)-4 DISTR Classified'!I252</f>
        <v>0</v>
      </c>
      <c r="G252" s="347">
        <f t="shared" ref="G252:G274" si="96">F252-SUM(H252:J252)</f>
        <v>0</v>
      </c>
      <c r="H252" s="345">
        <f>ROUND($F$252*VLOOKUP($D$252,ALLOCTABLE_DISTR_CUSTOMER,$H$10,FALSE),0)</f>
        <v>0</v>
      </c>
      <c r="I252" s="345">
        <f t="shared" ref="I252:I274" si="97">ROUND(F252*VLOOKUP(D252,ALLOCTABLE_DISTR_CUSTOMER,$I$10,FALSE),0)</f>
        <v>0</v>
      </c>
      <c r="J252" s="345">
        <f t="shared" ref="J252:J274" si="98">ROUND(F252*VLOOKUP(D252,ALLOCTABLE_DISTR_CUSTOMER,$J$10,FALSE),0)</f>
        <v>0</v>
      </c>
      <c r="K252" s="345">
        <f t="shared" ref="K252:K274" si="99">SUM(G252:J252)</f>
        <v>0</v>
      </c>
      <c r="L252" s="345">
        <f t="shared" ref="L252:L274" si="100">F252-K252</f>
        <v>0</v>
      </c>
    </row>
    <row r="253" spans="1:12" ht="13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3">
        <f>'FR-16(7)(v)-4 DISTR Classified'!I253</f>
        <v>0</v>
      </c>
      <c r="G253" s="347">
        <f t="shared" si="96"/>
        <v>0</v>
      </c>
      <c r="H253" s="345">
        <f>ROUND($F$253*VLOOKUP($D$253,ALLOCTABLE_DISTR_CUSTOMER,$H$10,FALSE),0)</f>
        <v>0</v>
      </c>
      <c r="I253" s="345">
        <f t="shared" si="97"/>
        <v>0</v>
      </c>
      <c r="J253" s="345">
        <f t="shared" si="98"/>
        <v>0</v>
      </c>
      <c r="K253" s="345">
        <f t="shared" si="99"/>
        <v>0</v>
      </c>
      <c r="L253" s="345">
        <f t="shared" si="100"/>
        <v>0</v>
      </c>
    </row>
    <row r="254" spans="1:12" ht="13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3">
        <f>'FR-16(7)(v)-4 DISTR Classified'!I254</f>
        <v>0</v>
      </c>
      <c r="G254" s="347">
        <f t="shared" si="96"/>
        <v>0</v>
      </c>
      <c r="H254" s="345">
        <f>ROUND($F$254*VLOOKUP($D$254,ALLOCTABLE_DISTR_CUSTOMER,$H$10,FALSE),0)</f>
        <v>0</v>
      </c>
      <c r="I254" s="345">
        <f t="shared" si="97"/>
        <v>0</v>
      </c>
      <c r="J254" s="345">
        <f t="shared" si="98"/>
        <v>0</v>
      </c>
      <c r="K254" s="345">
        <f t="shared" si="99"/>
        <v>0</v>
      </c>
      <c r="L254" s="345">
        <f t="shared" si="100"/>
        <v>0</v>
      </c>
    </row>
    <row r="255" spans="1:12" ht="13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3">
        <f>'FR-16(7)(v)-4 DISTR Classified'!I255</f>
        <v>0</v>
      </c>
      <c r="G255" s="347">
        <f t="shared" si="96"/>
        <v>0</v>
      </c>
      <c r="H255" s="345">
        <f>ROUND($F$255*VLOOKUP($D$255,ALLOCTABLE_DISTR_CUSTOMER,$H$10,FALSE),0)</f>
        <v>0</v>
      </c>
      <c r="I255" s="345">
        <f t="shared" si="97"/>
        <v>0</v>
      </c>
      <c r="J255" s="345">
        <f t="shared" si="98"/>
        <v>0</v>
      </c>
      <c r="K255" s="345">
        <f t="shared" si="99"/>
        <v>0</v>
      </c>
      <c r="L255" s="345">
        <f t="shared" si="100"/>
        <v>0</v>
      </c>
    </row>
    <row r="256" spans="1:12" ht="13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3">
        <f>'FR-16(7)(v)-4 DISTR Classified'!I256</f>
        <v>0</v>
      </c>
      <c r="G256" s="347">
        <f t="shared" si="96"/>
        <v>0</v>
      </c>
      <c r="H256" s="345">
        <f>ROUND($F$256*VLOOKUP($D$256,ALLOCTABLE_DISTR_CUSTOMER,$H$10,FALSE),0)</f>
        <v>0</v>
      </c>
      <c r="I256" s="345">
        <f t="shared" si="97"/>
        <v>0</v>
      </c>
      <c r="J256" s="345">
        <f t="shared" si="98"/>
        <v>0</v>
      </c>
      <c r="K256" s="345">
        <f t="shared" si="99"/>
        <v>0</v>
      </c>
      <c r="L256" s="345">
        <f t="shared" si="100"/>
        <v>0</v>
      </c>
    </row>
    <row r="257" spans="1:12" ht="13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3">
        <f>'FR-16(7)(v)-4 DISTR Classified'!I257</f>
        <v>0</v>
      </c>
      <c r="G257" s="347">
        <f t="shared" si="96"/>
        <v>0</v>
      </c>
      <c r="H257" s="345">
        <f>ROUND($F$257*VLOOKUP($D$257,ALLOCTABLE_DISTR_CUSTOMER,$H$10,FALSE),0)</f>
        <v>0</v>
      </c>
      <c r="I257" s="345">
        <f t="shared" si="97"/>
        <v>0</v>
      </c>
      <c r="J257" s="345">
        <f t="shared" si="98"/>
        <v>0</v>
      </c>
      <c r="K257" s="345">
        <f t="shared" si="99"/>
        <v>0</v>
      </c>
      <c r="L257" s="345">
        <f t="shared" si="100"/>
        <v>0</v>
      </c>
    </row>
    <row r="258" spans="1:12" ht="13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3">
        <f>'FR-16(7)(v)-4 DISTR Classified'!I258</f>
        <v>0</v>
      </c>
      <c r="G258" s="347">
        <f t="shared" si="96"/>
        <v>0</v>
      </c>
      <c r="H258" s="345">
        <f>ROUND($F$258*VLOOKUP($D$258,ALLOCTABLE_DISTR_CUSTOMER,$H$10,FALSE),0)</f>
        <v>0</v>
      </c>
      <c r="I258" s="345">
        <f t="shared" si="97"/>
        <v>0</v>
      </c>
      <c r="J258" s="345">
        <f t="shared" si="98"/>
        <v>0</v>
      </c>
      <c r="K258" s="345">
        <f t="shared" si="99"/>
        <v>0</v>
      </c>
      <c r="L258" s="345">
        <f t="shared" si="100"/>
        <v>0</v>
      </c>
    </row>
    <row r="259" spans="1:12" ht="13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3">
        <f>'FR-16(7)(v)-4 DISTR Classified'!I259</f>
        <v>0</v>
      </c>
      <c r="G259" s="347">
        <f t="shared" si="96"/>
        <v>0</v>
      </c>
      <c r="H259" s="345">
        <f>ROUND($F$259*VLOOKUP($D$259,ALLOCTABLE_DISTR_CUSTOMER,$H$10,FALSE),0)</f>
        <v>0</v>
      </c>
      <c r="I259" s="345">
        <f t="shared" si="97"/>
        <v>0</v>
      </c>
      <c r="J259" s="345">
        <f t="shared" si="98"/>
        <v>0</v>
      </c>
      <c r="K259" s="345">
        <f t="shared" si="99"/>
        <v>0</v>
      </c>
      <c r="L259" s="345">
        <f t="shared" si="100"/>
        <v>0</v>
      </c>
    </row>
    <row r="260" spans="1:12" ht="13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3">
        <f>'FR-16(7)(v)-4 DISTR Classified'!I260</f>
        <v>0</v>
      </c>
      <c r="G260" s="347">
        <f t="shared" si="96"/>
        <v>0</v>
      </c>
      <c r="H260" s="345">
        <f>ROUND($F$260*VLOOKUP($D$260,ALLOCTABLE_DISTR_CUSTOMER,$H$10,FALSE),0)</f>
        <v>0</v>
      </c>
      <c r="I260" s="345">
        <f t="shared" si="97"/>
        <v>0</v>
      </c>
      <c r="J260" s="345">
        <f t="shared" si="98"/>
        <v>0</v>
      </c>
      <c r="K260" s="345">
        <f t="shared" si="99"/>
        <v>0</v>
      </c>
      <c r="L260" s="345">
        <f t="shared" si="100"/>
        <v>0</v>
      </c>
    </row>
    <row r="261" spans="1:12" ht="13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3">
        <f>'FR-16(7)(v)-4 DISTR Classified'!I261</f>
        <v>0</v>
      </c>
      <c r="G261" s="347">
        <f t="shared" si="96"/>
        <v>0</v>
      </c>
      <c r="H261" s="345">
        <f>ROUND($F$261*VLOOKUP($D$261,ALLOCTABLE_DISTR_CUSTOMER,$H$10,FALSE),0)</f>
        <v>0</v>
      </c>
      <c r="I261" s="345">
        <f t="shared" si="97"/>
        <v>0</v>
      </c>
      <c r="J261" s="345">
        <f t="shared" si="98"/>
        <v>0</v>
      </c>
      <c r="K261" s="345">
        <f t="shared" si="99"/>
        <v>0</v>
      </c>
      <c r="L261" s="345">
        <f t="shared" si="100"/>
        <v>0</v>
      </c>
    </row>
    <row r="262" spans="1:12" ht="13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3">
        <f>'FR-16(7)(v)-4 DISTR Classified'!I262</f>
        <v>0</v>
      </c>
      <c r="G262" s="347">
        <f t="shared" si="96"/>
        <v>0</v>
      </c>
      <c r="H262" s="345">
        <f>ROUND($F$262*VLOOKUP($D$262,ALLOCTABLE_DISTR_CUSTOMER,$H$10,FALSE),0)</f>
        <v>0</v>
      </c>
      <c r="I262" s="345">
        <f t="shared" si="97"/>
        <v>0</v>
      </c>
      <c r="J262" s="345">
        <f t="shared" si="98"/>
        <v>0</v>
      </c>
      <c r="K262" s="345">
        <f t="shared" si="99"/>
        <v>0</v>
      </c>
      <c r="L262" s="345">
        <f t="shared" si="100"/>
        <v>0</v>
      </c>
    </row>
    <row r="263" spans="1:12" ht="13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3">
        <f>'FR-16(7)(v)-4 DISTR Classified'!I263</f>
        <v>0</v>
      </c>
      <c r="G263" s="347">
        <f t="shared" si="96"/>
        <v>0</v>
      </c>
      <c r="H263" s="345">
        <f>ROUND($F$263*VLOOKUP($D$263,ALLOCTABLE_DISTR_CUSTOMER,$H$10,FALSE),0)</f>
        <v>0</v>
      </c>
      <c r="I263" s="345">
        <f t="shared" si="97"/>
        <v>0</v>
      </c>
      <c r="J263" s="345">
        <f t="shared" si="98"/>
        <v>0</v>
      </c>
      <c r="K263" s="345">
        <f t="shared" si="99"/>
        <v>0</v>
      </c>
      <c r="L263" s="345">
        <f t="shared" si="100"/>
        <v>0</v>
      </c>
    </row>
    <row r="264" spans="1:12" ht="13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3">
        <f>'FR-16(7)(v)-4 DISTR Classified'!I264</f>
        <v>0</v>
      </c>
      <c r="G264" s="347">
        <f t="shared" si="96"/>
        <v>0</v>
      </c>
      <c r="H264" s="345">
        <f>ROUND($F$264*VLOOKUP($D$264,ALLOCTABLE_DISTR_CUSTOMER,$H$10,FALSE),0)</f>
        <v>0</v>
      </c>
      <c r="I264" s="345">
        <f t="shared" si="97"/>
        <v>0</v>
      </c>
      <c r="J264" s="345">
        <f t="shared" si="98"/>
        <v>0</v>
      </c>
      <c r="K264" s="345">
        <f t="shared" si="99"/>
        <v>0</v>
      </c>
      <c r="L264" s="345">
        <f t="shared" si="100"/>
        <v>0</v>
      </c>
    </row>
    <row r="265" spans="1:12" ht="13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3">
        <f>'FR-16(7)(v)-4 DISTR Classified'!I265</f>
        <v>0</v>
      </c>
      <c r="G265" s="347">
        <f t="shared" si="96"/>
        <v>0</v>
      </c>
      <c r="H265" s="345">
        <f>ROUND($F$265*VLOOKUP($D$265,ALLOCTABLE_DISTR_CUSTOMER,$H$10,FALSE),0)</f>
        <v>0</v>
      </c>
      <c r="I265" s="345">
        <f t="shared" si="97"/>
        <v>0</v>
      </c>
      <c r="J265" s="345">
        <f t="shared" si="98"/>
        <v>0</v>
      </c>
      <c r="K265" s="345">
        <f t="shared" si="99"/>
        <v>0</v>
      </c>
      <c r="L265" s="345">
        <f t="shared" si="100"/>
        <v>0</v>
      </c>
    </row>
    <row r="266" spans="1:12" ht="13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3">
        <f>'FR-16(7)(v)-4 DISTR Classified'!I266</f>
        <v>0</v>
      </c>
      <c r="G266" s="347">
        <f t="shared" si="96"/>
        <v>0</v>
      </c>
      <c r="H266" s="345">
        <f>ROUND($F$266*VLOOKUP($D$266,ALLOCTABLE_DISTR_CUSTOMER,$H$10,FALSE),0)</f>
        <v>0</v>
      </c>
      <c r="I266" s="345">
        <f t="shared" si="97"/>
        <v>0</v>
      </c>
      <c r="J266" s="345">
        <f t="shared" si="98"/>
        <v>0</v>
      </c>
      <c r="K266" s="345">
        <f t="shared" si="99"/>
        <v>0</v>
      </c>
      <c r="L266" s="345">
        <f t="shared" si="100"/>
        <v>0</v>
      </c>
    </row>
    <row r="267" spans="1:12" ht="13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3">
        <f>'FR-16(7)(v)-4 DISTR Classified'!I267</f>
        <v>0</v>
      </c>
      <c r="G267" s="347">
        <f t="shared" si="96"/>
        <v>0</v>
      </c>
      <c r="H267" s="345">
        <f>ROUND($F$267*VLOOKUP($D$267,ALLOCTABLE_DISTR_CUSTOMER,$H$10,FALSE),0)</f>
        <v>0</v>
      </c>
      <c r="I267" s="345">
        <f t="shared" si="97"/>
        <v>0</v>
      </c>
      <c r="J267" s="345">
        <f t="shared" si="98"/>
        <v>0</v>
      </c>
      <c r="K267" s="345">
        <f t="shared" si="99"/>
        <v>0</v>
      </c>
      <c r="L267" s="345">
        <f t="shared" si="100"/>
        <v>0</v>
      </c>
    </row>
    <row r="268" spans="1:12" ht="13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3">
        <f>'FR-16(7)(v)-4 DISTR Classified'!I268</f>
        <v>0</v>
      </c>
      <c r="G268" s="347">
        <f t="shared" si="96"/>
        <v>0</v>
      </c>
      <c r="H268" s="345">
        <f>ROUND($F$268*VLOOKUP($D$268,ALLOCTABLE_DISTR_CUSTOMER,$H$10,FALSE),0)</f>
        <v>0</v>
      </c>
      <c r="I268" s="345">
        <f t="shared" si="97"/>
        <v>0</v>
      </c>
      <c r="J268" s="345">
        <f t="shared" si="98"/>
        <v>0</v>
      </c>
      <c r="K268" s="345">
        <f t="shared" si="99"/>
        <v>0</v>
      </c>
      <c r="L268" s="345">
        <f t="shared" si="100"/>
        <v>0</v>
      </c>
    </row>
    <row r="269" spans="1:12" ht="13">
      <c r="A269" s="331">
        <v>20</v>
      </c>
      <c r="C269" s="483" t="str">
        <f>'FR-16(7)(v)-1 Functional'!C269</f>
        <v>401K INCENTIVE PLAN</v>
      </c>
      <c r="D269" s="342" t="str">
        <f>'FR-16(7)(v)-1 Functional'!D269</f>
        <v>AG39</v>
      </c>
      <c r="F269" s="473">
        <f>'FR-16(7)(v)-4 DISTR Classified'!I269</f>
        <v>0</v>
      </c>
      <c r="G269" s="347">
        <f t="shared" si="96"/>
        <v>0</v>
      </c>
      <c r="H269" s="345">
        <f>ROUND($F$269*VLOOKUP($D$269,ALLOCTABLE_DISTR_CUSTOMER,$H$10,FALSE),0)</f>
        <v>0</v>
      </c>
      <c r="I269" s="345">
        <f t="shared" si="97"/>
        <v>0</v>
      </c>
      <c r="J269" s="345">
        <f t="shared" si="98"/>
        <v>0</v>
      </c>
      <c r="K269" s="345">
        <f t="shared" si="99"/>
        <v>0</v>
      </c>
      <c r="L269" s="345">
        <f t="shared" si="100"/>
        <v>0</v>
      </c>
    </row>
    <row r="270" spans="1:12" ht="13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3">
        <f>'FR-16(7)(v)-4 DISTR Classified'!I270</f>
        <v>0</v>
      </c>
      <c r="G270" s="347">
        <f t="shared" si="96"/>
        <v>0</v>
      </c>
      <c r="H270" s="345">
        <f>ROUND($F$270*VLOOKUP($D$270,ALLOCTABLE_DISTR_CUSTOMER,$H$10,FALSE),0)</f>
        <v>0</v>
      </c>
      <c r="I270" s="345">
        <f t="shared" si="97"/>
        <v>0</v>
      </c>
      <c r="J270" s="345">
        <f t="shared" si="98"/>
        <v>0</v>
      </c>
      <c r="K270" s="345">
        <f t="shared" si="99"/>
        <v>0</v>
      </c>
      <c r="L270" s="345">
        <f t="shared" si="100"/>
        <v>0</v>
      </c>
    </row>
    <row r="271" spans="1:12" ht="13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3">
        <f>'FR-16(7)(v)-4 DISTR Classified'!I271</f>
        <v>0</v>
      </c>
      <c r="G271" s="347">
        <f t="shared" si="96"/>
        <v>0</v>
      </c>
      <c r="H271" s="345">
        <f>ROUND($F$271*VLOOKUP($D$271,ALLOCTABLE_DISTR_CUSTOMER,$H$10,FALSE),0)</f>
        <v>0</v>
      </c>
      <c r="I271" s="345">
        <f t="shared" si="97"/>
        <v>0</v>
      </c>
      <c r="J271" s="345">
        <f t="shared" si="98"/>
        <v>0</v>
      </c>
      <c r="K271" s="345">
        <f t="shared" si="99"/>
        <v>0</v>
      </c>
      <c r="L271" s="345">
        <f t="shared" si="100"/>
        <v>0</v>
      </c>
    </row>
    <row r="272" spans="1:12" ht="13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3">
        <f>'FR-16(7)(v)-4 DISTR Classified'!I272</f>
        <v>0</v>
      </c>
      <c r="G272" s="347">
        <f t="shared" si="96"/>
        <v>0</v>
      </c>
      <c r="H272" s="345">
        <f>ROUND($F$272*VLOOKUP($D$272,ALLOCTABLE_DISTR_CUSTOMER,$H$10,FALSE),0)</f>
        <v>0</v>
      </c>
      <c r="I272" s="345">
        <f t="shared" si="97"/>
        <v>0</v>
      </c>
      <c r="J272" s="345">
        <f t="shared" si="98"/>
        <v>0</v>
      </c>
      <c r="K272" s="345">
        <f t="shared" si="99"/>
        <v>0</v>
      </c>
      <c r="L272" s="345">
        <f t="shared" si="100"/>
        <v>0</v>
      </c>
    </row>
    <row r="273" spans="1:12" ht="13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3">
        <f>'FR-16(7)(v)-4 DISTR Classified'!I273</f>
        <v>0</v>
      </c>
      <c r="G273" s="347">
        <f t="shared" si="96"/>
        <v>0</v>
      </c>
      <c r="H273" s="345">
        <f>ROUND($F$273*VLOOKUP($D$273,ALLOCTABLE_DISTR_CUSTOMER,$H$10,FALSE),0)</f>
        <v>0</v>
      </c>
      <c r="I273" s="345">
        <f t="shared" si="97"/>
        <v>0</v>
      </c>
      <c r="J273" s="345">
        <f t="shared" si="98"/>
        <v>0</v>
      </c>
      <c r="K273" s="345">
        <f t="shared" si="99"/>
        <v>0</v>
      </c>
      <c r="L273" s="345">
        <f t="shared" si="100"/>
        <v>0</v>
      </c>
    </row>
    <row r="274" spans="1:12" ht="13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3">
        <f>'FR-16(7)(v)-4 DISTR Classified'!I274</f>
        <v>193206</v>
      </c>
      <c r="G274" s="347">
        <f t="shared" si="96"/>
        <v>172752</v>
      </c>
      <c r="H274" s="345">
        <f>ROUND($F$274*VLOOKUP($D$274,ALLOCTABLE_DISTR_CUSTOMER,$H$10,FALSE),0)</f>
        <v>19554</v>
      </c>
      <c r="I274" s="345">
        <f t="shared" si="97"/>
        <v>583</v>
      </c>
      <c r="J274" s="345">
        <f t="shared" si="98"/>
        <v>317</v>
      </c>
      <c r="K274" s="345">
        <f t="shared" si="99"/>
        <v>193206</v>
      </c>
      <c r="L274" s="345">
        <f t="shared" si="100"/>
        <v>0</v>
      </c>
    </row>
    <row r="275" spans="1:12" ht="13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L275" si="101">SUM(F251:F274)</f>
        <v>193206</v>
      </c>
      <c r="G275" s="346">
        <f>SUM(G251:G274)</f>
        <v>172752</v>
      </c>
      <c r="H275" s="346">
        <f t="shared" si="101"/>
        <v>19554</v>
      </c>
      <c r="I275" s="346">
        <f t="shared" si="101"/>
        <v>583</v>
      </c>
      <c r="J275" s="346">
        <f t="shared" si="101"/>
        <v>317</v>
      </c>
      <c r="K275" s="346">
        <f t="shared" si="101"/>
        <v>193206</v>
      </c>
      <c r="L275" s="346">
        <f t="shared" si="101"/>
        <v>0</v>
      </c>
    </row>
    <row r="276" spans="1:12" ht="13">
      <c r="A276" s="331">
        <v>27</v>
      </c>
      <c r="D276" s="342"/>
      <c r="E276" s="195"/>
      <c r="I276" s="330"/>
    </row>
    <row r="277" spans="1:12" ht="13">
      <c r="A277" s="331">
        <v>28</v>
      </c>
      <c r="B277" s="330" t="s">
        <v>30</v>
      </c>
      <c r="D277" s="342"/>
      <c r="E277" s="195"/>
      <c r="I277" s="330"/>
    </row>
    <row r="278" spans="1:12" ht="13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3">
        <f>'FR-16(7)(v)-4 DISTR Classified'!I278</f>
        <v>0</v>
      </c>
      <c r="G278" s="347">
        <f>F278-SUM(H278:J278)</f>
        <v>0</v>
      </c>
      <c r="H278" s="345">
        <f>ROUND($F$278*VLOOKUP($D$278,ALLOCTABLE_DISTR_CUSTOMER,$H$10,FALSE),0)</f>
        <v>0</v>
      </c>
      <c r="I278" s="345">
        <f>ROUND(F278*VLOOKUP(D278,ALLOCTABLE_DISTR_CUSTOMER,$I$10,FALSE),0)</f>
        <v>0</v>
      </c>
      <c r="J278" s="345">
        <f>ROUND(F278*VLOOKUP(D278,ALLOCTABLE_DISTR_CUSTOMER,$J$10,FALSE),0)</f>
        <v>0</v>
      </c>
      <c r="K278" s="345">
        <f>SUM(G278:J278)</f>
        <v>0</v>
      </c>
      <c r="L278" s="345">
        <f>F278-K278</f>
        <v>0</v>
      </c>
    </row>
    <row r="279" spans="1:12" ht="13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1">
        <f>'FR-16(7)(v)-4 DISTR Classified'!I279</f>
        <v>0</v>
      </c>
      <c r="G279" s="347">
        <f>F279-SUM(H279:J279)</f>
        <v>0</v>
      </c>
      <c r="H279" s="345">
        <f>ROUND($F$279*VLOOKUP($D$279,ALLOCTABLE_DISTR_CUSTOMER,$H$10,FALSE),0)</f>
        <v>0</v>
      </c>
      <c r="I279" s="345">
        <f>ROUND(F279*VLOOKUP(D279,ALLOCTABLE_DISTR_CUSTOMER,$I$10,FALSE),0)</f>
        <v>0</v>
      </c>
      <c r="J279" s="345">
        <f>ROUND(F279*VLOOKUP(D279,ALLOCTABLE_DISTR_CUSTOMER,$J$10,FALSE),0)</f>
        <v>0</v>
      </c>
      <c r="K279" s="345">
        <f>SUM(G279:J279)</f>
        <v>0</v>
      </c>
      <c r="L279" s="345">
        <f>F279-K279</f>
        <v>0</v>
      </c>
    </row>
    <row r="280" spans="1:12" ht="13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1">
        <v>0</v>
      </c>
      <c r="G280" s="347">
        <f>F280-SUM(H280:J280)</f>
        <v>0</v>
      </c>
      <c r="H280" s="345">
        <f>ROUND($F$280*VLOOKUP($D$280,ALLOCTABLE_DISTR_CUSTOMER,$H$10,FALSE),0)</f>
        <v>0</v>
      </c>
      <c r="I280" s="345">
        <f>ROUND(F280*VLOOKUP(D280,ALLOCTABLE_DISTR_CUSTOMER,$I$10,FALSE),0)</f>
        <v>0</v>
      </c>
      <c r="J280" s="345">
        <f>ROUND(F280*VLOOKUP(D280,ALLOCTABLE_DISTR_CUSTOMER,$J$10,FALSE),0)</f>
        <v>0</v>
      </c>
      <c r="K280" s="345">
        <f>SUM(G280:J280)</f>
        <v>0</v>
      </c>
      <c r="L280" s="345">
        <f>F280-K280</f>
        <v>0</v>
      </c>
    </row>
    <row r="281" spans="1:12" ht="13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346">
        <f t="shared" ref="G281:L281" si="102">SUM(G277:G280)</f>
        <v>0</v>
      </c>
      <c r="H281" s="346">
        <f t="shared" si="102"/>
        <v>0</v>
      </c>
      <c r="I281" s="346">
        <f t="shared" si="102"/>
        <v>0</v>
      </c>
      <c r="J281" s="346">
        <f t="shared" si="102"/>
        <v>0</v>
      </c>
      <c r="K281" s="346">
        <f t="shared" si="102"/>
        <v>0</v>
      </c>
      <c r="L281" s="346">
        <f t="shared" si="102"/>
        <v>0</v>
      </c>
    </row>
    <row r="282" spans="1:12" ht="13">
      <c r="A282" s="331">
        <v>33</v>
      </c>
      <c r="D282" s="342"/>
      <c r="F282" s="333" t="s">
        <v>343</v>
      </c>
      <c r="I282" s="330"/>
    </row>
    <row r="283" spans="1:12" ht="13">
      <c r="A283" s="331">
        <v>34</v>
      </c>
      <c r="B283" s="330" t="s">
        <v>818</v>
      </c>
      <c r="D283" s="342"/>
      <c r="F283" s="345">
        <f t="shared" ref="F283:L283" si="103">F275+F281</f>
        <v>193206</v>
      </c>
      <c r="G283" s="345">
        <f>G275+G281</f>
        <v>172752</v>
      </c>
      <c r="H283" s="345">
        <f t="shared" si="103"/>
        <v>19554</v>
      </c>
      <c r="I283" s="345">
        <f t="shared" si="103"/>
        <v>583</v>
      </c>
      <c r="J283" s="345">
        <f t="shared" si="103"/>
        <v>317</v>
      </c>
      <c r="K283" s="345">
        <f t="shared" si="103"/>
        <v>193206</v>
      </c>
      <c r="L283" s="345">
        <f t="shared" si="103"/>
        <v>0</v>
      </c>
    </row>
    <row r="284" spans="1:12" ht="13">
      <c r="B284" s="341"/>
      <c r="C284" s="195"/>
      <c r="D284" s="342"/>
      <c r="E284" s="195"/>
      <c r="G284" s="340"/>
      <c r="H284" s="340"/>
      <c r="I284" s="195"/>
      <c r="J284" s="342"/>
      <c r="K284" s="195"/>
      <c r="L284" s="195"/>
    </row>
    <row r="285" spans="1:12" ht="13">
      <c r="A285" s="341" t="str">
        <f>co_name</f>
        <v>DUKE ENERGY KENTUCKY, INC.</v>
      </c>
      <c r="C285" s="195"/>
      <c r="D285" s="342"/>
      <c r="E285" s="195"/>
      <c r="F285" s="342"/>
      <c r="G285" s="340"/>
      <c r="H285" s="340"/>
      <c r="I285" s="195"/>
      <c r="K285" s="359" t="str">
        <f>$K$1</f>
        <v>FR-16(7)(v)-6</v>
      </c>
      <c r="L285" s="195"/>
    </row>
    <row r="286" spans="1:12" ht="13">
      <c r="A286" s="341" t="str">
        <f>$A$2</f>
        <v>DISTRIBUTION CUSTOMER ALLOCATED - GAS COST OF SERVICE</v>
      </c>
      <c r="C286" s="195"/>
      <c r="D286" s="342"/>
      <c r="E286" s="195"/>
      <c r="F286" s="342"/>
      <c r="G286" s="340"/>
      <c r="H286" s="340"/>
      <c r="I286" s="195"/>
      <c r="K286" s="359" t="str">
        <f>$K$2</f>
        <v>WITNESS RESPONSIBLE:</v>
      </c>
      <c r="L286" s="195"/>
    </row>
    <row r="287" spans="1:12" ht="13">
      <c r="A287" s="341" t="str">
        <f>case_name</f>
        <v>CASE NO: 2021-00190</v>
      </c>
      <c r="C287" s="195"/>
      <c r="D287" s="342"/>
      <c r="E287" s="195"/>
      <c r="F287" s="342"/>
      <c r="G287" s="340"/>
      <c r="H287" s="340"/>
      <c r="I287" s="195"/>
      <c r="K287" s="359" t="str">
        <f>Witness</f>
        <v>JAMES E. ZIOLKOWSKI</v>
      </c>
      <c r="L287" s="195"/>
    </row>
    <row r="288" spans="1:12" ht="13">
      <c r="A288" s="341" t="str">
        <f>data_filing</f>
        <v>DATA: 12 MONTH FORECASTED PERIOD</v>
      </c>
      <c r="C288" s="195"/>
      <c r="D288" s="342"/>
      <c r="E288" s="195"/>
      <c r="F288" s="342"/>
      <c r="G288" s="340"/>
      <c r="H288" s="340"/>
      <c r="I288" s="195"/>
      <c r="K288" s="359" t="str">
        <f>"PAGE "&amp;Pages-11&amp;" OF "&amp;Pages</f>
        <v>PAGE 7 OF 18</v>
      </c>
      <c r="L288" s="195"/>
    </row>
    <row r="289" spans="1:12" ht="13">
      <c r="A289" s="341" t="str">
        <f>type</f>
        <v xml:space="preserve">TYPE OF FILING: "X" ORIGINAL   UPDATED    REVISED  </v>
      </c>
      <c r="C289" s="195"/>
      <c r="D289" s="342"/>
      <c r="E289" s="195"/>
      <c r="F289" s="342"/>
      <c r="G289" s="340"/>
      <c r="H289" s="340"/>
      <c r="I289" s="195"/>
      <c r="J289" s="342"/>
      <c r="K289" s="195"/>
      <c r="L289" s="195"/>
    </row>
    <row r="290" spans="1:12" ht="13">
      <c r="B290" s="341"/>
      <c r="C290" s="195"/>
      <c r="D290" s="342"/>
      <c r="E290" s="195"/>
      <c r="F290" s="342"/>
      <c r="G290" s="340"/>
      <c r="H290" s="340"/>
      <c r="I290" s="195"/>
      <c r="J290" s="342"/>
      <c r="K290" s="195"/>
      <c r="L290" s="195"/>
    </row>
    <row r="291" spans="1:12" ht="13">
      <c r="B291" s="341"/>
      <c r="C291" s="195"/>
      <c r="D291" s="342"/>
      <c r="E291" s="195"/>
      <c r="F291" s="342" t="str">
        <f>$F$7</f>
        <v>TOTAL</v>
      </c>
      <c r="G291" s="340"/>
      <c r="H291" s="340"/>
      <c r="I291" s="195"/>
      <c r="J291" s="342"/>
      <c r="K291" s="195"/>
      <c r="L291" s="195"/>
    </row>
    <row r="292" spans="1:12" ht="13">
      <c r="A292" s="342" t="s">
        <v>907</v>
      </c>
      <c r="B292" s="195"/>
      <c r="C292" s="195"/>
      <c r="D292" s="342"/>
      <c r="E292" s="195"/>
      <c r="F292" s="342" t="str">
        <f>$F$8</f>
        <v>DISTRIBUTION</v>
      </c>
      <c r="G292" s="352" t="str">
        <f>$G$8</f>
        <v>RS</v>
      </c>
      <c r="H292" s="352" t="str">
        <f>$H$8</f>
        <v>GS</v>
      </c>
      <c r="I292" s="342" t="str">
        <f>$I$8</f>
        <v>FT-L</v>
      </c>
      <c r="J292" s="342" t="str">
        <f>$J$8</f>
        <v>INTERUPT</v>
      </c>
      <c r="K292" s="342" t="s">
        <v>229</v>
      </c>
      <c r="L292" s="342" t="s">
        <v>342</v>
      </c>
    </row>
    <row r="293" spans="1:12" ht="13">
      <c r="A293" s="344" t="s">
        <v>908</v>
      </c>
      <c r="B293" s="343" t="s">
        <v>32</v>
      </c>
      <c r="C293" s="343"/>
      <c r="D293" s="344" t="s">
        <v>337</v>
      </c>
      <c r="E293" s="343"/>
      <c r="F293" s="342" t="str">
        <f>$F$9</f>
        <v>CUSTOMER</v>
      </c>
      <c r="G293" s="353" t="str">
        <f>$G$9</f>
        <v>RESIDENTIAL</v>
      </c>
      <c r="H293" s="353" t="str">
        <f>$H$9</f>
        <v>GEN SERV</v>
      </c>
      <c r="I293" s="344" t="str">
        <f>$I$9</f>
        <v>FIRM TRANS</v>
      </c>
      <c r="J293" s="344" t="str">
        <f>$J$9</f>
        <v>TRANS</v>
      </c>
      <c r="K293" s="344" t="s">
        <v>341</v>
      </c>
      <c r="L293" s="344" t="s">
        <v>340</v>
      </c>
    </row>
    <row r="294" spans="1:12" ht="13">
      <c r="C294" s="572" t="s">
        <v>556</v>
      </c>
      <c r="D294" s="342"/>
      <c r="E294" s="484"/>
      <c r="F294" s="757"/>
      <c r="G294" s="627">
        <f>$G$10</f>
        <v>3</v>
      </c>
      <c r="H294" s="627">
        <f>$H$10</f>
        <v>4</v>
      </c>
      <c r="I294" s="627">
        <f>$I$10</f>
        <v>5</v>
      </c>
      <c r="J294" s="627">
        <f>$J$10</f>
        <v>6</v>
      </c>
      <c r="K294" s="484"/>
      <c r="L294" s="484"/>
    </row>
    <row r="295" spans="1:12" ht="13">
      <c r="C295" s="572"/>
      <c r="D295" s="342"/>
      <c r="E295" s="484"/>
      <c r="F295" s="485"/>
      <c r="G295" s="627"/>
      <c r="H295" s="627"/>
      <c r="I295" s="627"/>
      <c r="J295" s="627"/>
      <c r="K295" s="484"/>
      <c r="L295" s="484"/>
    </row>
    <row r="296" spans="1:12" ht="13">
      <c r="A296" s="331">
        <v>1</v>
      </c>
      <c r="B296" s="330" t="s">
        <v>31</v>
      </c>
      <c r="D296" s="342"/>
      <c r="E296" s="195"/>
      <c r="F296" s="345">
        <f t="shared" ref="F296:L296" si="104">F191-F238+F283</f>
        <v>174772005</v>
      </c>
      <c r="G296" s="345">
        <f>G191-G238+G283</f>
        <v>149413109</v>
      </c>
      <c r="H296" s="345">
        <f t="shared" si="104"/>
        <v>23995482</v>
      </c>
      <c r="I296" s="345">
        <f t="shared" si="104"/>
        <v>812556</v>
      </c>
      <c r="J296" s="345">
        <f t="shared" si="104"/>
        <v>550858</v>
      </c>
      <c r="K296" s="345">
        <f t="shared" si="104"/>
        <v>174772005</v>
      </c>
      <c r="L296" s="345">
        <f t="shared" si="104"/>
        <v>0</v>
      </c>
    </row>
    <row r="297" spans="1:12" ht="13">
      <c r="A297" s="331">
        <v>2</v>
      </c>
      <c r="D297" s="342"/>
      <c r="E297" s="195"/>
      <c r="I297" s="330"/>
    </row>
    <row r="298" spans="1:12" ht="13">
      <c r="A298" s="331">
        <v>3</v>
      </c>
      <c r="B298" s="330" t="s">
        <v>32</v>
      </c>
      <c r="D298" s="342"/>
      <c r="E298" s="195"/>
      <c r="I298" s="330"/>
    </row>
    <row r="299" spans="1:12" ht="13">
      <c r="A299" s="331">
        <v>4</v>
      </c>
      <c r="D299" s="342"/>
      <c r="E299" s="195"/>
      <c r="I299" s="330"/>
    </row>
    <row r="300" spans="1:12" ht="13">
      <c r="A300" s="331">
        <v>5</v>
      </c>
      <c r="B300" s="330" t="s">
        <v>33</v>
      </c>
      <c r="D300" s="342"/>
      <c r="E300" s="195"/>
      <c r="I300" s="330"/>
    </row>
    <row r="301" spans="1:12" ht="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3">
        <f>'FR-16(7)(v)-4 DISTR Classified'!I301</f>
        <v>0</v>
      </c>
      <c r="G301" s="347">
        <f>F301-SUM(H301:J301)</f>
        <v>0</v>
      </c>
      <c r="H301" s="345">
        <f>ROUND($F$301*VLOOKUP($D$301,ALLOCTABLE_DISTR_CUSTOMER,$H$10,FALSE),0)</f>
        <v>0</v>
      </c>
      <c r="I301" s="345">
        <f>ROUND(F301*VLOOKUP(D301,ALLOCTABLE_DISTR_CUSTOMER,$I$10,FALSE),0)</f>
        <v>0</v>
      </c>
      <c r="J301" s="345">
        <f>ROUND(F301*VLOOKUP(D301,ALLOCTABLE_DISTR_CUSTOMER,$J$10,FALSE),0)</f>
        <v>0</v>
      </c>
      <c r="K301" s="345">
        <f>SUM(G301:J301)</f>
        <v>0</v>
      </c>
      <c r="L301" s="345">
        <f>F301-K301</f>
        <v>0</v>
      </c>
    </row>
    <row r="302" spans="1:12" ht="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3">
        <f>'FR-16(7)(v)-4 DISTR Classified'!I302</f>
        <v>158904</v>
      </c>
      <c r="G302" s="347">
        <f>F302-SUM(H302:J302)</f>
        <v>135834</v>
      </c>
      <c r="H302" s="345">
        <f>ROUND($F$302*VLOOKUP($D$302,ALLOCTABLE_DISTR_CUSTOMER,$H$10,FALSE),0)</f>
        <v>21830</v>
      </c>
      <c r="I302" s="345">
        <f>ROUND(F302*VLOOKUP(D302,ALLOCTABLE_DISTR_CUSTOMER,$I$10,FALSE),0)</f>
        <v>739</v>
      </c>
      <c r="J302" s="345">
        <f>ROUND(F302*VLOOKUP(D302,ALLOCTABLE_DISTR_CUSTOMER,$J$10,FALSE),0)</f>
        <v>501</v>
      </c>
      <c r="K302" s="345">
        <f>SUM(G302:J302)</f>
        <v>158904</v>
      </c>
      <c r="L302" s="345">
        <f>F302-K302</f>
        <v>0</v>
      </c>
    </row>
    <row r="303" spans="1:12" ht="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L303" si="105">SUM(F300:F302)</f>
        <v>158904</v>
      </c>
      <c r="G303" s="346">
        <f>SUM(G300:G302)</f>
        <v>135834</v>
      </c>
      <c r="H303" s="346">
        <f t="shared" si="105"/>
        <v>21830</v>
      </c>
      <c r="I303" s="346">
        <f t="shared" si="105"/>
        <v>739</v>
      </c>
      <c r="J303" s="346">
        <f t="shared" si="105"/>
        <v>501</v>
      </c>
      <c r="K303" s="346">
        <f t="shared" si="105"/>
        <v>158904</v>
      </c>
      <c r="L303" s="346">
        <f t="shared" si="105"/>
        <v>0</v>
      </c>
    </row>
    <row r="304" spans="1:12" ht="13">
      <c r="A304" s="331">
        <v>9</v>
      </c>
      <c r="B304" s="330" t="s">
        <v>34</v>
      </c>
      <c r="D304" s="342"/>
      <c r="E304" s="195"/>
      <c r="F304" s="345">
        <f t="shared" ref="F304:L304" si="106">F303</f>
        <v>158904</v>
      </c>
      <c r="G304" s="664">
        <f t="shared" si="106"/>
        <v>135834</v>
      </c>
      <c r="H304" s="664">
        <f t="shared" si="106"/>
        <v>21830</v>
      </c>
      <c r="I304" s="345">
        <f t="shared" si="106"/>
        <v>739</v>
      </c>
      <c r="J304" s="345">
        <f t="shared" si="106"/>
        <v>501</v>
      </c>
      <c r="K304" s="345">
        <f t="shared" si="106"/>
        <v>158904</v>
      </c>
      <c r="L304" s="345">
        <f t="shared" si="106"/>
        <v>0</v>
      </c>
    </row>
    <row r="305" spans="1:12" ht="13">
      <c r="A305" s="331">
        <v>10</v>
      </c>
      <c r="D305" s="342"/>
      <c r="E305" s="195"/>
      <c r="I305" s="330"/>
    </row>
    <row r="306" spans="1:12" ht="13">
      <c r="A306" s="331">
        <v>11</v>
      </c>
      <c r="B306" s="330" t="s">
        <v>35</v>
      </c>
      <c r="D306" s="342"/>
      <c r="E306" s="195"/>
      <c r="I306" s="330"/>
    </row>
    <row r="307" spans="1:12" ht="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3">
        <f>'FR-16(7)(v)-4 DISTR Classified'!I307</f>
        <v>15474</v>
      </c>
      <c r="G307" s="347">
        <f>F307-SUM(H307:J307)</f>
        <v>13908</v>
      </c>
      <c r="H307" s="345">
        <f>ROUND($F$307*VLOOKUP($D$307,ALLOCTABLE_DISTR_CUSTOMER,$H$10,FALSE),0)</f>
        <v>1502</v>
      </c>
      <c r="I307" s="345">
        <f>ROUND(F307*VLOOKUP(D307,ALLOCTABLE_DISTR_CUSTOMER,$I$10,FALSE),0)</f>
        <v>42</v>
      </c>
      <c r="J307" s="345">
        <f>ROUND(F307*VLOOKUP(D307,ALLOCTABLE_DISTR_CUSTOMER,$J$10,FALSE),0)</f>
        <v>22</v>
      </c>
      <c r="K307" s="345">
        <f>SUM(G307:J307)</f>
        <v>15474</v>
      </c>
      <c r="L307" s="345">
        <f>F307-K307</f>
        <v>0</v>
      </c>
    </row>
    <row r="308" spans="1:12" ht="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3">
        <f>'FR-16(7)(v)-4 DISTR Classified'!I308</f>
        <v>0</v>
      </c>
      <c r="G308" s="347">
        <f>F308-SUM(H308:J308)</f>
        <v>0</v>
      </c>
      <c r="H308" s="345">
        <f>ROUND($F$308*VLOOKUP($D$308,ALLOCTABLE_DISTR_CUSTOMER,$H$10,FALSE),0)</f>
        <v>0</v>
      </c>
      <c r="I308" s="345">
        <f>ROUND(F308*VLOOKUP(D308,ALLOCTABLE_DISTR_CUSTOMER,$I$10,FALSE),0)</f>
        <v>0</v>
      </c>
      <c r="J308" s="345">
        <f>ROUND(F308*VLOOKUP(D308,ALLOCTABLE_DISTR_CUSTOMER,$J$10,FALSE),0)</f>
        <v>0</v>
      </c>
      <c r="K308" s="345">
        <f>SUM(G308:J308)</f>
        <v>0</v>
      </c>
      <c r="L308" s="345">
        <f>F308-K308</f>
        <v>0</v>
      </c>
    </row>
    <row r="309" spans="1:12" ht="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3">
        <f>'FR-16(7)(v)-4 DISTR Classified'!I309</f>
        <v>0</v>
      </c>
      <c r="G309" s="347">
        <f>F309-SUM(H309:J309)</f>
        <v>0</v>
      </c>
      <c r="H309" s="345">
        <f>ROUND($F$309*VLOOKUP($D$309,ALLOCTABLE_DISTR_CUSTOMER,$H$10,FALSE),0)</f>
        <v>0</v>
      </c>
      <c r="I309" s="345">
        <f>ROUND(F309*VLOOKUP(D309,ALLOCTABLE_DISTR_CUSTOMER,$I$10,FALSE),0)</f>
        <v>0</v>
      </c>
      <c r="J309" s="345">
        <f>ROUND(F309*VLOOKUP(D309,ALLOCTABLE_DISTR_CUSTOMER,$J$10,FALSE),0)</f>
        <v>0</v>
      </c>
      <c r="K309" s="345">
        <f>SUM(G309:J309)</f>
        <v>0</v>
      </c>
      <c r="L309" s="345">
        <f>F309-K309</f>
        <v>0</v>
      </c>
    </row>
    <row r="310" spans="1:12" ht="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3">
        <f t="shared" ref="F310:L310" si="107">SUM(F306:F309)</f>
        <v>15474</v>
      </c>
      <c r="G310" s="573">
        <f>SUM(G306:G309)</f>
        <v>13908</v>
      </c>
      <c r="H310" s="573">
        <f t="shared" si="107"/>
        <v>1502</v>
      </c>
      <c r="I310" s="573">
        <f t="shared" si="107"/>
        <v>42</v>
      </c>
      <c r="J310" s="573">
        <f t="shared" si="107"/>
        <v>22</v>
      </c>
      <c r="K310" s="573">
        <f t="shared" si="107"/>
        <v>15474</v>
      </c>
      <c r="L310" s="573">
        <f t="shared" si="107"/>
        <v>0</v>
      </c>
    </row>
    <row r="311" spans="1:12" ht="13">
      <c r="A311" s="331">
        <v>16</v>
      </c>
      <c r="D311" s="342"/>
      <c r="E311" s="195"/>
      <c r="I311" s="330"/>
    </row>
    <row r="312" spans="1:12" ht="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345">
        <f>IF(WorkingCap="No",0,ROUND((G433-G348-G353)/8,0))</f>
        <v>0</v>
      </c>
      <c r="H312" s="345">
        <f>IF(WorkingCap="No",0,ROUND((H433-H348-H353)/8,0))</f>
        <v>0</v>
      </c>
      <c r="I312" s="345">
        <f>IF(WorkingCap="No",0,ROUND((I433-I348-I353)/8,0))</f>
        <v>0</v>
      </c>
      <c r="J312" s="345">
        <f>IF(WorkingCap="No",0,ROUND((J433-J348-J353)/8,0))</f>
        <v>0</v>
      </c>
      <c r="K312" s="345">
        <f>SUM(G312:J312)</f>
        <v>0</v>
      </c>
      <c r="L312" s="345">
        <f>F312-K312</f>
        <v>0</v>
      </c>
    </row>
    <row r="313" spans="1:12" ht="13">
      <c r="A313" s="331">
        <v>18</v>
      </c>
      <c r="B313" s="330" t="s">
        <v>37</v>
      </c>
      <c r="D313" s="342"/>
      <c r="E313" s="195"/>
      <c r="F313" s="345">
        <f t="shared" ref="F313:L313" si="108">F312</f>
        <v>0</v>
      </c>
      <c r="G313" s="664">
        <f t="shared" si="108"/>
        <v>0</v>
      </c>
      <c r="H313" s="664">
        <f t="shared" si="108"/>
        <v>0</v>
      </c>
      <c r="I313" s="664">
        <f t="shared" si="108"/>
        <v>0</v>
      </c>
      <c r="J313" s="345">
        <f t="shared" si="108"/>
        <v>0</v>
      </c>
      <c r="K313" s="345">
        <f t="shared" si="108"/>
        <v>0</v>
      </c>
      <c r="L313" s="345">
        <f t="shared" si="108"/>
        <v>0</v>
      </c>
    </row>
    <row r="314" spans="1:12" ht="13">
      <c r="A314" s="331">
        <v>19</v>
      </c>
      <c r="D314" s="342"/>
      <c r="E314" s="195"/>
      <c r="I314" s="330"/>
    </row>
    <row r="315" spans="1:12" ht="13">
      <c r="A315" s="331">
        <v>20</v>
      </c>
      <c r="B315" s="330" t="s">
        <v>38</v>
      </c>
      <c r="D315" s="342"/>
      <c r="E315" s="195"/>
      <c r="I315" s="330"/>
    </row>
    <row r="316" spans="1:12" ht="13">
      <c r="A316" s="331">
        <v>21</v>
      </c>
      <c r="C316" s="612" t="str">
        <f>'FR-16(7)(v)-1 Functional'!C316</f>
        <v>GAS STORED UNDERGROUND</v>
      </c>
      <c r="D316" s="342" t="str">
        <f>'FR-16(7)(v)-1 Functional'!D316</f>
        <v>K301</v>
      </c>
      <c r="E316" s="195"/>
      <c r="F316" s="473">
        <f>'FR-16(7)(v)-4 DISTR Classified'!I316</f>
        <v>0</v>
      </c>
      <c r="G316" s="347">
        <f>F316-SUM(H316:J316)</f>
        <v>0</v>
      </c>
      <c r="H316" s="345">
        <f>ROUND($F$316*VLOOKUP($D$316,ALLOCTABLE_DISTR_CUSTOMER,$H$10,FALSE),0)</f>
        <v>0</v>
      </c>
      <c r="I316" s="345">
        <f>ROUND(F316*VLOOKUP(D316,ALLOCTABLE_DISTR_CUSTOMER,$I$10,FALSE),0)</f>
        <v>0</v>
      </c>
      <c r="J316" s="345">
        <f>ROUND(F316*VLOOKUP(D316,ALLOCTABLE_DISTR_CUSTOMER,$J$10,FALSE),0)</f>
        <v>0</v>
      </c>
      <c r="K316" s="345">
        <f>SUM(G316:J316)</f>
        <v>0</v>
      </c>
      <c r="L316" s="345">
        <f>F316-K316</f>
        <v>0</v>
      </c>
    </row>
    <row r="317" spans="1:12" ht="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3">
        <f>'FR-16(7)(v)-4 DISTR Classified'!I317</f>
        <v>0</v>
      </c>
      <c r="G317" s="347">
        <f>F317-SUM(H317:J317)</f>
        <v>0</v>
      </c>
      <c r="H317" s="345">
        <f>ROUND($F$317*VLOOKUP($D$317,ALLOCTABLE_DISTR_CUSTOMER,$H$10,FALSE),0)</f>
        <v>0</v>
      </c>
      <c r="I317" s="345">
        <f>ROUND(F317*VLOOKUP(D317,ALLOCTABLE_DISTR_CUSTOMER,$I$10,FALSE),0)</f>
        <v>0</v>
      </c>
      <c r="J317" s="345">
        <f>ROUND(F317*VLOOKUP(D317,ALLOCTABLE_DISTR_CUSTOMER,$J$10,FALSE),0)</f>
        <v>0</v>
      </c>
      <c r="K317" s="345">
        <f>SUM(G317:J317)</f>
        <v>0</v>
      </c>
      <c r="L317" s="345">
        <f>F317-K317</f>
        <v>0</v>
      </c>
    </row>
    <row r="318" spans="1:12" ht="13">
      <c r="A318" s="331">
        <v>23</v>
      </c>
      <c r="C318" s="505" t="str">
        <f>'FR-16(7)(v)-1 Functional'!C318</f>
        <v>RESERVED FOR FUTURE USE</v>
      </c>
      <c r="D318" s="342" t="str">
        <f>'FR-16(7)(v)-1 Functional'!D318</f>
        <v>D249</v>
      </c>
      <c r="E318" s="195"/>
      <c r="F318" s="473">
        <f>'FR-16(7)(v)-4 DISTR Classified'!I318</f>
        <v>0</v>
      </c>
      <c r="G318" s="347">
        <f>F318-SUM(H318:J318)</f>
        <v>0</v>
      </c>
      <c r="H318" s="345">
        <f>ROUND($F$318*VLOOKUP($D$318,ALLOCTABLE_DISTR_CUSTOMER,$H$10,FALSE),0)</f>
        <v>0</v>
      </c>
      <c r="I318" s="345">
        <f>ROUND(F318*VLOOKUP(D318,ALLOCTABLE_DISTR_CUSTOMER,$I$10,FALSE),0)</f>
        <v>0</v>
      </c>
      <c r="J318" s="345">
        <f>ROUND(F318*VLOOKUP(D318,ALLOCTABLE_DISTR_CUSTOMER,$J$10,FALSE),0)</f>
        <v>0</v>
      </c>
      <c r="K318" s="345">
        <f>SUM(G318:J318)</f>
        <v>0</v>
      </c>
      <c r="L318" s="345">
        <f>F318-K318</f>
        <v>0</v>
      </c>
    </row>
    <row r="319" spans="1:12" ht="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L319" si="109">SUM(F315:F318)</f>
        <v>0</v>
      </c>
      <c r="G319" s="346">
        <f>SUM(G315:G318)</f>
        <v>0</v>
      </c>
      <c r="H319" s="346">
        <f t="shared" si="109"/>
        <v>0</v>
      </c>
      <c r="I319" s="346">
        <f t="shared" si="109"/>
        <v>0</v>
      </c>
      <c r="J319" s="346">
        <f t="shared" si="109"/>
        <v>0</v>
      </c>
      <c r="K319" s="346">
        <f t="shared" si="109"/>
        <v>0</v>
      </c>
      <c r="L319" s="346">
        <f t="shared" si="109"/>
        <v>0</v>
      </c>
    </row>
    <row r="320" spans="1:12" ht="13">
      <c r="A320" s="331">
        <v>25</v>
      </c>
      <c r="D320" s="342"/>
      <c r="E320" s="195"/>
      <c r="I320" s="330"/>
    </row>
    <row r="321" spans="1:12" ht="13">
      <c r="A321" s="331">
        <v>26</v>
      </c>
      <c r="B321" s="330" t="s">
        <v>39</v>
      </c>
      <c r="D321" s="342"/>
      <c r="E321" s="195"/>
      <c r="F321" s="345">
        <f t="shared" ref="F321:L321" si="110">F304+F310+F313+F319</f>
        <v>174378</v>
      </c>
      <c r="G321" s="345">
        <f>G304+G310+G313+G319</f>
        <v>149742</v>
      </c>
      <c r="H321" s="345">
        <f t="shared" si="110"/>
        <v>23332</v>
      </c>
      <c r="I321" s="345">
        <f t="shared" si="110"/>
        <v>781</v>
      </c>
      <c r="J321" s="345">
        <f t="shared" si="110"/>
        <v>523</v>
      </c>
      <c r="K321" s="345">
        <f t="shared" si="110"/>
        <v>174378</v>
      </c>
      <c r="L321" s="345">
        <f t="shared" si="110"/>
        <v>0</v>
      </c>
    </row>
    <row r="322" spans="1:12" ht="13">
      <c r="A322" s="331">
        <v>27</v>
      </c>
      <c r="B322" s="330" t="s">
        <v>40</v>
      </c>
      <c r="D322" s="342"/>
      <c r="E322" s="195"/>
      <c r="I322" s="330"/>
    </row>
    <row r="323" spans="1:12" ht="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L323" si="111">-F238</f>
        <v>-38046858</v>
      </c>
      <c r="G323" s="345">
        <f>-G238</f>
        <v>-32513779</v>
      </c>
      <c r="H323" s="345">
        <f t="shared" si="111"/>
        <v>-5235560</v>
      </c>
      <c r="I323" s="345">
        <f t="shared" si="111"/>
        <v>-177309</v>
      </c>
      <c r="J323" s="345">
        <f t="shared" si="111"/>
        <v>-120210</v>
      </c>
      <c r="K323" s="345">
        <f t="shared" si="111"/>
        <v>-38046858</v>
      </c>
      <c r="L323" s="345">
        <f t="shared" si="111"/>
        <v>0</v>
      </c>
    </row>
    <row r="324" spans="1:12" ht="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L324" si="112">F283</f>
        <v>193206</v>
      </c>
      <c r="G324" s="345">
        <f>G283</f>
        <v>172752</v>
      </c>
      <c r="H324" s="345">
        <f t="shared" si="112"/>
        <v>19554</v>
      </c>
      <c r="I324" s="345">
        <f t="shared" si="112"/>
        <v>583</v>
      </c>
      <c r="J324" s="345">
        <f t="shared" si="112"/>
        <v>317</v>
      </c>
      <c r="K324" s="345">
        <f t="shared" si="112"/>
        <v>193206</v>
      </c>
      <c r="L324" s="345">
        <f t="shared" si="112"/>
        <v>0</v>
      </c>
    </row>
    <row r="325" spans="1:12" ht="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L325" si="113">F321</f>
        <v>174378</v>
      </c>
      <c r="G325" s="345">
        <f>G321</f>
        <v>149742</v>
      </c>
      <c r="H325" s="345">
        <f t="shared" si="113"/>
        <v>23332</v>
      </c>
      <c r="I325" s="345">
        <f t="shared" si="113"/>
        <v>781</v>
      </c>
      <c r="J325" s="345">
        <f t="shared" si="113"/>
        <v>523</v>
      </c>
      <c r="K325" s="345">
        <f t="shared" si="113"/>
        <v>174378</v>
      </c>
      <c r="L325" s="345">
        <f t="shared" si="113"/>
        <v>0</v>
      </c>
    </row>
    <row r="326" spans="1:12" ht="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L326" si="114">SUM(F322:F325)</f>
        <v>-37679274</v>
      </c>
      <c r="G326" s="346">
        <f>SUM(G322:G325)</f>
        <v>-32191285</v>
      </c>
      <c r="H326" s="346">
        <f t="shared" si="114"/>
        <v>-5192674</v>
      </c>
      <c r="I326" s="346">
        <f t="shared" si="114"/>
        <v>-175945</v>
      </c>
      <c r="J326" s="346">
        <f t="shared" si="114"/>
        <v>-119370</v>
      </c>
      <c r="K326" s="346">
        <f t="shared" si="114"/>
        <v>-37679274</v>
      </c>
      <c r="L326" s="346">
        <f t="shared" si="114"/>
        <v>0</v>
      </c>
    </row>
    <row r="327" spans="1:12" ht="13">
      <c r="A327" s="331">
        <v>32</v>
      </c>
      <c r="D327" s="342"/>
      <c r="E327" s="195"/>
      <c r="I327" s="330"/>
    </row>
    <row r="328" spans="1:12" ht="13">
      <c r="A328" s="331">
        <v>33</v>
      </c>
      <c r="B328" s="330" t="s">
        <v>41</v>
      </c>
      <c r="D328" s="342"/>
      <c r="E328" s="195"/>
      <c r="I328" s="330"/>
    </row>
    <row r="329" spans="1:12" ht="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L329" si="115">F191</f>
        <v>212625657</v>
      </c>
      <c r="G329" s="345">
        <f>G191</f>
        <v>181754136</v>
      </c>
      <c r="H329" s="345">
        <f t="shared" si="115"/>
        <v>29211488</v>
      </c>
      <c r="I329" s="345">
        <f t="shared" si="115"/>
        <v>989282</v>
      </c>
      <c r="J329" s="345">
        <f t="shared" si="115"/>
        <v>670751</v>
      </c>
      <c r="K329" s="345">
        <f t="shared" si="115"/>
        <v>212625657</v>
      </c>
      <c r="L329" s="345">
        <f t="shared" si="115"/>
        <v>0</v>
      </c>
    </row>
    <row r="330" spans="1:12" ht="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L330" si="116">F326</f>
        <v>-37679274</v>
      </c>
      <c r="G330" s="345">
        <f>G326</f>
        <v>-32191285</v>
      </c>
      <c r="H330" s="345">
        <f t="shared" si="116"/>
        <v>-5192674</v>
      </c>
      <c r="I330" s="345">
        <f t="shared" si="116"/>
        <v>-175945</v>
      </c>
      <c r="J330" s="345">
        <f t="shared" si="116"/>
        <v>-119370</v>
      </c>
      <c r="K330" s="345">
        <f t="shared" si="116"/>
        <v>-37679274</v>
      </c>
      <c r="L330" s="345">
        <f t="shared" si="116"/>
        <v>0</v>
      </c>
    </row>
    <row r="331" spans="1:12" ht="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L331" si="117">SUM(F328:F330)</f>
        <v>174946383</v>
      </c>
      <c r="G331" s="346">
        <f>SUM(G328:G330)</f>
        <v>149562851</v>
      </c>
      <c r="H331" s="346">
        <f t="shared" si="117"/>
        <v>24018814</v>
      </c>
      <c r="I331" s="346">
        <f t="shared" si="117"/>
        <v>813337</v>
      </c>
      <c r="J331" s="346">
        <f t="shared" si="117"/>
        <v>551381</v>
      </c>
      <c r="K331" s="346">
        <f t="shared" si="117"/>
        <v>174946383</v>
      </c>
      <c r="L331" s="346">
        <f t="shared" si="117"/>
        <v>0</v>
      </c>
    </row>
    <row r="332" spans="1:12" ht="13">
      <c r="A332" s="331">
        <v>37</v>
      </c>
      <c r="D332" s="342"/>
      <c r="E332" s="195"/>
      <c r="I332" s="330"/>
    </row>
    <row r="333" spans="1:12" ht="13">
      <c r="A333" s="331">
        <v>38</v>
      </c>
      <c r="B333" s="330" t="s">
        <v>42</v>
      </c>
      <c r="D333" s="342"/>
      <c r="E333" s="195"/>
      <c r="F333" s="1273">
        <f>$F$688</f>
        <v>7.060000000000001E-2</v>
      </c>
      <c r="G333" s="1273">
        <f>F688</f>
        <v>7.060000000000001E-2</v>
      </c>
      <c r="H333" s="1273">
        <f>F688</f>
        <v>7.060000000000001E-2</v>
      </c>
      <c r="I333" s="1273">
        <f>F688</f>
        <v>7.060000000000001E-2</v>
      </c>
      <c r="J333" s="1273">
        <f>F688</f>
        <v>7.060000000000001E-2</v>
      </c>
      <c r="K333" s="1273">
        <f>F688</f>
        <v>7.060000000000001E-2</v>
      </c>
      <c r="L333" s="1273">
        <f>'FR-16(7)(v)-1 Functional'!F688</f>
        <v>7.060000000000001E-2</v>
      </c>
    </row>
    <row r="334" spans="1:12" ht="13">
      <c r="A334" s="331">
        <v>39</v>
      </c>
      <c r="B334" s="330" t="s">
        <v>43</v>
      </c>
      <c r="D334" s="342"/>
      <c r="E334" s="195"/>
      <c r="F334" s="345">
        <f>ROUND(F333*F331,0)</f>
        <v>12351215</v>
      </c>
      <c r="G334" s="347">
        <f>F334-SUM(H334:J334)</f>
        <v>10559138</v>
      </c>
      <c r="H334" s="471">
        <f>ROUND(H331*H333,0)</f>
        <v>1695728</v>
      </c>
      <c r="I334" s="471">
        <f>ROUND(I331*I333,0)</f>
        <v>57422</v>
      </c>
      <c r="J334" s="471">
        <f>ROUND(J331*J333,0)</f>
        <v>38927</v>
      </c>
      <c r="K334" s="345">
        <f>SUM(G334:J334)</f>
        <v>12351215</v>
      </c>
      <c r="L334" s="345">
        <f>ROUND(L331*L333,0)</f>
        <v>0</v>
      </c>
    </row>
    <row r="335" spans="1:12" ht="13">
      <c r="B335" s="341"/>
      <c r="C335" s="195"/>
      <c r="D335" s="342"/>
      <c r="E335" s="195"/>
      <c r="G335" s="340"/>
      <c r="H335" s="340"/>
      <c r="I335" s="195"/>
      <c r="J335" s="342"/>
      <c r="K335" s="195"/>
      <c r="L335" s="195"/>
    </row>
    <row r="336" spans="1:12" ht="13">
      <c r="A336" s="341" t="str">
        <f>co_name</f>
        <v>DUKE ENERGY KENTUCKY, INC.</v>
      </c>
      <c r="C336" s="195"/>
      <c r="D336" s="342"/>
      <c r="E336" s="195"/>
      <c r="F336" s="342"/>
      <c r="G336" s="340"/>
      <c r="H336" s="340"/>
      <c r="I336" s="195"/>
      <c r="K336" s="359" t="str">
        <f>$K$1</f>
        <v>FR-16(7)(v)-6</v>
      </c>
      <c r="L336" s="195"/>
    </row>
    <row r="337" spans="1:12" ht="13">
      <c r="A337" s="341" t="str">
        <f>$A$2</f>
        <v>DISTRIBUTION CUSTOMER ALLOCATED - GAS COST OF SERVICE</v>
      </c>
      <c r="C337" s="195"/>
      <c r="D337" s="342"/>
      <c r="E337" s="195"/>
      <c r="F337" s="342"/>
      <c r="G337" s="340"/>
      <c r="H337" s="340"/>
      <c r="I337" s="195"/>
      <c r="K337" s="359" t="str">
        <f>$K$2</f>
        <v>WITNESS RESPONSIBLE:</v>
      </c>
      <c r="L337" s="195"/>
    </row>
    <row r="338" spans="1:12" ht="13">
      <c r="A338" s="341" t="str">
        <f>case_name</f>
        <v>CASE NO: 2021-00190</v>
      </c>
      <c r="C338" s="195"/>
      <c r="D338" s="342"/>
      <c r="E338" s="195"/>
      <c r="F338" s="342"/>
      <c r="G338" s="340"/>
      <c r="H338" s="340"/>
      <c r="I338" s="195"/>
      <c r="K338" s="359" t="str">
        <f>Witness</f>
        <v>JAMES E. ZIOLKOWSKI</v>
      </c>
      <c r="L338" s="195"/>
    </row>
    <row r="339" spans="1:12" ht="13">
      <c r="A339" s="341" t="str">
        <f>data_filing</f>
        <v>DATA: 12 MONTH FORECASTED PERIOD</v>
      </c>
      <c r="C339" s="195"/>
      <c r="D339" s="342"/>
      <c r="E339" s="195"/>
      <c r="F339" s="342"/>
      <c r="G339" s="340"/>
      <c r="H339" s="340"/>
      <c r="I339" s="195"/>
      <c r="K339" s="359" t="str">
        <f>"PAGE "&amp;Pages-10&amp;" OF "&amp;Pages</f>
        <v>PAGE 8 OF 18</v>
      </c>
      <c r="L339" s="195"/>
    </row>
    <row r="340" spans="1:12" ht="13">
      <c r="A340" s="341" t="str">
        <f>type</f>
        <v xml:space="preserve">TYPE OF FILING: "X" ORIGINAL   UPDATED    REVISED  </v>
      </c>
      <c r="C340" s="195"/>
      <c r="D340" s="342"/>
      <c r="E340" s="195"/>
      <c r="F340" s="342"/>
      <c r="G340" s="340"/>
      <c r="H340" s="340"/>
      <c r="I340" s="195"/>
      <c r="J340" s="342"/>
      <c r="K340" s="195"/>
      <c r="L340" s="195"/>
    </row>
    <row r="341" spans="1:12" ht="13">
      <c r="B341" s="341"/>
      <c r="C341" s="195"/>
      <c r="D341" s="342"/>
      <c r="E341" s="195"/>
      <c r="F341" s="342"/>
      <c r="G341" s="340"/>
      <c r="H341" s="340"/>
      <c r="I341" s="195"/>
      <c r="J341" s="342"/>
      <c r="K341" s="195"/>
      <c r="L341" s="195"/>
    </row>
    <row r="342" spans="1:12" ht="13">
      <c r="B342" s="341"/>
      <c r="C342" s="195"/>
      <c r="D342" s="342"/>
      <c r="E342" s="195"/>
      <c r="F342" s="342" t="str">
        <f>$F$7</f>
        <v>TOTAL</v>
      </c>
      <c r="G342" s="340"/>
      <c r="H342" s="340"/>
      <c r="I342" s="195"/>
      <c r="J342" s="342"/>
      <c r="K342" s="195"/>
      <c r="L342" s="195"/>
    </row>
    <row r="343" spans="1:12" ht="13">
      <c r="A343" s="342" t="s">
        <v>907</v>
      </c>
      <c r="B343" s="195"/>
      <c r="C343" s="195"/>
      <c r="D343" s="342"/>
      <c r="E343" s="195"/>
      <c r="F343" s="342" t="str">
        <f>$F$8</f>
        <v>DISTRIBUTION</v>
      </c>
      <c r="G343" s="352" t="str">
        <f>$G$8</f>
        <v>RS</v>
      </c>
      <c r="H343" s="352" t="str">
        <f>$H$8</f>
        <v>GS</v>
      </c>
      <c r="I343" s="342" t="str">
        <f>$I$8</f>
        <v>FT-L</v>
      </c>
      <c r="J343" s="342" t="str">
        <f>$J$8</f>
        <v>INTERUPT</v>
      </c>
      <c r="K343" s="342" t="s">
        <v>229</v>
      </c>
      <c r="L343" s="342" t="s">
        <v>342</v>
      </c>
    </row>
    <row r="344" spans="1:12" ht="13">
      <c r="A344" s="344" t="s">
        <v>908</v>
      </c>
      <c r="B344" s="343" t="s">
        <v>44</v>
      </c>
      <c r="C344" s="343"/>
      <c r="D344" s="344" t="s">
        <v>337</v>
      </c>
      <c r="E344" s="343"/>
      <c r="F344" s="342" t="str">
        <f>$F$9</f>
        <v>CUSTOMER</v>
      </c>
      <c r="G344" s="353" t="str">
        <f>$G$9</f>
        <v>RESIDENTIAL</v>
      </c>
      <c r="H344" s="353" t="str">
        <f>$H$9</f>
        <v>GEN SERV</v>
      </c>
      <c r="I344" s="344" t="str">
        <f>$I$9</f>
        <v>FIRM TRANS</v>
      </c>
      <c r="J344" s="344" t="str">
        <f>$J$9</f>
        <v>TRANS</v>
      </c>
      <c r="K344" s="344" t="s">
        <v>341</v>
      </c>
      <c r="L344" s="344" t="s">
        <v>340</v>
      </c>
    </row>
    <row r="345" spans="1:12" ht="13">
      <c r="C345" s="572" t="s">
        <v>348</v>
      </c>
      <c r="D345" s="342"/>
      <c r="E345" s="195"/>
      <c r="F345" s="755"/>
      <c r="G345" s="627">
        <f>$G$10</f>
        <v>3</v>
      </c>
      <c r="H345" s="627">
        <f>$H$10</f>
        <v>4</v>
      </c>
      <c r="I345" s="627">
        <f>$I$10</f>
        <v>5</v>
      </c>
      <c r="J345" s="627">
        <f>$J$10</f>
        <v>6</v>
      </c>
    </row>
    <row r="346" spans="1:12" ht="13">
      <c r="A346" s="331">
        <v>1</v>
      </c>
      <c r="B346" s="330" t="s">
        <v>45</v>
      </c>
      <c r="D346" s="342"/>
      <c r="E346" s="195"/>
      <c r="I346" s="330"/>
    </row>
    <row r="347" spans="1:12" ht="13">
      <c r="A347" s="331">
        <v>2</v>
      </c>
      <c r="B347" s="330" t="s">
        <v>46</v>
      </c>
      <c r="D347" s="342"/>
      <c r="E347" s="195"/>
      <c r="I347" s="330"/>
    </row>
    <row r="348" spans="1:12" ht="13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3">
        <f>'FR-16(7)(v)-4 DISTR Classified'!I348</f>
        <v>0</v>
      </c>
      <c r="G348" s="347">
        <f>F348-SUM(H348:J348)</f>
        <v>0</v>
      </c>
      <c r="H348" s="345">
        <f>ROUND($F$348*VLOOKUP($D$348,ALLOCTABLE_DISTR_CUSTOMER,$H$10,FALSE),0)</f>
        <v>0</v>
      </c>
      <c r="I348" s="345">
        <f>ROUND(F348*VLOOKUP(D348,ALLOCTABLE_DISTR_CUSTOMER,$I$10,FALSE),0)</f>
        <v>0</v>
      </c>
      <c r="J348" s="345">
        <f>ROUND(F348*VLOOKUP(D348,ALLOCTABLE_DISTR_CUSTOMER,$J$10,FALSE),0)</f>
        <v>0</v>
      </c>
      <c r="K348" s="345">
        <f>SUM(G348:J348)</f>
        <v>0</v>
      </c>
      <c r="L348" s="345">
        <f>F348-K348</f>
        <v>0</v>
      </c>
    </row>
    <row r="349" spans="1:12" ht="13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3">
        <f>'FR-16(7)(v)-4 DISTR Classified'!I349</f>
        <v>0</v>
      </c>
      <c r="G349" s="347">
        <f>F349-SUM(H349:J349)</f>
        <v>0</v>
      </c>
      <c r="H349" s="345">
        <f>ROUND($F$349*VLOOKUP($D$349,ALLOCTABLE_DISTR_CUSTOMER,$H$10,FALSE),0)</f>
        <v>0</v>
      </c>
      <c r="I349" s="345">
        <f>ROUND(F349*VLOOKUP(D349,ALLOCTABLE_DISTR_CUSTOMER,$I$10,FALSE),0)</f>
        <v>0</v>
      </c>
      <c r="J349" s="345">
        <f>ROUND(F349*VLOOKUP(D349,ALLOCTABLE_DISTR_CUSTOMER,$J$10,FALSE),0)</f>
        <v>0</v>
      </c>
      <c r="K349" s="345">
        <f>SUM(G349:J349)</f>
        <v>0</v>
      </c>
      <c r="L349" s="345">
        <f>F349-K349</f>
        <v>0</v>
      </c>
    </row>
    <row r="350" spans="1:12" ht="13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L350" si="118">SUM(F348:F349)</f>
        <v>0</v>
      </c>
      <c r="G350" s="346">
        <f>SUM(G348:G349)</f>
        <v>0</v>
      </c>
      <c r="H350" s="346">
        <f t="shared" si="118"/>
        <v>0</v>
      </c>
      <c r="I350" s="346">
        <f t="shared" si="118"/>
        <v>0</v>
      </c>
      <c r="J350" s="346">
        <f t="shared" si="118"/>
        <v>0</v>
      </c>
      <c r="K350" s="346">
        <f t="shared" si="118"/>
        <v>0</v>
      </c>
      <c r="L350" s="346">
        <f t="shared" si="118"/>
        <v>0</v>
      </c>
    </row>
    <row r="351" spans="1:12" ht="13">
      <c r="A351" s="331">
        <v>6</v>
      </c>
      <c r="D351" s="342"/>
      <c r="E351" s="195"/>
      <c r="I351" s="330"/>
    </row>
    <row r="352" spans="1:12" ht="13">
      <c r="A352" s="331">
        <v>7</v>
      </c>
      <c r="B352" s="357" t="s">
        <v>47</v>
      </c>
      <c r="C352" s="357"/>
      <c r="D352" s="342"/>
      <c r="E352" s="195"/>
      <c r="F352" s="345"/>
      <c r="I352" s="330"/>
      <c r="J352" s="345"/>
      <c r="K352" s="345"/>
      <c r="L352" s="345"/>
    </row>
    <row r="353" spans="1:12" ht="13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1">
        <v>0</v>
      </c>
      <c r="G353" s="347">
        <f>F353-SUM(H353:J353)</f>
        <v>0</v>
      </c>
      <c r="H353" s="345">
        <f>ROUND($F$353*VLOOKUP($D$353,ALLOCTABLE_DISTR_CUSTOMER,$H$10,FALSE),0)</f>
        <v>0</v>
      </c>
      <c r="I353" s="345">
        <f>ROUND(F353*VLOOKUP(D353,ALLOCTABLE_DISTR_CUSTOMER,$I$10,FALSE),0)</f>
        <v>0</v>
      </c>
      <c r="J353" s="345">
        <f>ROUND(F353*VLOOKUP(D353,ALLOCTABLE_DISTR_CUSTOMER,$J$10,FALSE),0)</f>
        <v>0</v>
      </c>
      <c r="K353" s="345">
        <f>SUM(G353:J353)</f>
        <v>0</v>
      </c>
      <c r="L353" s="345">
        <f>F353-K353</f>
        <v>0</v>
      </c>
    </row>
    <row r="354" spans="1:12" ht="13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L354" si="119">SUM(F352:F353)</f>
        <v>0</v>
      </c>
      <c r="G354" s="346">
        <f>SUM(G352:G353)</f>
        <v>0</v>
      </c>
      <c r="H354" s="346">
        <f t="shared" si="119"/>
        <v>0</v>
      </c>
      <c r="I354" s="346">
        <f t="shared" si="119"/>
        <v>0</v>
      </c>
      <c r="J354" s="346">
        <f t="shared" si="119"/>
        <v>0</v>
      </c>
      <c r="K354" s="346">
        <f t="shared" si="119"/>
        <v>0</v>
      </c>
      <c r="L354" s="346">
        <f t="shared" si="119"/>
        <v>0</v>
      </c>
    </row>
    <row r="355" spans="1:12" ht="13">
      <c r="A355" s="331">
        <v>10</v>
      </c>
      <c r="D355" s="342"/>
      <c r="E355" s="195"/>
      <c r="I355" s="330"/>
    </row>
    <row r="356" spans="1:12" ht="13">
      <c r="A356" s="331">
        <v>11</v>
      </c>
      <c r="B356" s="330" t="s">
        <v>1000</v>
      </c>
      <c r="D356" s="342"/>
      <c r="E356" s="195"/>
      <c r="I356" s="330"/>
    </row>
    <row r="357" spans="1:12" ht="13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3">
        <f>'FR-16(7)(v)-4 DISTR Classified'!I357</f>
        <v>0</v>
      </c>
      <c r="G357" s="347">
        <f>F357-SUM(H357:J357)</f>
        <v>0</v>
      </c>
      <c r="H357" s="345">
        <f>ROUND($F$357*VLOOKUP($D$357,ALLOCTABLE_DISTR_CUSTOMER,$H$10,FALSE),0)</f>
        <v>0</v>
      </c>
      <c r="I357" s="345">
        <f>ROUND(F357*VLOOKUP(D357,ALLOCTABLE_DISTR_CUSTOMER,$I$10,FALSE),0)</f>
        <v>0</v>
      </c>
      <c r="J357" s="345">
        <f>ROUND(F357*VLOOKUP(D357,ALLOCTABLE_DISTR_CUSTOMER,$J$10,FALSE),0)</f>
        <v>0</v>
      </c>
      <c r="K357" s="345">
        <f>SUM(G357:J357)</f>
        <v>0</v>
      </c>
      <c r="L357" s="345">
        <f>F357-K357</f>
        <v>0</v>
      </c>
    </row>
    <row r="358" spans="1:12" ht="13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L358" si="120">SUM(F356:F357)</f>
        <v>0</v>
      </c>
      <c r="G358" s="346">
        <f>SUM(G356:G357)</f>
        <v>0</v>
      </c>
      <c r="H358" s="346">
        <f t="shared" si="120"/>
        <v>0</v>
      </c>
      <c r="I358" s="346">
        <f t="shared" si="120"/>
        <v>0</v>
      </c>
      <c r="J358" s="346">
        <f t="shared" si="120"/>
        <v>0</v>
      </c>
      <c r="K358" s="346">
        <f t="shared" si="120"/>
        <v>0</v>
      </c>
      <c r="L358" s="346">
        <f t="shared" si="120"/>
        <v>0</v>
      </c>
    </row>
    <row r="359" spans="1:12" ht="13">
      <c r="A359" s="331">
        <v>14</v>
      </c>
      <c r="D359" s="342"/>
      <c r="E359" s="195"/>
      <c r="F359" s="345"/>
      <c r="I359" s="330"/>
      <c r="J359" s="345"/>
      <c r="K359" s="345"/>
      <c r="L359" s="345"/>
    </row>
    <row r="360" spans="1:12" ht="13">
      <c r="A360" s="331">
        <v>15</v>
      </c>
      <c r="B360" s="330" t="s">
        <v>48</v>
      </c>
      <c r="D360" s="342"/>
      <c r="E360" s="195" t="s">
        <v>343</v>
      </c>
      <c r="F360" s="345">
        <f t="shared" ref="F360:L360" si="121">F358+F354+F350</f>
        <v>0</v>
      </c>
      <c r="G360" s="345">
        <f>G358+G354+G350</f>
        <v>0</v>
      </c>
      <c r="H360" s="345">
        <f t="shared" si="121"/>
        <v>0</v>
      </c>
      <c r="I360" s="345">
        <f t="shared" si="121"/>
        <v>0</v>
      </c>
      <c r="J360" s="345">
        <f t="shared" si="121"/>
        <v>0</v>
      </c>
      <c r="K360" s="345">
        <f t="shared" si="121"/>
        <v>0</v>
      </c>
      <c r="L360" s="345">
        <f t="shared" si="121"/>
        <v>0</v>
      </c>
    </row>
    <row r="361" spans="1:12" ht="13">
      <c r="A361" s="331">
        <v>16</v>
      </c>
      <c r="D361" s="342"/>
      <c r="E361" s="195"/>
      <c r="I361" s="330"/>
    </row>
    <row r="362" spans="1:12" ht="13">
      <c r="A362" s="331">
        <v>17</v>
      </c>
      <c r="B362" s="330" t="s">
        <v>49</v>
      </c>
      <c r="D362" s="342"/>
      <c r="E362" s="195"/>
      <c r="I362" s="330"/>
    </row>
    <row r="363" spans="1:12" ht="13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1"/>
      <c r="G363" s="345"/>
      <c r="H363" s="345"/>
      <c r="I363" s="345"/>
      <c r="J363" s="345"/>
      <c r="K363" s="345"/>
      <c r="L363" s="345"/>
    </row>
    <row r="364" spans="1:12" ht="13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L364" si="122">SUM(F363)</f>
        <v>0</v>
      </c>
      <c r="G364" s="346">
        <f>SUM(G363)</f>
        <v>0</v>
      </c>
      <c r="H364" s="346">
        <f t="shared" si="122"/>
        <v>0</v>
      </c>
      <c r="I364" s="346">
        <f t="shared" si="122"/>
        <v>0</v>
      </c>
      <c r="J364" s="346">
        <f t="shared" si="122"/>
        <v>0</v>
      </c>
      <c r="K364" s="346">
        <f t="shared" si="122"/>
        <v>0</v>
      </c>
      <c r="L364" s="346">
        <f t="shared" si="122"/>
        <v>0</v>
      </c>
    </row>
    <row r="365" spans="1:12" ht="13">
      <c r="A365" s="331">
        <v>20</v>
      </c>
      <c r="D365" s="342"/>
      <c r="E365" s="195"/>
      <c r="I365" s="330"/>
    </row>
    <row r="366" spans="1:12" ht="13">
      <c r="A366" s="331">
        <v>21</v>
      </c>
      <c r="B366" s="330" t="s">
        <v>50</v>
      </c>
      <c r="D366" s="342"/>
      <c r="E366" s="195"/>
      <c r="I366" s="330"/>
    </row>
    <row r="367" spans="1:12" ht="13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3">
        <f>'FR-16(7)(v)-4 DISTR Classified'!I367</f>
        <v>0</v>
      </c>
      <c r="G367" s="347">
        <f t="shared" ref="G367:G377" si="123">F367-SUM(H367:J367)</f>
        <v>0</v>
      </c>
      <c r="H367" s="345">
        <f>ROUND($F$367*VLOOKUP($D$367,ALLOCTABLE_DISTR_CUSTOMER,$H$10,FALSE),0)</f>
        <v>0</v>
      </c>
      <c r="I367" s="345">
        <f t="shared" ref="I367:I377" si="124">ROUND(F367*VLOOKUP(D367,ALLOCTABLE_DISTR_CUSTOMER,$I$10,FALSE),0)</f>
        <v>0</v>
      </c>
      <c r="J367" s="345">
        <f t="shared" ref="J367:J377" si="125">ROUND(F367*VLOOKUP(D367,ALLOCTABLE_DISTR_CUSTOMER,$J$10,FALSE),0)</f>
        <v>0</v>
      </c>
      <c r="K367" s="345">
        <f t="shared" ref="K367:K377" si="126">SUM(G367:J367)</f>
        <v>0</v>
      </c>
      <c r="L367" s="345">
        <f t="shared" ref="L367:L377" si="127">F367-K367</f>
        <v>0</v>
      </c>
    </row>
    <row r="368" spans="1:12" ht="13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3">
        <f>'FR-16(7)(v)-4 DISTR Classified'!I368</f>
        <v>489701</v>
      </c>
      <c r="G368" s="347">
        <f t="shared" si="123"/>
        <v>428993</v>
      </c>
      <c r="H368" s="345">
        <f>ROUND($F$368*VLOOKUP($D$368,ALLOCTABLE_DISTR_CUSTOMER,$H$10,FALSE),0)</f>
        <v>58980</v>
      </c>
      <c r="I368" s="345">
        <f t="shared" si="124"/>
        <v>935</v>
      </c>
      <c r="J368" s="345">
        <f t="shared" si="125"/>
        <v>793</v>
      </c>
      <c r="K368" s="345">
        <f t="shared" si="126"/>
        <v>489701</v>
      </c>
      <c r="L368" s="345">
        <f t="shared" si="127"/>
        <v>0</v>
      </c>
    </row>
    <row r="369" spans="1:12" ht="13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3">
        <f>'FR-16(7)(v)-4 DISTR Classified'!I369</f>
        <v>0</v>
      </c>
      <c r="G369" s="347">
        <f t="shared" si="123"/>
        <v>0</v>
      </c>
      <c r="H369" s="345">
        <f>ROUND($F$369*VLOOKUP($D$369,ALLOCTABLE_DISTR_CUSTOMER,$H$10,FALSE),0)</f>
        <v>0</v>
      </c>
      <c r="I369" s="345">
        <f t="shared" si="124"/>
        <v>0</v>
      </c>
      <c r="J369" s="345">
        <f t="shared" si="125"/>
        <v>0</v>
      </c>
      <c r="K369" s="345">
        <f t="shared" si="126"/>
        <v>0</v>
      </c>
      <c r="L369" s="345">
        <f t="shared" si="127"/>
        <v>0</v>
      </c>
    </row>
    <row r="370" spans="1:12" ht="13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3">
        <f>'FR-16(7)(v)-4 DISTR Classified'!I370</f>
        <v>0</v>
      </c>
      <c r="G370" s="347">
        <f t="shared" si="123"/>
        <v>0</v>
      </c>
      <c r="H370" s="345">
        <f>ROUND($F$370*VLOOKUP($D$370,ALLOCTABLE_DISTR_CUSTOMER,$H$10,FALSE),0)</f>
        <v>0</v>
      </c>
      <c r="I370" s="345">
        <f t="shared" si="124"/>
        <v>0</v>
      </c>
      <c r="J370" s="345">
        <f t="shared" si="125"/>
        <v>0</v>
      </c>
      <c r="K370" s="345">
        <f t="shared" si="126"/>
        <v>0</v>
      </c>
      <c r="L370" s="345">
        <f t="shared" si="127"/>
        <v>0</v>
      </c>
    </row>
    <row r="371" spans="1:12" ht="13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3">
        <f>'FR-16(7)(v)-4 DISTR Classified'!I371</f>
        <v>637813</v>
      </c>
      <c r="G371" s="347">
        <f t="shared" si="123"/>
        <v>485478</v>
      </c>
      <c r="H371" s="345">
        <f>ROUND($F$371*VLOOKUP($D$371,ALLOCTABLE_DISTR_CUSTOMER,$H$10,FALSE),0)</f>
        <v>135873</v>
      </c>
      <c r="I371" s="345">
        <f t="shared" si="124"/>
        <v>10288</v>
      </c>
      <c r="J371" s="345">
        <f t="shared" si="125"/>
        <v>6174</v>
      </c>
      <c r="K371" s="345">
        <f t="shared" si="126"/>
        <v>637813</v>
      </c>
      <c r="L371" s="345">
        <f t="shared" si="127"/>
        <v>0</v>
      </c>
    </row>
    <row r="372" spans="1:12" ht="13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3">
        <f>'FR-16(7)(v)-4 DISTR Classified'!I372</f>
        <v>0</v>
      </c>
      <c r="G372" s="347">
        <f t="shared" si="123"/>
        <v>0</v>
      </c>
      <c r="H372" s="345">
        <f>ROUND($F$372*VLOOKUP($D$372,ALLOCTABLE_DISTR_CUSTOMER,$H$10,FALSE),0)</f>
        <v>0</v>
      </c>
      <c r="I372" s="345">
        <f t="shared" si="124"/>
        <v>0</v>
      </c>
      <c r="J372" s="345">
        <f t="shared" si="125"/>
        <v>0</v>
      </c>
      <c r="K372" s="345">
        <f t="shared" si="126"/>
        <v>0</v>
      </c>
      <c r="L372" s="345">
        <f t="shared" si="127"/>
        <v>0</v>
      </c>
    </row>
    <row r="373" spans="1:12" ht="13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3">
        <f>'FR-16(7)(v)-4 DISTR Classified'!I373</f>
        <v>647372</v>
      </c>
      <c r="G373" s="347">
        <f t="shared" si="123"/>
        <v>567118</v>
      </c>
      <c r="H373" s="345">
        <f>ROUND($F$373*VLOOKUP($D$373,ALLOCTABLE_DISTR_CUSTOMER,$H$10,FALSE),0)</f>
        <v>77969</v>
      </c>
      <c r="I373" s="345">
        <f t="shared" si="124"/>
        <v>1236</v>
      </c>
      <c r="J373" s="345">
        <f t="shared" si="125"/>
        <v>1049</v>
      </c>
      <c r="K373" s="345">
        <f t="shared" si="126"/>
        <v>647372</v>
      </c>
      <c r="L373" s="345">
        <f t="shared" si="127"/>
        <v>0</v>
      </c>
    </row>
    <row r="374" spans="1:12" ht="13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3">
        <f>'FR-16(7)(v)-4 DISTR Classified'!I374</f>
        <v>0</v>
      </c>
      <c r="G374" s="347">
        <f t="shared" si="123"/>
        <v>0</v>
      </c>
      <c r="H374" s="345">
        <f>ROUND($F$374*VLOOKUP($D$374,ALLOCTABLE_DISTR_CUSTOMER,$H$10,FALSE),0)</f>
        <v>0</v>
      </c>
      <c r="I374" s="345">
        <f t="shared" si="124"/>
        <v>0</v>
      </c>
      <c r="J374" s="345">
        <f t="shared" si="125"/>
        <v>0</v>
      </c>
      <c r="K374" s="345">
        <f t="shared" si="126"/>
        <v>0</v>
      </c>
      <c r="L374" s="345">
        <f t="shared" si="127"/>
        <v>0</v>
      </c>
    </row>
    <row r="375" spans="1:12" ht="13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3">
        <f>'FR-16(7)(v)-4 DISTR Classified'!I375</f>
        <v>0</v>
      </c>
      <c r="G375" s="347">
        <f t="shared" si="123"/>
        <v>0</v>
      </c>
      <c r="H375" s="345">
        <f>ROUND($F$375*VLOOKUP($D$375,ALLOCTABLE_DISTR_CUSTOMER,$H$10,FALSE),0)</f>
        <v>0</v>
      </c>
      <c r="I375" s="345">
        <f t="shared" si="124"/>
        <v>0</v>
      </c>
      <c r="J375" s="345">
        <f t="shared" si="125"/>
        <v>0</v>
      </c>
      <c r="K375" s="345">
        <f t="shared" si="126"/>
        <v>0</v>
      </c>
      <c r="L375" s="345">
        <f t="shared" si="127"/>
        <v>0</v>
      </c>
    </row>
    <row r="376" spans="1:12" ht="13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3">
        <f>'FR-16(7)(v)-4 DISTR Classified'!I376</f>
        <v>0</v>
      </c>
      <c r="G376" s="347">
        <f t="shared" si="123"/>
        <v>0</v>
      </c>
      <c r="H376" s="345">
        <f>ROUND($F$376*VLOOKUP($D$376,ALLOCTABLE_DISTR_CUSTOMER,$H$10,FALSE),0)</f>
        <v>0</v>
      </c>
      <c r="I376" s="345">
        <f t="shared" si="124"/>
        <v>0</v>
      </c>
      <c r="J376" s="345">
        <f t="shared" si="125"/>
        <v>0</v>
      </c>
      <c r="K376" s="345">
        <f t="shared" si="126"/>
        <v>0</v>
      </c>
      <c r="L376" s="345">
        <f t="shared" si="127"/>
        <v>0</v>
      </c>
    </row>
    <row r="377" spans="1:12" ht="13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3">
        <f>'FR-16(7)(v)-4 DISTR Classified'!I377</f>
        <v>0</v>
      </c>
      <c r="G377" s="347">
        <f t="shared" si="123"/>
        <v>0</v>
      </c>
      <c r="H377" s="345">
        <f>ROUND($F$377*VLOOKUP($D$377,ALLOCTABLE_DISTR_CUSTOMER,$H$10,FALSE),0)</f>
        <v>0</v>
      </c>
      <c r="I377" s="345">
        <f t="shared" si="124"/>
        <v>0</v>
      </c>
      <c r="J377" s="345">
        <f t="shared" si="125"/>
        <v>0</v>
      </c>
      <c r="K377" s="345">
        <f t="shared" si="126"/>
        <v>0</v>
      </c>
      <c r="L377" s="345">
        <f t="shared" si="127"/>
        <v>0</v>
      </c>
    </row>
    <row r="378" spans="1:12" ht="13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L378" si="128">SUM(F366:F377)</f>
        <v>1774886</v>
      </c>
      <c r="G378" s="346">
        <f>SUM(G366:G377)</f>
        <v>1481589</v>
      </c>
      <c r="H378" s="346">
        <f t="shared" si="128"/>
        <v>272822</v>
      </c>
      <c r="I378" s="346">
        <f t="shared" si="128"/>
        <v>12459</v>
      </c>
      <c r="J378" s="346">
        <f t="shared" si="128"/>
        <v>8016</v>
      </c>
      <c r="K378" s="346">
        <f t="shared" si="128"/>
        <v>1774886</v>
      </c>
      <c r="L378" s="346">
        <f t="shared" si="128"/>
        <v>0</v>
      </c>
    </row>
    <row r="379" spans="1:12" ht="13">
      <c r="A379" s="331">
        <v>34</v>
      </c>
      <c r="C379" s="330" t="s">
        <v>343</v>
      </c>
      <c r="D379" s="342"/>
      <c r="E379" s="195"/>
      <c r="I379" s="330"/>
    </row>
    <row r="380" spans="1:12" ht="13">
      <c r="A380" s="331">
        <v>35</v>
      </c>
      <c r="B380" s="330" t="s">
        <v>51</v>
      </c>
      <c r="D380" s="342"/>
      <c r="E380" s="195"/>
      <c r="F380" s="330" t="s">
        <v>343</v>
      </c>
      <c r="I380" s="330"/>
    </row>
    <row r="381" spans="1:12" ht="13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3">
        <f>'FR-16(7)(v)-4 DISTR Classified'!I381</f>
        <v>187499</v>
      </c>
      <c r="G381" s="347">
        <f t="shared" ref="G381:G388" si="129">F381-SUM(H381:J381)</f>
        <v>173125</v>
      </c>
      <c r="H381" s="345">
        <f>ROUND($F$381*VLOOKUP($D$381,ALLOCTABLE_DISTR_CUSTOMER,$H$10,FALSE),0)</f>
        <v>14136</v>
      </c>
      <c r="I381" s="345">
        <f t="shared" ref="I381:I388" si="130">ROUND(F381*VLOOKUP(D381,ALLOCTABLE_DISTR_CUSTOMER,$I$10,FALSE),0)</f>
        <v>197</v>
      </c>
      <c r="J381" s="345">
        <f t="shared" ref="J381:J388" si="131">ROUND(F381*VLOOKUP(D381,ALLOCTABLE_DISTR_CUSTOMER,$J$10,FALSE),0)</f>
        <v>41</v>
      </c>
      <c r="K381" s="345">
        <f t="shared" ref="K381:K388" si="132">SUM(G381:J381)</f>
        <v>187499</v>
      </c>
      <c r="L381" s="345">
        <f t="shared" ref="L381:L388" si="133">F381-K381</f>
        <v>0</v>
      </c>
    </row>
    <row r="382" spans="1:12" ht="13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3">
        <f>'FR-16(7)(v)-4 DISTR Classified'!I382</f>
        <v>950</v>
      </c>
      <c r="G382" s="347">
        <f t="shared" si="129"/>
        <v>877</v>
      </c>
      <c r="H382" s="345">
        <f>ROUND($F$382*VLOOKUP($D$382,ALLOCTABLE_DISTR_CUSTOMER,$H$10,FALSE),0)</f>
        <v>72</v>
      </c>
      <c r="I382" s="345">
        <f t="shared" si="130"/>
        <v>1</v>
      </c>
      <c r="J382" s="345">
        <f t="shared" si="131"/>
        <v>0</v>
      </c>
      <c r="K382" s="345">
        <f t="shared" si="132"/>
        <v>950</v>
      </c>
      <c r="L382" s="345">
        <f t="shared" si="133"/>
        <v>0</v>
      </c>
    </row>
    <row r="383" spans="1:12" ht="13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3">
        <f>'FR-16(7)(v)-4 DISTR Classified'!I383</f>
        <v>4250853</v>
      </c>
      <c r="G383" s="347">
        <f t="shared" si="129"/>
        <v>3924983</v>
      </c>
      <c r="H383" s="345">
        <f>ROUND($F$383*VLOOKUP($D$383,ALLOCTABLE_DISTR_CUSTOMER,$H$10,FALSE),0)</f>
        <v>320472</v>
      </c>
      <c r="I383" s="345">
        <f t="shared" si="130"/>
        <v>4463</v>
      </c>
      <c r="J383" s="345">
        <f t="shared" si="131"/>
        <v>935</v>
      </c>
      <c r="K383" s="345">
        <f t="shared" si="132"/>
        <v>4250853</v>
      </c>
      <c r="L383" s="345">
        <f t="shared" si="133"/>
        <v>0</v>
      </c>
    </row>
    <row r="384" spans="1:12" ht="13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3">
        <f>'FR-16(7)(v)-4 DISTR Classified'!I384</f>
        <v>-1227152</v>
      </c>
      <c r="G384" s="347">
        <f t="shared" si="129"/>
        <v>-1133078</v>
      </c>
      <c r="H384" s="345">
        <f>ROUND($F$384*VLOOKUP($D$384,ALLOCTABLE_DISTR_CUSTOMER,$H$10,FALSE),0)</f>
        <v>-92515</v>
      </c>
      <c r="I384" s="345">
        <f t="shared" si="130"/>
        <v>-1289</v>
      </c>
      <c r="J384" s="345">
        <f t="shared" si="131"/>
        <v>-270</v>
      </c>
      <c r="K384" s="345">
        <f t="shared" si="132"/>
        <v>-1227152</v>
      </c>
      <c r="L384" s="345">
        <f t="shared" si="133"/>
        <v>0</v>
      </c>
    </row>
    <row r="385" spans="1:12" ht="13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3">
        <f>'FR-16(7)(v)-4 DISTR Classified'!I385</f>
        <v>-29240</v>
      </c>
      <c r="G385" s="347">
        <f t="shared" si="129"/>
        <v>-26999</v>
      </c>
      <c r="H385" s="345">
        <f>ROUND($F$385*VLOOKUP($D$385,ALLOCTABLE_DISTR_CUSTOMER,$H$10,FALSE),0)</f>
        <v>-2204</v>
      </c>
      <c r="I385" s="345">
        <f t="shared" si="130"/>
        <v>-31</v>
      </c>
      <c r="J385" s="345">
        <f t="shared" si="131"/>
        <v>-6</v>
      </c>
      <c r="K385" s="345">
        <f t="shared" si="132"/>
        <v>-29240</v>
      </c>
      <c r="L385" s="345">
        <f t="shared" si="133"/>
        <v>0</v>
      </c>
    </row>
    <row r="386" spans="1:12" ht="13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3">
        <f>'FR-16(7)(v)-4 DISTR Classified'!I386</f>
        <v>1171882</v>
      </c>
      <c r="G386" s="347">
        <f t="shared" si="129"/>
        <v>1082046</v>
      </c>
      <c r="H386" s="345">
        <f>ROUND($F$386*VLOOKUP($D$386,ALLOCTABLE_DISTR_CUSTOMER,$H$10,FALSE),0)</f>
        <v>88348</v>
      </c>
      <c r="I386" s="345">
        <f t="shared" si="130"/>
        <v>1230</v>
      </c>
      <c r="J386" s="345">
        <f t="shared" si="131"/>
        <v>258</v>
      </c>
      <c r="K386" s="345">
        <f t="shared" si="132"/>
        <v>1171882</v>
      </c>
      <c r="L386" s="345">
        <f t="shared" si="133"/>
        <v>0</v>
      </c>
    </row>
    <row r="387" spans="1:12" ht="13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3">
        <f>'FR-16(7)(v)-4 DISTR Classified'!I387</f>
        <v>0</v>
      </c>
      <c r="G387" s="347">
        <f t="shared" si="129"/>
        <v>0</v>
      </c>
      <c r="H387" s="345">
        <f>ROUND($F$387*VLOOKUP($D$387,ALLOCTABLE_DISTR_CUSTOMER,$H$10,FALSE),0)</f>
        <v>0</v>
      </c>
      <c r="I387" s="345">
        <f t="shared" si="130"/>
        <v>0</v>
      </c>
      <c r="J387" s="345">
        <f t="shared" si="131"/>
        <v>0</v>
      </c>
      <c r="K387" s="345">
        <f t="shared" si="132"/>
        <v>0</v>
      </c>
      <c r="L387" s="345">
        <f t="shared" si="133"/>
        <v>0</v>
      </c>
    </row>
    <row r="388" spans="1:12" ht="13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3">
        <f>'FR-16(7)(v)-4 DISTR Classified'!I388</f>
        <v>0</v>
      </c>
      <c r="G388" s="347">
        <f t="shared" si="129"/>
        <v>0</v>
      </c>
      <c r="H388" s="345">
        <f>ROUND($F$388*VLOOKUP($D$388,ALLOCTABLE_DISTR_CUSTOMER,$H$10,FALSE),0)</f>
        <v>0</v>
      </c>
      <c r="I388" s="345">
        <f t="shared" si="130"/>
        <v>0</v>
      </c>
      <c r="J388" s="345">
        <f t="shared" si="131"/>
        <v>0</v>
      </c>
      <c r="K388" s="345">
        <f t="shared" si="132"/>
        <v>0</v>
      </c>
      <c r="L388" s="345">
        <f t="shared" si="133"/>
        <v>0</v>
      </c>
    </row>
    <row r="389" spans="1:12" ht="13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L389" si="134">SUM(F380:F388)</f>
        <v>4354792</v>
      </c>
      <c r="G389" s="346">
        <f>SUM(G380:G388)</f>
        <v>4020954</v>
      </c>
      <c r="H389" s="346">
        <f t="shared" si="134"/>
        <v>328309</v>
      </c>
      <c r="I389" s="346">
        <f t="shared" si="134"/>
        <v>4571</v>
      </c>
      <c r="J389" s="346">
        <f t="shared" si="134"/>
        <v>958</v>
      </c>
      <c r="K389" s="346">
        <f t="shared" si="134"/>
        <v>4354792</v>
      </c>
      <c r="L389" s="346">
        <f t="shared" si="134"/>
        <v>0</v>
      </c>
    </row>
    <row r="390" spans="1:12" ht="13">
      <c r="B390" s="341"/>
      <c r="C390" s="195"/>
      <c r="D390" s="342"/>
      <c r="E390" s="195"/>
      <c r="G390" s="340"/>
      <c r="H390" s="340"/>
      <c r="I390" s="195"/>
      <c r="J390" s="342"/>
      <c r="K390" s="195"/>
      <c r="L390" s="195"/>
    </row>
    <row r="391" spans="1:12" ht="13">
      <c r="A391" s="341" t="str">
        <f>co_name</f>
        <v>DUKE ENERGY KENTUCKY, INC.</v>
      </c>
      <c r="C391" s="195"/>
      <c r="D391" s="342"/>
      <c r="E391" s="195"/>
      <c r="F391" s="342"/>
      <c r="G391" s="340"/>
      <c r="H391" s="340"/>
      <c r="I391" s="195"/>
      <c r="K391" s="359" t="str">
        <f>$K$1</f>
        <v>FR-16(7)(v)-6</v>
      </c>
      <c r="L391" s="195"/>
    </row>
    <row r="392" spans="1:12" ht="13">
      <c r="A392" s="341" t="str">
        <f>$A$2</f>
        <v>DISTRIBUTION CUSTOMER ALLOCATED - GAS COST OF SERVICE</v>
      </c>
      <c r="C392" s="195"/>
      <c r="D392" s="342"/>
      <c r="E392" s="195"/>
      <c r="F392" s="342"/>
      <c r="G392" s="340"/>
      <c r="H392" s="340"/>
      <c r="I392" s="195"/>
      <c r="K392" s="359" t="str">
        <f>$K$2</f>
        <v>WITNESS RESPONSIBLE:</v>
      </c>
      <c r="L392" s="195"/>
    </row>
    <row r="393" spans="1:12" ht="13">
      <c r="A393" s="341" t="str">
        <f>case_name</f>
        <v>CASE NO: 2021-00190</v>
      </c>
      <c r="C393" s="195"/>
      <c r="D393" s="342"/>
      <c r="E393" s="195"/>
      <c r="F393" s="342"/>
      <c r="G393" s="340"/>
      <c r="H393" s="340"/>
      <c r="I393" s="195"/>
      <c r="K393" s="359" t="str">
        <f>Witness</f>
        <v>JAMES E. ZIOLKOWSKI</v>
      </c>
      <c r="L393" s="195"/>
    </row>
    <row r="394" spans="1:12" ht="13">
      <c r="A394" s="341" t="str">
        <f>data_filing</f>
        <v>DATA: 12 MONTH FORECASTED PERIOD</v>
      </c>
      <c r="C394" s="195"/>
      <c r="D394" s="342"/>
      <c r="E394" s="195"/>
      <c r="F394" s="342"/>
      <c r="G394" s="340"/>
      <c r="H394" s="340"/>
      <c r="I394" s="195"/>
      <c r="K394" s="359" t="str">
        <f>"PAGE "&amp;Pages-9&amp;" OF "&amp;Pages</f>
        <v>PAGE 9 OF 18</v>
      </c>
      <c r="L394" s="195"/>
    </row>
    <row r="395" spans="1:12" ht="13">
      <c r="A395" s="341" t="str">
        <f>type</f>
        <v xml:space="preserve">TYPE OF FILING: "X" ORIGINAL   UPDATED    REVISED  </v>
      </c>
      <c r="C395" s="195"/>
      <c r="D395" s="342"/>
      <c r="E395" s="195"/>
      <c r="F395" s="342"/>
      <c r="G395" s="340"/>
      <c r="H395" s="340"/>
      <c r="I395" s="195"/>
      <c r="J395" s="342"/>
      <c r="K395" s="195"/>
      <c r="L395" s="195"/>
    </row>
    <row r="396" spans="1:12" ht="13">
      <c r="B396" s="341"/>
      <c r="C396" s="195"/>
      <c r="D396" s="342"/>
      <c r="E396" s="195"/>
      <c r="F396" s="342"/>
      <c r="G396" s="340"/>
      <c r="H396" s="340"/>
      <c r="I396" s="195"/>
      <c r="J396" s="342"/>
      <c r="K396" s="195"/>
      <c r="L396" s="195"/>
    </row>
    <row r="397" spans="1:12" ht="13">
      <c r="B397" s="341"/>
      <c r="C397" s="195"/>
      <c r="D397" s="342"/>
      <c r="E397" s="195"/>
      <c r="F397" s="342" t="str">
        <f>$F$7</f>
        <v>TOTAL</v>
      </c>
      <c r="G397" s="340"/>
      <c r="H397" s="340"/>
      <c r="I397" s="195"/>
      <c r="J397" s="342"/>
      <c r="K397" s="195"/>
      <c r="L397" s="195"/>
    </row>
    <row r="398" spans="1:12" ht="13">
      <c r="A398" s="342" t="s">
        <v>907</v>
      </c>
      <c r="B398" s="195"/>
      <c r="C398" s="195"/>
      <c r="D398" s="342"/>
      <c r="E398" s="195"/>
      <c r="F398" s="342" t="str">
        <f>$F$8</f>
        <v>DISTRIBUTION</v>
      </c>
      <c r="G398" s="352" t="str">
        <f>$G$8</f>
        <v>RS</v>
      </c>
      <c r="H398" s="352" t="str">
        <f>$H$8</f>
        <v>GS</v>
      </c>
      <c r="I398" s="342" t="str">
        <f>$I$8</f>
        <v>FT-L</v>
      </c>
      <c r="J398" s="342" t="str">
        <f>$J$8</f>
        <v>INTERUPT</v>
      </c>
      <c r="K398" s="342" t="s">
        <v>229</v>
      </c>
      <c r="L398" s="342" t="s">
        <v>342</v>
      </c>
    </row>
    <row r="399" spans="1:12" ht="13">
      <c r="A399" s="344" t="s">
        <v>908</v>
      </c>
      <c r="B399" s="343" t="s">
        <v>44</v>
      </c>
      <c r="C399" s="343"/>
      <c r="D399" s="344" t="s">
        <v>337</v>
      </c>
      <c r="E399" s="343"/>
      <c r="F399" s="342" t="str">
        <f>$F$9</f>
        <v>CUSTOMER</v>
      </c>
      <c r="G399" s="353" t="str">
        <f>$G$9</f>
        <v>RESIDENTIAL</v>
      </c>
      <c r="H399" s="353" t="str">
        <f>$H$9</f>
        <v>GEN SERV</v>
      </c>
      <c r="I399" s="344" t="str">
        <f>$I$9</f>
        <v>FIRM TRANS</v>
      </c>
      <c r="J399" s="344" t="str">
        <f>$J$9</f>
        <v>TRANS</v>
      </c>
      <c r="K399" s="344" t="s">
        <v>341</v>
      </c>
      <c r="L399" s="344" t="s">
        <v>340</v>
      </c>
    </row>
    <row r="400" spans="1:12" ht="13">
      <c r="C400" s="572" t="s">
        <v>557</v>
      </c>
      <c r="D400" s="342"/>
      <c r="E400" s="195"/>
      <c r="F400" s="755"/>
      <c r="G400" s="627">
        <f>$G$10</f>
        <v>3</v>
      </c>
      <c r="H400" s="627">
        <f>$H$10</f>
        <v>4</v>
      </c>
      <c r="I400" s="627">
        <f>$I$10</f>
        <v>5</v>
      </c>
      <c r="J400" s="627">
        <f>$J$10</f>
        <v>6</v>
      </c>
    </row>
    <row r="401" spans="1:12" ht="13">
      <c r="A401" s="331">
        <v>1</v>
      </c>
      <c r="B401" s="330" t="s">
        <v>52</v>
      </c>
      <c r="D401" s="342"/>
      <c r="E401" s="195"/>
      <c r="I401" s="330"/>
    </row>
    <row r="402" spans="1:12" ht="13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3">
        <f>'FR-16(7)(v)-4 DISTR Classified'!I402</f>
        <v>389010</v>
      </c>
      <c r="G402" s="347">
        <f>F402-SUM(H402:J402)</f>
        <v>359189</v>
      </c>
      <c r="H402" s="345">
        <f>ROUND($F$402*VLOOKUP($D$402,ALLOCTABLE_DISTR_CUSTOMER,$H$10,FALSE),0)</f>
        <v>29327</v>
      </c>
      <c r="I402" s="345">
        <f>ROUND(F402*VLOOKUP(D402,ALLOCTABLE_DISTR_CUSTOMER,$I$10,FALSE),0)</f>
        <v>408</v>
      </c>
      <c r="J402" s="345">
        <f>ROUND(F402*VLOOKUP(D402,ALLOCTABLE_DISTR_CUSTOMER,$J$10,FALSE),0)</f>
        <v>86</v>
      </c>
      <c r="K402" s="345">
        <f>SUM(G402:J402)</f>
        <v>389010</v>
      </c>
      <c r="L402" s="345">
        <f>F402-K402</f>
        <v>0</v>
      </c>
    </row>
    <row r="403" spans="1:12" ht="13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L403" si="135">SUM(F402:F402)</f>
        <v>389010</v>
      </c>
      <c r="G403" s="346">
        <f>SUM(G402:G402)</f>
        <v>359189</v>
      </c>
      <c r="H403" s="346">
        <f t="shared" si="135"/>
        <v>29327</v>
      </c>
      <c r="I403" s="346">
        <f t="shared" si="135"/>
        <v>408</v>
      </c>
      <c r="J403" s="346">
        <f t="shared" si="135"/>
        <v>86</v>
      </c>
      <c r="K403" s="346">
        <f t="shared" si="135"/>
        <v>389010</v>
      </c>
      <c r="L403" s="346">
        <f t="shared" si="135"/>
        <v>0</v>
      </c>
    </row>
    <row r="404" spans="1:12" ht="13">
      <c r="A404" s="331">
        <v>4</v>
      </c>
      <c r="D404" s="342"/>
      <c r="E404" s="195"/>
      <c r="F404" s="345"/>
      <c r="I404" s="330"/>
      <c r="J404" s="345"/>
      <c r="K404" s="345"/>
      <c r="L404" s="345"/>
    </row>
    <row r="405" spans="1:12" ht="13">
      <c r="A405" s="331">
        <v>5</v>
      </c>
      <c r="B405" s="330" t="s">
        <v>53</v>
      </c>
      <c r="D405" s="342"/>
      <c r="E405" s="195"/>
      <c r="F405" s="345"/>
      <c r="I405" s="330"/>
      <c r="J405" s="345"/>
      <c r="K405" s="345"/>
      <c r="L405" s="345"/>
    </row>
    <row r="406" spans="1:12" ht="13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3">
        <f>'FR-16(7)(v)-4 DISTR Classified'!I406</f>
        <v>399560</v>
      </c>
      <c r="G406" s="347">
        <f>F406-SUM(H406:J406)</f>
        <v>368850</v>
      </c>
      <c r="H406" s="345">
        <f>ROUND($F$406*VLOOKUP($D$406,ALLOCTABLE_DISTR_CUSTOMER,$H$10,FALSE),0)</f>
        <v>30099</v>
      </c>
      <c r="I406" s="345">
        <f>ROUND(F406*VLOOKUP(D406,ALLOCTABLE_DISTR_CUSTOMER,$I$10,FALSE),0)</f>
        <v>459</v>
      </c>
      <c r="J406" s="345">
        <f>ROUND(F406*VLOOKUP(D406,ALLOCTABLE_DISTR_CUSTOMER,$J$10,FALSE),0)</f>
        <v>152</v>
      </c>
      <c r="K406" s="345">
        <f>SUM(G406:J406)</f>
        <v>399560</v>
      </c>
      <c r="L406" s="345">
        <f>F406-K406</f>
        <v>0</v>
      </c>
    </row>
    <row r="407" spans="1:12" ht="13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L407" si="136">SUM(F405:F406)</f>
        <v>399560</v>
      </c>
      <c r="G407" s="346">
        <f>SUM(G405:G406)</f>
        <v>368850</v>
      </c>
      <c r="H407" s="346">
        <f t="shared" si="136"/>
        <v>30099</v>
      </c>
      <c r="I407" s="346">
        <f t="shared" si="136"/>
        <v>459</v>
      </c>
      <c r="J407" s="346">
        <f t="shared" si="136"/>
        <v>152</v>
      </c>
      <c r="K407" s="346">
        <f t="shared" si="136"/>
        <v>399560</v>
      </c>
      <c r="L407" s="346">
        <f t="shared" si="136"/>
        <v>0</v>
      </c>
    </row>
    <row r="408" spans="1:12" ht="13">
      <c r="A408" s="331">
        <v>8</v>
      </c>
      <c r="D408" s="342"/>
      <c r="E408" s="195"/>
      <c r="I408" s="330"/>
    </row>
    <row r="409" spans="1:12" ht="13">
      <c r="A409" s="331">
        <v>9</v>
      </c>
      <c r="B409" s="330" t="s">
        <v>54</v>
      </c>
      <c r="D409" s="342"/>
      <c r="E409" s="195"/>
      <c r="I409" s="330"/>
    </row>
    <row r="410" spans="1:12" ht="13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3">
        <f>'FR-16(7)(v)-4 DISTR Classified'!I410</f>
        <v>0</v>
      </c>
      <c r="G410" s="347">
        <f t="shared" ref="G410:G415" si="137">F410-SUM(H410:J410)</f>
        <v>0</v>
      </c>
      <c r="H410" s="345">
        <f>ROUND($F$410*VLOOKUP($D$410,ALLOCTABLE_DISTR_CUSTOMER,$H$10,FALSE),0)</f>
        <v>0</v>
      </c>
      <c r="I410" s="345">
        <f t="shared" ref="I410:I415" si="138">ROUND(F410*VLOOKUP(D410,ALLOCTABLE_DISTR_CUSTOMER,$I$10,FALSE),0)</f>
        <v>0</v>
      </c>
      <c r="J410" s="345">
        <f t="shared" ref="J410:J415" si="139">ROUND(F410*VLOOKUP(D410,ALLOCTABLE_DISTR_CUSTOMER,$J$10,FALSE),0)</f>
        <v>0</v>
      </c>
      <c r="K410" s="345">
        <f t="shared" ref="K410:K415" si="140">SUM(G410:J410)</f>
        <v>0</v>
      </c>
      <c r="L410" s="345">
        <f t="shared" ref="L410:L415" si="141">F410-K410</f>
        <v>0</v>
      </c>
    </row>
    <row r="411" spans="1:12" ht="13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3">
        <f>'FR-16(7)(v)-4 DISTR Classified'!I411</f>
        <v>0</v>
      </c>
      <c r="G411" s="347">
        <f t="shared" si="137"/>
        <v>0</v>
      </c>
      <c r="H411" s="345">
        <f>ROUND($F$411*VLOOKUP($D$411,ALLOCTABLE_DISTR_CUSTOMER,$H$10,FALSE),0)</f>
        <v>0</v>
      </c>
      <c r="I411" s="345">
        <f t="shared" si="138"/>
        <v>0</v>
      </c>
      <c r="J411" s="345">
        <f t="shared" si="139"/>
        <v>0</v>
      </c>
      <c r="K411" s="345">
        <f t="shared" si="140"/>
        <v>0</v>
      </c>
      <c r="L411" s="345">
        <f t="shared" si="141"/>
        <v>0</v>
      </c>
    </row>
    <row r="412" spans="1:12" ht="13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3">
        <f>'FR-16(7)(v)-4 DISTR Classified'!I412</f>
        <v>926047</v>
      </c>
      <c r="G412" s="347">
        <f t="shared" si="137"/>
        <v>773017</v>
      </c>
      <c r="H412" s="345">
        <f>ROUND($F$412*VLOOKUP($D$412,ALLOCTABLE_DISTR_CUSTOMER,$H$10,FALSE),0)</f>
        <v>142343</v>
      </c>
      <c r="I412" s="345">
        <f t="shared" si="138"/>
        <v>6501</v>
      </c>
      <c r="J412" s="345">
        <f t="shared" si="139"/>
        <v>4186</v>
      </c>
      <c r="K412" s="345">
        <f t="shared" si="140"/>
        <v>926047</v>
      </c>
      <c r="L412" s="345">
        <f t="shared" si="141"/>
        <v>0</v>
      </c>
    </row>
    <row r="413" spans="1:12" ht="13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3">
        <f>'FR-16(7)(v)-4 DISTR Classified'!I413</f>
        <v>1716742</v>
      </c>
      <c r="G413" s="347">
        <f t="shared" si="137"/>
        <v>1585136</v>
      </c>
      <c r="H413" s="345">
        <f>ROUND($F$413*VLOOKUP($D$413,ALLOCTABLE_DISTR_CUSTOMER,$H$10,FALSE),0)</f>
        <v>129425</v>
      </c>
      <c r="I413" s="345">
        <f t="shared" si="138"/>
        <v>1803</v>
      </c>
      <c r="J413" s="345">
        <f t="shared" si="139"/>
        <v>378</v>
      </c>
      <c r="K413" s="345">
        <f t="shared" si="140"/>
        <v>1716742</v>
      </c>
      <c r="L413" s="345">
        <f t="shared" si="141"/>
        <v>0</v>
      </c>
    </row>
    <row r="414" spans="1:12" ht="13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3">
        <f>'FR-16(7)(v)-4 DISTR Classified'!I414</f>
        <v>166198</v>
      </c>
      <c r="G414" s="347">
        <f t="shared" si="137"/>
        <v>153456</v>
      </c>
      <c r="H414" s="345">
        <f>ROUND($F$414*VLOOKUP($D$414,ALLOCTABLE_DISTR_CUSTOMER,$H$10,FALSE),0)</f>
        <v>12530</v>
      </c>
      <c r="I414" s="345">
        <f t="shared" si="138"/>
        <v>175</v>
      </c>
      <c r="J414" s="345">
        <f t="shared" si="139"/>
        <v>37</v>
      </c>
      <c r="K414" s="345">
        <f t="shared" si="140"/>
        <v>166198</v>
      </c>
      <c r="L414" s="345">
        <f t="shared" si="141"/>
        <v>0</v>
      </c>
    </row>
    <row r="415" spans="1:12" ht="13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3">
        <f>'FR-16(7)(v)-4 DISTR Classified'!I415</f>
        <v>0</v>
      </c>
      <c r="G415" s="347">
        <f t="shared" si="137"/>
        <v>0</v>
      </c>
      <c r="H415" s="345">
        <f>ROUND($F$415*VLOOKUP($D$415,ALLOCTABLE_DISTR_CUSTOMER,$H$10,FALSE),0)</f>
        <v>0</v>
      </c>
      <c r="I415" s="345">
        <f t="shared" si="138"/>
        <v>0</v>
      </c>
      <c r="J415" s="345">
        <f t="shared" si="139"/>
        <v>0</v>
      </c>
      <c r="K415" s="496">
        <f t="shared" si="140"/>
        <v>0</v>
      </c>
      <c r="L415" s="496">
        <f t="shared" si="141"/>
        <v>0</v>
      </c>
    </row>
    <row r="416" spans="1:12" ht="13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7">
        <f t="shared" ref="F416:L416" si="142">SUM(F410:F415)</f>
        <v>2808987</v>
      </c>
      <c r="G416" s="497">
        <f>SUM(G410:G415)</f>
        <v>2511609</v>
      </c>
      <c r="H416" s="497">
        <f t="shared" si="142"/>
        <v>284298</v>
      </c>
      <c r="I416" s="497">
        <f t="shared" si="142"/>
        <v>8479</v>
      </c>
      <c r="J416" s="497">
        <f t="shared" si="142"/>
        <v>4601</v>
      </c>
      <c r="K416" s="471">
        <f t="shared" si="142"/>
        <v>2808987</v>
      </c>
      <c r="L416" s="471">
        <f t="shared" si="142"/>
        <v>0</v>
      </c>
    </row>
    <row r="417" spans="1:12" ht="13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3">
        <f>'FR-16(7)(v)-4 DISTR Classified'!I417</f>
        <v>26963</v>
      </c>
      <c r="G417" s="347">
        <f t="shared" ref="G417:G430" si="143">F417-SUM(H417:J417)</f>
        <v>24109</v>
      </c>
      <c r="H417" s="345">
        <f>ROUND($F$417*VLOOKUP($D$417,ALLOCTABLE_DISTR_CUSTOMER,$H$10,FALSE),0)</f>
        <v>2729</v>
      </c>
      <c r="I417" s="345">
        <f t="shared" ref="I417:I430" si="144">ROUND(F417*VLOOKUP(D417,ALLOCTABLE_DISTR_CUSTOMER,$I$10,FALSE),0)</f>
        <v>81</v>
      </c>
      <c r="J417" s="345">
        <f t="shared" ref="J417:J430" si="145">ROUND(F417*VLOOKUP(D417,ALLOCTABLE_DISTR_CUSTOMER,$J$10,FALSE),0)</f>
        <v>44</v>
      </c>
      <c r="K417" s="345">
        <f t="shared" ref="K417:K430" si="146">SUM(G417:J417)</f>
        <v>26963</v>
      </c>
      <c r="L417" s="345">
        <f t="shared" ref="L417:L430" si="147">F417-K417</f>
        <v>0</v>
      </c>
    </row>
    <row r="418" spans="1:12" ht="13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3">
        <f>'FR-16(7)(v)-4 DISTR Classified'!I418</f>
        <v>-222504</v>
      </c>
      <c r="G418" s="347">
        <f t="shared" si="143"/>
        <v>-198947</v>
      </c>
      <c r="H418" s="345">
        <f>ROUND($F$418*VLOOKUP($D$418,ALLOCTABLE_DISTR_CUSTOMER,$H$10,FALSE),0)</f>
        <v>-22520</v>
      </c>
      <c r="I418" s="345">
        <f t="shared" si="144"/>
        <v>-672</v>
      </c>
      <c r="J418" s="345">
        <f t="shared" si="145"/>
        <v>-365</v>
      </c>
      <c r="K418" s="345">
        <f t="shared" si="146"/>
        <v>-222504</v>
      </c>
      <c r="L418" s="345">
        <f t="shared" si="147"/>
        <v>0</v>
      </c>
    </row>
    <row r="419" spans="1:12" ht="13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3">
        <f>'FR-16(7)(v)-4 DISTR Classified'!I419</f>
        <v>-77078</v>
      </c>
      <c r="G419" s="347">
        <f t="shared" si="143"/>
        <v>-68918</v>
      </c>
      <c r="H419" s="345">
        <f>ROUND($F$419*VLOOKUP($D$419,ALLOCTABLE_DISTR_CUSTOMER,$H$10,FALSE),0)</f>
        <v>-7801</v>
      </c>
      <c r="I419" s="345">
        <f t="shared" si="144"/>
        <v>-233</v>
      </c>
      <c r="J419" s="345">
        <f t="shared" si="145"/>
        <v>-126</v>
      </c>
      <c r="K419" s="345">
        <f t="shared" si="146"/>
        <v>-77078</v>
      </c>
      <c r="L419" s="345">
        <f t="shared" si="147"/>
        <v>0</v>
      </c>
    </row>
    <row r="420" spans="1:12" ht="13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3">
        <f>'FR-16(7)(v)-4 DISTR Classified'!I420</f>
        <v>0</v>
      </c>
      <c r="G420" s="347">
        <f t="shared" si="143"/>
        <v>0</v>
      </c>
      <c r="H420" s="345">
        <f>ROUND($F$420*VLOOKUP($D$420,ALLOCTABLE_DISTR_CUSTOMER,$H$10,FALSE),0)</f>
        <v>0</v>
      </c>
      <c r="I420" s="345">
        <f t="shared" si="144"/>
        <v>0</v>
      </c>
      <c r="J420" s="345">
        <f t="shared" si="145"/>
        <v>0</v>
      </c>
      <c r="K420" s="345">
        <f t="shared" si="146"/>
        <v>0</v>
      </c>
      <c r="L420" s="345">
        <f t="shared" si="147"/>
        <v>0</v>
      </c>
    </row>
    <row r="421" spans="1:12" ht="13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3">
        <f>'FR-16(7)(v)-4 DISTR Classified'!I421</f>
        <v>155528</v>
      </c>
      <c r="G421" s="347">
        <f t="shared" si="143"/>
        <v>139062</v>
      </c>
      <c r="H421" s="345">
        <f>ROUND($F$421*VLOOKUP($D$421,ALLOCTABLE_DISTR_CUSTOMER,$H$10,FALSE),0)</f>
        <v>15741</v>
      </c>
      <c r="I421" s="345">
        <f t="shared" si="144"/>
        <v>470</v>
      </c>
      <c r="J421" s="345">
        <f t="shared" si="145"/>
        <v>255</v>
      </c>
      <c r="K421" s="345">
        <f t="shared" si="146"/>
        <v>155528</v>
      </c>
      <c r="L421" s="345">
        <f t="shared" si="147"/>
        <v>0</v>
      </c>
    </row>
    <row r="422" spans="1:12" ht="13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3">
        <f>'FR-16(7)(v)-4 DISTR Classified'!I422</f>
        <v>0</v>
      </c>
      <c r="G422" s="347">
        <f t="shared" si="143"/>
        <v>0</v>
      </c>
      <c r="H422" s="345">
        <f>ROUND($F$422*VLOOKUP($D$422,ALLOCTABLE_DISTR_CUSTOMER,$H$10,FALSE),0)</f>
        <v>0</v>
      </c>
      <c r="I422" s="345">
        <f t="shared" si="144"/>
        <v>0</v>
      </c>
      <c r="J422" s="345">
        <f t="shared" si="145"/>
        <v>0</v>
      </c>
      <c r="K422" s="345">
        <f t="shared" si="146"/>
        <v>0</v>
      </c>
      <c r="L422" s="345">
        <f t="shared" si="147"/>
        <v>0</v>
      </c>
    </row>
    <row r="423" spans="1:12" ht="13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3">
        <f>'FR-16(7)(v)-4 DISTR Classified'!I423</f>
        <v>0</v>
      </c>
      <c r="G423" s="347">
        <f t="shared" si="143"/>
        <v>0</v>
      </c>
      <c r="H423" s="345">
        <f>ROUND($F$423*VLOOKUP($D$423,ALLOCTABLE_DISTR_CUSTOMER,$H$10,FALSE),0)</f>
        <v>0</v>
      </c>
      <c r="I423" s="345">
        <f t="shared" si="144"/>
        <v>0</v>
      </c>
      <c r="J423" s="345">
        <f t="shared" si="145"/>
        <v>0</v>
      </c>
      <c r="K423" s="345">
        <f t="shared" si="146"/>
        <v>0</v>
      </c>
      <c r="L423" s="345">
        <f t="shared" si="147"/>
        <v>0</v>
      </c>
    </row>
    <row r="424" spans="1:12" ht="13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3">
        <f>'FR-16(7)(v)-4 DISTR Classified'!I424</f>
        <v>0</v>
      </c>
      <c r="G424" s="347">
        <f t="shared" si="143"/>
        <v>0</v>
      </c>
      <c r="H424" s="345">
        <f>ROUND($F$424*VLOOKUP($D$424,ALLOCTABLE_DISTR_CUSTOMER,$H$10,FALSE),0)</f>
        <v>0</v>
      </c>
      <c r="I424" s="345">
        <f t="shared" si="144"/>
        <v>0</v>
      </c>
      <c r="J424" s="345">
        <f t="shared" si="145"/>
        <v>0</v>
      </c>
      <c r="K424" s="345">
        <f t="shared" ref="K424:K429" si="148">SUM(G424:J424)</f>
        <v>0</v>
      </c>
      <c r="L424" s="345">
        <f t="shared" ref="L424:L429" si="149">F424-K424</f>
        <v>0</v>
      </c>
    </row>
    <row r="425" spans="1:12" ht="13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3">
        <f>'FR-16(7)(v)-4 DISTR Classified'!I425</f>
        <v>0</v>
      </c>
      <c r="G425" s="347">
        <f t="shared" si="143"/>
        <v>0</v>
      </c>
      <c r="H425" s="345">
        <f>ROUND($F$425*VLOOKUP($D$425,ALLOCTABLE_DISTR_CUSTOMER,$H$10,FALSE),0)</f>
        <v>0</v>
      </c>
      <c r="I425" s="345">
        <f t="shared" si="144"/>
        <v>0</v>
      </c>
      <c r="J425" s="345">
        <f t="shared" si="145"/>
        <v>0</v>
      </c>
      <c r="K425" s="345">
        <f t="shared" si="148"/>
        <v>0</v>
      </c>
      <c r="L425" s="345">
        <f t="shared" si="149"/>
        <v>0</v>
      </c>
    </row>
    <row r="426" spans="1:12" ht="13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3">
        <f>'FR-16(7)(v)-4 DISTR Classified'!I426</f>
        <v>0</v>
      </c>
      <c r="G426" s="347">
        <f t="shared" si="143"/>
        <v>0</v>
      </c>
      <c r="H426" s="345">
        <f>ROUND($F$426*VLOOKUP($D$426,ALLOCTABLE_DISTR_CUSTOMER,$H$10,FALSE),0)</f>
        <v>0</v>
      </c>
      <c r="I426" s="345">
        <f t="shared" si="144"/>
        <v>0</v>
      </c>
      <c r="J426" s="345">
        <f t="shared" si="145"/>
        <v>0</v>
      </c>
      <c r="K426" s="345">
        <f t="shared" si="148"/>
        <v>0</v>
      </c>
      <c r="L426" s="345">
        <f t="shared" si="149"/>
        <v>0</v>
      </c>
    </row>
    <row r="427" spans="1:12" ht="13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3">
        <f>'FR-16(7)(v)-4 DISTR Classified'!I427</f>
        <v>0</v>
      </c>
      <c r="G427" s="347">
        <f t="shared" si="143"/>
        <v>0</v>
      </c>
      <c r="H427" s="345">
        <f>ROUND($F$427*VLOOKUP($D$427,ALLOCTABLE_DISTR_CUSTOMER,$H$10,FALSE),0)</f>
        <v>0</v>
      </c>
      <c r="I427" s="345">
        <f t="shared" si="144"/>
        <v>0</v>
      </c>
      <c r="J427" s="345">
        <f t="shared" si="145"/>
        <v>0</v>
      </c>
      <c r="K427" s="345">
        <f t="shared" si="148"/>
        <v>0</v>
      </c>
      <c r="L427" s="345">
        <f t="shared" si="149"/>
        <v>0</v>
      </c>
    </row>
    <row r="428" spans="1:12" ht="13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3">
        <f>'FR-16(7)(v)-4 DISTR Classified'!I428</f>
        <v>0</v>
      </c>
      <c r="G428" s="347">
        <f t="shared" si="143"/>
        <v>0</v>
      </c>
      <c r="H428" s="345">
        <f>ROUND($F$428*VLOOKUP($D$428,ALLOCTABLE_DISTR_CUSTOMER,$H$10,FALSE),0)</f>
        <v>0</v>
      </c>
      <c r="I428" s="345">
        <f t="shared" si="144"/>
        <v>0</v>
      </c>
      <c r="J428" s="345">
        <f t="shared" si="145"/>
        <v>0</v>
      </c>
      <c r="K428" s="345">
        <f t="shared" si="148"/>
        <v>0</v>
      </c>
      <c r="L428" s="345">
        <f t="shared" si="149"/>
        <v>0</v>
      </c>
    </row>
    <row r="429" spans="1:12" ht="13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3">
        <f>'FR-16(7)(v)-4 DISTR Classified'!I429</f>
        <v>0</v>
      </c>
      <c r="G429" s="347">
        <f t="shared" si="143"/>
        <v>0</v>
      </c>
      <c r="H429" s="345">
        <f>ROUND($F$429*VLOOKUP($D$429,ALLOCTABLE_DISTR_CUSTOMER,$H$10,FALSE),0)</f>
        <v>0</v>
      </c>
      <c r="I429" s="345">
        <f t="shared" si="144"/>
        <v>0</v>
      </c>
      <c r="J429" s="345">
        <f t="shared" si="145"/>
        <v>0</v>
      </c>
      <c r="K429" s="345">
        <f t="shared" si="148"/>
        <v>0</v>
      </c>
      <c r="L429" s="345">
        <f t="shared" si="149"/>
        <v>0</v>
      </c>
    </row>
    <row r="430" spans="1:12" ht="13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3">
        <f>'FR-16(7)(v)-4 DISTR Classified'!I430</f>
        <v>0</v>
      </c>
      <c r="G430" s="347">
        <f t="shared" si="143"/>
        <v>0</v>
      </c>
      <c r="H430" s="345">
        <f>ROUND($F$430*VLOOKUP($D$430,ALLOCTABLE_DISTR_CUSTOMER,$H$10,FALSE),0)</f>
        <v>0</v>
      </c>
      <c r="I430" s="345">
        <f t="shared" si="144"/>
        <v>0</v>
      </c>
      <c r="J430" s="345">
        <f t="shared" si="145"/>
        <v>0</v>
      </c>
      <c r="K430" s="345">
        <f t="shared" si="146"/>
        <v>0</v>
      </c>
      <c r="L430" s="345">
        <f t="shared" si="147"/>
        <v>0</v>
      </c>
    </row>
    <row r="431" spans="1:12" ht="13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L431" si="150">SUM(F416:F430)</f>
        <v>2691896</v>
      </c>
      <c r="G431" s="346">
        <f>SUM(G416:G430)</f>
        <v>2406915</v>
      </c>
      <c r="H431" s="346">
        <f t="shared" si="150"/>
        <v>272447</v>
      </c>
      <c r="I431" s="346">
        <f t="shared" si="150"/>
        <v>8125</v>
      </c>
      <c r="J431" s="346">
        <f t="shared" si="150"/>
        <v>4409</v>
      </c>
      <c r="K431" s="346">
        <f t="shared" si="150"/>
        <v>2691896</v>
      </c>
      <c r="L431" s="346">
        <f t="shared" si="150"/>
        <v>0</v>
      </c>
    </row>
    <row r="432" spans="1:12" ht="13">
      <c r="A432" s="331">
        <v>32</v>
      </c>
      <c r="D432" s="342"/>
      <c r="E432" s="195"/>
      <c r="F432" s="333"/>
      <c r="I432" s="330"/>
      <c r="J432" s="345"/>
      <c r="K432" s="345"/>
      <c r="L432" s="345"/>
    </row>
    <row r="433" spans="1:12" ht="13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L433" si="151">F431+F407+F403+F389+F378+F364+F360</f>
        <v>9610144</v>
      </c>
      <c r="G433" s="345">
        <f>G431+G407+G403+G389+G378+G364+G360</f>
        <v>8637497</v>
      </c>
      <c r="H433" s="345">
        <f t="shared" si="151"/>
        <v>933004</v>
      </c>
      <c r="I433" s="345">
        <f t="shared" si="151"/>
        <v>26022</v>
      </c>
      <c r="J433" s="345">
        <f t="shared" si="151"/>
        <v>13621</v>
      </c>
      <c r="K433" s="345">
        <f t="shared" si="151"/>
        <v>9610144</v>
      </c>
      <c r="L433" s="345">
        <f t="shared" si="151"/>
        <v>0</v>
      </c>
    </row>
    <row r="434" spans="1:12" ht="13">
      <c r="B434" s="341"/>
      <c r="C434" s="195"/>
      <c r="D434" s="342"/>
      <c r="E434" s="195"/>
      <c r="G434" s="340"/>
      <c r="H434" s="340"/>
      <c r="I434" s="195"/>
      <c r="J434" s="342"/>
      <c r="K434" s="195"/>
      <c r="L434" s="195"/>
    </row>
    <row r="435" spans="1:12" ht="13">
      <c r="A435" s="341" t="str">
        <f>co_name</f>
        <v>DUKE ENERGY KENTUCKY, INC.</v>
      </c>
      <c r="C435" s="195"/>
      <c r="D435" s="342"/>
      <c r="E435" s="195"/>
      <c r="F435" s="342"/>
      <c r="G435" s="340"/>
      <c r="H435" s="340"/>
      <c r="I435" s="195"/>
      <c r="K435" s="359" t="str">
        <f>$K$1</f>
        <v>FR-16(7)(v)-6</v>
      </c>
      <c r="L435" s="195"/>
    </row>
    <row r="436" spans="1:12" ht="13">
      <c r="A436" s="341" t="str">
        <f>$A$2</f>
        <v>DISTRIBUTION CUSTOMER ALLOCATED - GAS COST OF SERVICE</v>
      </c>
      <c r="C436" s="195"/>
      <c r="D436" s="342"/>
      <c r="E436" s="195"/>
      <c r="F436" s="342"/>
      <c r="G436" s="340"/>
      <c r="H436" s="340"/>
      <c r="I436" s="195"/>
      <c r="K436" s="359" t="str">
        <f>$K$2</f>
        <v>WITNESS RESPONSIBLE:</v>
      </c>
      <c r="L436" s="195"/>
    </row>
    <row r="437" spans="1:12" ht="13">
      <c r="A437" s="341" t="str">
        <f>case_name</f>
        <v>CASE NO: 2021-00190</v>
      </c>
      <c r="C437" s="195"/>
      <c r="D437" s="342"/>
      <c r="E437" s="195"/>
      <c r="F437" s="342"/>
      <c r="G437" s="340"/>
      <c r="H437" s="340"/>
      <c r="I437" s="195"/>
      <c r="K437" s="359" t="str">
        <f>Witness</f>
        <v>JAMES E. ZIOLKOWSKI</v>
      </c>
      <c r="L437" s="195"/>
    </row>
    <row r="438" spans="1:12" ht="13">
      <c r="A438" s="341" t="str">
        <f>data_filing</f>
        <v>DATA: 12 MONTH FORECASTED PERIOD</v>
      </c>
      <c r="C438" s="195"/>
      <c r="D438" s="342"/>
      <c r="E438" s="195"/>
      <c r="F438" s="342"/>
      <c r="G438" s="340"/>
      <c r="H438" s="340"/>
      <c r="I438" s="195"/>
      <c r="K438" s="359" t="str">
        <f>"PAGE "&amp;Pages-8&amp;" OF "&amp;Pages</f>
        <v>PAGE 10 OF 18</v>
      </c>
      <c r="L438" s="195"/>
    </row>
    <row r="439" spans="1:12" ht="13">
      <c r="A439" s="341" t="str">
        <f>type</f>
        <v xml:space="preserve">TYPE OF FILING: "X" ORIGINAL   UPDATED    REVISED  </v>
      </c>
      <c r="C439" s="195"/>
      <c r="D439" s="342"/>
      <c r="E439" s="195"/>
      <c r="F439" s="342"/>
      <c r="G439" s="340"/>
      <c r="H439" s="340"/>
      <c r="I439" s="195"/>
      <c r="J439" s="342"/>
      <c r="K439" s="195"/>
      <c r="L439" s="195"/>
    </row>
    <row r="440" spans="1:12" ht="13">
      <c r="B440" s="341"/>
      <c r="C440" s="195"/>
      <c r="D440" s="342"/>
      <c r="E440" s="195"/>
      <c r="F440" s="342"/>
      <c r="G440" s="340"/>
      <c r="H440" s="340"/>
      <c r="I440" s="195"/>
      <c r="J440" s="342"/>
      <c r="K440" s="195"/>
      <c r="L440" s="195"/>
    </row>
    <row r="441" spans="1:12" ht="13">
      <c r="B441" s="341"/>
      <c r="C441" s="195"/>
      <c r="D441" s="342"/>
      <c r="E441" s="195"/>
      <c r="F441" s="342" t="str">
        <f>$F$7</f>
        <v>TOTAL</v>
      </c>
      <c r="G441" s="340"/>
      <c r="H441" s="340"/>
      <c r="I441" s="195"/>
      <c r="J441" s="342"/>
      <c r="K441" s="195"/>
      <c r="L441" s="195"/>
    </row>
    <row r="442" spans="1:12" ht="13">
      <c r="A442" s="342" t="s">
        <v>907</v>
      </c>
      <c r="B442" s="195"/>
      <c r="C442" s="195"/>
      <c r="D442" s="342"/>
      <c r="E442" s="195"/>
      <c r="F442" s="342" t="str">
        <f>$F$8</f>
        <v>DISTRIBUTION</v>
      </c>
      <c r="G442" s="352" t="str">
        <f>$G$8</f>
        <v>RS</v>
      </c>
      <c r="H442" s="352" t="str">
        <f>$H$8</f>
        <v>GS</v>
      </c>
      <c r="I442" s="342" t="str">
        <f>$I$8</f>
        <v>FT-L</v>
      </c>
      <c r="J442" s="342" t="str">
        <f>$J$8</f>
        <v>INTERUPT</v>
      </c>
      <c r="K442" s="342" t="s">
        <v>229</v>
      </c>
      <c r="L442" s="342" t="s">
        <v>342</v>
      </c>
    </row>
    <row r="443" spans="1:12" ht="13">
      <c r="A443" s="344" t="s">
        <v>908</v>
      </c>
      <c r="B443" s="343" t="s">
        <v>55</v>
      </c>
      <c r="C443" s="343"/>
      <c r="D443" s="344" t="s">
        <v>337</v>
      </c>
      <c r="E443" s="343"/>
      <c r="F443" s="342" t="str">
        <f>$F$9</f>
        <v>CUSTOMER</v>
      </c>
      <c r="G443" s="353" t="str">
        <f>$G$9</f>
        <v>RESIDENTIAL</v>
      </c>
      <c r="H443" s="353" t="str">
        <f>$H$9</f>
        <v>GEN SERV</v>
      </c>
      <c r="I443" s="344" t="str">
        <f>$I$9</f>
        <v>FIRM TRANS</v>
      </c>
      <c r="J443" s="344" t="str">
        <f>$J$9</f>
        <v>TRANS</v>
      </c>
      <c r="K443" s="344" t="s">
        <v>341</v>
      </c>
      <c r="L443" s="344" t="s">
        <v>340</v>
      </c>
    </row>
    <row r="444" spans="1:12" ht="13">
      <c r="C444" s="572" t="s">
        <v>349</v>
      </c>
      <c r="D444" s="342"/>
      <c r="E444" s="195"/>
      <c r="F444" s="756"/>
      <c r="G444" s="627">
        <f>$G$10</f>
        <v>3</v>
      </c>
      <c r="H444" s="627">
        <f>$H$10</f>
        <v>4</v>
      </c>
      <c r="I444" s="627">
        <f>$I$10</f>
        <v>5</v>
      </c>
      <c r="J444" s="627">
        <f>$J$10</f>
        <v>6</v>
      </c>
      <c r="K444" s="504"/>
      <c r="L444" s="504"/>
    </row>
    <row r="445" spans="1:12" ht="13">
      <c r="A445" s="331">
        <v>1</v>
      </c>
      <c r="B445" s="351" t="s">
        <v>56</v>
      </c>
      <c r="C445" s="351"/>
      <c r="D445" s="342"/>
      <c r="E445" s="195"/>
      <c r="H445" s="351"/>
      <c r="J445" s="351"/>
    </row>
    <row r="446" spans="1:12" ht="13">
      <c r="A446" s="331">
        <v>2</v>
      </c>
      <c r="B446" s="351"/>
      <c r="C446" s="505" t="str">
        <f>'FR-16(7)(v)-1 Functional'!C446</f>
        <v>PRODUCTION DEPRECIATION</v>
      </c>
      <c r="D446" s="342" t="str">
        <f>'FR-16(7)(v)-1 Functional'!D446</f>
        <v>P229</v>
      </c>
      <c r="E446" s="195"/>
      <c r="F446" s="473">
        <f>'FR-16(7)(v)-4 DISTR Classified'!I446</f>
        <v>0</v>
      </c>
      <c r="G446" s="347">
        <f>F446-SUM(H446:J446)</f>
        <v>0</v>
      </c>
      <c r="H446" s="347">
        <f>ROUND($F$446*VLOOKUP($D$446,ALLOCTABLE_DISTR_CUSTOMER,$H$10,FALSE),0)</f>
        <v>0</v>
      </c>
      <c r="I446" s="347">
        <f>ROUND(F446*VLOOKUP(D446,ALLOCTABLE_DISTR_CUSTOMER,$I$10,FALSE),0)</f>
        <v>0</v>
      </c>
      <c r="J446" s="347">
        <f>ROUND(F446*VLOOKUP(D446,ALLOCTABLE_DISTR_CUSTOMER,$J$10,FALSE),0)</f>
        <v>0</v>
      </c>
      <c r="K446" s="345">
        <f>SUM(G446:J446)</f>
        <v>0</v>
      </c>
      <c r="L446" s="345">
        <f>F446-K446</f>
        <v>0</v>
      </c>
    </row>
    <row r="447" spans="1:12" ht="13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L447" si="152">SUM(F446:F446)</f>
        <v>0</v>
      </c>
      <c r="G447" s="346">
        <f>SUM(G446:G446)</f>
        <v>0</v>
      </c>
      <c r="H447" s="346">
        <f t="shared" si="152"/>
        <v>0</v>
      </c>
      <c r="I447" s="346">
        <f t="shared" si="152"/>
        <v>0</v>
      </c>
      <c r="J447" s="346">
        <f t="shared" si="152"/>
        <v>0</v>
      </c>
      <c r="K447" s="346">
        <f t="shared" si="152"/>
        <v>0</v>
      </c>
      <c r="L447" s="346">
        <f t="shared" si="152"/>
        <v>0</v>
      </c>
    </row>
    <row r="448" spans="1:12" ht="13">
      <c r="A448" s="331">
        <v>4</v>
      </c>
      <c r="B448" s="351"/>
      <c r="C448" s="351"/>
      <c r="D448" s="342"/>
      <c r="E448" s="195"/>
      <c r="F448" s="351"/>
      <c r="G448" s="351"/>
      <c r="H448" s="351"/>
      <c r="J448" s="351"/>
    </row>
    <row r="449" spans="1:12" ht="13">
      <c r="A449" s="331">
        <v>5</v>
      </c>
      <c r="B449" s="505" t="s">
        <v>57</v>
      </c>
      <c r="C449" s="505"/>
      <c r="D449" s="342"/>
      <c r="E449" s="195"/>
      <c r="F449" s="347"/>
      <c r="G449" s="351"/>
      <c r="H449" s="351"/>
      <c r="J449" s="347"/>
      <c r="K449" s="345"/>
      <c r="L449" s="345"/>
    </row>
    <row r="450" spans="1:12" ht="13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L450" si="153">SUM(F449)</f>
        <v>0</v>
      </c>
      <c r="G450" s="756">
        <f t="shared" si="153"/>
        <v>0</v>
      </c>
      <c r="H450" s="756">
        <f t="shared" si="153"/>
        <v>0</v>
      </c>
      <c r="I450" s="346">
        <f t="shared" si="153"/>
        <v>0</v>
      </c>
      <c r="J450" s="346">
        <f t="shared" si="153"/>
        <v>0</v>
      </c>
      <c r="K450" s="346">
        <f t="shared" si="153"/>
        <v>0</v>
      </c>
      <c r="L450" s="346">
        <f t="shared" si="153"/>
        <v>0</v>
      </c>
    </row>
    <row r="451" spans="1:12" ht="13">
      <c r="A451" s="331">
        <v>7</v>
      </c>
      <c r="B451" s="351"/>
      <c r="C451" s="351"/>
      <c r="D451" s="342"/>
      <c r="E451" s="195"/>
      <c r="F451" s="351"/>
      <c r="G451" s="351"/>
      <c r="H451" s="351"/>
      <c r="J451" s="351"/>
    </row>
    <row r="452" spans="1:12" ht="13">
      <c r="A452" s="331">
        <v>8</v>
      </c>
      <c r="B452" s="351" t="s">
        <v>58</v>
      </c>
      <c r="C452" s="351"/>
      <c r="D452" s="342"/>
      <c r="E452" s="195"/>
      <c r="F452" s="351"/>
      <c r="G452" s="351"/>
      <c r="H452" s="351"/>
      <c r="J452" s="351"/>
    </row>
    <row r="453" spans="1:12" ht="13">
      <c r="A453" s="331">
        <v>9</v>
      </c>
      <c r="B453" s="351"/>
      <c r="C453" s="505" t="str">
        <f>'FR-16(7)(v)-1 Functional'!C453</f>
        <v>DISTRIBUTION DEPRECIATION</v>
      </c>
      <c r="D453" s="342" t="str">
        <f>'FR-16(7)(v)-1 Functional'!D453</f>
        <v>D249</v>
      </c>
      <c r="E453" s="195"/>
      <c r="F453" s="473">
        <f>'FR-16(7)(v)-4 DISTR Classified'!I453</f>
        <v>5737392</v>
      </c>
      <c r="G453" s="347">
        <f>F453-SUM(H453:J453)</f>
        <v>4896290</v>
      </c>
      <c r="H453" s="347">
        <f>ROUND($F$453*VLOOKUP($D$453,ALLOCTABLE_DISTR_CUSTOMER,$H$10,FALSE),0)</f>
        <v>795662</v>
      </c>
      <c r="I453" s="347">
        <f>ROUND(F453*VLOOKUP(D453,ALLOCTABLE_DISTR_CUSTOMER,$I$10,FALSE),0)</f>
        <v>27023</v>
      </c>
      <c r="J453" s="347">
        <f>ROUND(F453*VLOOKUP(D453,ALLOCTABLE_DISTR_CUSTOMER,$J$10,FALSE),0)</f>
        <v>18417</v>
      </c>
      <c r="K453" s="345">
        <f>SUM(G453:J453)</f>
        <v>5737392</v>
      </c>
      <c r="L453" s="345">
        <f>F453-K453</f>
        <v>0</v>
      </c>
    </row>
    <row r="454" spans="1:12" ht="13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L454" si="154">SUM(F453:F453)</f>
        <v>5737392</v>
      </c>
      <c r="G454" s="346">
        <f>SUM(G453:G453)</f>
        <v>4896290</v>
      </c>
      <c r="H454" s="346">
        <f t="shared" si="154"/>
        <v>795662</v>
      </c>
      <c r="I454" s="346">
        <f t="shared" si="154"/>
        <v>27023</v>
      </c>
      <c r="J454" s="346">
        <f t="shared" si="154"/>
        <v>18417</v>
      </c>
      <c r="K454" s="346">
        <f t="shared" si="154"/>
        <v>5737392</v>
      </c>
      <c r="L454" s="346">
        <f t="shared" si="154"/>
        <v>0</v>
      </c>
    </row>
    <row r="455" spans="1:12" ht="13">
      <c r="A455" s="331">
        <v>11</v>
      </c>
      <c r="B455" s="351"/>
      <c r="C455" s="351"/>
      <c r="D455" s="342"/>
      <c r="E455" s="195"/>
      <c r="F455" s="351" t="s">
        <v>343</v>
      </c>
      <c r="G455" s="351"/>
      <c r="H455" s="351"/>
      <c r="J455" s="351"/>
    </row>
    <row r="456" spans="1:12" ht="13">
      <c r="A456" s="331">
        <v>12</v>
      </c>
      <c r="B456" s="351" t="s">
        <v>59</v>
      </c>
      <c r="C456" s="351"/>
      <c r="D456" s="342"/>
      <c r="E456" s="195"/>
      <c r="F456" s="351"/>
      <c r="G456" s="351"/>
      <c r="H456" s="351"/>
      <c r="J456" s="351"/>
    </row>
    <row r="457" spans="1:12" ht="13">
      <c r="A457" s="331">
        <v>13</v>
      </c>
      <c r="B457" s="351"/>
      <c r="C457" s="505" t="str">
        <f>'FR-16(7)(v)-1 Functional'!C457</f>
        <v>GENERAL DEPRECIATION</v>
      </c>
      <c r="D457" s="342" t="str">
        <f>'FR-16(7)(v)-1 Functional'!D457</f>
        <v>G229</v>
      </c>
      <c r="E457" s="195"/>
      <c r="F457" s="473">
        <f>'FR-16(7)(v)-4 DISTR Classified'!I457</f>
        <v>1344533</v>
      </c>
      <c r="G457" s="347">
        <f>F457-SUM(H457:J457)</f>
        <v>1202188</v>
      </c>
      <c r="H457" s="347">
        <f>ROUND($F$457*VLOOKUP($D$457,ALLOCTABLE_DISTR_CUSTOMER,$H$10,FALSE),0)</f>
        <v>136080</v>
      </c>
      <c r="I457" s="347">
        <f>ROUND(F457*VLOOKUP(D457,ALLOCTABLE_DISTR_CUSTOMER,$I$10,FALSE),0)</f>
        <v>4060</v>
      </c>
      <c r="J457" s="347">
        <f>ROUND(F457*VLOOKUP(D457,ALLOCTABLE_DISTR_CUSTOMER,$J$10,FALSE),0)</f>
        <v>2205</v>
      </c>
      <c r="K457" s="345">
        <f>SUM(G457:J457)</f>
        <v>1344533</v>
      </c>
      <c r="L457" s="345">
        <f>F457-K457</f>
        <v>0</v>
      </c>
    </row>
    <row r="458" spans="1:12" ht="13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L458" si="155">SUM(F457:F457)</f>
        <v>1344533</v>
      </c>
      <c r="G458" s="346">
        <f>SUM(G457:G457)</f>
        <v>1202188</v>
      </c>
      <c r="H458" s="346">
        <f t="shared" si="155"/>
        <v>136080</v>
      </c>
      <c r="I458" s="346">
        <f t="shared" si="155"/>
        <v>4060</v>
      </c>
      <c r="J458" s="346">
        <f t="shared" si="155"/>
        <v>2205</v>
      </c>
      <c r="K458" s="346">
        <f t="shared" si="155"/>
        <v>1344533</v>
      </c>
      <c r="L458" s="346">
        <f t="shared" si="155"/>
        <v>0</v>
      </c>
    </row>
    <row r="459" spans="1:12" ht="13">
      <c r="A459" s="331">
        <v>15</v>
      </c>
      <c r="B459" s="351"/>
      <c r="C459" s="351"/>
      <c r="D459" s="342"/>
      <c r="E459" s="195"/>
      <c r="F459" s="351"/>
      <c r="G459" s="351"/>
      <c r="H459" s="351"/>
      <c r="J459" s="351"/>
    </row>
    <row r="460" spans="1:12" ht="13">
      <c r="A460" s="331">
        <v>16</v>
      </c>
      <c r="B460" s="351" t="s">
        <v>60</v>
      </c>
      <c r="C460" s="351"/>
      <c r="D460" s="342"/>
      <c r="E460" s="195"/>
      <c r="F460" s="470"/>
      <c r="G460" s="347"/>
      <c r="H460" s="347"/>
      <c r="I460" s="347"/>
      <c r="J460" s="347"/>
      <c r="K460" s="345"/>
      <c r="L460" s="345"/>
    </row>
    <row r="461" spans="1:12" ht="13">
      <c r="A461" s="331">
        <v>17</v>
      </c>
      <c r="B461" s="351"/>
      <c r="C461" s="505" t="str">
        <f>'FR-16(7)(v)-1 Functional'!C461</f>
        <v>COMMON DEPRECIATION</v>
      </c>
      <c r="D461" s="342" t="str">
        <f>'FR-16(7)(v)-1 Functional'!D461</f>
        <v>C229</v>
      </c>
      <c r="E461" s="195"/>
      <c r="F461" s="473">
        <f>'FR-16(7)(v)-4 DISTR Classified'!I461</f>
        <v>-17911</v>
      </c>
      <c r="G461" s="347">
        <f>F461-SUM(H461:J461)</f>
        <v>-16015</v>
      </c>
      <c r="H461" s="347">
        <f>ROUND($F$461*VLOOKUP($D$461,ALLOCTABLE_DISTR_CUSTOMER,$H$10,FALSE),0)</f>
        <v>-1813</v>
      </c>
      <c r="I461" s="347">
        <f>ROUND(F461*VLOOKUP(D461,ALLOCTABLE_DISTR_CUSTOMER,$I$10,FALSE),0)</f>
        <v>-54</v>
      </c>
      <c r="J461" s="347">
        <f>ROUND(F461*VLOOKUP(D461,ALLOCTABLE_DISTR_CUSTOMER,$J$10,FALSE),0)</f>
        <v>-29</v>
      </c>
      <c r="K461" s="345">
        <f>SUM(G461:J461)</f>
        <v>-17911</v>
      </c>
      <c r="L461" s="345">
        <f>F461-K461</f>
        <v>0</v>
      </c>
    </row>
    <row r="462" spans="1:12" ht="13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L462" si="156">SUM(F461:F461)</f>
        <v>-17911</v>
      </c>
      <c r="G462" s="346">
        <f>SUM(G461:G461)</f>
        <v>-16015</v>
      </c>
      <c r="H462" s="346">
        <f t="shared" si="156"/>
        <v>-1813</v>
      </c>
      <c r="I462" s="346">
        <f t="shared" si="156"/>
        <v>-54</v>
      </c>
      <c r="J462" s="346">
        <f t="shared" si="156"/>
        <v>-29</v>
      </c>
      <c r="K462" s="346">
        <f t="shared" si="156"/>
        <v>-17911</v>
      </c>
      <c r="L462" s="346">
        <f t="shared" si="156"/>
        <v>0</v>
      </c>
    </row>
    <row r="463" spans="1:12" ht="13">
      <c r="A463" s="331">
        <v>19</v>
      </c>
      <c r="B463" s="351"/>
      <c r="C463" s="351"/>
      <c r="D463" s="342"/>
      <c r="E463" s="195"/>
      <c r="G463" s="351"/>
      <c r="H463" s="351"/>
      <c r="J463" s="351"/>
    </row>
    <row r="464" spans="1:12" ht="13">
      <c r="A464" s="331">
        <v>20</v>
      </c>
      <c r="B464" s="351"/>
      <c r="C464" s="351"/>
      <c r="D464" s="342"/>
      <c r="E464" s="195"/>
      <c r="G464" s="351"/>
      <c r="H464" s="351"/>
      <c r="J464" s="351"/>
    </row>
    <row r="465" spans="1:13" ht="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L465" si="157">F462+F458+F454+F450+F447</f>
        <v>7064014</v>
      </c>
      <c r="G465" s="347">
        <f>G462+G458+G454+G450+G447</f>
        <v>6082463</v>
      </c>
      <c r="H465" s="347">
        <f t="shared" si="157"/>
        <v>929929</v>
      </c>
      <c r="I465" s="347">
        <f t="shared" si="157"/>
        <v>31029</v>
      </c>
      <c r="J465" s="347">
        <f t="shared" si="157"/>
        <v>20593</v>
      </c>
      <c r="K465" s="345">
        <f t="shared" si="157"/>
        <v>7064014</v>
      </c>
      <c r="L465" s="345">
        <f t="shared" si="157"/>
        <v>0</v>
      </c>
    </row>
    <row r="466" spans="1:13" ht="13">
      <c r="B466" s="341"/>
      <c r="C466" s="195"/>
      <c r="D466" s="342"/>
      <c r="E466" s="195"/>
      <c r="G466" s="340"/>
      <c r="H466" s="340"/>
      <c r="I466" s="195"/>
      <c r="J466" s="342"/>
      <c r="K466" s="195"/>
      <c r="L466" s="195"/>
    </row>
    <row r="467" spans="1:13" ht="13">
      <c r="A467" s="341" t="str">
        <f>co_name</f>
        <v>DUKE ENERGY KENTUCKY, INC.</v>
      </c>
      <c r="C467" s="195"/>
      <c r="D467" s="342"/>
      <c r="E467" s="195"/>
      <c r="F467" s="342"/>
      <c r="G467" s="340"/>
      <c r="H467" s="340"/>
      <c r="I467" s="195"/>
      <c r="K467" s="359" t="str">
        <f>$K$1</f>
        <v>FR-16(7)(v)-6</v>
      </c>
      <c r="L467" s="195"/>
    </row>
    <row r="468" spans="1:13" ht="13">
      <c r="A468" s="341" t="str">
        <f>$A$2</f>
        <v>DISTRIBUTION CUSTOMER ALLOCATED - GAS COST OF SERVICE</v>
      </c>
      <c r="C468" s="195"/>
      <c r="D468" s="342"/>
      <c r="E468" s="195"/>
      <c r="F468" s="342"/>
      <c r="G468" s="340"/>
      <c r="H468" s="340"/>
      <c r="I468" s="195"/>
      <c r="K468" s="359" t="str">
        <f>$K$2</f>
        <v>WITNESS RESPONSIBLE:</v>
      </c>
      <c r="L468" s="195"/>
    </row>
    <row r="469" spans="1:13" ht="13">
      <c r="A469" s="341" t="str">
        <f>case_name</f>
        <v>CASE NO: 2021-00190</v>
      </c>
      <c r="C469" s="195"/>
      <c r="D469" s="342"/>
      <c r="E469" s="195"/>
      <c r="F469" s="342"/>
      <c r="G469" s="340"/>
      <c r="H469" s="340"/>
      <c r="I469" s="195"/>
      <c r="K469" s="359" t="str">
        <f>Witness</f>
        <v>JAMES E. ZIOLKOWSKI</v>
      </c>
      <c r="L469" s="195"/>
    </row>
    <row r="470" spans="1:13" ht="13">
      <c r="A470" s="341" t="str">
        <f>data_filing</f>
        <v>DATA: 12 MONTH FORECASTED PERIOD</v>
      </c>
      <c r="C470" s="195"/>
      <c r="D470" s="342"/>
      <c r="E470" s="195"/>
      <c r="F470" s="342"/>
      <c r="G470" s="340"/>
      <c r="H470" s="340"/>
      <c r="I470" s="195"/>
      <c r="K470" s="359" t="str">
        <f>"PAGE "&amp;Pages-7&amp;" OF "&amp;Pages</f>
        <v>PAGE 11 OF 18</v>
      </c>
      <c r="L470" s="195"/>
    </row>
    <row r="471" spans="1:13" ht="13">
      <c r="A471" s="341" t="str">
        <f>type</f>
        <v xml:space="preserve">TYPE OF FILING: "X" ORIGINAL   UPDATED    REVISED  </v>
      </c>
      <c r="C471" s="195"/>
      <c r="D471" s="342"/>
      <c r="E471" s="195"/>
      <c r="F471" s="342"/>
      <c r="G471" s="340"/>
      <c r="H471" s="340"/>
      <c r="I471" s="195"/>
      <c r="J471" s="342"/>
      <c r="K471" s="195"/>
      <c r="L471" s="195"/>
    </row>
    <row r="472" spans="1:13" ht="13">
      <c r="B472" s="341"/>
      <c r="C472" s="195"/>
      <c r="D472" s="342"/>
      <c r="E472" s="195"/>
      <c r="F472" s="342"/>
      <c r="G472" s="340"/>
      <c r="H472" s="340"/>
      <c r="I472" s="195"/>
      <c r="J472" s="342"/>
      <c r="K472" s="195"/>
      <c r="L472" s="195"/>
    </row>
    <row r="473" spans="1:13" ht="13">
      <c r="B473" s="341"/>
      <c r="C473" s="195"/>
      <c r="D473" s="342"/>
      <c r="E473" s="195"/>
      <c r="F473" s="342" t="str">
        <f>$F$7</f>
        <v>TOTAL</v>
      </c>
      <c r="G473" s="340"/>
      <c r="H473" s="340"/>
      <c r="I473" s="195"/>
      <c r="J473" s="342"/>
      <c r="K473" s="195"/>
      <c r="L473" s="195"/>
    </row>
    <row r="474" spans="1:13" ht="13">
      <c r="A474" s="342" t="s">
        <v>907</v>
      </c>
      <c r="B474" s="195"/>
      <c r="C474" s="195"/>
      <c r="D474" s="342"/>
      <c r="E474" s="195"/>
      <c r="F474" s="342" t="str">
        <f>$F$8</f>
        <v>DISTRIBUTION</v>
      </c>
      <c r="G474" s="352" t="str">
        <f>$G$8</f>
        <v>RS</v>
      </c>
      <c r="H474" s="352" t="str">
        <f>$H$8</f>
        <v>GS</v>
      </c>
      <c r="I474" s="342" t="str">
        <f>$I$8</f>
        <v>FT-L</v>
      </c>
      <c r="J474" s="342" t="str">
        <f>$J$8</f>
        <v>INTERUPT</v>
      </c>
      <c r="K474" s="342" t="s">
        <v>229</v>
      </c>
      <c r="L474" s="342" t="s">
        <v>342</v>
      </c>
    </row>
    <row r="475" spans="1:13" ht="13">
      <c r="A475" s="344" t="s">
        <v>908</v>
      </c>
      <c r="B475" s="343" t="s">
        <v>62</v>
      </c>
      <c r="C475" s="343"/>
      <c r="D475" s="344" t="s">
        <v>337</v>
      </c>
      <c r="E475" s="343"/>
      <c r="F475" s="342" t="str">
        <f>$F$9</f>
        <v>CUSTOMER</v>
      </c>
      <c r="G475" s="353" t="str">
        <f>$G$9</f>
        <v>RESIDENTIAL</v>
      </c>
      <c r="H475" s="353" t="str">
        <f>$H$9</f>
        <v>GEN SERV</v>
      </c>
      <c r="I475" s="344" t="str">
        <f>$I$9</f>
        <v>FIRM TRANS</v>
      </c>
      <c r="J475" s="344" t="str">
        <f>$J$9</f>
        <v>TRANS</v>
      </c>
      <c r="K475" s="344" t="s">
        <v>341</v>
      </c>
      <c r="L475" s="344" t="s">
        <v>340</v>
      </c>
      <c r="M475" s="363"/>
    </row>
    <row r="476" spans="1:13" ht="13">
      <c r="C476" s="572" t="s">
        <v>350</v>
      </c>
      <c r="D476" s="342"/>
      <c r="E476" s="195"/>
      <c r="F476" s="756"/>
      <c r="G476" s="627">
        <f>$G$10</f>
        <v>3</v>
      </c>
      <c r="H476" s="627">
        <f>$H$10</f>
        <v>4</v>
      </c>
      <c r="I476" s="627">
        <f>$I$10</f>
        <v>5</v>
      </c>
      <c r="J476" s="627">
        <f>$J$10</f>
        <v>6</v>
      </c>
      <c r="K476" s="504"/>
      <c r="L476" s="504"/>
    </row>
    <row r="477" spans="1:13" ht="13">
      <c r="A477" s="331">
        <v>1</v>
      </c>
      <c r="B477" s="330" t="s">
        <v>63</v>
      </c>
      <c r="D477" s="342"/>
      <c r="E477" s="195"/>
      <c r="I477" s="330"/>
    </row>
    <row r="478" spans="1:13" ht="13">
      <c r="A478" s="331">
        <v>2</v>
      </c>
      <c r="B478" s="330" t="s">
        <v>64</v>
      </c>
      <c r="D478" s="342"/>
      <c r="E478" s="195"/>
      <c r="I478" s="330"/>
    </row>
    <row r="479" spans="1:13" ht="13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3">
        <f>'FR-16(7)(v)-4 DISTR Classified'!I479</f>
        <v>1530414</v>
      </c>
      <c r="G479" s="347">
        <f>F479-SUM(H479:J479)</f>
        <v>1308229</v>
      </c>
      <c r="H479" s="345">
        <f>ROUND($F$479*VLOOKUP($D$479,ALLOCTABLE_DISTR_CUSTOMER,$H$10,FALSE),0)</f>
        <v>210248</v>
      </c>
      <c r="I479" s="345">
        <f>ROUND(F479*VLOOKUP(D479,ALLOCTABLE_DISTR_CUSTOMER,$I$10,FALSE),0)</f>
        <v>7116</v>
      </c>
      <c r="J479" s="345">
        <f>ROUND(F479*VLOOKUP(D479,ALLOCTABLE_DISTR_CUSTOMER,$J$10,FALSE),0)</f>
        <v>4821</v>
      </c>
      <c r="K479" s="345">
        <f>SUM($G$479:$J$479)</f>
        <v>1530414</v>
      </c>
      <c r="L479" s="345">
        <f>F479-$K$479</f>
        <v>0</v>
      </c>
    </row>
    <row r="480" spans="1:13" ht="13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3">
        <f>'FR-16(7)(v)-4 DISTR Classified'!I480</f>
        <v>0</v>
      </c>
      <c r="G480" s="347">
        <f>F480-SUM(H480:J480)</f>
        <v>0</v>
      </c>
      <c r="H480" s="345">
        <f>ROUND($F$480*VLOOKUP($D$480,ALLOCTABLE_DISTR_CUSTOMER,$H$10,FALSE),0)</f>
        <v>0</v>
      </c>
      <c r="I480" s="345">
        <f>ROUND(F480*VLOOKUP(D480,ALLOCTABLE_DISTR_CUSTOMER,$I$10,FALSE),0)</f>
        <v>0</v>
      </c>
      <c r="J480" s="345">
        <f>ROUND(F480*VLOOKUP(D480,ALLOCTABLE_DISTR_CUSTOMER,$J$10,FALSE),0)</f>
        <v>0</v>
      </c>
      <c r="K480" s="345">
        <f>SUM($G$480:$J$480)</f>
        <v>0</v>
      </c>
      <c r="L480" s="345">
        <f>F480-$K$480</f>
        <v>0</v>
      </c>
    </row>
    <row r="481" spans="1:12" ht="13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1530414</v>
      </c>
      <c r="G481" s="346">
        <f>SUM($G$479:$G$480)</f>
        <v>1308229</v>
      </c>
      <c r="H481" s="346">
        <f>SUM($H$479:$H$480)</f>
        <v>210248</v>
      </c>
      <c r="I481" s="346">
        <f>SUM($I$479:$I$480)</f>
        <v>7116</v>
      </c>
      <c r="J481" s="346">
        <f>SUM($J$479:$J$480)</f>
        <v>4821</v>
      </c>
      <c r="K481" s="346">
        <f>SUM($K$479:$K$480)</f>
        <v>1530414</v>
      </c>
      <c r="L481" s="346">
        <f>SUM($L$479:$L$480)</f>
        <v>0</v>
      </c>
    </row>
    <row r="482" spans="1:12" ht="13">
      <c r="A482" s="331">
        <v>6</v>
      </c>
      <c r="D482" s="342"/>
      <c r="E482" s="195"/>
      <c r="F482" s="351"/>
      <c r="I482" s="330"/>
    </row>
    <row r="483" spans="1:12" ht="13">
      <c r="A483" s="331">
        <v>7</v>
      </c>
      <c r="B483" s="330" t="s">
        <v>65</v>
      </c>
      <c r="D483" s="342"/>
      <c r="E483" s="195"/>
      <c r="F483" s="351"/>
      <c r="I483" s="330"/>
    </row>
    <row r="484" spans="1:12" ht="13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3">
        <f>'FR-16(7)(v)-4 DISTR Classified'!I484</f>
        <v>236595</v>
      </c>
      <c r="G484" s="347">
        <f>F484-SUM(H484:J484)</f>
        <v>211546</v>
      </c>
      <c r="H484" s="345">
        <f>ROUND($F$484*VLOOKUP($D$484,ALLOCTABLE_DISTR_CUSTOMER,$H$10,FALSE),0)</f>
        <v>23946</v>
      </c>
      <c r="I484" s="345">
        <f>ROUND(F484*VLOOKUP(D484,ALLOCTABLE_DISTR_CUSTOMER,$I$10,FALSE),0)</f>
        <v>715</v>
      </c>
      <c r="J484" s="345">
        <f>ROUND(F484*VLOOKUP(D484,ALLOCTABLE_DISTR_CUSTOMER,$J$10,FALSE),0)</f>
        <v>388</v>
      </c>
      <c r="K484" s="345">
        <f>SUM($G$484:$J$484)</f>
        <v>236595</v>
      </c>
      <c r="L484" s="345">
        <f>F484-$K$484</f>
        <v>0</v>
      </c>
    </row>
    <row r="485" spans="1:12" ht="13">
      <c r="A485" s="331">
        <v>9</v>
      </c>
      <c r="C485" s="330" t="str">
        <f>'FR-16(7)(v)-1 Functional'!C485</f>
        <v>UNEMPLOYMENT COMPENSATION</v>
      </c>
      <c r="D485" s="342" t="str">
        <f>'FR-16(7)(v)-1 Functional'!D485</f>
        <v>AG39</v>
      </c>
      <c r="E485" s="195"/>
      <c r="F485" s="473">
        <f>'FR-16(7)(v)-4 DISTR Classified'!I485</f>
        <v>0</v>
      </c>
      <c r="G485" s="347">
        <f>F485-SUM(H485:J485)</f>
        <v>0</v>
      </c>
      <c r="H485" s="345">
        <f>ROUND($F$485*VLOOKUP($D$485,ALLOCTABLE_DISTR_CUSTOMER,$H$10,FALSE),0)</f>
        <v>0</v>
      </c>
      <c r="I485" s="345">
        <f>ROUND(F485*VLOOKUP(D485,ALLOCTABLE_DISTR_CUSTOMER,$I$10,FALSE),0)</f>
        <v>0</v>
      </c>
      <c r="J485" s="345">
        <f>ROUND(F485*VLOOKUP(D485,ALLOCTABLE_DISTR_CUSTOMER,$J$10,FALSE),0)</f>
        <v>0</v>
      </c>
      <c r="K485" s="345">
        <f>SUM($G$485:$J$485)</f>
        <v>0</v>
      </c>
      <c r="L485" s="345">
        <f>F485-$K$485</f>
        <v>0</v>
      </c>
    </row>
    <row r="486" spans="1:12" ht="13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3">
        <f>'FR-16(7)(v)-4 DISTR Classified'!I486</f>
        <v>0</v>
      </c>
      <c r="G486" s="347">
        <f>F486-SUM(H486:J486)</f>
        <v>0</v>
      </c>
      <c r="H486" s="345">
        <f>ROUND($F$486*VLOOKUP($D$486,ALLOCTABLE_DISTR_CUSTOMER,$H$10,FALSE),0)</f>
        <v>0</v>
      </c>
      <c r="I486" s="345">
        <f>ROUND(F486*VLOOKUP(D486,ALLOCTABLE_DISTR_CUSTOMER,$I$10,FALSE),0)</f>
        <v>0</v>
      </c>
      <c r="J486" s="345">
        <f>ROUND(F486*VLOOKUP(D486,ALLOCTABLE_DISTR_CUSTOMER,$J$10,FALSE),0)</f>
        <v>0</v>
      </c>
      <c r="K486" s="345">
        <f>SUM($G$486:$J$486)</f>
        <v>0</v>
      </c>
      <c r="L486" s="345">
        <f>F486-$K$486</f>
        <v>0</v>
      </c>
    </row>
    <row r="487" spans="1:12" ht="13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3">
        <f>'FR-16(7)(v)-4 DISTR Classified'!I487</f>
        <v>0</v>
      </c>
      <c r="G487" s="347">
        <f>F487-SUM(H487:J487)</f>
        <v>0</v>
      </c>
      <c r="H487" s="345">
        <f>ROUND($F$487*VLOOKUP($D$487,ALLOCTABLE_DISTR_CUSTOMER,$H$10,FALSE),0)</f>
        <v>0</v>
      </c>
      <c r="I487" s="345">
        <f>ROUND(F487*VLOOKUP(D487,ALLOCTABLE_DISTR_CUSTOMER,$I$10,FALSE),0)</f>
        <v>0</v>
      </c>
      <c r="J487" s="345">
        <f>ROUND(F487*VLOOKUP(D487,ALLOCTABLE_DISTR_CUSTOMER,$J$10,FALSE),0)</f>
        <v>0</v>
      </c>
      <c r="K487" s="345">
        <f>SUM($G$487:$J$487)</f>
        <v>0</v>
      </c>
      <c r="L487" s="345">
        <f>F487-$K$487</f>
        <v>0</v>
      </c>
    </row>
    <row r="488" spans="1:12" ht="13">
      <c r="A488" s="331">
        <v>12</v>
      </c>
      <c r="C488" s="330" t="str">
        <f>'FR-16(7)(v)-1 Functional'!C488</f>
        <v xml:space="preserve">  TOTAL MISCELLANEOUS TAXES</v>
      </c>
      <c r="D488" s="342"/>
      <c r="E488" s="195"/>
      <c r="F488" s="346">
        <f>SUM(F484:F487)</f>
        <v>236595</v>
      </c>
      <c r="G488" s="346">
        <f>SUM($G$484:$G$487)</f>
        <v>211546</v>
      </c>
      <c r="H488" s="346">
        <f>SUM($H$484:$H$487)</f>
        <v>23946</v>
      </c>
      <c r="I488" s="346">
        <f>SUM($I$484:$I$487)</f>
        <v>715</v>
      </c>
      <c r="J488" s="346">
        <f>SUM($J$484:$J$487)</f>
        <v>388</v>
      </c>
      <c r="K488" s="346">
        <f>SUM($K$484:$K$487)</f>
        <v>236595</v>
      </c>
      <c r="L488" s="346">
        <f>SUM($L$484:$L$487)</f>
        <v>0</v>
      </c>
    </row>
    <row r="489" spans="1:12" ht="13">
      <c r="A489" s="331">
        <v>13</v>
      </c>
      <c r="D489" s="342"/>
      <c r="E489" s="195"/>
      <c r="F489" s="351"/>
      <c r="I489" s="330"/>
    </row>
    <row r="490" spans="1:12" ht="13">
      <c r="A490" s="331">
        <v>14</v>
      </c>
      <c r="B490" s="330" t="s">
        <v>66</v>
      </c>
      <c r="D490" s="342"/>
      <c r="E490" s="195"/>
      <c r="F490" s="351"/>
      <c r="I490" s="330"/>
    </row>
    <row r="491" spans="1:12" ht="13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3">
        <f>'FR-16(7)(v)-4 DISTR Classified'!I491</f>
        <v>11617</v>
      </c>
      <c r="G491" s="347">
        <f>F491-SUM(H491:J491)</f>
        <v>10387</v>
      </c>
      <c r="H491" s="345">
        <f>ROUND($F$491*VLOOKUP($D$491,ALLOCTABLE_DISTR_CUSTOMER,$H$10,FALSE),0)</f>
        <v>1176</v>
      </c>
      <c r="I491" s="345">
        <f>ROUND(F491*VLOOKUP(D491,ALLOCTABLE_DISTR_CUSTOMER,$I$10,FALSE),0)</f>
        <v>35</v>
      </c>
      <c r="J491" s="345">
        <f>ROUND(F491*VLOOKUP(D491,ALLOCTABLE_DISTR_CUSTOMER,$J$10,FALSE),0)</f>
        <v>19</v>
      </c>
      <c r="K491" s="345">
        <f>SUM($G$491:$J$491)</f>
        <v>11617</v>
      </c>
      <c r="L491" s="345">
        <f>F491-$K$491</f>
        <v>0</v>
      </c>
    </row>
    <row r="492" spans="1:12" ht="13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3">
        <f>'FR-16(7)(v)-4 DISTR Classified'!I492</f>
        <v>0</v>
      </c>
      <c r="G492" s="347">
        <f>F492-SUM(H492:J492)</f>
        <v>0</v>
      </c>
      <c r="H492" s="345">
        <f>ROUND($F$492*VLOOKUP($D$492,ALLOCTABLE_DISTR_CUSTOMER,$H$10,FALSE),0)</f>
        <v>0</v>
      </c>
      <c r="I492" s="345">
        <f>ROUND(F492*VLOOKUP(D492,ALLOCTABLE_DISTR_CUSTOMER,$I$10,FALSE),0)</f>
        <v>0</v>
      </c>
      <c r="J492" s="345">
        <f>ROUND(F492*VLOOKUP(D492,ALLOCTABLE_DISTR_CUSTOMER,$J$10,FALSE),0)</f>
        <v>0</v>
      </c>
      <c r="K492" s="345">
        <f>SUM($G$492:$J$492)</f>
        <v>0</v>
      </c>
      <c r="L492" s="345">
        <f>F492-$K$492</f>
        <v>0</v>
      </c>
    </row>
    <row r="493" spans="1:12" ht="13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4">
        <f>SUM(F491:F492)</f>
        <v>11617</v>
      </c>
      <c r="G493" s="346">
        <f>SUM($G$491:$G$492)</f>
        <v>10387</v>
      </c>
      <c r="H493" s="346">
        <f>SUM($H$491:$H$492)</f>
        <v>1176</v>
      </c>
      <c r="I493" s="346">
        <f>SUM($I$491:$I$492)</f>
        <v>35</v>
      </c>
      <c r="J493" s="346">
        <f>SUM($J$491:$J$492)</f>
        <v>19</v>
      </c>
      <c r="K493" s="346">
        <f>SUM($K$491:$K$492)</f>
        <v>11617</v>
      </c>
      <c r="L493" s="346">
        <f>SUM($L$491:$L$492)</f>
        <v>0</v>
      </c>
    </row>
    <row r="494" spans="1:12" ht="13">
      <c r="A494" s="331">
        <v>18</v>
      </c>
      <c r="D494" s="342"/>
      <c r="E494" s="195"/>
      <c r="I494" s="330"/>
    </row>
    <row r="495" spans="1:12" ht="13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1778626</v>
      </c>
      <c r="G495" s="345">
        <f>$G$488+$G$481+$G$493</f>
        <v>1530162</v>
      </c>
      <c r="H495" s="345">
        <f>$H$488+$H$481+$H$493</f>
        <v>235370</v>
      </c>
      <c r="I495" s="345">
        <f>$I$488+$I$481+$I$493</f>
        <v>7866</v>
      </c>
      <c r="J495" s="345">
        <f>$J$488+$J$481+$J$493</f>
        <v>5228</v>
      </c>
      <c r="K495" s="345">
        <f>$K$488+$K$481+$K$493</f>
        <v>1778626</v>
      </c>
      <c r="L495" s="345">
        <f>$L$488+$L$481+$L$493</f>
        <v>0</v>
      </c>
    </row>
    <row r="496" spans="1:12" ht="13">
      <c r="A496" s="331">
        <v>20</v>
      </c>
      <c r="D496" s="342"/>
      <c r="E496" s="195"/>
      <c r="I496" s="330"/>
    </row>
    <row r="497" spans="1:12" ht="13">
      <c r="A497" s="331">
        <v>21</v>
      </c>
      <c r="B497" s="330" t="s">
        <v>40</v>
      </c>
      <c r="D497" s="342"/>
      <c r="E497" s="195"/>
      <c r="I497" s="330"/>
    </row>
    <row r="498" spans="1:12" ht="13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L498" si="158">F433</f>
        <v>9610144</v>
      </c>
      <c r="G498" s="345">
        <f>G433</f>
        <v>8637497</v>
      </c>
      <c r="H498" s="345">
        <f t="shared" si="158"/>
        <v>933004</v>
      </c>
      <c r="I498" s="345">
        <f t="shared" si="158"/>
        <v>26022</v>
      </c>
      <c r="J498" s="345">
        <f t="shared" si="158"/>
        <v>13621</v>
      </c>
      <c r="K498" s="345">
        <f t="shared" si="158"/>
        <v>9610144</v>
      </c>
      <c r="L498" s="345">
        <f t="shared" si="158"/>
        <v>0</v>
      </c>
    </row>
    <row r="499" spans="1:12" ht="13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L499" si="159">F465</f>
        <v>7064014</v>
      </c>
      <c r="G499" s="345">
        <f>G465</f>
        <v>6082463</v>
      </c>
      <c r="H499" s="345">
        <f t="shared" si="159"/>
        <v>929929</v>
      </c>
      <c r="I499" s="345">
        <f t="shared" si="159"/>
        <v>31029</v>
      </c>
      <c r="J499" s="345">
        <f t="shared" si="159"/>
        <v>20593</v>
      </c>
      <c r="K499" s="345">
        <f t="shared" si="159"/>
        <v>7064014</v>
      </c>
      <c r="L499" s="345">
        <f t="shared" si="159"/>
        <v>0</v>
      </c>
    </row>
    <row r="500" spans="1:12" ht="13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1778626</v>
      </c>
      <c r="G500" s="345">
        <f>$G$495</f>
        <v>1530162</v>
      </c>
      <c r="H500" s="345">
        <f>$H$495</f>
        <v>235370</v>
      </c>
      <c r="I500" s="345">
        <f>$I$495</f>
        <v>7866</v>
      </c>
      <c r="J500" s="345">
        <f>$J$495</f>
        <v>5228</v>
      </c>
      <c r="K500" s="345">
        <f>$K$495</f>
        <v>1778626</v>
      </c>
      <c r="L500" s="345">
        <f>$L$495</f>
        <v>0</v>
      </c>
    </row>
    <row r="501" spans="1:12" ht="13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18452784</v>
      </c>
      <c r="G501" s="346">
        <f>SUM($G$498:$G$500)</f>
        <v>16250122</v>
      </c>
      <c r="H501" s="346">
        <f>SUM($H$498:$H$500)</f>
        <v>2098303</v>
      </c>
      <c r="I501" s="346">
        <f>SUM($I$498:$I$500)</f>
        <v>64917</v>
      </c>
      <c r="J501" s="346">
        <f>SUM($J$498:$J$500)</f>
        <v>39442</v>
      </c>
      <c r="K501" s="346">
        <f>SUM($K$498:$K$500)</f>
        <v>18452784</v>
      </c>
      <c r="L501" s="346">
        <f>SUM($L$498:$L$500)</f>
        <v>0</v>
      </c>
    </row>
    <row r="502" spans="1:12" ht="13">
      <c r="B502" s="341"/>
      <c r="C502" s="195"/>
      <c r="D502" s="342"/>
      <c r="E502" s="195"/>
      <c r="G502" s="340"/>
      <c r="H502" s="340"/>
      <c r="I502" s="195"/>
      <c r="J502" s="342"/>
      <c r="K502" s="195"/>
      <c r="L502" s="195"/>
    </row>
    <row r="503" spans="1:12" ht="13">
      <c r="A503" s="341" t="str">
        <f>co_name</f>
        <v>DUKE ENERGY KENTUCKY, INC.</v>
      </c>
      <c r="C503" s="195"/>
      <c r="D503" s="342"/>
      <c r="E503" s="195"/>
      <c r="F503" s="342"/>
      <c r="G503" s="340"/>
      <c r="H503" s="340"/>
      <c r="I503" s="195"/>
      <c r="K503" s="359" t="str">
        <f>$K$1</f>
        <v>FR-16(7)(v)-6</v>
      </c>
      <c r="L503" s="195"/>
    </row>
    <row r="504" spans="1:12" ht="13">
      <c r="A504" s="341" t="str">
        <f>$A$2</f>
        <v>DISTRIBUTION CUSTOMER ALLOCATED - GAS COST OF SERVICE</v>
      </c>
      <c r="C504" s="195"/>
      <c r="D504" s="342"/>
      <c r="E504" s="195"/>
      <c r="F504" s="342"/>
      <c r="G504" s="340"/>
      <c r="H504" s="340"/>
      <c r="I504" s="195"/>
      <c r="K504" s="359" t="str">
        <f>$K$2</f>
        <v>WITNESS RESPONSIBLE:</v>
      </c>
      <c r="L504" s="195"/>
    </row>
    <row r="505" spans="1:12" ht="13">
      <c r="A505" s="341" t="str">
        <f>case_name</f>
        <v>CASE NO: 2021-00190</v>
      </c>
      <c r="C505" s="195"/>
      <c r="D505" s="342"/>
      <c r="E505" s="195"/>
      <c r="F505" s="342"/>
      <c r="G505" s="340"/>
      <c r="H505" s="340"/>
      <c r="I505" s="195"/>
      <c r="K505" s="359" t="str">
        <f>Witness</f>
        <v>JAMES E. ZIOLKOWSKI</v>
      </c>
      <c r="L505" s="195"/>
    </row>
    <row r="506" spans="1:12" ht="13">
      <c r="A506" s="341" t="str">
        <f>data_filing</f>
        <v>DATA: 12 MONTH FORECASTED PERIOD</v>
      </c>
      <c r="C506" s="195"/>
      <c r="D506" s="342"/>
      <c r="E506" s="195"/>
      <c r="F506" s="342"/>
      <c r="G506" s="340"/>
      <c r="H506" s="340"/>
      <c r="I506" s="195"/>
      <c r="K506" s="359" t="str">
        <f>"PAGE "&amp;Pages-6&amp;" OF "&amp;Pages</f>
        <v>PAGE 12 OF 18</v>
      </c>
      <c r="L506" s="195"/>
    </row>
    <row r="507" spans="1:12" ht="13">
      <c r="A507" s="341" t="str">
        <f>type</f>
        <v xml:space="preserve">TYPE OF FILING: "X" ORIGINAL   UPDATED    REVISED  </v>
      </c>
      <c r="C507" s="195"/>
      <c r="D507" s="342"/>
      <c r="E507" s="195"/>
      <c r="F507" s="342"/>
      <c r="G507" s="340"/>
      <c r="H507" s="340"/>
      <c r="I507" s="195"/>
      <c r="J507" s="342"/>
      <c r="K507" s="195"/>
      <c r="L507" s="195"/>
    </row>
    <row r="508" spans="1:12" ht="13">
      <c r="B508" s="341"/>
      <c r="C508" s="195"/>
      <c r="D508" s="342"/>
      <c r="E508" s="195"/>
      <c r="F508" s="342"/>
      <c r="G508" s="340"/>
      <c r="H508" s="340"/>
      <c r="I508" s="195"/>
      <c r="J508" s="342"/>
      <c r="K508" s="195"/>
      <c r="L508" s="195"/>
    </row>
    <row r="509" spans="1:12" ht="13">
      <c r="B509" s="341"/>
      <c r="C509" s="195"/>
      <c r="D509" s="342"/>
      <c r="E509" s="195"/>
      <c r="F509" s="342" t="str">
        <f>$F$7</f>
        <v>TOTAL</v>
      </c>
      <c r="G509" s="340"/>
      <c r="H509" s="340"/>
      <c r="I509" s="195"/>
      <c r="J509" s="342"/>
      <c r="K509" s="195"/>
      <c r="L509" s="195"/>
    </row>
    <row r="510" spans="1:12" ht="13">
      <c r="A510" s="342" t="s">
        <v>907</v>
      </c>
      <c r="B510" s="195"/>
      <c r="C510" s="195"/>
      <c r="D510" s="342"/>
      <c r="E510" s="195"/>
      <c r="F510" s="342" t="str">
        <f>$F$8</f>
        <v>DISTRIBUTION</v>
      </c>
      <c r="G510" s="352" t="str">
        <f>$G$8</f>
        <v>RS</v>
      </c>
      <c r="H510" s="352" t="str">
        <f>$H$8</f>
        <v>GS</v>
      </c>
      <c r="I510" s="342" t="str">
        <f>$I$8</f>
        <v>FT-L</v>
      </c>
      <c r="J510" s="342" t="str">
        <f>$J$8</f>
        <v>INTERUPT</v>
      </c>
      <c r="K510" s="342" t="s">
        <v>229</v>
      </c>
      <c r="L510" s="342" t="s">
        <v>342</v>
      </c>
    </row>
    <row r="511" spans="1:12" ht="13">
      <c r="A511" s="344" t="s">
        <v>908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2" t="str">
        <f>$F$9</f>
        <v>CUSTOMER</v>
      </c>
      <c r="G511" s="353" t="str">
        <f>$G$9</f>
        <v>RESIDENTIAL</v>
      </c>
      <c r="H511" s="353" t="str">
        <f>$H$9</f>
        <v>GEN SERV</v>
      </c>
      <c r="I511" s="344" t="str">
        <f>$I$9</f>
        <v>FIRM TRANS</v>
      </c>
      <c r="J511" s="344" t="str">
        <f>$J$9</f>
        <v>TRANS</v>
      </c>
      <c r="K511" s="344" t="s">
        <v>341</v>
      </c>
      <c r="L511" s="344" t="s">
        <v>340</v>
      </c>
    </row>
    <row r="512" spans="1:12" ht="13">
      <c r="C512" s="572" t="s">
        <v>351</v>
      </c>
      <c r="D512" s="342"/>
      <c r="E512" s="195"/>
      <c r="F512" s="755"/>
      <c r="G512" s="627">
        <f>$G$10</f>
        <v>3</v>
      </c>
      <c r="H512" s="627">
        <f>$H$10</f>
        <v>4</v>
      </c>
      <c r="I512" s="627">
        <f>$I$10</f>
        <v>5</v>
      </c>
      <c r="J512" s="627">
        <f>$J$10</f>
        <v>6</v>
      </c>
    </row>
    <row r="513" spans="1:12" ht="13">
      <c r="A513" s="331">
        <v>1</v>
      </c>
      <c r="B513" s="330" t="s">
        <v>69</v>
      </c>
      <c r="D513" s="342"/>
      <c r="E513" s="195"/>
      <c r="I513" s="330"/>
    </row>
    <row r="514" spans="1:12" ht="13">
      <c r="A514" s="331">
        <v>2</v>
      </c>
      <c r="B514" s="330" t="s">
        <v>70</v>
      </c>
      <c r="D514" s="342"/>
      <c r="E514" s="195"/>
      <c r="F514" s="330" t="s">
        <v>343</v>
      </c>
      <c r="I514" s="330"/>
    </row>
    <row r="515" spans="1:12" ht="13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3">
        <f>'FR-16(7)(v)-4 DISTR Classified'!I515</f>
        <v>3216474</v>
      </c>
      <c r="G515" s="347">
        <f>F515-SUM(H515:J515)</f>
        <v>2749795</v>
      </c>
      <c r="H515" s="345">
        <f>ROUND($F$515*VLOOKUP($D$515,ALLOCTABLE_DISTR_CUSTOMER,$H$10,FALSE),0)</f>
        <v>441590</v>
      </c>
      <c r="I515" s="345">
        <f>ROUND(F515*VLOOKUP(D515,ALLOCTABLE_DISTR_CUSTOMER,$I$10,FALSE),0)</f>
        <v>14957</v>
      </c>
      <c r="J515" s="345">
        <f>ROUND(F515*VLOOKUP(D515,ALLOCTABLE_DISTR_CUSTOMER,$J$10,FALSE),0)</f>
        <v>10132</v>
      </c>
      <c r="K515" s="345">
        <f>SUM($G$515:$J$515)</f>
        <v>3216474</v>
      </c>
      <c r="L515" s="345">
        <f>F515-$K$515</f>
        <v>0</v>
      </c>
    </row>
    <row r="516" spans="1:12" ht="13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3216474</v>
      </c>
      <c r="G516" s="346">
        <f>$G$515</f>
        <v>2749795</v>
      </c>
      <c r="H516" s="346">
        <f>$H$515</f>
        <v>441590</v>
      </c>
      <c r="I516" s="346">
        <f>$I$515</f>
        <v>14957</v>
      </c>
      <c r="J516" s="346">
        <f>$J$515</f>
        <v>10132</v>
      </c>
      <c r="K516" s="346">
        <f>$K$515</f>
        <v>3216474</v>
      </c>
      <c r="L516" s="346">
        <f>$L$515</f>
        <v>0</v>
      </c>
    </row>
    <row r="517" spans="1:12" ht="13">
      <c r="A517" s="331">
        <v>5</v>
      </c>
      <c r="D517" s="342"/>
      <c r="E517" s="195"/>
      <c r="F517" s="351"/>
      <c r="I517" s="330"/>
    </row>
    <row r="518" spans="1:12" ht="13">
      <c r="A518" s="331">
        <v>6</v>
      </c>
      <c r="B518" s="330" t="s">
        <v>71</v>
      </c>
      <c r="D518" s="342"/>
      <c r="E518" s="195"/>
      <c r="F518" s="351"/>
      <c r="I518" s="330"/>
    </row>
    <row r="519" spans="1:12" ht="13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3">
        <f>'FR-16(7)(v)-4 DISTR Classified'!I519</f>
        <v>3532662</v>
      </c>
      <c r="G519" s="347">
        <f>F519-SUM(H519:J519)</f>
        <v>3041799</v>
      </c>
      <c r="H519" s="345">
        <f>ROUND($F$519*VLOOKUP($D$519,ALLOCTABLE_DISTR_CUSTOMER,$H$10,FALSE),0)</f>
        <v>465040</v>
      </c>
      <c r="I519" s="345">
        <f>ROUND(F519*VLOOKUP(D519,ALLOCTABLE_DISTR_CUSTOMER,$I$10,FALSE),0)</f>
        <v>15508</v>
      </c>
      <c r="J519" s="345">
        <f>ROUND(F519*VLOOKUP(D519,ALLOCTABLE_DISTR_CUSTOMER,$J$10,FALSE),0)</f>
        <v>10315</v>
      </c>
      <c r="K519" s="345">
        <f>SUM($G$519:$J$519)</f>
        <v>3532662</v>
      </c>
      <c r="L519" s="345">
        <f>F519-$K$519</f>
        <v>0</v>
      </c>
    </row>
    <row r="520" spans="1:12" ht="13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3">
        <f>'FR-16(7)(v)-4 DISTR Classified'!I520</f>
        <v>-89482</v>
      </c>
      <c r="G520" s="347">
        <f>F520-SUM(H520:J520)</f>
        <v>-80009</v>
      </c>
      <c r="H520" s="345">
        <f>ROUND($F$520*VLOOKUP($D$520,ALLOCTABLE_DISTR_CUSTOMER,$H$10,FALSE),0)</f>
        <v>-9056</v>
      </c>
      <c r="I520" s="345">
        <f>ROUND(F520*VLOOKUP(D520,ALLOCTABLE_DISTR_CUSTOMER,$I$10,FALSE),0)</f>
        <v>-270</v>
      </c>
      <c r="J520" s="345">
        <f>ROUND(F520*VLOOKUP(D520,ALLOCTABLE_DISTR_CUSTOMER,$J$10,FALSE),0)</f>
        <v>-147</v>
      </c>
      <c r="K520" s="345">
        <f>SUM($G$520:$J$520)</f>
        <v>-89482</v>
      </c>
      <c r="L520" s="345">
        <f>F520-$K$520</f>
        <v>0</v>
      </c>
    </row>
    <row r="521" spans="1:12" ht="13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3">
        <f>'FR-16(7)(v)-4 DISTR Classified'!I521</f>
        <v>-760392</v>
      </c>
      <c r="G521" s="347">
        <f>F521-SUM(H521:J521)</f>
        <v>-654736</v>
      </c>
      <c r="H521" s="345">
        <f>ROUND($F$521*VLOOKUP($D$521,ALLOCTABLE_DISTR_CUSTOMER,$H$10,FALSE),0)</f>
        <v>-100098</v>
      </c>
      <c r="I521" s="345">
        <f>ROUND(F521*VLOOKUP(D521,ALLOCTABLE_DISTR_CUSTOMER,$I$10,FALSE),0)</f>
        <v>-3338</v>
      </c>
      <c r="J521" s="345">
        <f>ROUND(F521*VLOOKUP(D521,ALLOCTABLE_DISTR_CUSTOMER,$J$10,FALSE),0)</f>
        <v>-2220</v>
      </c>
      <c r="K521" s="345">
        <f>SUM($G$521:$J$521)</f>
        <v>-760392</v>
      </c>
      <c r="L521" s="345">
        <f>F521-$K$521</f>
        <v>0</v>
      </c>
    </row>
    <row r="522" spans="1:12" ht="13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2682788</v>
      </c>
      <c r="G522" s="346">
        <f>SUM($G$519:$G$521)</f>
        <v>2307054</v>
      </c>
      <c r="H522" s="346">
        <f>SUM($H$519:$H$521)</f>
        <v>355886</v>
      </c>
      <c r="I522" s="346">
        <f>SUM($I$519:$I$521)</f>
        <v>11900</v>
      </c>
      <c r="J522" s="346">
        <f>SUM($J$519:$J$521)</f>
        <v>7948</v>
      </c>
      <c r="K522" s="346">
        <f>SUM($K$519:$K$521)</f>
        <v>2682788</v>
      </c>
      <c r="L522" s="474">
        <f>SUM($L$519:$L$521)</f>
        <v>0</v>
      </c>
    </row>
    <row r="523" spans="1:12" ht="13">
      <c r="A523" s="331">
        <v>11</v>
      </c>
      <c r="D523" s="342"/>
      <c r="E523" s="195"/>
      <c r="F523" s="351"/>
      <c r="I523" s="330"/>
    </row>
    <row r="524" spans="1:12" ht="13">
      <c r="A524" s="331">
        <v>12</v>
      </c>
      <c r="B524" s="330" t="s">
        <v>72</v>
      </c>
      <c r="D524" s="342"/>
      <c r="E524" s="195"/>
      <c r="F524" s="347">
        <f>F522+F516</f>
        <v>5899262</v>
      </c>
      <c r="G524" s="345">
        <f>$G$522+$G$516</f>
        <v>5056849</v>
      </c>
      <c r="H524" s="345">
        <f>$H$522+$H$516</f>
        <v>797476</v>
      </c>
      <c r="I524" s="345">
        <f>$I$522+$I$516</f>
        <v>26857</v>
      </c>
      <c r="J524" s="345">
        <f>$J$522+$J$516</f>
        <v>18080</v>
      </c>
      <c r="K524" s="345">
        <f>$K$522+$K$516</f>
        <v>5899262</v>
      </c>
      <c r="L524" s="345">
        <f>$L$522+$L$516</f>
        <v>0</v>
      </c>
    </row>
    <row r="525" spans="1:12" ht="13">
      <c r="A525" s="331">
        <v>13</v>
      </c>
      <c r="D525" s="342"/>
      <c r="E525" s="195"/>
      <c r="F525" s="351"/>
      <c r="I525" s="330"/>
    </row>
    <row r="526" spans="1:12" ht="13">
      <c r="A526" s="331">
        <v>14</v>
      </c>
      <c r="B526" s="338" t="s">
        <v>541</v>
      </c>
      <c r="D526" s="342"/>
      <c r="E526" s="195"/>
      <c r="F526" s="351"/>
      <c r="I526" s="330"/>
    </row>
    <row r="527" spans="1:12" ht="13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3">
        <f>'FR-16(7)(v)-4 DISTR Classified'!I527</f>
        <v>216979</v>
      </c>
      <c r="G527" s="347">
        <f>F527-SUM(H527:J527)</f>
        <v>195017</v>
      </c>
      <c r="H527" s="345">
        <f>ROUND($F$527*VLOOKUP($D$527,ALLOCTABLE_DISTR_CUSTOMER,$H$10,FALSE),0)</f>
        <v>21066</v>
      </c>
      <c r="I527" s="345">
        <f>ROUND(F527*VLOOKUP(D527,ALLOCTABLE_DISTR_CUSTOMER,$I$10,FALSE),0)</f>
        <v>588</v>
      </c>
      <c r="J527" s="345">
        <f>ROUND(F527*VLOOKUP(D527,ALLOCTABLE_DISTR_CUSTOMER,$J$10,FALSE),0)</f>
        <v>308</v>
      </c>
      <c r="K527" s="345">
        <f>SUM($G$527:$J$527)</f>
        <v>216979</v>
      </c>
      <c r="L527" s="345">
        <f>F527-$K$527</f>
        <v>0</v>
      </c>
    </row>
    <row r="528" spans="1:12" ht="13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3">
        <f>'FR-16(7)(v)-4 DISTR Classified'!I528</f>
        <v>5974</v>
      </c>
      <c r="G528" s="347">
        <f>F528-SUM(H528:J528)</f>
        <v>5341</v>
      </c>
      <c r="H528" s="345">
        <f>ROUND($F$528*VLOOKUP($D$528,ALLOCTABLE_DISTR_CUSTOMER,$H$10,FALSE),0)</f>
        <v>605</v>
      </c>
      <c r="I528" s="345">
        <f>ROUND(F528*VLOOKUP(D528,ALLOCTABLE_DISTR_CUSTOMER,$I$10,FALSE),0)</f>
        <v>18</v>
      </c>
      <c r="J528" s="345">
        <f>ROUND(F528*VLOOKUP(D528,ALLOCTABLE_DISTR_CUSTOMER,$J$10,FALSE),0)</f>
        <v>10</v>
      </c>
      <c r="K528" s="345">
        <f>SUM($G$528:$J$528)</f>
        <v>5974</v>
      </c>
      <c r="L528" s="345">
        <f>F528-$K$528</f>
        <v>0</v>
      </c>
    </row>
    <row r="529" spans="1:12" ht="13">
      <c r="A529" s="331">
        <v>17</v>
      </c>
      <c r="C529" s="612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3">
        <f>'FR-16(7)(v)-4 DISTR Classified'!I529</f>
        <v>0</v>
      </c>
      <c r="G529" s="347">
        <f>F529-SUM(H529:J529)</f>
        <v>0</v>
      </c>
      <c r="H529" s="345">
        <f>ROUND($F$529*VLOOKUP($D$529,ALLOCTABLE_DISTR_CUSTOMER,$H$10,FALSE),0)</f>
        <v>0</v>
      </c>
      <c r="I529" s="345">
        <f>ROUND(F529*VLOOKUP(D529,ALLOCTABLE_DISTR_CUSTOMER,$I$10,FALSE),0)</f>
        <v>0</v>
      </c>
      <c r="J529" s="345">
        <f>ROUND(F529*VLOOKUP(D529,ALLOCTABLE_DISTR_CUSTOMER,$J$10,FALSE),0)</f>
        <v>0</v>
      </c>
      <c r="K529" s="345">
        <f>SUM($G$529:$J$529)</f>
        <v>0</v>
      </c>
      <c r="L529" s="345">
        <f>F529-$K$529</f>
        <v>0</v>
      </c>
    </row>
    <row r="530" spans="1:12" ht="13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3">
        <f>'FR-16(7)(v)-4 DISTR Classified'!I530</f>
        <v>0</v>
      </c>
      <c r="G530" s="347">
        <f>F530-SUM(H530:J530)</f>
        <v>0</v>
      </c>
      <c r="H530" s="345">
        <f>ROUND($F$530*VLOOKUP($D$530,ALLOCTABLE_DISTR_CUSTOMER,$H$10,FALSE),0)</f>
        <v>0</v>
      </c>
      <c r="I530" s="345">
        <f>ROUND(F530*VLOOKUP(D530,ALLOCTABLE_DISTR_CUSTOMER,$I$10,FALSE),0)</f>
        <v>0</v>
      </c>
      <c r="J530" s="345">
        <f>ROUND(F530*VLOOKUP(D530,ALLOCTABLE_DISTR_CUSTOMER,$J$10,FALSE),0)</f>
        <v>0</v>
      </c>
      <c r="K530" s="345">
        <f>SUM($G$530:$J$530)</f>
        <v>0</v>
      </c>
      <c r="L530" s="345">
        <f>F530-$K$530</f>
        <v>0</v>
      </c>
    </row>
    <row r="531" spans="1:12" ht="13">
      <c r="A531" s="331">
        <v>19</v>
      </c>
      <c r="C531" s="357" t="s">
        <v>1418</v>
      </c>
      <c r="D531" s="342" t="str">
        <f>'FR-16(7)(v)-1 Functional'!D531</f>
        <v>AG39</v>
      </c>
      <c r="E531" s="195"/>
      <c r="F531" s="473">
        <f>'FR-16(7)(v)-4 DISTR Classified'!I531</f>
        <v>-240461</v>
      </c>
      <c r="G531" s="347">
        <f>F531-SUM(H531:J531)</f>
        <v>-215004</v>
      </c>
      <c r="H531" s="345">
        <f>ROUND($F$531*VLOOKUP($D$531,ALLOCTABLE_DISTR_CUSTOMER,$H$10,FALSE),0)</f>
        <v>-24337</v>
      </c>
      <c r="I531" s="345">
        <f>ROUND(F531*VLOOKUP(D531,ALLOCTABLE_DISTR_CUSTOMER,$I$10,FALSE),0)</f>
        <v>-726</v>
      </c>
      <c r="J531" s="345">
        <f>ROUND(F531*VLOOKUP(D531,ALLOCTABLE_DISTR_CUSTOMER,$J$10,FALSE),0)</f>
        <v>-394</v>
      </c>
      <c r="K531" s="345">
        <f>SUM($G$531:$J$531)</f>
        <v>-240461</v>
      </c>
      <c r="L531" s="345">
        <f>F531-$K$531</f>
        <v>0</v>
      </c>
    </row>
    <row r="532" spans="1:12" ht="13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-17508</v>
      </c>
      <c r="G532" s="346">
        <f>SUM($G$527:$G$531)</f>
        <v>-14646</v>
      </c>
      <c r="H532" s="346">
        <f>SUM($H$527:$H$531)</f>
        <v>-2666</v>
      </c>
      <c r="I532" s="346">
        <f>SUM($I$527:$I$531)</f>
        <v>-120</v>
      </c>
      <c r="J532" s="346">
        <f>SUM($J$527:$J$531)</f>
        <v>-76</v>
      </c>
      <c r="K532" s="346">
        <f>SUM($K$527:$K$531)</f>
        <v>-17508</v>
      </c>
      <c r="L532" s="474">
        <f>SUM($L$527:$L$531)</f>
        <v>0</v>
      </c>
    </row>
    <row r="533" spans="1:12" ht="13">
      <c r="A533" s="331">
        <v>21</v>
      </c>
      <c r="D533" s="342"/>
      <c r="E533" s="195"/>
      <c r="F533" s="351"/>
      <c r="I533" s="330"/>
    </row>
    <row r="534" spans="1:12" ht="13">
      <c r="A534" s="331">
        <v>22</v>
      </c>
      <c r="B534" s="330" t="s">
        <v>418</v>
      </c>
      <c r="D534" s="342"/>
      <c r="E534" s="195"/>
      <c r="F534" s="351"/>
      <c r="I534" s="330"/>
    </row>
    <row r="535" spans="1:12" ht="13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3">
        <f>'FR-16(7)(v)-4 DISTR Classified'!I535</f>
        <v>22864</v>
      </c>
      <c r="G535" s="347">
        <f>F535-SUM(H535:J535)</f>
        <v>19545</v>
      </c>
      <c r="H535" s="506">
        <f>ROUND($F$535*VLOOKUP($D$535,ALLOCTABLE_DISTR_CUSTOMER,$H$10,FALSE),0)</f>
        <v>3141</v>
      </c>
      <c r="I535" s="506">
        <f>ROUND(F535*VLOOKUP(D535,ALLOCTABLE_DISTR_CUSTOMER,$I$10,FALSE),0)</f>
        <v>106</v>
      </c>
      <c r="J535" s="506">
        <f>ROUND(F535*VLOOKUP(D535,ALLOCTABLE_DISTR_CUSTOMER,$J$10,FALSE),0)</f>
        <v>72</v>
      </c>
      <c r="K535" s="506">
        <f>SUM($G$535:$J$535)</f>
        <v>22864</v>
      </c>
      <c r="L535" s="506">
        <f>F535-$K$535</f>
        <v>0</v>
      </c>
    </row>
    <row r="536" spans="1:12" ht="13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22864</v>
      </c>
      <c r="G536" s="346">
        <f>SUM($G$535:$G$535)</f>
        <v>19545</v>
      </c>
      <c r="H536" s="346">
        <f>SUM($H$535:$H$535)</f>
        <v>3141</v>
      </c>
      <c r="I536" s="346">
        <f>SUM($I$535:$I$535)</f>
        <v>106</v>
      </c>
      <c r="J536" s="346">
        <f>SUM($J$535:$J$535)</f>
        <v>72</v>
      </c>
      <c r="K536" s="346">
        <f>SUM($K$535:$K$535)</f>
        <v>22864</v>
      </c>
      <c r="L536" s="474">
        <f>SUM($L$535:$L$535)</f>
        <v>0</v>
      </c>
    </row>
    <row r="537" spans="1:12" ht="13">
      <c r="A537" s="331">
        <v>25</v>
      </c>
      <c r="D537" s="342"/>
      <c r="E537" s="195"/>
      <c r="F537" s="504"/>
      <c r="G537" s="504"/>
      <c r="H537" s="504"/>
      <c r="I537" s="504"/>
      <c r="J537" s="504"/>
      <c r="K537" s="504"/>
      <c r="L537" s="664"/>
    </row>
    <row r="538" spans="1:12" ht="15.5">
      <c r="A538" s="331">
        <v>26</v>
      </c>
      <c r="B538" s="330" t="s">
        <v>73</v>
      </c>
      <c r="D538" s="729"/>
      <c r="E538" s="1"/>
      <c r="F538" s="504"/>
      <c r="G538" s="504"/>
      <c r="H538" s="504"/>
      <c r="I538" s="504"/>
      <c r="J538" s="504"/>
      <c r="K538" s="504"/>
      <c r="L538" s="664"/>
    </row>
    <row r="539" spans="1:12" ht="13">
      <c r="A539" s="331">
        <v>27</v>
      </c>
      <c r="C539" s="330" t="str">
        <f>'FR-16(7)(v)-1 Functional'!C539</f>
        <v>PROV INVEST TAX CREDIT</v>
      </c>
      <c r="D539" s="342" t="s">
        <v>315</v>
      </c>
      <c r="F539" s="473">
        <v>0</v>
      </c>
      <c r="G539" s="347">
        <f>F539-SUM(H539:J539)</f>
        <v>0</v>
      </c>
      <c r="H539" s="506">
        <f>ROUND($F$539*VLOOKUP($D$539,ALLOCTABLE_DISTR_CUSTOMER,$H$10,FALSE),0)</f>
        <v>0</v>
      </c>
      <c r="I539" s="506">
        <f>ROUND(F539*VLOOKUP(D539,ALLOCTABLE_DISTR_CUSTOMER,$I$10,FALSE),0)</f>
        <v>0</v>
      </c>
      <c r="J539" s="506">
        <f>ROUND(F539*VLOOKUP(D539,ALLOCTABLE_DISTR_CUSTOMER,$J$10,FALSE),0)</f>
        <v>0</v>
      </c>
      <c r="K539" s="506">
        <f>SUM($G$539:$J$539)</f>
        <v>0</v>
      </c>
      <c r="L539" s="506">
        <f>F539-$K$539</f>
        <v>0</v>
      </c>
    </row>
    <row r="540" spans="1:12" ht="15.5">
      <c r="A540" s="331">
        <v>28</v>
      </c>
      <c r="C540" s="337" t="str">
        <f>'FR-16(7)(v)-1 Functional'!C540</f>
        <v xml:space="preserve">  TEST YEAR INV TAX CREDIT</v>
      </c>
      <c r="D540" s="729"/>
      <c r="E540" s="1"/>
      <c r="F540" s="346">
        <f>SUM(F539:F539)</f>
        <v>0</v>
      </c>
      <c r="G540" s="474">
        <f>SUM($G$539:$G$539)</f>
        <v>0</v>
      </c>
      <c r="H540" s="474">
        <f>SUM($H$539:$H$539)</f>
        <v>0</v>
      </c>
      <c r="I540" s="474">
        <f>SUM($I$539:$I$539)</f>
        <v>0</v>
      </c>
      <c r="J540" s="474">
        <f>SUM($J$539:$J$539)</f>
        <v>0</v>
      </c>
      <c r="K540" s="474">
        <f>SUM($K$539:$K$539)</f>
        <v>0</v>
      </c>
      <c r="L540" s="474">
        <f>SUM($L$539:$L$539)</f>
        <v>0</v>
      </c>
    </row>
    <row r="541" spans="1:12" ht="15.5">
      <c r="A541" s="331">
        <v>29</v>
      </c>
      <c r="B541" s="192"/>
      <c r="C541" s="192"/>
      <c r="D541" s="729"/>
      <c r="E541" s="1"/>
      <c r="F541" s="504"/>
      <c r="G541" s="504"/>
      <c r="H541" s="504"/>
      <c r="I541" s="504"/>
      <c r="J541" s="504"/>
      <c r="K541" s="504"/>
      <c r="L541" s="504"/>
    </row>
    <row r="542" spans="1:12" ht="15.5">
      <c r="A542" s="331">
        <v>30</v>
      </c>
      <c r="B542" s="330" t="s">
        <v>40</v>
      </c>
      <c r="C542" s="192"/>
      <c r="D542" s="729"/>
      <c r="E542" s="1"/>
      <c r="F542" s="504"/>
      <c r="G542" s="504"/>
      <c r="H542" s="504"/>
      <c r="I542" s="504"/>
      <c r="J542" s="504"/>
      <c r="K542" s="504"/>
      <c r="L542" s="504"/>
    </row>
    <row r="543" spans="1:12" ht="13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-17508</v>
      </c>
      <c r="G543" s="345">
        <f>$G$532</f>
        <v>-14646</v>
      </c>
      <c r="H543" s="345">
        <f>$H$532</f>
        <v>-2666</v>
      </c>
      <c r="I543" s="345">
        <f>$I$532</f>
        <v>-120</v>
      </c>
      <c r="J543" s="345">
        <f>$J$532</f>
        <v>-76</v>
      </c>
      <c r="K543" s="345">
        <f>$K$532</f>
        <v>-17508</v>
      </c>
      <c r="L543" s="345">
        <f>$L$532</f>
        <v>0</v>
      </c>
    </row>
    <row r="544" spans="1:12" ht="13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-22864</v>
      </c>
      <c r="G544" s="345">
        <f>-$G$536</f>
        <v>-19545</v>
      </c>
      <c r="H544" s="345">
        <f>-$H$536</f>
        <v>-3141</v>
      </c>
      <c r="I544" s="345">
        <f>-$I$536</f>
        <v>-106</v>
      </c>
      <c r="J544" s="345">
        <f>-$J$536</f>
        <v>-72</v>
      </c>
      <c r="K544" s="345">
        <f>-$K$536</f>
        <v>-22864</v>
      </c>
      <c r="L544" s="345">
        <f>-$L$536</f>
        <v>0</v>
      </c>
    </row>
    <row r="545" spans="1:12" ht="13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-40372</v>
      </c>
      <c r="G545" s="346">
        <f>SUM($G$543:$G$544)</f>
        <v>-34191</v>
      </c>
      <c r="H545" s="346">
        <f>SUM($H$543:$H$544)</f>
        <v>-5807</v>
      </c>
      <c r="I545" s="346">
        <f>SUM($I$543:$I$544)</f>
        <v>-226</v>
      </c>
      <c r="J545" s="346">
        <f>SUM($J$543:$J$544)</f>
        <v>-148</v>
      </c>
      <c r="K545" s="346">
        <f>SUM($K$543:$K$544)</f>
        <v>-40372</v>
      </c>
      <c r="L545" s="346">
        <f>SUM($L$543:$L$544)</f>
        <v>0</v>
      </c>
    </row>
    <row r="546" spans="1:12" ht="13">
      <c r="A546" s="331">
        <v>34</v>
      </c>
      <c r="D546" s="342"/>
      <c r="E546" s="195"/>
      <c r="F546" s="351"/>
      <c r="I546" s="330"/>
    </row>
    <row r="547" spans="1:12" ht="13">
      <c r="A547" s="331">
        <v>35</v>
      </c>
      <c r="B547" s="330" t="s">
        <v>74</v>
      </c>
      <c r="D547" s="342"/>
      <c r="E547" s="195"/>
      <c r="F547" s="351"/>
      <c r="I547" s="330"/>
    </row>
    <row r="548" spans="1:12" ht="13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L548" si="160">F334</f>
        <v>12351215</v>
      </c>
      <c r="G548" s="345">
        <f>G334</f>
        <v>10559138</v>
      </c>
      <c r="H548" s="345">
        <f t="shared" si="160"/>
        <v>1695728</v>
      </c>
      <c r="I548" s="345">
        <f t="shared" si="160"/>
        <v>57422</v>
      </c>
      <c r="J548" s="345">
        <f t="shared" si="160"/>
        <v>38927</v>
      </c>
      <c r="K548" s="345">
        <f t="shared" si="160"/>
        <v>12351215</v>
      </c>
      <c r="L548" s="345">
        <f t="shared" si="160"/>
        <v>0</v>
      </c>
    </row>
    <row r="549" spans="1:12" ht="13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-5899262</v>
      </c>
      <c r="G549" s="345">
        <f>-$G$524</f>
        <v>-5056849</v>
      </c>
      <c r="H549" s="345">
        <f>-$H$524</f>
        <v>-797476</v>
      </c>
      <c r="I549" s="345">
        <f>-$I$524</f>
        <v>-26857</v>
      </c>
      <c r="J549" s="345">
        <f>-$J$524</f>
        <v>-18080</v>
      </c>
      <c r="K549" s="345">
        <f>-$K$524</f>
        <v>-5899262</v>
      </c>
      <c r="L549" s="345">
        <f>-$L$524</f>
        <v>0</v>
      </c>
    </row>
    <row r="550" spans="1:12" ht="13">
      <c r="A550" s="331">
        <v>38</v>
      </c>
      <c r="C550" s="330" t="s">
        <v>1419</v>
      </c>
      <c r="D550" s="342"/>
      <c r="E550" s="195"/>
      <c r="F550" s="347">
        <f>F591</f>
        <v>238135</v>
      </c>
      <c r="G550" s="347">
        <f t="shared" ref="G550:L550" si="161">G591</f>
        <v>203563</v>
      </c>
      <c r="H550" s="347">
        <f t="shared" si="161"/>
        <v>32715</v>
      </c>
      <c r="I550" s="347">
        <f t="shared" si="161"/>
        <v>1107</v>
      </c>
      <c r="J550" s="347">
        <f t="shared" si="161"/>
        <v>750</v>
      </c>
      <c r="K550" s="347">
        <f t="shared" si="161"/>
        <v>238135</v>
      </c>
      <c r="L550" s="347">
        <f t="shared" si="161"/>
        <v>0</v>
      </c>
    </row>
    <row r="551" spans="1:12" ht="13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-40372</v>
      </c>
      <c r="G551" s="345">
        <f>$G$545</f>
        <v>-34191</v>
      </c>
      <c r="H551" s="345">
        <f>$H$545</f>
        <v>-5807</v>
      </c>
      <c r="I551" s="345">
        <f>$I$545</f>
        <v>-226</v>
      </c>
      <c r="J551" s="345">
        <f>$J$545</f>
        <v>-148</v>
      </c>
      <c r="K551" s="345">
        <f>$K$545</f>
        <v>-40372</v>
      </c>
      <c r="L551" s="345">
        <f>$L$545</f>
        <v>0</v>
      </c>
    </row>
    <row r="552" spans="1:12" ht="13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>SUM(F548:F551)</f>
        <v>6649716</v>
      </c>
      <c r="G552" s="346">
        <f>SUM($G$548:$G$551)</f>
        <v>5671661</v>
      </c>
      <c r="H552" s="346">
        <f>SUM($H$548:$H$551)</f>
        <v>925160</v>
      </c>
      <c r="I552" s="346">
        <f>SUM($I$548:$I$551)</f>
        <v>31446</v>
      </c>
      <c r="J552" s="346">
        <f>SUM($J$548:$J$551)</f>
        <v>21449</v>
      </c>
      <c r="K552" s="346">
        <f>SUM($K$548:$K$551)</f>
        <v>6649716</v>
      </c>
      <c r="L552" s="346">
        <f>SUM($L$548:$L$551)</f>
        <v>0</v>
      </c>
    </row>
    <row r="553" spans="1:12" ht="13">
      <c r="A553" s="331">
        <v>41</v>
      </c>
      <c r="D553" s="342"/>
      <c r="E553" s="195"/>
      <c r="F553" s="351"/>
      <c r="I553" s="330"/>
    </row>
    <row r="554" spans="1:12" ht="13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348">
        <f>ROUND(G692/(1-G692),9)</f>
        <v>0.26582278500000001</v>
      </c>
      <c r="H554" s="348">
        <f>ROUND(H692/(1-H692),9)</f>
        <v>0.26582278500000001</v>
      </c>
      <c r="I554" s="348">
        <f>ROUND(I692/(1-I692),9)</f>
        <v>0.26582278500000001</v>
      </c>
      <c r="J554" s="348">
        <f>ROUND(J692/(1-J692),9)</f>
        <v>0.26582278500000001</v>
      </c>
      <c r="K554" s="348"/>
      <c r="L554" s="348">
        <f>ROUND(K692/(1-K692),9)</f>
        <v>0.26582278500000001</v>
      </c>
    </row>
    <row r="555" spans="1:12" ht="13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>ROUND(F554*F552,0)</f>
        <v>1767646</v>
      </c>
      <c r="G555" s="345">
        <f>ROUND($G$552*$G$554,0)</f>
        <v>1507657</v>
      </c>
      <c r="H555" s="345">
        <f>ROUND($H$552*$H$554,0)</f>
        <v>245929</v>
      </c>
      <c r="I555" s="345">
        <f>ROUND($I$552*$I$554,0)</f>
        <v>8359</v>
      </c>
      <c r="J555" s="345">
        <f>ROUND($J$552*$J$554,0)</f>
        <v>5702</v>
      </c>
      <c r="K555" s="345">
        <f>SUM($G$555:$J$555)</f>
        <v>1767647</v>
      </c>
      <c r="L555" s="345">
        <f>ROUND($L$552*$L$554,0)</f>
        <v>0</v>
      </c>
    </row>
    <row r="556" spans="1:12" ht="13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-40372</v>
      </c>
      <c r="G556" s="345">
        <f>$G$545</f>
        <v>-34191</v>
      </c>
      <c r="H556" s="345">
        <f>$H$545</f>
        <v>-5807</v>
      </c>
      <c r="I556" s="345">
        <f>$I$545</f>
        <v>-226</v>
      </c>
      <c r="J556" s="345">
        <f>$J$545</f>
        <v>-148</v>
      </c>
      <c r="K556" s="345">
        <f>$K$545</f>
        <v>-40372</v>
      </c>
      <c r="L556" s="345">
        <f>$L$545</f>
        <v>0</v>
      </c>
    </row>
    <row r="557" spans="1:12" ht="13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>SUM(F555:F556)</f>
        <v>1727274</v>
      </c>
      <c r="G557" s="346">
        <f>SUM($G$555:$G$556)</f>
        <v>1473466</v>
      </c>
      <c r="H557" s="346">
        <f>SUM($H$555:$H$556)</f>
        <v>240122</v>
      </c>
      <c r="I557" s="346">
        <f>SUM($I$555:$I$556)</f>
        <v>8133</v>
      </c>
      <c r="J557" s="346">
        <f>SUM($J$555:$J$556)</f>
        <v>5554</v>
      </c>
      <c r="K557" s="346">
        <f>SUM($K$555:$K$556)</f>
        <v>1727275</v>
      </c>
      <c r="L557" s="346">
        <f>SUM($L$555:$L$556)</f>
        <v>0</v>
      </c>
    </row>
    <row r="558" spans="1:12" ht="13">
      <c r="A558" s="331">
        <v>46</v>
      </c>
      <c r="D558" s="342"/>
      <c r="E558" s="195"/>
      <c r="F558" s="351"/>
      <c r="I558" s="330"/>
    </row>
    <row r="559" spans="1:12" ht="13">
      <c r="A559" s="331">
        <v>47</v>
      </c>
      <c r="B559" s="330" t="s">
        <v>68</v>
      </c>
      <c r="D559" s="342"/>
      <c r="E559" s="195"/>
      <c r="F559" s="351"/>
      <c r="I559" s="330"/>
    </row>
    <row r="560" spans="1:12" ht="13">
      <c r="A560" s="331">
        <v>48</v>
      </c>
      <c r="B560" s="330" t="s">
        <v>75</v>
      </c>
      <c r="D560" s="342"/>
      <c r="E560" s="195"/>
      <c r="F560" s="351"/>
      <c r="I560" s="330"/>
    </row>
    <row r="561" spans="1:12" ht="13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>F555</f>
        <v>1767646</v>
      </c>
      <c r="G561" s="345">
        <f>$G$555</f>
        <v>1507657</v>
      </c>
      <c r="H561" s="345">
        <f>$H$555</f>
        <v>245929</v>
      </c>
      <c r="I561" s="345">
        <f>$I$555</f>
        <v>8359</v>
      </c>
      <c r="J561" s="345">
        <f>$J$555</f>
        <v>5702</v>
      </c>
      <c r="K561" s="345">
        <f>$K$555</f>
        <v>1767647</v>
      </c>
      <c r="L561" s="345">
        <f>$L$555</f>
        <v>0</v>
      </c>
    </row>
    <row r="562" spans="1:12" ht="13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620">
        <f>-$G$540</f>
        <v>0</v>
      </c>
      <c r="H562" s="620">
        <f>-$H$540</f>
        <v>0</v>
      </c>
      <c r="I562" s="345">
        <f>-$I$540</f>
        <v>0</v>
      </c>
      <c r="J562" s="345">
        <f>-$J$540</f>
        <v>0</v>
      </c>
      <c r="K562" s="345">
        <f>-$K$540</f>
        <v>0</v>
      </c>
      <c r="L562" s="345">
        <f>-$L$540</f>
        <v>0</v>
      </c>
    </row>
    <row r="563" spans="1:12" ht="13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>SUM(F560:F562)</f>
        <v>1767646</v>
      </c>
      <c r="G563" s="346">
        <f>SUM($G$560:$G$562)</f>
        <v>1507657</v>
      </c>
      <c r="H563" s="346">
        <f>SUM($H$560:$H$562)</f>
        <v>245929</v>
      </c>
      <c r="I563" s="346">
        <f>SUM($I$560:$I$562)</f>
        <v>8359</v>
      </c>
      <c r="J563" s="346">
        <f>SUM($J$560:$J$562)</f>
        <v>5702</v>
      </c>
      <c r="K563" s="346">
        <f>SUM($K$560:$K$562)</f>
        <v>1767647</v>
      </c>
      <c r="L563" s="346">
        <f>SUM($L$560:$L$562)</f>
        <v>0</v>
      </c>
    </row>
    <row r="564" spans="1:12" ht="13">
      <c r="A564" s="331">
        <v>52</v>
      </c>
      <c r="D564" s="342"/>
      <c r="E564" s="195"/>
      <c r="I564" s="330"/>
    </row>
    <row r="565" spans="1:12" ht="13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330">
        <f>ROUND((G693*(1-G692))+((1-G693)*(1-G692)*G694)+G692,5)</f>
        <v>0.24925</v>
      </c>
      <c r="H565" s="330">
        <f>ROUND((H693*(1-H692))+((1-H693)*(1-H692)*H694)+H692,5)</f>
        <v>0.24925</v>
      </c>
      <c r="I565" s="330">
        <f>ROUND((I693*(1-I692))+((1-I693)*(1-I692)*I694)+I692,7)</f>
        <v>0.24925120000000001</v>
      </c>
      <c r="J565" s="330">
        <f>ROUND((J693*(1-J692))+((1-J693)*(1-J692)*J694)+J692,5)</f>
        <v>0.24925</v>
      </c>
      <c r="L565" s="330">
        <f>ROUND((K693*(1-K692))+((1-K693)*(1-K692)*K694)+K692,5)</f>
        <v>0.24925</v>
      </c>
    </row>
    <row r="566" spans="1:12" ht="13">
      <c r="B566" s="341"/>
      <c r="C566" s="195"/>
      <c r="D566" s="342"/>
      <c r="E566" s="195"/>
      <c r="G566" s="340"/>
      <c r="H566" s="340"/>
      <c r="I566" s="195"/>
      <c r="J566" s="342"/>
      <c r="K566" s="195"/>
      <c r="L566" s="195"/>
    </row>
    <row r="567" spans="1:12" ht="13">
      <c r="A567" s="341" t="str">
        <f>co_name</f>
        <v>DUKE ENERGY KENTUCKY, INC.</v>
      </c>
      <c r="C567" s="195"/>
      <c r="D567" s="342"/>
      <c r="E567" s="195"/>
      <c r="F567" s="342"/>
      <c r="G567" s="340"/>
      <c r="H567" s="340"/>
      <c r="I567" s="195"/>
      <c r="K567" s="359" t="str">
        <f>$K$1</f>
        <v>FR-16(7)(v)-6</v>
      </c>
      <c r="L567" s="195"/>
    </row>
    <row r="568" spans="1:12" ht="13">
      <c r="A568" s="341" t="str">
        <f>$A$2</f>
        <v>DISTRIBUTION CUSTOMER ALLOCATED - GAS COST OF SERVICE</v>
      </c>
      <c r="C568" s="195"/>
      <c r="D568" s="342"/>
      <c r="E568" s="195"/>
      <c r="F568" s="342"/>
      <c r="G568" s="340"/>
      <c r="H568" s="340"/>
      <c r="I568" s="195"/>
      <c r="K568" s="359" t="str">
        <f>$K$2</f>
        <v>WITNESS RESPONSIBLE:</v>
      </c>
      <c r="L568" s="195"/>
    </row>
    <row r="569" spans="1:12" ht="13">
      <c r="A569" s="341" t="str">
        <f>case_name</f>
        <v>CASE NO: 2021-00190</v>
      </c>
      <c r="C569" s="195"/>
      <c r="D569" s="342"/>
      <c r="E569" s="195"/>
      <c r="F569" s="342"/>
      <c r="G569" s="340"/>
      <c r="H569" s="340"/>
      <c r="I569" s="195"/>
      <c r="K569" s="359" t="str">
        <f>Witness</f>
        <v>JAMES E. ZIOLKOWSKI</v>
      </c>
      <c r="L569" s="195"/>
    </row>
    <row r="570" spans="1:12" ht="13">
      <c r="A570" s="341" t="str">
        <f>data_filing</f>
        <v>DATA: 12 MONTH FORECASTED PERIOD</v>
      </c>
      <c r="C570" s="195"/>
      <c r="D570" s="342"/>
      <c r="E570" s="195"/>
      <c r="F570" s="342"/>
      <c r="G570" s="340"/>
      <c r="H570" s="340"/>
      <c r="I570" s="195"/>
      <c r="K570" s="359" t="str">
        <f>"PAGE "&amp;Pages-5&amp;" OF "&amp;Pages</f>
        <v>PAGE 13 OF 18</v>
      </c>
      <c r="L570" s="195"/>
    </row>
    <row r="571" spans="1:12" ht="13">
      <c r="A571" s="341" t="str">
        <f>type</f>
        <v xml:space="preserve">TYPE OF FILING: "X" ORIGINAL   UPDATED    REVISED  </v>
      </c>
      <c r="C571" s="195"/>
      <c r="D571" s="342"/>
      <c r="E571" s="195"/>
      <c r="F571" s="342"/>
      <c r="G571" s="340"/>
      <c r="H571" s="340"/>
      <c r="I571" s="195"/>
      <c r="J571" s="342"/>
      <c r="K571" s="195"/>
      <c r="L571" s="195"/>
    </row>
    <row r="573" spans="1:12" ht="13">
      <c r="F573" s="342" t="str">
        <f>$F$7</f>
        <v>TOTAL</v>
      </c>
      <c r="G573" s="195"/>
      <c r="H573" s="195"/>
      <c r="I573" s="195"/>
      <c r="J573" s="342"/>
      <c r="K573" s="195"/>
      <c r="L573" s="195"/>
    </row>
    <row r="574" spans="1:12" ht="13">
      <c r="A574" s="342" t="s">
        <v>907</v>
      </c>
      <c r="B574" s="1352"/>
      <c r="C574" s="1083"/>
      <c r="D574" s="1083"/>
      <c r="E574" s="340"/>
      <c r="F574" s="342" t="str">
        <f>$F$8</f>
        <v>DISTRIBUTION</v>
      </c>
      <c r="G574" s="342" t="s">
        <v>417</v>
      </c>
      <c r="H574" s="342" t="s">
        <v>857</v>
      </c>
      <c r="I574" s="342" t="s">
        <v>858</v>
      </c>
      <c r="J574" s="342" t="s">
        <v>546</v>
      </c>
      <c r="K574" s="342" t="s">
        <v>229</v>
      </c>
      <c r="L574" s="342" t="s">
        <v>342</v>
      </c>
    </row>
    <row r="575" spans="1:12" ht="13">
      <c r="A575" s="344" t="s">
        <v>908</v>
      </c>
      <c r="B575" s="1354" t="s">
        <v>1376</v>
      </c>
      <c r="C575" s="1355"/>
      <c r="D575" s="1356" t="s">
        <v>1377</v>
      </c>
      <c r="E575" s="1357"/>
      <c r="F575" s="342" t="str">
        <f>$F$9</f>
        <v>CUSTOMER</v>
      </c>
      <c r="G575" s="344" t="s">
        <v>338</v>
      </c>
      <c r="H575" s="344" t="s">
        <v>404</v>
      </c>
      <c r="I575" s="344" t="s">
        <v>404</v>
      </c>
      <c r="J575" s="344" t="s">
        <v>547</v>
      </c>
      <c r="K575" s="344" t="s">
        <v>341</v>
      </c>
      <c r="L575" s="344" t="s">
        <v>340</v>
      </c>
    </row>
    <row r="576" spans="1:12" ht="15.5">
      <c r="A576" s="1358"/>
      <c r="B576" s="1359"/>
      <c r="C576" s="1360" t="s">
        <v>1378</v>
      </c>
      <c r="D576" s="1361"/>
      <c r="E576" s="340"/>
      <c r="F576" s="755"/>
      <c r="G576" s="627">
        <f>$G$10</f>
        <v>3</v>
      </c>
      <c r="H576" s="627">
        <f>$H$10</f>
        <v>4</v>
      </c>
      <c r="I576" s="627">
        <f>$I$10</f>
        <v>5</v>
      </c>
      <c r="J576" s="627">
        <f>$J$10</f>
        <v>6</v>
      </c>
    </row>
    <row r="577" spans="1:12" ht="13">
      <c r="A577" s="961">
        <v>1</v>
      </c>
      <c r="B577" s="1365" t="s">
        <v>1379</v>
      </c>
      <c r="C577" s="1352"/>
      <c r="D577" s="1352"/>
      <c r="E577" s="340"/>
    </row>
    <row r="578" spans="1:12" ht="13">
      <c r="A578" s="961">
        <v>2</v>
      </c>
      <c r="B578" s="1369" t="s">
        <v>1380</v>
      </c>
      <c r="C578" s="1352"/>
      <c r="D578" s="1370" t="s">
        <v>315</v>
      </c>
      <c r="E578" s="340"/>
      <c r="F578" s="333">
        <f>'FR-16(7)(v)-4 DISTR Classified'!I578</f>
        <v>2550791</v>
      </c>
      <c r="G578" s="347">
        <f>F578-SUM(H578:J578)</f>
        <v>2180467</v>
      </c>
      <c r="H578" s="345">
        <f>ROUND($F578*VLOOKUP($D578,ALLOCTABLE_DISTR_CUSTOMER,$H$10,FALSE),0)</f>
        <v>350428</v>
      </c>
      <c r="I578" s="345">
        <f>ROUND(F578*VLOOKUP(D578,ALLOCTABLE_DISTR_CUSTOMER,$I$10,FALSE),0)</f>
        <v>11861</v>
      </c>
      <c r="J578" s="345">
        <f>ROUND(F578*VLOOKUP(D578,ALLOCTABLE_DISTR_CUSTOMER,$J$10,FALSE),0)</f>
        <v>8035</v>
      </c>
      <c r="K578" s="345">
        <f>SUM(G578:J578)</f>
        <v>2550791</v>
      </c>
      <c r="L578" s="345">
        <f>F578-K578</f>
        <v>0</v>
      </c>
    </row>
    <row r="579" spans="1:12" ht="13">
      <c r="A579" s="961">
        <v>3</v>
      </c>
      <c r="B579" s="1369" t="s">
        <v>1152</v>
      </c>
      <c r="C579" s="1371"/>
      <c r="D579" s="1370" t="s">
        <v>315</v>
      </c>
      <c r="E579" s="340"/>
      <c r="F579" s="1458">
        <f>'FR-16(7)(v)-4 DISTR Classified'!G579</f>
        <v>0</v>
      </c>
      <c r="G579" s="1451">
        <f>F579-SUM(H579:J579)</f>
        <v>0</v>
      </c>
      <c r="H579" s="1451">
        <f>ROUND($F579*VLOOKUP($D579,ALLOCTABLE_DISTR_CUSTOMER,$H$10,FALSE),0)</f>
        <v>0</v>
      </c>
      <c r="I579" s="1452">
        <f>ROUND(F579*VLOOKUP(D579,ALLOCTABLE_DISTR_CUSTOMER,$I$10,FALSE),0)</f>
        <v>0</v>
      </c>
      <c r="J579" s="1451">
        <f>ROUND(F579*VLOOKUP(D579,ALLOCTABLE_DISTR_CUSTOMER,$J$10,FALSE),0)</f>
        <v>0</v>
      </c>
      <c r="K579" s="1451">
        <f>SUM(G579:J579)</f>
        <v>0</v>
      </c>
      <c r="L579" s="1451">
        <f>F579-K579</f>
        <v>0</v>
      </c>
    </row>
    <row r="580" spans="1:12" ht="13">
      <c r="A580" s="961">
        <v>4</v>
      </c>
      <c r="B580" s="1373" t="s">
        <v>1381</v>
      </c>
      <c r="C580" s="1352"/>
      <c r="D580" s="1374"/>
      <c r="E580" s="340"/>
      <c r="F580" s="333">
        <f>SUM(F578:F579)</f>
        <v>2550791</v>
      </c>
      <c r="G580" s="333">
        <f t="shared" ref="G580:L580" si="162">SUM(G578:G579)</f>
        <v>2180467</v>
      </c>
      <c r="H580" s="333">
        <f t="shared" si="162"/>
        <v>350428</v>
      </c>
      <c r="I580" s="333">
        <f t="shared" si="162"/>
        <v>11861</v>
      </c>
      <c r="J580" s="333">
        <f t="shared" si="162"/>
        <v>8035</v>
      </c>
      <c r="K580" s="333">
        <f t="shared" si="162"/>
        <v>2550791</v>
      </c>
      <c r="L580" s="333">
        <f t="shared" si="162"/>
        <v>0</v>
      </c>
    </row>
    <row r="581" spans="1:12" ht="15.5">
      <c r="A581" s="961">
        <v>5</v>
      </c>
      <c r="B581" s="1358"/>
      <c r="C581" s="1361"/>
      <c r="D581" s="1375"/>
      <c r="E581" s="340"/>
    </row>
    <row r="582" spans="1:12" ht="13">
      <c r="A582" s="961">
        <v>6</v>
      </c>
      <c r="B582" s="1376" t="s">
        <v>1382</v>
      </c>
      <c r="C582" s="1352"/>
      <c r="D582" s="1374"/>
      <c r="E582" s="340"/>
    </row>
    <row r="583" spans="1:12" ht="13">
      <c r="A583" s="961">
        <v>7</v>
      </c>
      <c r="B583" s="1377" t="s">
        <v>1383</v>
      </c>
      <c r="C583" s="1352"/>
      <c r="D583" s="1374"/>
      <c r="E583" s="340"/>
    </row>
    <row r="584" spans="1:12" ht="13">
      <c r="A584" s="961">
        <v>8</v>
      </c>
      <c r="B584" s="1378" t="s">
        <v>1384</v>
      </c>
      <c r="C584" s="1371"/>
      <c r="D584" s="1370" t="s">
        <v>315</v>
      </c>
      <c r="E584" s="340"/>
      <c r="F584" s="1458">
        <f>'FR-16(7)(v)-4 DISTR Classified'!I584</f>
        <v>238135</v>
      </c>
      <c r="G584" s="1459">
        <f>F584-SUM(H584:J584)</f>
        <v>203563</v>
      </c>
      <c r="H584" s="1459">
        <f>ROUND($F584*VLOOKUP($D584,ALLOCTABLE_DISTR_CUSTOMER,$H$10,FALSE),0)</f>
        <v>32715</v>
      </c>
      <c r="I584" s="1460">
        <f>ROUND(F584*VLOOKUP(D584,ALLOCTABLE_DISTR_CUSTOMER,$I$10,FALSE),0)</f>
        <v>1107</v>
      </c>
      <c r="J584" s="1459">
        <f>ROUND(F584*VLOOKUP(D584,ALLOCTABLE_DISTR_CUSTOMER,$J$10,FALSE),0)</f>
        <v>750</v>
      </c>
      <c r="K584" s="1459">
        <f>SUM(G584:J584)</f>
        <v>238135</v>
      </c>
      <c r="L584" s="1459">
        <f>F584-K584</f>
        <v>0</v>
      </c>
    </row>
    <row r="585" spans="1:12" ht="13">
      <c r="A585" s="961">
        <v>9</v>
      </c>
      <c r="B585" s="1373" t="s">
        <v>1386</v>
      </c>
      <c r="C585" s="1352"/>
      <c r="D585" s="1374"/>
      <c r="E585" s="340"/>
      <c r="F585" s="333">
        <f>SUM(F584)</f>
        <v>238135</v>
      </c>
      <c r="G585" s="333">
        <f t="shared" ref="G585:L585" si="163">SUM(G584)</f>
        <v>203563</v>
      </c>
      <c r="H585" s="333">
        <f t="shared" si="163"/>
        <v>32715</v>
      </c>
      <c r="I585" s="333">
        <f t="shared" si="163"/>
        <v>1107</v>
      </c>
      <c r="J585" s="333">
        <f t="shared" si="163"/>
        <v>750</v>
      </c>
      <c r="K585" s="333">
        <f t="shared" si="163"/>
        <v>238135</v>
      </c>
      <c r="L585" s="333">
        <f t="shared" si="163"/>
        <v>0</v>
      </c>
    </row>
    <row r="586" spans="1:12" ht="13">
      <c r="A586" s="961">
        <v>10</v>
      </c>
      <c r="B586" s="1082"/>
      <c r="C586" s="1352"/>
      <c r="D586" s="1374"/>
      <c r="E586" s="340"/>
    </row>
    <row r="587" spans="1:12" ht="13">
      <c r="A587" s="961">
        <v>11</v>
      </c>
      <c r="B587" s="1379" t="s">
        <v>1387</v>
      </c>
      <c r="C587" s="1380"/>
      <c r="D587" s="1381"/>
      <c r="E587" s="340"/>
    </row>
    <row r="588" spans="1:12" ht="13">
      <c r="A588" s="961">
        <v>12</v>
      </c>
      <c r="B588" s="1369" t="s">
        <v>1388</v>
      </c>
      <c r="C588" s="1371"/>
      <c r="D588" s="1370" t="s">
        <v>315</v>
      </c>
      <c r="E588" s="340"/>
      <c r="F588" s="1454">
        <f>'FR-16(7)(v)-4 DISTR Classified'!I588</f>
        <v>0</v>
      </c>
      <c r="G588" s="1453">
        <f>F588-SUM(H588:J588)</f>
        <v>0</v>
      </c>
      <c r="H588" s="1453">
        <f>ROUND($F588*VLOOKUP($D588,ALLOCTABLE_DISTR_CUSTOMER,$H$10,FALSE),0)</f>
        <v>0</v>
      </c>
      <c r="I588" s="1454">
        <f>ROUND(F588*VLOOKUP(D588,ALLOCTABLE_DISTR_CUSTOMER,$I$10,FALSE),0)</f>
        <v>0</v>
      </c>
      <c r="J588" s="1454">
        <f>ROUND(F588*VLOOKUP(D588,ALLOCTABLE_DISTR_CUSTOMER,$J$10,FALSE),0)</f>
        <v>0</v>
      </c>
      <c r="K588" s="1454">
        <f>SUM(G588:J588)</f>
        <v>0</v>
      </c>
      <c r="L588" s="1454">
        <f>F588-K588</f>
        <v>0</v>
      </c>
    </row>
    <row r="589" spans="1:12" ht="13">
      <c r="A589" s="961">
        <v>13</v>
      </c>
      <c r="B589" s="1373" t="s">
        <v>1389</v>
      </c>
      <c r="C589" s="1352"/>
      <c r="D589" s="1374"/>
      <c r="E589" s="340"/>
      <c r="F589" s="333">
        <f>SUM(F588)</f>
        <v>0</v>
      </c>
      <c r="G589" s="333">
        <f t="shared" ref="G589:L589" si="164">SUM(G588)</f>
        <v>0</v>
      </c>
      <c r="H589" s="333">
        <f t="shared" si="164"/>
        <v>0</v>
      </c>
      <c r="I589" s="333">
        <f t="shared" si="164"/>
        <v>0</v>
      </c>
      <c r="J589" s="333">
        <f t="shared" si="164"/>
        <v>0</v>
      </c>
      <c r="K589" s="333">
        <f t="shared" si="164"/>
        <v>0</v>
      </c>
      <c r="L589" s="333">
        <f t="shared" si="164"/>
        <v>0</v>
      </c>
    </row>
    <row r="590" spans="1:12" ht="13">
      <c r="A590" s="961">
        <v>14</v>
      </c>
      <c r="B590" s="1352"/>
      <c r="C590" s="1352"/>
      <c r="D590" s="1374"/>
      <c r="E590" s="340"/>
    </row>
    <row r="591" spans="1:12" ht="13">
      <c r="A591" s="961">
        <v>15</v>
      </c>
      <c r="B591" s="1352" t="s">
        <v>1390</v>
      </c>
      <c r="C591" s="1352"/>
      <c r="D591" s="1374"/>
      <c r="E591" s="340"/>
      <c r="F591" s="1280">
        <f>F589+F585</f>
        <v>238135</v>
      </c>
      <c r="G591" s="1280">
        <f t="shared" ref="G591:L591" si="165">G589+G585</f>
        <v>203563</v>
      </c>
      <c r="H591" s="1280">
        <f t="shared" si="165"/>
        <v>32715</v>
      </c>
      <c r="I591" s="1280">
        <f t="shared" si="165"/>
        <v>1107</v>
      </c>
      <c r="J591" s="1280">
        <f t="shared" si="165"/>
        <v>750</v>
      </c>
      <c r="K591" s="1280">
        <f t="shared" si="165"/>
        <v>238135</v>
      </c>
      <c r="L591" s="1280">
        <f t="shared" si="165"/>
        <v>0</v>
      </c>
    </row>
    <row r="592" spans="1:12" ht="13">
      <c r="A592" s="961">
        <v>16</v>
      </c>
      <c r="B592" s="1352"/>
      <c r="C592" s="1352"/>
      <c r="D592" s="1374"/>
      <c r="E592" s="340"/>
    </row>
    <row r="593" spans="1:12" ht="13">
      <c r="A593" s="961">
        <v>17</v>
      </c>
      <c r="B593" s="1382" t="s">
        <v>68</v>
      </c>
      <c r="C593" s="1383"/>
      <c r="D593" s="961"/>
      <c r="E593" s="340"/>
    </row>
    <row r="594" spans="1:12" ht="13">
      <c r="A594" s="961">
        <v>18</v>
      </c>
      <c r="B594" s="1377" t="s">
        <v>1391</v>
      </c>
      <c r="C594" s="1352"/>
      <c r="D594" s="1374"/>
      <c r="E594" s="340"/>
    </row>
    <row r="595" spans="1:12" ht="13">
      <c r="A595" s="961">
        <v>19</v>
      </c>
      <c r="B595" s="1352" t="s">
        <v>43</v>
      </c>
      <c r="C595" s="1352"/>
      <c r="D595" s="1374"/>
      <c r="E595" s="340"/>
      <c r="F595" s="473">
        <f>F334</f>
        <v>12351215</v>
      </c>
      <c r="G595" s="473">
        <f t="shared" ref="G595:L595" si="166">G334</f>
        <v>10559138</v>
      </c>
      <c r="H595" s="473">
        <f t="shared" si="166"/>
        <v>1695728</v>
      </c>
      <c r="I595" s="473">
        <f t="shared" si="166"/>
        <v>57422</v>
      </c>
      <c r="J595" s="473">
        <f t="shared" si="166"/>
        <v>38927</v>
      </c>
      <c r="K595" s="473">
        <f t="shared" si="166"/>
        <v>12351215</v>
      </c>
      <c r="L595" s="473">
        <f t="shared" si="166"/>
        <v>0</v>
      </c>
    </row>
    <row r="596" spans="1:12" ht="13">
      <c r="A596" s="961">
        <v>20</v>
      </c>
      <c r="B596" s="1352" t="s">
        <v>199</v>
      </c>
      <c r="C596" s="1352"/>
      <c r="D596" s="1374"/>
      <c r="E596" s="340"/>
      <c r="F596" s="473">
        <f>F557</f>
        <v>1727274</v>
      </c>
      <c r="G596" s="473">
        <f t="shared" ref="G596:L596" si="167">G557</f>
        <v>1473466</v>
      </c>
      <c r="H596" s="473">
        <f t="shared" si="167"/>
        <v>240122</v>
      </c>
      <c r="I596" s="473">
        <f t="shared" si="167"/>
        <v>8133</v>
      </c>
      <c r="J596" s="473">
        <f t="shared" si="167"/>
        <v>5554</v>
      </c>
      <c r="K596" s="473">
        <f t="shared" si="167"/>
        <v>1727275</v>
      </c>
      <c r="L596" s="473">
        <f t="shared" si="167"/>
        <v>0</v>
      </c>
    </row>
    <row r="597" spans="1:12" ht="13">
      <c r="A597" s="961">
        <v>21</v>
      </c>
      <c r="B597" s="1352" t="s">
        <v>1392</v>
      </c>
      <c r="C597" s="1352"/>
      <c r="D597" s="1374"/>
      <c r="E597" s="340"/>
      <c r="F597" s="473">
        <f>-F524</f>
        <v>-5899262</v>
      </c>
      <c r="G597" s="473">
        <f t="shared" ref="G597:L597" si="168">-G524</f>
        <v>-5056849</v>
      </c>
      <c r="H597" s="473">
        <f t="shared" si="168"/>
        <v>-797476</v>
      </c>
      <c r="I597" s="473">
        <f t="shared" si="168"/>
        <v>-26857</v>
      </c>
      <c r="J597" s="473">
        <f t="shared" si="168"/>
        <v>-18080</v>
      </c>
      <c r="K597" s="473">
        <f t="shared" si="168"/>
        <v>-5899262</v>
      </c>
      <c r="L597" s="473">
        <f t="shared" si="168"/>
        <v>0</v>
      </c>
    </row>
    <row r="598" spans="1:12" ht="13">
      <c r="A598" s="961">
        <v>22</v>
      </c>
      <c r="B598" s="1352" t="s">
        <v>1393</v>
      </c>
      <c r="C598" s="1352"/>
      <c r="D598" s="1374"/>
      <c r="E598" s="340"/>
      <c r="F598" s="473">
        <f>-F580</f>
        <v>-2550791</v>
      </c>
      <c r="G598" s="473">
        <f t="shared" ref="G598:L598" si="169">-G580</f>
        <v>-2180467</v>
      </c>
      <c r="H598" s="473">
        <f t="shared" si="169"/>
        <v>-350428</v>
      </c>
      <c r="I598" s="473">
        <f t="shared" si="169"/>
        <v>-11861</v>
      </c>
      <c r="J598" s="473">
        <f t="shared" si="169"/>
        <v>-8035</v>
      </c>
      <c r="K598" s="473">
        <f t="shared" si="169"/>
        <v>-2550791</v>
      </c>
      <c r="L598" s="473">
        <f t="shared" si="169"/>
        <v>0</v>
      </c>
    </row>
    <row r="599" spans="1:12" ht="13">
      <c r="A599" s="961">
        <v>23</v>
      </c>
      <c r="B599" s="1371" t="s">
        <v>1394</v>
      </c>
      <c r="C599" s="1371"/>
      <c r="D599" s="1374"/>
      <c r="E599" s="340"/>
      <c r="F599" s="1455">
        <f>F591</f>
        <v>238135</v>
      </c>
      <c r="G599" s="1455">
        <f t="shared" ref="G599:L599" si="170">G591</f>
        <v>203563</v>
      </c>
      <c r="H599" s="1455">
        <f t="shared" si="170"/>
        <v>32715</v>
      </c>
      <c r="I599" s="1455">
        <f t="shared" si="170"/>
        <v>1107</v>
      </c>
      <c r="J599" s="1455">
        <f t="shared" si="170"/>
        <v>750</v>
      </c>
      <c r="K599" s="1455">
        <f t="shared" si="170"/>
        <v>238135</v>
      </c>
      <c r="L599" s="1455">
        <f t="shared" si="170"/>
        <v>0</v>
      </c>
    </row>
    <row r="600" spans="1:12" ht="13">
      <c r="A600" s="961">
        <v>24</v>
      </c>
      <c r="B600" s="1082" t="s">
        <v>1395</v>
      </c>
      <c r="C600" s="1352"/>
      <c r="D600" s="1374"/>
      <c r="E600" s="340"/>
      <c r="F600" s="1280">
        <f t="shared" ref="F600:L600" si="171">SUM(F595:F599)</f>
        <v>5866571</v>
      </c>
      <c r="G600" s="1280">
        <f t="shared" si="171"/>
        <v>4998851</v>
      </c>
      <c r="H600" s="1280">
        <f t="shared" si="171"/>
        <v>820661</v>
      </c>
      <c r="I600" s="1280">
        <f t="shared" si="171"/>
        <v>27944</v>
      </c>
      <c r="J600" s="1280">
        <f t="shared" si="171"/>
        <v>19116</v>
      </c>
      <c r="K600" s="1280">
        <f t="shared" si="171"/>
        <v>5866572</v>
      </c>
      <c r="L600" s="1280">
        <f t="shared" si="171"/>
        <v>0</v>
      </c>
    </row>
    <row r="601" spans="1:12" ht="13">
      <c r="A601" s="961">
        <v>25</v>
      </c>
      <c r="B601" s="1352"/>
      <c r="C601" s="1352"/>
      <c r="D601" s="1374"/>
      <c r="E601" s="340"/>
    </row>
    <row r="602" spans="1:12" ht="13">
      <c r="A602" s="961">
        <v>26</v>
      </c>
      <c r="B602" s="1352" t="s">
        <v>1396</v>
      </c>
      <c r="C602" s="1352"/>
      <c r="D602" s="1374"/>
      <c r="E602" s="340"/>
      <c r="F602" s="1389">
        <f t="shared" ref="F602:L602" si="172">ROUND(SIT/(1-SIT),8)</f>
        <v>5.2282660000000002E-2</v>
      </c>
      <c r="G602" s="1389">
        <f t="shared" si="172"/>
        <v>5.2282660000000002E-2</v>
      </c>
      <c r="H602" s="1389">
        <f t="shared" si="172"/>
        <v>5.2282660000000002E-2</v>
      </c>
      <c r="I602" s="1389">
        <f t="shared" si="172"/>
        <v>5.2282660000000002E-2</v>
      </c>
      <c r="J602" s="1389">
        <f t="shared" si="172"/>
        <v>5.2282660000000002E-2</v>
      </c>
      <c r="K602" s="1389">
        <f t="shared" si="172"/>
        <v>5.2282660000000002E-2</v>
      </c>
      <c r="L602" s="1389">
        <f t="shared" si="172"/>
        <v>5.2282660000000002E-2</v>
      </c>
    </row>
    <row r="603" spans="1:12" ht="13">
      <c r="A603" s="961">
        <v>27</v>
      </c>
      <c r="B603" s="1352" t="s">
        <v>1397</v>
      </c>
      <c r="C603" s="1352"/>
      <c r="D603" s="1393" t="s">
        <v>1398</v>
      </c>
      <c r="E603" s="340"/>
      <c r="F603" s="1394">
        <f t="shared" ref="F603:L603" si="173">ROUND(F600*F602,0)</f>
        <v>306720</v>
      </c>
      <c r="G603" s="1394">
        <f t="shared" si="173"/>
        <v>261353</v>
      </c>
      <c r="H603" s="1394">
        <f t="shared" si="173"/>
        <v>42906</v>
      </c>
      <c r="I603" s="1394">
        <f t="shared" si="173"/>
        <v>1461</v>
      </c>
      <c r="J603" s="1394">
        <f t="shared" si="173"/>
        <v>999</v>
      </c>
      <c r="K603" s="1394">
        <f t="shared" si="173"/>
        <v>306720</v>
      </c>
      <c r="L603" s="1394">
        <f t="shared" si="173"/>
        <v>0</v>
      </c>
    </row>
    <row r="604" spans="1:12" ht="13">
      <c r="A604" s="961">
        <v>28</v>
      </c>
      <c r="B604" s="1371" t="s">
        <v>1399</v>
      </c>
      <c r="C604" s="1371"/>
      <c r="D604" s="1374"/>
      <c r="E604" s="1395"/>
      <c r="F604" s="1394">
        <f t="shared" ref="F604:L604" si="174">F591</f>
        <v>238135</v>
      </c>
      <c r="G604" s="1394">
        <f t="shared" si="174"/>
        <v>203563</v>
      </c>
      <c r="H604" s="1394">
        <f t="shared" si="174"/>
        <v>32715</v>
      </c>
      <c r="I604" s="1394">
        <f t="shared" si="174"/>
        <v>1107</v>
      </c>
      <c r="J604" s="1394">
        <f t="shared" si="174"/>
        <v>750</v>
      </c>
      <c r="K604" s="1394">
        <f t="shared" si="174"/>
        <v>238135</v>
      </c>
      <c r="L604" s="1394">
        <f t="shared" si="174"/>
        <v>0</v>
      </c>
    </row>
    <row r="605" spans="1:12" ht="13">
      <c r="A605" s="961">
        <v>29</v>
      </c>
      <c r="B605" s="1082" t="s">
        <v>1400</v>
      </c>
      <c r="C605" s="1352"/>
      <c r="D605" s="1374"/>
      <c r="E605" s="340"/>
      <c r="F605" s="1399">
        <f t="shared" ref="F605:L605" si="175">F604+F603</f>
        <v>544855</v>
      </c>
      <c r="G605" s="1399">
        <f t="shared" si="175"/>
        <v>464916</v>
      </c>
      <c r="H605" s="1399">
        <f t="shared" si="175"/>
        <v>75621</v>
      </c>
      <c r="I605" s="1399">
        <f t="shared" si="175"/>
        <v>2568</v>
      </c>
      <c r="J605" s="1399">
        <f t="shared" si="175"/>
        <v>1749</v>
      </c>
      <c r="K605" s="1399">
        <f t="shared" si="175"/>
        <v>544855</v>
      </c>
      <c r="L605" s="1399">
        <f t="shared" si="175"/>
        <v>0</v>
      </c>
    </row>
    <row r="606" spans="1:12" ht="13">
      <c r="A606" s="961">
        <v>30</v>
      </c>
      <c r="B606" s="1352"/>
      <c r="C606" s="1352"/>
      <c r="D606" s="1374"/>
      <c r="E606" s="340"/>
    </row>
    <row r="607" spans="1:12" ht="13">
      <c r="A607" s="961">
        <v>31</v>
      </c>
      <c r="B607" s="1352" t="s">
        <v>1401</v>
      </c>
      <c r="C607" s="1352"/>
      <c r="D607" s="1374"/>
      <c r="E607" s="340"/>
    </row>
    <row r="608" spans="1:12" ht="13">
      <c r="A608" s="961">
        <v>32</v>
      </c>
      <c r="B608" s="1352" t="s">
        <v>1397</v>
      </c>
      <c r="C608" s="1352"/>
      <c r="D608" s="1374"/>
      <c r="E608" s="340"/>
      <c r="F608" s="1394">
        <f t="shared" ref="F608:L608" si="176">F603</f>
        <v>306720</v>
      </c>
      <c r="G608" s="1394">
        <f t="shared" si="176"/>
        <v>261353</v>
      </c>
      <c r="H608" s="1394">
        <f t="shared" si="176"/>
        <v>42906</v>
      </c>
      <c r="I608" s="1394">
        <f t="shared" si="176"/>
        <v>1461</v>
      </c>
      <c r="J608" s="1394">
        <f t="shared" si="176"/>
        <v>999</v>
      </c>
      <c r="K608" s="1394">
        <f t="shared" si="176"/>
        <v>306720</v>
      </c>
      <c r="L608" s="1394">
        <f t="shared" si="176"/>
        <v>0</v>
      </c>
    </row>
    <row r="609" spans="1:12" ht="13">
      <c r="A609" s="961">
        <v>33</v>
      </c>
      <c r="B609" s="1371" t="s">
        <v>1387</v>
      </c>
      <c r="C609" s="1371"/>
      <c r="D609" s="1374"/>
      <c r="E609" s="340"/>
      <c r="F609" s="1394">
        <f t="shared" ref="F609:L609" si="177">F589</f>
        <v>0</v>
      </c>
      <c r="G609" s="1394">
        <f t="shared" si="177"/>
        <v>0</v>
      </c>
      <c r="H609" s="1394">
        <f t="shared" si="177"/>
        <v>0</v>
      </c>
      <c r="I609" s="1394">
        <f t="shared" si="177"/>
        <v>0</v>
      </c>
      <c r="J609" s="1394">
        <f t="shared" si="177"/>
        <v>0</v>
      </c>
      <c r="K609" s="1394">
        <f t="shared" si="177"/>
        <v>0</v>
      </c>
      <c r="L609" s="1394">
        <f t="shared" si="177"/>
        <v>0</v>
      </c>
    </row>
    <row r="610" spans="1:12" ht="13">
      <c r="A610" s="961">
        <v>34</v>
      </c>
      <c r="B610" s="1082" t="s">
        <v>1402</v>
      </c>
      <c r="C610" s="1352"/>
      <c r="D610" s="1374"/>
      <c r="E610" s="340"/>
      <c r="F610" s="1399">
        <f t="shared" ref="F610:L610" si="178">F608+F609</f>
        <v>306720</v>
      </c>
      <c r="G610" s="1399">
        <f t="shared" si="178"/>
        <v>261353</v>
      </c>
      <c r="H610" s="1399">
        <f t="shared" si="178"/>
        <v>42906</v>
      </c>
      <c r="I610" s="1399">
        <f t="shared" si="178"/>
        <v>1461</v>
      </c>
      <c r="J610" s="1399">
        <f t="shared" si="178"/>
        <v>999</v>
      </c>
      <c r="K610" s="1399">
        <f t="shared" si="178"/>
        <v>306720</v>
      </c>
      <c r="L610" s="1399">
        <f t="shared" si="178"/>
        <v>0</v>
      </c>
    </row>
    <row r="611" spans="1:12" ht="13">
      <c r="A611" s="961">
        <v>35</v>
      </c>
      <c r="B611" s="1352"/>
      <c r="C611" s="1352"/>
      <c r="D611" s="1352"/>
      <c r="E611" s="340"/>
    </row>
    <row r="612" spans="1:12" ht="13">
      <c r="A612" s="961">
        <v>36</v>
      </c>
      <c r="B612" s="1352" t="s">
        <v>76</v>
      </c>
      <c r="C612" s="1352"/>
      <c r="D612" s="1352"/>
      <c r="E612" s="340"/>
      <c r="F612" s="1403">
        <f t="shared" ref="F612:L612" si="179">(SIT*(1-FIT))+((1-SIT)*(1-FIT)*RevTax)+FIT</f>
        <v>0.24925115</v>
      </c>
      <c r="G612" s="1403">
        <f t="shared" si="179"/>
        <v>0.24925115</v>
      </c>
      <c r="H612" s="1403">
        <f t="shared" si="179"/>
        <v>0.24925115</v>
      </c>
      <c r="I612" s="1403">
        <f t="shared" si="179"/>
        <v>0.24925115</v>
      </c>
      <c r="J612" s="1403">
        <f t="shared" si="179"/>
        <v>0.24925115</v>
      </c>
      <c r="K612" s="1403">
        <f t="shared" si="179"/>
        <v>0.24925115</v>
      </c>
      <c r="L612" s="1403">
        <f t="shared" si="179"/>
        <v>0.24925115</v>
      </c>
    </row>
    <row r="614" spans="1:12" ht="13">
      <c r="A614" s="341" t="str">
        <f>co_name</f>
        <v>DUKE ENERGY KENTUCKY, INC.</v>
      </c>
      <c r="C614" s="195"/>
      <c r="D614" s="342"/>
      <c r="E614" s="195"/>
      <c r="F614" s="342"/>
      <c r="G614" s="340"/>
      <c r="H614" s="340"/>
      <c r="I614" s="195"/>
      <c r="K614" s="359" t="str">
        <f>$K$1</f>
        <v>FR-16(7)(v)-6</v>
      </c>
      <c r="L614" s="195"/>
    </row>
    <row r="615" spans="1:12" ht="13">
      <c r="A615" s="341" t="str">
        <f>$A$2</f>
        <v>DISTRIBUTION CUSTOMER ALLOCATED - GAS COST OF SERVICE</v>
      </c>
      <c r="C615" s="195"/>
      <c r="D615" s="342"/>
      <c r="E615" s="195"/>
      <c r="F615" s="342"/>
      <c r="G615" s="340"/>
      <c r="H615" s="340"/>
      <c r="I615" s="195"/>
      <c r="K615" s="359" t="str">
        <f>$K$2</f>
        <v>WITNESS RESPONSIBLE:</v>
      </c>
      <c r="L615" s="195"/>
    </row>
    <row r="616" spans="1:12" ht="13">
      <c r="A616" s="341" t="str">
        <f>case_name</f>
        <v>CASE NO: 2021-00190</v>
      </c>
      <c r="C616" s="195"/>
      <c r="D616" s="342"/>
      <c r="E616" s="195"/>
      <c r="F616" s="342"/>
      <c r="G616" s="340"/>
      <c r="H616" s="340"/>
      <c r="I616" s="195"/>
      <c r="K616" s="359" t="str">
        <f>Witness</f>
        <v>JAMES E. ZIOLKOWSKI</v>
      </c>
      <c r="L616" s="195"/>
    </row>
    <row r="617" spans="1:12" ht="13">
      <c r="A617" s="341" t="str">
        <f>data_filing</f>
        <v>DATA: 12 MONTH FORECASTED PERIOD</v>
      </c>
      <c r="C617" s="195"/>
      <c r="D617" s="342"/>
      <c r="E617" s="195"/>
      <c r="F617" s="342"/>
      <c r="G617" s="340"/>
      <c r="H617" s="340"/>
      <c r="I617" s="195"/>
      <c r="K617" s="359" t="str">
        <f>"PAGE "&amp;Pages-4&amp;" OF "&amp;Pages</f>
        <v>PAGE 14 OF 18</v>
      </c>
      <c r="L617" s="195"/>
    </row>
    <row r="618" spans="1:12" ht="13">
      <c r="A618" s="341" t="str">
        <f>type</f>
        <v xml:space="preserve">TYPE OF FILING: "X" ORIGINAL   UPDATED    REVISED  </v>
      </c>
      <c r="C618" s="195"/>
      <c r="D618" s="342"/>
      <c r="E618" s="195"/>
      <c r="F618" s="342"/>
      <c r="G618" s="340"/>
      <c r="H618" s="340"/>
      <c r="I618" s="195"/>
      <c r="J618" s="342"/>
      <c r="K618" s="195"/>
      <c r="L618" s="195"/>
    </row>
    <row r="619" spans="1:12" ht="13">
      <c r="B619" s="341"/>
      <c r="C619" s="195"/>
      <c r="D619" s="342"/>
      <c r="E619" s="195"/>
      <c r="F619" s="342"/>
      <c r="G619" s="340"/>
      <c r="H619" s="340"/>
      <c r="I619" s="195"/>
      <c r="J619" s="342"/>
      <c r="K619" s="195"/>
      <c r="L619" s="195"/>
    </row>
    <row r="620" spans="1:12" ht="13">
      <c r="B620" s="341"/>
      <c r="C620" s="195"/>
      <c r="D620" s="342"/>
      <c r="E620" s="195"/>
      <c r="F620" s="342" t="str">
        <f>$F$7</f>
        <v>TOTAL</v>
      </c>
      <c r="G620" s="340"/>
      <c r="H620" s="340"/>
      <c r="I620" s="195"/>
      <c r="J620" s="342"/>
      <c r="K620" s="195"/>
      <c r="L620" s="195"/>
    </row>
    <row r="621" spans="1:12" ht="13">
      <c r="A621" s="342" t="s">
        <v>907</v>
      </c>
      <c r="B621" s="195"/>
      <c r="C621" s="195"/>
      <c r="D621" s="342"/>
      <c r="E621" s="195"/>
      <c r="F621" s="342" t="str">
        <f>$F$8</f>
        <v>DISTRIBUTION</v>
      </c>
      <c r="G621" s="352" t="str">
        <f>$G$8</f>
        <v>RS</v>
      </c>
      <c r="H621" s="352" t="str">
        <f>$H$8</f>
        <v>GS</v>
      </c>
      <c r="I621" s="342" t="str">
        <f>$I$8</f>
        <v>FT-L</v>
      </c>
      <c r="J621" s="342" t="str">
        <f>$J$8</f>
        <v>INTERUPT</v>
      </c>
      <c r="K621" s="342" t="s">
        <v>229</v>
      </c>
      <c r="L621" s="342" t="s">
        <v>342</v>
      </c>
    </row>
    <row r="622" spans="1:12" ht="13">
      <c r="A622" s="344" t="s">
        <v>908</v>
      </c>
      <c r="B622" s="343" t="s">
        <v>77</v>
      </c>
      <c r="C622" s="343"/>
      <c r="D622" s="344" t="s">
        <v>337</v>
      </c>
      <c r="E622" s="343"/>
      <c r="F622" s="342" t="str">
        <f>$F$9</f>
        <v>CUSTOMER</v>
      </c>
      <c r="G622" s="353" t="str">
        <f>$G$9</f>
        <v>RESIDENTIAL</v>
      </c>
      <c r="H622" s="353" t="str">
        <f>$H$9</f>
        <v>GEN SERV</v>
      </c>
      <c r="I622" s="344" t="str">
        <f>$I$9</f>
        <v>FIRM TRANS</v>
      </c>
      <c r="J622" s="344" t="str">
        <f>$J$9</f>
        <v>TRANS</v>
      </c>
      <c r="K622" s="344" t="s">
        <v>341</v>
      </c>
      <c r="L622" s="344" t="s">
        <v>340</v>
      </c>
    </row>
    <row r="623" spans="1:12" ht="13">
      <c r="C623" s="572" t="s">
        <v>352</v>
      </c>
      <c r="D623" s="342"/>
      <c r="E623" s="195"/>
      <c r="F623" s="755"/>
      <c r="G623" s="627">
        <f>$G$10</f>
        <v>3</v>
      </c>
      <c r="H623" s="627">
        <f>$H$10</f>
        <v>4</v>
      </c>
      <c r="I623" s="627">
        <f>$I$10</f>
        <v>5</v>
      </c>
      <c r="J623" s="627">
        <f>$J$10</f>
        <v>6</v>
      </c>
    </row>
    <row r="624" spans="1:12" ht="13">
      <c r="A624" s="331">
        <v>1</v>
      </c>
      <c r="B624" s="330" t="s">
        <v>78</v>
      </c>
      <c r="D624" s="342"/>
      <c r="E624" s="195"/>
      <c r="I624" s="330"/>
    </row>
    <row r="625" spans="1:12" ht="13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3">
        <f>'FR-16(7)(v)-4 DISTR Classified'!I625</f>
        <v>51468</v>
      </c>
      <c r="G625" s="347">
        <f>F625-SUM(H625:J625)</f>
        <v>47523</v>
      </c>
      <c r="H625" s="345">
        <f>ROUND($F$625*VLOOKUP($D$625,ALLOCTABLE_DISTR_CUSTOMER,$H$10,FALSE),0)</f>
        <v>3880</v>
      </c>
      <c r="I625" s="345">
        <f>ROUND(F625*VLOOKUP(D625,ALLOCTABLE_DISTR_CUSTOMER,$I$10,FALSE),0)</f>
        <v>54</v>
      </c>
      <c r="J625" s="345">
        <f>ROUND(F625*VLOOKUP(D625,ALLOCTABLE_DISTR_CUSTOMER,$J$10,FALSE),0)</f>
        <v>11</v>
      </c>
      <c r="K625" s="345">
        <f>SUM($G$625:$J$625)</f>
        <v>51468</v>
      </c>
      <c r="L625" s="345">
        <f>F625-$K$625</f>
        <v>0</v>
      </c>
    </row>
    <row r="626" spans="1:12" ht="13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3">
        <f>'FR-16(7)(v)-4 DISTR Classified'!I626</f>
        <v>0</v>
      </c>
      <c r="G626" s="347">
        <f>F626-SUM(H626:J626)</f>
        <v>0</v>
      </c>
      <c r="H626" s="345">
        <f>ROUND($F$626*VLOOKUP($D$626,ALLOCTABLE_DISTR_CUSTOMER,$H$10,FALSE),0)</f>
        <v>0</v>
      </c>
      <c r="I626" s="345">
        <f>ROUND(F626*VLOOKUP(D626,ALLOCTABLE_DISTR_CUSTOMER,$I$10,FALSE),0)</f>
        <v>0</v>
      </c>
      <c r="J626" s="345">
        <f>ROUND(F626*VLOOKUP(D626,ALLOCTABLE_DISTR_CUSTOMER,$J$10,FALSE),0)</f>
        <v>0</v>
      </c>
      <c r="K626" s="345">
        <f>SUM($G$626:$J$626)</f>
        <v>0</v>
      </c>
      <c r="L626" s="345">
        <f>F626-$K$626</f>
        <v>0</v>
      </c>
    </row>
    <row r="627" spans="1:12" ht="13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3">
        <f>'FR-16(7)(v)-4 DISTR Classified'!I627</f>
        <v>528</v>
      </c>
      <c r="G627" s="347">
        <f>F627-SUM(H627:J627)</f>
        <v>487</v>
      </c>
      <c r="H627" s="345">
        <f>ROUND($F$627*VLOOKUP($D$627,ALLOCTABLE_DISTR_CUSTOMER,$H$10,FALSE),0)</f>
        <v>40</v>
      </c>
      <c r="I627" s="345">
        <f>ROUND(F627*VLOOKUP(D627,ALLOCTABLE_DISTR_CUSTOMER,$I$10,FALSE),0)</f>
        <v>1</v>
      </c>
      <c r="J627" s="345">
        <f>ROUND(F627*VLOOKUP(D627,ALLOCTABLE_DISTR_CUSTOMER,$J$10,FALSE),0)</f>
        <v>0</v>
      </c>
      <c r="K627" s="345">
        <f>SUM($G$627:$J$627)</f>
        <v>528</v>
      </c>
      <c r="L627" s="345">
        <f>F627-$K$627</f>
        <v>0</v>
      </c>
    </row>
    <row r="628" spans="1:12" ht="13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3">
        <f>'FR-16(7)(v)-4 DISTR Classified'!I628</f>
        <v>0</v>
      </c>
      <c r="G628" s="347">
        <f>F628-SUM(H628:J628)</f>
        <v>0</v>
      </c>
      <c r="H628" s="345">
        <f>ROUND($F$628*VLOOKUP($D$628,ALLOCTABLE_DISTR_CUSTOMER,$H$10,FALSE),0)</f>
        <v>0</v>
      </c>
      <c r="I628" s="345">
        <f>ROUND(F628*VLOOKUP(D628,ALLOCTABLE_DISTR_CUSTOMER,$I$10,FALSE),0)</f>
        <v>0</v>
      </c>
      <c r="J628" s="345">
        <f>ROUND(F628*VLOOKUP(D628,ALLOCTABLE_DISTR_CUSTOMER,$J$10,FALSE),0)</f>
        <v>0</v>
      </c>
      <c r="K628" s="345">
        <f>SUM($G$628:$J$628)</f>
        <v>0</v>
      </c>
      <c r="L628" s="345">
        <f>F628-$K$628</f>
        <v>0</v>
      </c>
    </row>
    <row r="629" spans="1:12" ht="13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3">
        <f>'FR-16(7)(v)-4 DISTR Classified'!I629</f>
        <v>98493</v>
      </c>
      <c r="G629" s="347">
        <f>F629-SUM(H629:J629)</f>
        <v>88066</v>
      </c>
      <c r="H629" s="345">
        <f>ROUND($F$629*VLOOKUP($D$629,ALLOCTABLE_DISTR_CUSTOMER,$H$10,FALSE),0)</f>
        <v>9968</v>
      </c>
      <c r="I629" s="345">
        <f>ROUND(F629*VLOOKUP(D629,ALLOCTABLE_DISTR_CUSTOMER,$I$10,FALSE),0)</f>
        <v>297</v>
      </c>
      <c r="J629" s="345">
        <f>ROUND(F629*VLOOKUP(D629,ALLOCTABLE_DISTR_CUSTOMER,$J$10,FALSE),0)</f>
        <v>162</v>
      </c>
      <c r="K629" s="345">
        <f>SUM($G$629:$J$629)</f>
        <v>98493</v>
      </c>
      <c r="L629" s="345">
        <f>F629-$K$629</f>
        <v>0</v>
      </c>
    </row>
    <row r="630" spans="1:12" ht="13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150489</v>
      </c>
      <c r="G630" s="346">
        <f>SUM($G$625:$G$629)</f>
        <v>136076</v>
      </c>
      <c r="H630" s="346">
        <f>SUM($H$625:$H$629)</f>
        <v>13888</v>
      </c>
      <c r="I630" s="346">
        <f>SUM($I$625:$I$629)</f>
        <v>352</v>
      </c>
      <c r="J630" s="346">
        <f>SUM($J$625:$J$629)</f>
        <v>173</v>
      </c>
      <c r="K630" s="346">
        <f>SUM($K$625:$K$629)</f>
        <v>150489</v>
      </c>
      <c r="L630" s="346">
        <f>SUM($L$625:$L$629)</f>
        <v>0</v>
      </c>
    </row>
    <row r="631" spans="1:12" ht="13">
      <c r="A631" s="331">
        <v>8</v>
      </c>
      <c r="D631" s="342"/>
      <c r="E631" s="195"/>
      <c r="I631" s="330"/>
    </row>
    <row r="632" spans="1:12" ht="13">
      <c r="A632" s="331">
        <v>9</v>
      </c>
      <c r="B632" s="330" t="s">
        <v>77</v>
      </c>
      <c r="D632" s="342"/>
      <c r="E632" s="195"/>
      <c r="I632" s="330"/>
    </row>
    <row r="633" spans="1:12" ht="13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18452784</v>
      </c>
      <c r="G633" s="345">
        <f>$G$501</f>
        <v>16250122</v>
      </c>
      <c r="H633" s="345">
        <f>$H$501</f>
        <v>2098303</v>
      </c>
      <c r="I633" s="345">
        <f>$I$501</f>
        <v>64917</v>
      </c>
      <c r="J633" s="345">
        <f>$J$501</f>
        <v>39442</v>
      </c>
      <c r="K633" s="345">
        <f>$K$501</f>
        <v>18452784</v>
      </c>
      <c r="L633" s="345">
        <f>$L$501</f>
        <v>0</v>
      </c>
    </row>
    <row r="634" spans="1:12" ht="13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 t="shared" ref="F634:L634" si="180">F334</f>
        <v>12351215</v>
      </c>
      <c r="G634" s="345">
        <f t="shared" si="180"/>
        <v>10559138</v>
      </c>
      <c r="H634" s="345">
        <f t="shared" si="180"/>
        <v>1695728</v>
      </c>
      <c r="I634" s="345">
        <f t="shared" si="180"/>
        <v>57422</v>
      </c>
      <c r="J634" s="345">
        <f t="shared" si="180"/>
        <v>38927</v>
      </c>
      <c r="K634" s="345">
        <f t="shared" si="180"/>
        <v>12351215</v>
      </c>
      <c r="L634" s="345">
        <f t="shared" si="180"/>
        <v>0</v>
      </c>
    </row>
    <row r="635" spans="1:12" ht="13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>F557</f>
        <v>1727274</v>
      </c>
      <c r="G635" s="345">
        <f>$G$557</f>
        <v>1473466</v>
      </c>
      <c r="H635" s="345">
        <f>$H$557</f>
        <v>240122</v>
      </c>
      <c r="I635" s="345">
        <f>$I$557</f>
        <v>8133</v>
      </c>
      <c r="J635" s="345">
        <f>$J$557</f>
        <v>5554</v>
      </c>
      <c r="K635" s="345">
        <f>$K$557</f>
        <v>1727275</v>
      </c>
      <c r="L635" s="345">
        <f>$L$557</f>
        <v>0</v>
      </c>
    </row>
    <row r="636" spans="1:12" ht="13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-150489</v>
      </c>
      <c r="G636" s="345">
        <f>-$G$630</f>
        <v>-136076</v>
      </c>
      <c r="H636" s="345">
        <f>-$H$630</f>
        <v>-13888</v>
      </c>
      <c r="I636" s="345">
        <f>-$I$630</f>
        <v>-352</v>
      </c>
      <c r="J636" s="345">
        <f>-$J$630</f>
        <v>-173</v>
      </c>
      <c r="K636" s="345">
        <f>-$K$630</f>
        <v>-150489</v>
      </c>
      <c r="L636" s="345">
        <f>-$L$630</f>
        <v>0</v>
      </c>
    </row>
    <row r="637" spans="1:12" ht="13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>SUM(F632:F636)</f>
        <v>32380784</v>
      </c>
      <c r="G637" s="346">
        <f>SUM($G$632:$G$636)</f>
        <v>28146650</v>
      </c>
      <c r="H637" s="346">
        <f>SUM($H$632:$H$636)</f>
        <v>4020265</v>
      </c>
      <c r="I637" s="346">
        <f>SUM($I$632:$I$636)</f>
        <v>130120</v>
      </c>
      <c r="J637" s="346">
        <f>SUM($J$632:$J$636)</f>
        <v>83750</v>
      </c>
      <c r="K637" s="346">
        <f>SUM($K$632:$K$636)</f>
        <v>32380785</v>
      </c>
      <c r="L637" s="346">
        <f>$K$637-F637</f>
        <v>1</v>
      </c>
    </row>
    <row r="638" spans="1:12" ht="13">
      <c r="A638" s="331">
        <v>15</v>
      </c>
      <c r="D638" s="342"/>
      <c r="E638" s="195"/>
      <c r="I638" s="330"/>
    </row>
    <row r="639" spans="1:12" ht="13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150489</v>
      </c>
      <c r="G639" s="345">
        <f>-$G$636</f>
        <v>136076</v>
      </c>
      <c r="H639" s="345">
        <f>-$H$636</f>
        <v>13888</v>
      </c>
      <c r="I639" s="345">
        <f>-$I$636</f>
        <v>352</v>
      </c>
      <c r="J639" s="345">
        <f>-$J$636</f>
        <v>173</v>
      </c>
      <c r="K639" s="345">
        <f>-$K$636</f>
        <v>150489</v>
      </c>
      <c r="L639" s="345">
        <f>-$L$636</f>
        <v>0</v>
      </c>
    </row>
    <row r="640" spans="1:12" ht="13">
      <c r="A640" s="331">
        <v>17</v>
      </c>
      <c r="C640" s="357" t="str">
        <f>'FR-16(7)(v)-1 Functional'!C640</f>
        <v>LESS: REVS EXCL FROM REV TAX CALC</v>
      </c>
      <c r="D640" s="342"/>
      <c r="E640" s="195"/>
      <c r="F640" s="508">
        <f t="shared" ref="F640:L640" si="181">F855</f>
        <v>0</v>
      </c>
      <c r="G640" s="509">
        <f>G855</f>
        <v>0</v>
      </c>
      <c r="H640" s="509">
        <f t="shared" si="181"/>
        <v>0</v>
      </c>
      <c r="I640" s="509">
        <f t="shared" si="181"/>
        <v>0</v>
      </c>
      <c r="J640" s="509">
        <f t="shared" si="181"/>
        <v>0</v>
      </c>
      <c r="K640" s="509">
        <f t="shared" si="181"/>
        <v>0</v>
      </c>
      <c r="L640" s="509">
        <f t="shared" si="181"/>
        <v>0</v>
      </c>
    </row>
    <row r="641" spans="1:12" ht="13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150489</v>
      </c>
      <c r="G641" s="346">
        <f>G639-G640</f>
        <v>136076</v>
      </c>
      <c r="H641" s="346">
        <f>H639-H640</f>
        <v>13888</v>
      </c>
      <c r="I641" s="346">
        <f>$I$639-I640</f>
        <v>352</v>
      </c>
      <c r="J641" s="346">
        <f>$J$639-J640</f>
        <v>173</v>
      </c>
      <c r="K641" s="346">
        <f>$K$639-K640</f>
        <v>150489</v>
      </c>
      <c r="L641" s="346">
        <f>$L$639-L640</f>
        <v>0</v>
      </c>
    </row>
    <row r="642" spans="1:12" ht="13">
      <c r="A642" s="331">
        <v>19</v>
      </c>
      <c r="D642" s="342"/>
      <c r="E642" s="195"/>
      <c r="I642" s="330"/>
    </row>
    <row r="643" spans="1:12" ht="13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L643" si="182">ROUND(F694/(1-F694),8)</f>
        <v>0</v>
      </c>
      <c r="G643" s="348">
        <f t="shared" si="182"/>
        <v>0</v>
      </c>
      <c r="H643" s="348">
        <f t="shared" si="182"/>
        <v>0</v>
      </c>
      <c r="I643" s="348">
        <f t="shared" si="182"/>
        <v>0</v>
      </c>
      <c r="J643" s="348">
        <f t="shared" si="182"/>
        <v>0</v>
      </c>
      <c r="K643" s="348">
        <f t="shared" si="182"/>
        <v>0</v>
      </c>
      <c r="L643" s="348">
        <f t="shared" si="182"/>
        <v>0</v>
      </c>
    </row>
    <row r="644" spans="1:12" ht="13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345">
        <f>ROUND(G643*G641,0)</f>
        <v>0</v>
      </c>
      <c r="H644" s="345">
        <f>ROUND(H643*H641,0)</f>
        <v>0</v>
      </c>
      <c r="I644" s="345">
        <f>ROUND(I643*I641,0)</f>
        <v>0</v>
      </c>
      <c r="J644" s="345">
        <f>ROUND(J643*J641,0)</f>
        <v>0</v>
      </c>
      <c r="K644" s="345">
        <f>SUM(G644:J644)</f>
        <v>0</v>
      </c>
      <c r="L644" s="345">
        <f>ROUND(L643*L641,0)</f>
        <v>0</v>
      </c>
    </row>
    <row r="645" spans="1:12" ht="13">
      <c r="A645" s="331">
        <v>22</v>
      </c>
      <c r="C645" s="330" t="str">
        <f>'FR-16(7)(v)-1 Functional'!C645</f>
        <v>REVENUE TAX ON COST OF SERVICE</v>
      </c>
      <c r="D645" s="342"/>
      <c r="E645" s="195"/>
      <c r="F645" s="506">
        <f>ROUND(F643*F637,0)</f>
        <v>0</v>
      </c>
      <c r="G645" s="506">
        <f>ROUND(G643*$G$637,0)</f>
        <v>0</v>
      </c>
      <c r="H645" s="506">
        <f>ROUND(H643*$H$637,0)</f>
        <v>0</v>
      </c>
      <c r="I645" s="506">
        <f>ROUND(I643*$I$637,0)</f>
        <v>0</v>
      </c>
      <c r="J645" s="506">
        <f>ROUND(J643*$J$637,0)</f>
        <v>0</v>
      </c>
      <c r="K645" s="345">
        <f>SUM(G645:J645)</f>
        <v>0</v>
      </c>
      <c r="L645" s="506">
        <f>ROUND(L643*$L$637,0)</f>
        <v>0</v>
      </c>
    </row>
    <row r="646" spans="1:12" ht="13">
      <c r="A646" s="331">
        <v>23</v>
      </c>
      <c r="C646" s="357" t="str">
        <f>'FR-16(7)(v)-1 Functional'!C646</f>
        <v>TOTAL REVENUE TAX</v>
      </c>
      <c r="D646" s="342"/>
      <c r="E646" s="195"/>
      <c r="F646" s="504">
        <f>F645+F644</f>
        <v>0</v>
      </c>
      <c r="G646" s="504">
        <f>G645+G644</f>
        <v>0</v>
      </c>
      <c r="H646" s="504">
        <f>H645+H644</f>
        <v>0</v>
      </c>
      <c r="I646" s="504">
        <f>I645+I644</f>
        <v>0</v>
      </c>
      <c r="J646" s="504">
        <f>J645+J644</f>
        <v>0</v>
      </c>
      <c r="K646" s="345">
        <f>SUM(G646:J646)</f>
        <v>0</v>
      </c>
      <c r="L646" s="504">
        <f>L645+L644</f>
        <v>0</v>
      </c>
    </row>
    <row r="647" spans="1:12" ht="13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>F646+F637</f>
        <v>32380784</v>
      </c>
      <c r="G647" s="346">
        <f>G646+$G$637</f>
        <v>28146650</v>
      </c>
      <c r="H647" s="346">
        <f>H646+$H$637</f>
        <v>4020265</v>
      </c>
      <c r="I647" s="346">
        <f>I646+$I$637</f>
        <v>130120</v>
      </c>
      <c r="J647" s="346">
        <f>J646+$J$637</f>
        <v>83750</v>
      </c>
      <c r="K647" s="346">
        <f>K646+$K$637</f>
        <v>32380785</v>
      </c>
      <c r="L647" s="346">
        <f>L646+$L$637</f>
        <v>1</v>
      </c>
    </row>
    <row r="648" spans="1:12" ht="13">
      <c r="A648" s="331">
        <v>25</v>
      </c>
      <c r="D648" s="342"/>
      <c r="E648" s="195"/>
      <c r="I648" s="330"/>
    </row>
    <row r="649" spans="1:12" ht="13">
      <c r="A649" s="331">
        <v>26</v>
      </c>
      <c r="B649" s="330" t="s">
        <v>843</v>
      </c>
      <c r="D649" s="342"/>
      <c r="E649" s="195"/>
      <c r="F649" s="347">
        <f t="shared" ref="F649:L649" si="183">F745</f>
        <v>32787426</v>
      </c>
      <c r="G649" s="345">
        <f>G745</f>
        <v>22131002</v>
      </c>
      <c r="H649" s="345">
        <f t="shared" si="183"/>
        <v>8489246</v>
      </c>
      <c r="I649" s="345">
        <f t="shared" si="183"/>
        <v>1635888</v>
      </c>
      <c r="J649" s="345">
        <f t="shared" si="183"/>
        <v>531290</v>
      </c>
      <c r="K649" s="345">
        <f t="shared" si="183"/>
        <v>32787426</v>
      </c>
      <c r="L649" s="345">
        <f t="shared" si="183"/>
        <v>0</v>
      </c>
    </row>
    <row r="650" spans="1:12" ht="13">
      <c r="A650" s="331">
        <v>27</v>
      </c>
      <c r="B650" s="330" t="s">
        <v>79</v>
      </c>
      <c r="D650" s="342"/>
      <c r="E650" s="195"/>
      <c r="F650" s="345">
        <f t="shared" ref="F650:L650" si="184">-F647</f>
        <v>-32380784</v>
      </c>
      <c r="G650" s="345">
        <f>-G647</f>
        <v>-28146650</v>
      </c>
      <c r="H650" s="345">
        <f t="shared" si="184"/>
        <v>-4020265</v>
      </c>
      <c r="I650" s="345">
        <f t="shared" si="184"/>
        <v>-130120</v>
      </c>
      <c r="J650" s="345">
        <f t="shared" si="184"/>
        <v>-83750</v>
      </c>
      <c r="K650" s="345">
        <f t="shared" si="184"/>
        <v>-32380785</v>
      </c>
      <c r="L650" s="345">
        <f t="shared" si="184"/>
        <v>-1</v>
      </c>
    </row>
    <row r="651" spans="1:12" ht="13">
      <c r="A651" s="331">
        <v>28</v>
      </c>
      <c r="B651" s="330" t="s">
        <v>80</v>
      </c>
      <c r="D651" s="342"/>
      <c r="E651" s="195"/>
      <c r="F651" s="345">
        <f>F650+F649</f>
        <v>406642</v>
      </c>
      <c r="G651" s="345">
        <f>G650+G649</f>
        <v>-6015648</v>
      </c>
      <c r="H651" s="345">
        <f>H650+H649</f>
        <v>4468981</v>
      </c>
      <c r="I651" s="345">
        <f>I650+I649</f>
        <v>1505768</v>
      </c>
      <c r="J651" s="345">
        <f>J650+J649</f>
        <v>447540</v>
      </c>
      <c r="K651" s="345">
        <f>SUM(G651:J651)</f>
        <v>406641</v>
      </c>
      <c r="L651" s="345">
        <f>L650+L649</f>
        <v>-1</v>
      </c>
    </row>
    <row r="652" spans="1:12" ht="13">
      <c r="A652" s="331">
        <v>29</v>
      </c>
      <c r="B652" s="330" t="s">
        <v>76</v>
      </c>
      <c r="D652" s="342"/>
      <c r="E652" s="195"/>
      <c r="F652" s="348">
        <f>F565</f>
        <v>0.24925</v>
      </c>
      <c r="G652" s="348">
        <f>$G$565</f>
        <v>0.24925</v>
      </c>
      <c r="H652" s="348">
        <f>$H$565</f>
        <v>0.24925</v>
      </c>
      <c r="I652" s="348">
        <f>$I$565</f>
        <v>0.24925120000000001</v>
      </c>
      <c r="J652" s="348">
        <f>$J$565</f>
        <v>0.24925</v>
      </c>
      <c r="K652" s="348">
        <f>$L$565</f>
        <v>0.24925</v>
      </c>
      <c r="L652" s="348">
        <f>$L$565</f>
        <v>0.24925</v>
      </c>
    </row>
    <row r="653" spans="1:12" ht="13">
      <c r="A653" s="331">
        <v>30</v>
      </c>
      <c r="B653" s="330" t="s">
        <v>81</v>
      </c>
      <c r="D653" s="342"/>
      <c r="E653" s="195"/>
      <c r="F653" s="345">
        <f>ROUND(F652*F651,0)</f>
        <v>101356</v>
      </c>
      <c r="G653" s="345">
        <f>ROUND(G652*G651,0)</f>
        <v>-1499400</v>
      </c>
      <c r="H653" s="345">
        <f>ROUND(H652*H651,0)</f>
        <v>1113894</v>
      </c>
      <c r="I653" s="345">
        <f>ROUND(I652*I651,0)</f>
        <v>375314</v>
      </c>
      <c r="J653" s="345">
        <f>ROUND(J652*J651,0)</f>
        <v>111549</v>
      </c>
      <c r="K653" s="345">
        <f>SUM(G653:J653)</f>
        <v>101357</v>
      </c>
      <c r="L653" s="345">
        <f>ROUND(L652*L651,0)</f>
        <v>0</v>
      </c>
    </row>
    <row r="654" spans="1:12" ht="13">
      <c r="A654" s="331">
        <v>31</v>
      </c>
      <c r="B654" s="330" t="s">
        <v>82</v>
      </c>
      <c r="D654" s="342"/>
      <c r="E654" s="195"/>
      <c r="F654" s="345">
        <f>F651-F653</f>
        <v>305286</v>
      </c>
      <c r="G654" s="345">
        <f>G651-G653</f>
        <v>-4516248</v>
      </c>
      <c r="H654" s="345">
        <f>H651-H653</f>
        <v>3355087</v>
      </c>
      <c r="I654" s="345">
        <f>I651-I653</f>
        <v>1130454</v>
      </c>
      <c r="J654" s="345">
        <f>J651-J653</f>
        <v>335991</v>
      </c>
      <c r="K654" s="345">
        <f>SUM(G654:J654)</f>
        <v>305284</v>
      </c>
      <c r="L654" s="345">
        <f>L651-L653</f>
        <v>-1</v>
      </c>
    </row>
    <row r="655" spans="1:12" ht="13">
      <c r="A655" s="526"/>
      <c r="B655" s="578"/>
      <c r="C655" s="578"/>
      <c r="D655" s="730"/>
      <c r="E655" s="578"/>
      <c r="F655" s="526"/>
      <c r="G655" s="526"/>
      <c r="H655" s="526"/>
      <c r="I655" s="526"/>
      <c r="J655" s="526"/>
      <c r="K655" s="526"/>
      <c r="L655" s="526"/>
    </row>
    <row r="656" spans="1:12" ht="13">
      <c r="A656" s="341" t="str">
        <f>co_name</f>
        <v>DUKE ENERGY KENTUCKY, INC.</v>
      </c>
      <c r="C656" s="195"/>
      <c r="D656" s="342"/>
      <c r="E656" s="195"/>
      <c r="F656" s="342"/>
      <c r="G656" s="340"/>
      <c r="H656" s="340"/>
      <c r="I656" s="195"/>
      <c r="K656" s="359" t="str">
        <f>$K$1</f>
        <v>FR-16(7)(v)-6</v>
      </c>
      <c r="L656" s="195"/>
    </row>
    <row r="657" spans="1:12" ht="13">
      <c r="A657" s="341" t="str">
        <f>$A$2</f>
        <v>DISTRIBUTION CUSTOMER ALLOCATED - GAS COST OF SERVICE</v>
      </c>
      <c r="C657" s="195"/>
      <c r="D657" s="342"/>
      <c r="E657" s="195"/>
      <c r="F657" s="342"/>
      <c r="G657" s="340"/>
      <c r="H657" s="340"/>
      <c r="I657" s="195"/>
      <c r="K657" s="359" t="str">
        <f>$K$2</f>
        <v>WITNESS RESPONSIBLE:</v>
      </c>
      <c r="L657" s="195"/>
    </row>
    <row r="658" spans="1:12" ht="13">
      <c r="A658" s="341" t="str">
        <f>case_name</f>
        <v>CASE NO: 2021-00190</v>
      </c>
      <c r="C658" s="195"/>
      <c r="D658" s="342"/>
      <c r="E658" s="195"/>
      <c r="F658" s="342"/>
      <c r="G658" s="340"/>
      <c r="H658" s="340"/>
      <c r="I658" s="195"/>
      <c r="K658" s="359" t="str">
        <f>Witness</f>
        <v>JAMES E. ZIOLKOWSKI</v>
      </c>
      <c r="L658" s="195"/>
    </row>
    <row r="659" spans="1:12" ht="13">
      <c r="A659" s="341" t="str">
        <f>data_filing</f>
        <v>DATA: 12 MONTH FORECASTED PERIOD</v>
      </c>
      <c r="C659" s="195"/>
      <c r="D659" s="342"/>
      <c r="E659" s="195"/>
      <c r="F659" s="342"/>
      <c r="G659" s="340"/>
      <c r="H659" s="340"/>
      <c r="I659" s="195"/>
      <c r="K659" s="359" t="str">
        <f>"PAGE "&amp;Pages-3&amp;" OF "&amp;Pages</f>
        <v>PAGE 15 OF 18</v>
      </c>
      <c r="L659" s="195"/>
    </row>
    <row r="660" spans="1:12" ht="13">
      <c r="A660" s="341" t="str">
        <f>type</f>
        <v xml:space="preserve">TYPE OF FILING: "X" ORIGINAL   UPDATED    REVISED  </v>
      </c>
      <c r="C660" s="195"/>
      <c r="D660" s="342"/>
      <c r="E660" s="195"/>
      <c r="F660" s="342"/>
      <c r="G660" s="340"/>
      <c r="H660" s="340"/>
      <c r="I660" s="195"/>
      <c r="J660" s="342"/>
      <c r="K660" s="195"/>
      <c r="L660" s="195"/>
    </row>
    <row r="661" spans="1:12" ht="13">
      <c r="B661" s="341"/>
      <c r="C661" s="195"/>
      <c r="D661" s="342"/>
      <c r="E661" s="195"/>
      <c r="F661" s="342"/>
      <c r="G661" s="340"/>
      <c r="H661" s="340"/>
      <c r="I661" s="195"/>
      <c r="J661" s="342"/>
      <c r="K661" s="195"/>
      <c r="L661" s="195"/>
    </row>
    <row r="662" spans="1:12" ht="13">
      <c r="B662" s="341"/>
      <c r="C662" s="195"/>
      <c r="D662" s="342"/>
      <c r="E662" s="195"/>
      <c r="F662" s="342" t="s">
        <v>229</v>
      </c>
      <c r="G662" s="340"/>
      <c r="H662" s="340"/>
      <c r="I662" s="195"/>
      <c r="J662" s="342"/>
      <c r="K662" s="195"/>
      <c r="L662" s="195"/>
    </row>
    <row r="663" spans="1:12" ht="13">
      <c r="A663" s="342" t="s">
        <v>907</v>
      </c>
      <c r="B663" s="195"/>
      <c r="C663" s="195"/>
      <c r="D663" s="342"/>
      <c r="E663" s="195"/>
      <c r="F663" s="342" t="str">
        <f>$F$8</f>
        <v>DISTRIBUTION</v>
      </c>
      <c r="G663" s="352" t="str">
        <f>$G$8</f>
        <v>RS</v>
      </c>
      <c r="H663" s="352" t="str">
        <f>$H$8</f>
        <v>GS</v>
      </c>
      <c r="I663" s="342" t="str">
        <f>$I$8</f>
        <v>FT-L</v>
      </c>
      <c r="J663" s="342" t="str">
        <f>$J$8</f>
        <v>INTERUPT</v>
      </c>
      <c r="K663" s="342" t="s">
        <v>229</v>
      </c>
      <c r="L663" s="342" t="s">
        <v>342</v>
      </c>
    </row>
    <row r="664" spans="1:12" ht="13">
      <c r="A664" s="344" t="s">
        <v>908</v>
      </c>
      <c r="B664" s="343" t="s">
        <v>83</v>
      </c>
      <c r="C664" s="343"/>
      <c r="D664" s="344" t="s">
        <v>337</v>
      </c>
      <c r="E664" s="343"/>
      <c r="F664" s="342" t="str">
        <f>$F$9</f>
        <v>CUSTOMER</v>
      </c>
      <c r="G664" s="353" t="str">
        <f>$G$9</f>
        <v>RESIDENTIAL</v>
      </c>
      <c r="H664" s="353" t="str">
        <f>$H$9</f>
        <v>GEN SERV</v>
      </c>
      <c r="I664" s="344" t="str">
        <f>$I$9</f>
        <v>FIRM TRANS</v>
      </c>
      <c r="J664" s="344" t="str">
        <f>$J$9</f>
        <v>TRANS</v>
      </c>
      <c r="K664" s="344" t="s">
        <v>341</v>
      </c>
      <c r="L664" s="344" t="s">
        <v>340</v>
      </c>
    </row>
    <row r="665" spans="1:12" ht="13">
      <c r="C665" s="572" t="s">
        <v>353</v>
      </c>
      <c r="D665" s="342"/>
      <c r="E665" s="195"/>
      <c r="F665" s="755"/>
      <c r="G665" s="627">
        <f>$G$10</f>
        <v>3</v>
      </c>
      <c r="H665" s="627">
        <f>$H$10</f>
        <v>4</v>
      </c>
      <c r="I665" s="627">
        <f>$I$10</f>
        <v>5</v>
      </c>
      <c r="J665" s="627">
        <f>$J$10</f>
        <v>6</v>
      </c>
    </row>
    <row r="666" spans="1:12" ht="13">
      <c r="A666" s="331">
        <v>1</v>
      </c>
      <c r="B666" s="330" t="s">
        <v>84</v>
      </c>
      <c r="D666" s="342"/>
      <c r="E666" s="195"/>
      <c r="I666" s="330"/>
    </row>
    <row r="667" spans="1:12" ht="13">
      <c r="A667" s="331">
        <v>2</v>
      </c>
      <c r="B667" s="330" t="s">
        <v>85</v>
      </c>
      <c r="D667" s="342"/>
      <c r="E667" s="195"/>
      <c r="G667" s="513" t="s">
        <v>339</v>
      </c>
      <c r="I667" s="330"/>
    </row>
    <row r="668" spans="1:12" ht="13">
      <c r="A668" s="331">
        <v>3</v>
      </c>
      <c r="C668" s="330" t="str">
        <f>'FR-16(7)(v)-1 Functional'!C668</f>
        <v>LONG TERM DEBT</v>
      </c>
      <c r="D668" s="342"/>
      <c r="E668" s="195"/>
      <c r="F668" s="473">
        <f>'FR-16(7)(v)-1 Functional'!$F$668</f>
        <v>794320510</v>
      </c>
      <c r="G668" s="348">
        <f>IF($F$673=0,0,ROUND(F668/$F$673,5))</f>
        <v>0.46721000000000001</v>
      </c>
      <c r="I668" s="330"/>
    </row>
    <row r="669" spans="1:12" ht="13">
      <c r="A669" s="331">
        <v>4</v>
      </c>
      <c r="C669" s="330" t="str">
        <f>'FR-16(7)(v)-1 Functional'!C669</f>
        <v>PREFERRED STOCK</v>
      </c>
      <c r="D669" s="342"/>
      <c r="E669" s="195"/>
      <c r="F669" s="473">
        <f>'FR-16(7)(v)-1 Functional'!$F$669</f>
        <v>0</v>
      </c>
      <c r="G669" s="348">
        <f>IF($F$673=0,0,ROUND(F669/$F$673,5))</f>
        <v>0</v>
      </c>
      <c r="I669" s="330"/>
    </row>
    <row r="670" spans="1:12" ht="13">
      <c r="A670" s="331">
        <v>5</v>
      </c>
      <c r="C670" s="330" t="str">
        <f>'FR-16(7)(v)-1 Functional'!C670</f>
        <v>COMMON STOCK</v>
      </c>
      <c r="D670" s="342"/>
      <c r="E670" s="195"/>
      <c r="F670" s="473">
        <f>'FR-16(7)(v)-1 Functional'!$F$670</f>
        <v>861861344</v>
      </c>
      <c r="G670" s="348">
        <f>1-G668-G669-G671-G672</f>
        <v>0.50695000000000001</v>
      </c>
      <c r="I670" s="330"/>
    </row>
    <row r="671" spans="1:12" ht="13">
      <c r="A671" s="331">
        <v>6</v>
      </c>
      <c r="C671" s="330" t="str">
        <f>'FR-16(7)(v)-1 Functional'!C671</f>
        <v>SHORT TERM DEBT</v>
      </c>
      <c r="D671" s="342"/>
      <c r="E671" s="195"/>
      <c r="F671" s="473">
        <f>'FR-16(7)(v)-1 Functional'!$F$671</f>
        <v>43936209</v>
      </c>
      <c r="G671" s="348">
        <f>IF($F$673=0,0,ROUND(F671/$F$673,5))</f>
        <v>2.5839999999999998E-2</v>
      </c>
      <c r="I671" s="330"/>
    </row>
    <row r="672" spans="1:12" ht="13">
      <c r="A672" s="331">
        <v>7</v>
      </c>
      <c r="C672" s="330" t="str">
        <f>'FR-16(7)(v)-1 Functional'!C672</f>
        <v>UNAMORTIZED DISCOUNT</v>
      </c>
      <c r="D672" s="342"/>
      <c r="E672" s="195"/>
      <c r="F672" s="473">
        <f>'FR-16(7)(v)-1 Functional'!$F$672</f>
        <v>0</v>
      </c>
      <c r="G672" s="348">
        <f>IF($F$673=0,0,ROUND(F672/$F$673,5))</f>
        <v>0</v>
      </c>
      <c r="I672" s="330"/>
    </row>
    <row r="673" spans="1:9" ht="13">
      <c r="A673" s="331">
        <v>8</v>
      </c>
      <c r="C673" s="330" t="str">
        <f>'FR-16(7)(v)-1 Functional'!C673</f>
        <v xml:space="preserve">  TOTAL</v>
      </c>
      <c r="D673" s="342"/>
      <c r="E673" s="195"/>
      <c r="F673" s="474">
        <f>SUM(F667:F672)</f>
        <v>1700118063</v>
      </c>
      <c r="G673" s="515">
        <f>SUM(G668:G672)</f>
        <v>1</v>
      </c>
      <c r="I673" s="330"/>
    </row>
    <row r="674" spans="1:9" ht="13">
      <c r="A674" s="331">
        <v>9</v>
      </c>
      <c r="D674" s="342"/>
      <c r="E674" s="195"/>
      <c r="I674" s="330"/>
    </row>
    <row r="675" spans="1:9" ht="13">
      <c r="A675" s="331">
        <v>10</v>
      </c>
      <c r="B675" s="330" t="s">
        <v>86</v>
      </c>
      <c r="D675" s="342"/>
      <c r="E675" s="195"/>
      <c r="I675" s="330"/>
    </row>
    <row r="676" spans="1:9" ht="13">
      <c r="A676" s="331">
        <v>11</v>
      </c>
      <c r="C676" s="330" t="str">
        <f>'FR-16(7)(v)-1 Functional'!C676</f>
        <v>LONG TERM DEBT</v>
      </c>
      <c r="D676" s="342"/>
      <c r="E676" s="195"/>
      <c r="F676" s="580">
        <f>'FR-16(7)(v)-1 Functional'!$F$676</f>
        <v>3.8429999999999999E-2</v>
      </c>
      <c r="G676" s="516"/>
      <c r="I676" s="330"/>
    </row>
    <row r="677" spans="1:9" ht="13">
      <c r="A677" s="331">
        <v>12</v>
      </c>
      <c r="C677" s="330" t="str">
        <f>'FR-16(7)(v)-1 Functional'!C677</f>
        <v>PREFERRED STOCK</v>
      </c>
      <c r="D677" s="342"/>
      <c r="E677" s="195"/>
      <c r="F677" s="580">
        <f>'FR-16(7)(v)-1 Functional'!$F$677</f>
        <v>0</v>
      </c>
      <c r="G677" s="516"/>
      <c r="I677" s="330"/>
    </row>
    <row r="678" spans="1:9" ht="13">
      <c r="A678" s="331">
        <v>13</v>
      </c>
      <c r="C678" s="330" t="str">
        <f>'FR-16(7)(v)-1 Functional'!C678</f>
        <v>COMMON STOCK</v>
      </c>
      <c r="D678" s="342"/>
      <c r="E678" s="195"/>
      <c r="F678" s="580">
        <f>'FR-16(7)(v)-1 Functional'!$F$678</f>
        <v>0.10299999999999999</v>
      </c>
      <c r="G678" s="516"/>
      <c r="I678" s="330"/>
    </row>
    <row r="679" spans="1:9" ht="13">
      <c r="A679" s="331">
        <v>14</v>
      </c>
      <c r="C679" s="330" t="str">
        <f>'FR-16(7)(v)-1 Functional'!C679</f>
        <v>SHORT TERM DEBT</v>
      </c>
      <c r="D679" s="342"/>
      <c r="E679" s="195"/>
      <c r="F679" s="580">
        <f>'FR-16(7)(v)-1 Functional'!$F$679</f>
        <v>1.6670000000000001E-2</v>
      </c>
      <c r="G679" s="516"/>
      <c r="I679" s="330"/>
    </row>
    <row r="680" spans="1:9" ht="13">
      <c r="A680" s="331">
        <v>15</v>
      </c>
      <c r="C680" s="330" t="str">
        <f>'FR-16(7)(v)-1 Functional'!C680</f>
        <v>UNAMORTIZED DISCOUNT</v>
      </c>
      <c r="D680" s="342"/>
      <c r="E680" s="195"/>
      <c r="F680" s="580">
        <f>'FR-16(7)(v)-1 Functional'!$F$680</f>
        <v>0</v>
      </c>
      <c r="G680" s="516"/>
      <c r="I680" s="330"/>
    </row>
    <row r="681" spans="1:9" ht="13">
      <c r="A681" s="331">
        <v>16</v>
      </c>
      <c r="D681" s="342"/>
      <c r="E681" s="195"/>
      <c r="I681" s="330"/>
    </row>
    <row r="682" spans="1:9" ht="13">
      <c r="A682" s="331">
        <v>17</v>
      </c>
      <c r="B682" s="330" t="s">
        <v>87</v>
      </c>
      <c r="D682" s="342"/>
      <c r="E682" s="195"/>
      <c r="I682" s="330"/>
    </row>
    <row r="683" spans="1:9" ht="13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G683" s="514"/>
      <c r="I683" s="330"/>
    </row>
    <row r="684" spans="1:9" ht="13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G684" s="514"/>
      <c r="I684" s="330"/>
    </row>
    <row r="685" spans="1:9" ht="13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G685" s="514"/>
      <c r="I685" s="330"/>
    </row>
    <row r="686" spans="1:9" ht="13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G686" s="514"/>
      <c r="I686" s="330"/>
    </row>
    <row r="687" spans="1:9" ht="13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G687" s="514"/>
      <c r="H687" s="351"/>
      <c r="I687" s="330"/>
    </row>
    <row r="688" spans="1:9" ht="13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7">
        <f>SUM(F683:F687)</f>
        <v>7.060000000000001E-2</v>
      </c>
      <c r="G688" s="518"/>
      <c r="H688" s="351"/>
      <c r="I688" s="330"/>
    </row>
    <row r="689" spans="1:17" ht="13">
      <c r="A689" s="331">
        <v>24</v>
      </c>
      <c r="D689" s="342"/>
      <c r="E689" s="195"/>
      <c r="H689" s="351"/>
      <c r="I689" s="330"/>
    </row>
    <row r="690" spans="1:17" ht="13">
      <c r="A690" s="331">
        <v>25</v>
      </c>
      <c r="B690" s="330" t="s">
        <v>88</v>
      </c>
      <c r="D690" s="342"/>
      <c r="E690" s="195"/>
      <c r="H690" s="351"/>
      <c r="I690" s="330"/>
    </row>
    <row r="691" spans="1:17" ht="13">
      <c r="A691" s="331">
        <v>26</v>
      </c>
      <c r="C691" s="330" t="str">
        <f>'FR-16(7)(v)-1 Functional'!C691</f>
        <v>SHORT TERM DEBT COST</v>
      </c>
      <c r="D691" s="342"/>
      <c r="E691" s="195"/>
      <c r="F691" s="760">
        <v>0</v>
      </c>
      <c r="G691" s="519">
        <f t="shared" ref="G691:L691" si="185">$F$691</f>
        <v>0</v>
      </c>
      <c r="H691" s="519">
        <f t="shared" si="185"/>
        <v>0</v>
      </c>
      <c r="I691" s="519">
        <f t="shared" si="185"/>
        <v>0</v>
      </c>
      <c r="J691" s="519">
        <f t="shared" si="185"/>
        <v>0</v>
      </c>
      <c r="K691" s="519">
        <f t="shared" si="185"/>
        <v>0</v>
      </c>
      <c r="L691" s="519">
        <f t="shared" si="185"/>
        <v>0</v>
      </c>
    </row>
    <row r="692" spans="1:17" ht="13">
      <c r="A692" s="331">
        <v>27</v>
      </c>
      <c r="C692" s="330" t="str">
        <f>'FR-16(7)(v)-1 Functional'!C692</f>
        <v>FEDERAL INCOME TAX RATE</v>
      </c>
      <c r="D692" s="342"/>
      <c r="E692" s="195"/>
      <c r="F692" s="519">
        <f t="shared" ref="F692:L692" si="186">FIT</f>
        <v>0.21</v>
      </c>
      <c r="G692" s="519">
        <f t="shared" si="186"/>
        <v>0.21</v>
      </c>
      <c r="H692" s="519">
        <f t="shared" si="186"/>
        <v>0.21</v>
      </c>
      <c r="I692" s="519">
        <f t="shared" si="186"/>
        <v>0.21</v>
      </c>
      <c r="J692" s="519">
        <f t="shared" si="186"/>
        <v>0.21</v>
      </c>
      <c r="K692" s="519">
        <f t="shared" si="186"/>
        <v>0.21</v>
      </c>
      <c r="L692" s="519">
        <f t="shared" si="186"/>
        <v>0.21</v>
      </c>
    </row>
    <row r="693" spans="1:17" ht="13">
      <c r="A693" s="331">
        <v>28</v>
      </c>
      <c r="C693" s="330" t="str">
        <f>'FR-16(7)(v)-1 Functional'!C693</f>
        <v>STATE INCOME TAX RATE</v>
      </c>
      <c r="D693" s="342"/>
      <c r="E693" s="195"/>
      <c r="F693" s="519">
        <f t="shared" ref="F693:L693" si="187">SIT</f>
        <v>4.9685000000000007E-2</v>
      </c>
      <c r="G693" s="519">
        <f t="shared" si="187"/>
        <v>4.9685000000000007E-2</v>
      </c>
      <c r="H693" s="519">
        <f t="shared" si="187"/>
        <v>4.9685000000000007E-2</v>
      </c>
      <c r="I693" s="519">
        <f t="shared" si="187"/>
        <v>4.9685000000000007E-2</v>
      </c>
      <c r="J693" s="519">
        <f t="shared" si="187"/>
        <v>4.9685000000000007E-2</v>
      </c>
      <c r="K693" s="519">
        <f t="shared" si="187"/>
        <v>4.9685000000000007E-2</v>
      </c>
      <c r="L693" s="519">
        <f t="shared" si="187"/>
        <v>4.9685000000000007E-2</v>
      </c>
    </row>
    <row r="694" spans="1:17" ht="13">
      <c r="A694" s="331">
        <v>29</v>
      </c>
      <c r="C694" s="330" t="str">
        <f>'FR-16(7)(v)-1 Functional'!C694</f>
        <v>REVENUE TAX RATE</v>
      </c>
      <c r="D694" s="342"/>
      <c r="E694" s="195"/>
      <c r="F694" s="516">
        <v>0</v>
      </c>
      <c r="G694" s="519">
        <f t="shared" ref="G694:L694" si="188">RevTax</f>
        <v>0</v>
      </c>
      <c r="H694" s="519">
        <f t="shared" si="188"/>
        <v>0</v>
      </c>
      <c r="I694" s="519">
        <f t="shared" si="188"/>
        <v>0</v>
      </c>
      <c r="J694" s="519">
        <f t="shared" si="188"/>
        <v>0</v>
      </c>
      <c r="K694" s="519">
        <f t="shared" si="188"/>
        <v>0</v>
      </c>
      <c r="L694" s="519">
        <f t="shared" si="188"/>
        <v>0</v>
      </c>
    </row>
    <row r="695" spans="1:17" ht="13">
      <c r="A695" s="195"/>
      <c r="B695" s="195"/>
      <c r="C695" s="195"/>
      <c r="D695" s="342"/>
      <c r="E695" s="342"/>
      <c r="G695" s="340"/>
      <c r="H695" s="340"/>
      <c r="I695" s="195"/>
      <c r="J695" s="342"/>
      <c r="K695" s="195"/>
      <c r="M695" s="195"/>
      <c r="N695" s="195"/>
      <c r="O695" s="195"/>
      <c r="P695" s="195"/>
      <c r="Q695" s="195"/>
    </row>
    <row r="696" spans="1:17" ht="13">
      <c r="A696" s="341" t="str">
        <f>co_name</f>
        <v>DUKE ENERGY KENTUCKY, INC.</v>
      </c>
      <c r="C696" s="195"/>
      <c r="D696" s="342"/>
      <c r="E696" s="195"/>
      <c r="F696" s="342"/>
      <c r="G696" s="340"/>
      <c r="H696" s="340"/>
      <c r="I696" s="195"/>
      <c r="K696" s="359" t="str">
        <f>$K$1</f>
        <v>FR-16(7)(v)-6</v>
      </c>
      <c r="M696" s="195"/>
      <c r="N696" s="195"/>
      <c r="O696" s="195"/>
      <c r="P696" s="195"/>
      <c r="Q696" s="195"/>
    </row>
    <row r="697" spans="1:17" ht="13">
      <c r="A697" s="341" t="str">
        <f>$A$2</f>
        <v>DISTRIBUTION CUSTOMER ALLOCATED - GAS COST OF SERVICE</v>
      </c>
      <c r="C697" s="195"/>
      <c r="D697" s="342"/>
      <c r="E697" s="195"/>
      <c r="F697" s="342"/>
      <c r="G697" s="340"/>
      <c r="H697" s="340"/>
      <c r="I697" s="195"/>
      <c r="K697" s="359" t="str">
        <f>$K$2</f>
        <v>WITNESS RESPONSIBLE:</v>
      </c>
      <c r="M697" s="195"/>
      <c r="N697" s="195"/>
      <c r="O697" s="195"/>
      <c r="P697" s="195"/>
      <c r="Q697" s="195"/>
    </row>
    <row r="698" spans="1:17" ht="13">
      <c r="A698" s="341" t="str">
        <f>case_name</f>
        <v>CASE NO: 2021-00190</v>
      </c>
      <c r="C698" s="195"/>
      <c r="D698" s="342"/>
      <c r="E698" s="195"/>
      <c r="F698" s="342"/>
      <c r="G698" s="340"/>
      <c r="H698" s="340"/>
      <c r="I698" s="195"/>
      <c r="K698" s="359" t="str">
        <f>Witness</f>
        <v>JAMES E. ZIOLKOWSKI</v>
      </c>
      <c r="M698" s="195"/>
      <c r="N698" s="195"/>
      <c r="O698" s="195"/>
      <c r="P698" s="195"/>
      <c r="Q698" s="195"/>
    </row>
    <row r="699" spans="1:17" ht="13">
      <c r="A699" s="341" t="str">
        <f>data_filing</f>
        <v>DATA: 12 MONTH FORECASTED PERIOD</v>
      </c>
      <c r="C699" s="195"/>
      <c r="D699" s="342"/>
      <c r="E699" s="195"/>
      <c r="F699" s="342"/>
      <c r="G699" s="340"/>
      <c r="H699" s="340"/>
      <c r="I699" s="195"/>
      <c r="K699" s="359" t="str">
        <f>"PAGE "&amp;Pages-2&amp;" OF "&amp;Pages</f>
        <v>PAGE 16 OF 18</v>
      </c>
      <c r="M699" s="195"/>
      <c r="N699" s="195"/>
      <c r="O699" s="195"/>
      <c r="P699" s="195"/>
      <c r="Q699" s="195"/>
    </row>
    <row r="700" spans="1:17" ht="13">
      <c r="A700" s="341" t="str">
        <f>type</f>
        <v xml:space="preserve">TYPE OF FILING: "X" ORIGINAL   UPDATED    REVISED  </v>
      </c>
      <c r="C700" s="195"/>
      <c r="D700" s="342"/>
      <c r="E700" s="195"/>
      <c r="F700" s="342"/>
      <c r="G700" s="340"/>
      <c r="H700" s="340"/>
      <c r="I700" s="195"/>
      <c r="J700" s="342"/>
      <c r="K700" s="195"/>
      <c r="M700" s="195"/>
      <c r="N700" s="195"/>
      <c r="O700" s="195"/>
      <c r="P700" s="195"/>
      <c r="Q700" s="195"/>
    </row>
    <row r="701" spans="1:17" ht="13">
      <c r="A701" s="195"/>
      <c r="B701" s="195"/>
      <c r="C701" s="195"/>
      <c r="D701" s="342"/>
      <c r="E701" s="342"/>
      <c r="F701" s="342"/>
      <c r="G701" s="340"/>
      <c r="H701" s="340"/>
      <c r="I701" s="195"/>
      <c r="J701" s="342"/>
      <c r="K701" s="195"/>
      <c r="M701" s="195"/>
      <c r="N701" s="195"/>
      <c r="O701" s="195"/>
      <c r="P701" s="195"/>
      <c r="Q701" s="195"/>
    </row>
    <row r="702" spans="1:17" ht="13.5" thickBot="1">
      <c r="A702" s="195"/>
      <c r="B702" s="195"/>
      <c r="C702" s="195"/>
      <c r="D702" s="342"/>
      <c r="E702" s="342"/>
      <c r="F702" s="342" t="str">
        <f>$F$7</f>
        <v>TOTAL</v>
      </c>
      <c r="G702" s="340"/>
      <c r="H702" s="340"/>
      <c r="I702" s="195"/>
      <c r="J702" s="342"/>
      <c r="K702" s="195"/>
      <c r="M702" s="195"/>
      <c r="N702" s="195"/>
      <c r="O702" s="195"/>
      <c r="P702" s="195"/>
      <c r="Q702" s="195"/>
    </row>
    <row r="703" spans="1:17" ht="13">
      <c r="A703" s="342" t="s">
        <v>907</v>
      </c>
      <c r="B703" s="195"/>
      <c r="C703" s="195"/>
      <c r="D703" s="342"/>
      <c r="E703" s="342"/>
      <c r="F703" s="342" t="str">
        <f>$F$8</f>
        <v>DISTRIBUTION</v>
      </c>
      <c r="G703" s="352" t="str">
        <f>$G$8</f>
        <v>RS</v>
      </c>
      <c r="H703" s="352" t="str">
        <f>$H$8</f>
        <v>GS</v>
      </c>
      <c r="I703" s="342" t="str">
        <f>$I$8</f>
        <v>FT-L</v>
      </c>
      <c r="J703" s="342" t="str">
        <f>$J$8</f>
        <v>INTERUPT</v>
      </c>
      <c r="K703" s="342" t="s">
        <v>229</v>
      </c>
      <c r="L703" s="583" t="s">
        <v>342</v>
      </c>
      <c r="M703" s="195"/>
      <c r="N703" s="195"/>
      <c r="P703" s="655" t="s">
        <v>999</v>
      </c>
      <c r="Q703" s="195"/>
    </row>
    <row r="704" spans="1:17" ht="13">
      <c r="A704" s="344" t="s">
        <v>908</v>
      </c>
      <c r="B704" s="584" t="s">
        <v>89</v>
      </c>
      <c r="C704" s="343"/>
      <c r="D704" s="585" t="s">
        <v>1001</v>
      </c>
      <c r="E704" s="585" t="s">
        <v>337</v>
      </c>
      <c r="F704" s="342" t="str">
        <f>$F$9</f>
        <v>CUSTOMER</v>
      </c>
      <c r="G704" s="353" t="str">
        <f>$G$9</f>
        <v>RESIDENTIAL</v>
      </c>
      <c r="H704" s="353" t="str">
        <f>$H$9</f>
        <v>GEN SERV</v>
      </c>
      <c r="I704" s="344" t="str">
        <f>$I$9</f>
        <v>FIRM TRANS</v>
      </c>
      <c r="J704" s="344" t="str">
        <f>$J$9</f>
        <v>TRANS</v>
      </c>
      <c r="K704" s="344" t="s">
        <v>341</v>
      </c>
      <c r="L704" s="586" t="s">
        <v>340</v>
      </c>
      <c r="M704" s="195"/>
      <c r="N704" s="195"/>
      <c r="P704" s="656" t="s">
        <v>998</v>
      </c>
      <c r="Q704" s="195"/>
    </row>
    <row r="705" spans="1:17" ht="13">
      <c r="A705" s="195"/>
      <c r="B705" s="588"/>
      <c r="C705" s="838" t="s">
        <v>558</v>
      </c>
      <c r="D705" s="712"/>
      <c r="E705" s="780">
        <v>1</v>
      </c>
      <c r="F705" s="823">
        <v>2</v>
      </c>
      <c r="G705" s="627">
        <v>3</v>
      </c>
      <c r="H705" s="627">
        <v>4</v>
      </c>
      <c r="I705" s="627">
        <v>5</v>
      </c>
      <c r="J705" s="627">
        <v>6</v>
      </c>
      <c r="K705" s="589"/>
      <c r="L705" s="590"/>
      <c r="M705" s="366"/>
      <c r="N705" s="195"/>
      <c r="P705" s="657"/>
      <c r="Q705" s="366"/>
    </row>
    <row r="706" spans="1:17" ht="13">
      <c r="A706" s="342">
        <v>1</v>
      </c>
      <c r="B706" s="591" t="s">
        <v>90</v>
      </c>
      <c r="C706" s="484"/>
      <c r="D706" s="706"/>
      <c r="E706" s="706"/>
      <c r="F706" s="504"/>
      <c r="G706" s="504"/>
      <c r="H706" s="484"/>
      <c r="I706" s="504"/>
      <c r="J706" s="504"/>
      <c r="K706" s="504"/>
      <c r="L706" s="504"/>
      <c r="N706" s="195"/>
      <c r="P706" s="658"/>
    </row>
    <row r="707" spans="1:17" ht="13">
      <c r="A707" s="342">
        <v>2</v>
      </c>
      <c r="C707" s="592" t="s">
        <v>221</v>
      </c>
      <c r="D707" s="717" t="s">
        <v>1002</v>
      </c>
      <c r="E707" s="707"/>
      <c r="F707" s="473">
        <f>'Alloc Factors Summary'!$D$16</f>
        <v>11107573</v>
      </c>
      <c r="G707" s="473">
        <f>'Alloc Factors Summary'!$D12</f>
        <v>5557382</v>
      </c>
      <c r="H707" s="473">
        <f>'Alloc Factors Summary'!$D13</f>
        <v>3260228</v>
      </c>
      <c r="I707" s="473">
        <f>'Alloc Factors Summary'!D14</f>
        <v>2289963</v>
      </c>
      <c r="J707" s="473">
        <f>'Alloc Factors Summary'!D15</f>
        <v>0</v>
      </c>
      <c r="K707" s="347">
        <f t="shared" ref="K707:K742" si="189">SUM(G707:J707)</f>
        <v>11107573</v>
      </c>
      <c r="L707" s="347">
        <f t="shared" ref="L707:L742" si="190">F707-K707</f>
        <v>0</v>
      </c>
      <c r="M707" s="195"/>
      <c r="N707" s="195"/>
      <c r="P707" s="657"/>
      <c r="Q707" s="195"/>
    </row>
    <row r="708" spans="1:17" ht="13">
      <c r="A708" s="342">
        <v>3</v>
      </c>
      <c r="B708" s="195"/>
      <c r="C708" s="491" t="s">
        <v>355</v>
      </c>
      <c r="D708" s="583"/>
      <c r="E708" s="708" t="str">
        <f>'FR-16(7)(v)-1 Functional'!$E$708</f>
        <v>K201</v>
      </c>
      <c r="F708" s="643">
        <v>1</v>
      </c>
      <c r="G708" s="354">
        <f>IF($L707=0,F708-SUM(H708:J708),ROUND(G707/$F707,5))</f>
        <v>0.50032999999999994</v>
      </c>
      <c r="H708" s="354">
        <f>IF($F707=0,0,ROUND(H707/$F707,5))</f>
        <v>0.29350999999999999</v>
      </c>
      <c r="I708" s="354">
        <f>IF(F707=0,0,ROUND(I707/F707,5))</f>
        <v>0.20616000000000001</v>
      </c>
      <c r="J708" s="354">
        <f>IF(G707=0,0,ROUND(J707/F707,5))</f>
        <v>0</v>
      </c>
      <c r="K708" s="354">
        <f t="shared" si="189"/>
        <v>0.99999999999999989</v>
      </c>
      <c r="L708" s="354">
        <f t="shared" si="190"/>
        <v>0</v>
      </c>
      <c r="M708" s="195"/>
      <c r="N708" s="195"/>
      <c r="P708" s="659">
        <f>K708</f>
        <v>0.99999999999999989</v>
      </c>
      <c r="Q708" s="195"/>
    </row>
    <row r="709" spans="1:17" ht="13">
      <c r="A709" s="342">
        <v>4</v>
      </c>
      <c r="C709" s="592" t="s">
        <v>855</v>
      </c>
      <c r="D709" s="717" t="s">
        <v>1002</v>
      </c>
      <c r="E709" s="723"/>
      <c r="F709" s="598">
        <v>100</v>
      </c>
      <c r="G709" s="580">
        <f>ROUND('Alloc Factors Summary'!$D$21*100,3)</f>
        <v>51.036000000000001</v>
      </c>
      <c r="H709" s="580">
        <f>ROUND('Alloc Factors Summary'!$D$22*100,3)</f>
        <v>30.99</v>
      </c>
      <c r="I709" s="580">
        <f>ROUND('Alloc Factors Summary'!D23*100,3)</f>
        <v>13.624000000000001</v>
      </c>
      <c r="J709" s="580">
        <f>ROUND('Alloc Factors Summary'!D24*100,3)</f>
        <v>4.3499999999999996</v>
      </c>
      <c r="K709" s="354">
        <f t="shared" si="189"/>
        <v>99.999999999999986</v>
      </c>
      <c r="L709" s="354">
        <f t="shared" si="190"/>
        <v>0</v>
      </c>
      <c r="N709" s="195"/>
      <c r="P709" s="658"/>
    </row>
    <row r="710" spans="1:17" ht="13">
      <c r="A710" s="342">
        <v>5</v>
      </c>
      <c r="B710" s="195"/>
      <c r="C710" s="491" t="s">
        <v>355</v>
      </c>
      <c r="D710" s="583"/>
      <c r="E710" s="708" t="str">
        <f>'FR-16(7)(v)-1 Functional'!$E$710</f>
        <v>K203</v>
      </c>
      <c r="F710" s="643">
        <v>1</v>
      </c>
      <c r="G710" s="354">
        <f>IF($L709=0,F710-SUM(H710:J710),ROUND(G709/$F709,5))</f>
        <v>0.51036000000000004</v>
      </c>
      <c r="H710" s="354">
        <f>IF($F709=0,0,ROUND(H709/$F709,5))</f>
        <v>0.30990000000000001</v>
      </c>
      <c r="I710" s="354">
        <f>IF(F709=0,0,ROUND(I709/F709,5))</f>
        <v>0.13624</v>
      </c>
      <c r="J710" s="354">
        <f>IF(G709=0,0,ROUND(J709/F709,5))</f>
        <v>4.3499999999999997E-2</v>
      </c>
      <c r="K710" s="354">
        <f t="shared" si="189"/>
        <v>1</v>
      </c>
      <c r="L710" s="354">
        <f t="shared" si="190"/>
        <v>0</v>
      </c>
      <c r="M710" s="195"/>
      <c r="N710" s="195"/>
      <c r="P710" s="659">
        <f>K710</f>
        <v>1</v>
      </c>
      <c r="Q710" s="195"/>
    </row>
    <row r="711" spans="1:17" ht="13">
      <c r="A711" s="342">
        <v>6</v>
      </c>
      <c r="C711" s="592" t="s">
        <v>856</v>
      </c>
      <c r="D711" s="717" t="s">
        <v>1002</v>
      </c>
      <c r="E711" s="723"/>
      <c r="F711" s="598">
        <v>100</v>
      </c>
      <c r="G711" s="580">
        <f>ROUND('Alloc Factors Summary'!$E21*100,3)</f>
        <v>53.421999999999997</v>
      </c>
      <c r="H711" s="580">
        <f>ROUND('Alloc Factors Summary'!$E22*100,3)</f>
        <v>32.457999999999998</v>
      </c>
      <c r="I711" s="580">
        <f>ROUND('Alloc Factors Summary'!E23*100,3)</f>
        <v>14.12</v>
      </c>
      <c r="J711" s="580">
        <f>ROUND('Alloc Factors Summary'!E24*100,3)</f>
        <v>0</v>
      </c>
      <c r="K711" s="354">
        <f t="shared" si="189"/>
        <v>100</v>
      </c>
      <c r="L711" s="354">
        <f t="shared" si="190"/>
        <v>0</v>
      </c>
      <c r="N711" s="195"/>
      <c r="P711" s="658"/>
    </row>
    <row r="712" spans="1:17" ht="13">
      <c r="A712" s="342">
        <v>7</v>
      </c>
      <c r="B712" s="195"/>
      <c r="C712" s="491" t="s">
        <v>355</v>
      </c>
      <c r="D712" s="583"/>
      <c r="E712" s="708" t="str">
        <f>'FR-16(7)(v)-1 Functional'!$E$712</f>
        <v>K205</v>
      </c>
      <c r="F712" s="643">
        <v>1</v>
      </c>
      <c r="G712" s="354">
        <f>IF($L711=0,F712-SUM(H712:J712),ROUND(G711/$F711,5))</f>
        <v>0.53422000000000003</v>
      </c>
      <c r="H712" s="354">
        <f>IF($F711=0,0,ROUND(H711/$F711,5))</f>
        <v>0.32457999999999998</v>
      </c>
      <c r="I712" s="354">
        <f>IF(F711=0,0,ROUND(I711/F711,5))</f>
        <v>0.14119999999999999</v>
      </c>
      <c r="J712" s="354">
        <f>IF(G711=0,0,ROUND(J711/F711,5))</f>
        <v>0</v>
      </c>
      <c r="K712" s="354">
        <f t="shared" si="189"/>
        <v>1</v>
      </c>
      <c r="L712" s="354">
        <f t="shared" si="190"/>
        <v>0</v>
      </c>
      <c r="M712" s="195"/>
      <c r="N712" s="195"/>
      <c r="P712" s="659">
        <f>K712</f>
        <v>1</v>
      </c>
      <c r="Q712" s="195"/>
    </row>
    <row r="713" spans="1:17" ht="13">
      <c r="A713" s="342">
        <v>8</v>
      </c>
      <c r="B713" s="195"/>
      <c r="C713" s="592" t="s">
        <v>405</v>
      </c>
      <c r="D713" s="717" t="s">
        <v>1002</v>
      </c>
      <c r="E713" s="723"/>
      <c r="F713" s="473">
        <f>'Alloc Factors Summary'!$D$34</f>
        <v>12746023</v>
      </c>
      <c r="G713" s="473">
        <f>'Alloc Factors Summary'!$D30</f>
        <v>5557382</v>
      </c>
      <c r="H713" s="473">
        <f>'Alloc Factors Summary'!$D31</f>
        <v>3260228</v>
      </c>
      <c r="I713" s="473">
        <f>'Alloc Factors Summary'!D32</f>
        <v>2289963</v>
      </c>
      <c r="J713" s="473">
        <f>'Alloc Factors Summary'!D33</f>
        <v>1638450</v>
      </c>
      <c r="K713" s="347">
        <f t="shared" si="189"/>
        <v>12746023</v>
      </c>
      <c r="L713" s="347">
        <f t="shared" si="190"/>
        <v>0</v>
      </c>
      <c r="M713" s="195"/>
      <c r="N713" s="195"/>
      <c r="P713" s="657"/>
      <c r="Q713" s="195"/>
    </row>
    <row r="714" spans="1:17" ht="13">
      <c r="A714" s="342">
        <v>9</v>
      </c>
      <c r="B714" s="195"/>
      <c r="C714" s="491" t="s">
        <v>355</v>
      </c>
      <c r="D714" s="583"/>
      <c r="E714" s="708" t="str">
        <f>'FR-16(7)(v)-1 Functional'!$E$714</f>
        <v>K300</v>
      </c>
      <c r="F714" s="643">
        <v>1</v>
      </c>
      <c r="G714" s="354">
        <f>IF($L713=0,F714-SUM(H714:J714),ROUND(G713/$F713,5))</f>
        <v>0.43601000000000001</v>
      </c>
      <c r="H714" s="354">
        <f>IF($F713=0,0,ROUND(H713/$F713,5))</f>
        <v>0.25578000000000001</v>
      </c>
      <c r="I714" s="354">
        <f>IF(F713=0,0,ROUND(I713/F713,5))</f>
        <v>0.17965999999999999</v>
      </c>
      <c r="J714" s="354">
        <f>IF(G713=0,0,ROUND(J713/F713,5))</f>
        <v>0.12855</v>
      </c>
      <c r="K714" s="354">
        <f t="shared" si="189"/>
        <v>1</v>
      </c>
      <c r="L714" s="354">
        <f t="shared" si="190"/>
        <v>0</v>
      </c>
      <c r="M714" s="195"/>
      <c r="N714" s="195"/>
      <c r="P714" s="659">
        <f>K714</f>
        <v>1</v>
      </c>
      <c r="Q714" s="195"/>
    </row>
    <row r="715" spans="1:17" ht="13">
      <c r="A715" s="342">
        <v>10</v>
      </c>
      <c r="C715" s="592" t="s">
        <v>375</v>
      </c>
      <c r="D715" s="717" t="s">
        <v>1002</v>
      </c>
      <c r="E715" s="723"/>
      <c r="F715" s="473">
        <f>'Alloc Factors Summary'!$D$43</f>
        <v>8817610</v>
      </c>
      <c r="G715" s="473">
        <f>'Alloc Factors Summary'!D39</f>
        <v>5557382</v>
      </c>
      <c r="H715" s="473">
        <f>'Alloc Factors Summary'!D40</f>
        <v>3260228</v>
      </c>
      <c r="I715" s="473">
        <f>'Alloc Factors Summary'!D41</f>
        <v>0</v>
      </c>
      <c r="J715" s="473">
        <f>'Alloc Factors Summary'!D42</f>
        <v>0</v>
      </c>
      <c r="K715" s="347">
        <f t="shared" si="189"/>
        <v>8817610</v>
      </c>
      <c r="L715" s="347">
        <f t="shared" si="190"/>
        <v>0</v>
      </c>
      <c r="N715" s="195"/>
      <c r="P715" s="658"/>
    </row>
    <row r="716" spans="1:17" ht="13">
      <c r="A716" s="342">
        <v>11</v>
      </c>
      <c r="B716" s="195"/>
      <c r="C716" s="491" t="s">
        <v>355</v>
      </c>
      <c r="D716" s="583"/>
      <c r="E716" s="708" t="str">
        <f>'FR-16(7)(v)-1 Functional'!$E$716</f>
        <v>K301</v>
      </c>
      <c r="F716" s="643">
        <v>1</v>
      </c>
      <c r="G716" s="354">
        <f>IF($L715=0,F716-SUM(H716:J716),ROUND(G715/$F715,5))</f>
        <v>0.63026000000000004</v>
      </c>
      <c r="H716" s="354">
        <f>IF($F715=0,0,ROUND(H715/$F715,5))</f>
        <v>0.36974000000000001</v>
      </c>
      <c r="I716" s="354">
        <f>IF(F715=0,0,ROUND(I715/F715,5))</f>
        <v>0</v>
      </c>
      <c r="J716" s="354">
        <f>IF(G715=0,0,ROUND(J715/F715,5))</f>
        <v>0</v>
      </c>
      <c r="K716" s="354">
        <f t="shared" si="189"/>
        <v>1</v>
      </c>
      <c r="L716" s="354">
        <f t="shared" si="190"/>
        <v>0</v>
      </c>
      <c r="M716" s="195"/>
      <c r="N716" s="195"/>
      <c r="P716" s="659">
        <f>K716</f>
        <v>1</v>
      </c>
      <c r="Q716" s="195"/>
    </row>
    <row r="717" spans="1:17" ht="13">
      <c r="A717" s="342">
        <v>12</v>
      </c>
      <c r="C717" s="592" t="s">
        <v>222</v>
      </c>
      <c r="D717" s="717" t="s">
        <v>1002</v>
      </c>
      <c r="E717" s="723"/>
      <c r="F717" s="473">
        <f>'Alloc Factors Summary'!$D$64</f>
        <v>101373</v>
      </c>
      <c r="G717" s="473">
        <f>'Alloc Factors Summary'!D60</f>
        <v>93602</v>
      </c>
      <c r="H717" s="473">
        <f>'Alloc Factors Summary'!D61</f>
        <v>7643</v>
      </c>
      <c r="I717" s="473">
        <f>'Alloc Factors Summary'!D62</f>
        <v>106</v>
      </c>
      <c r="J717" s="473">
        <f>'Alloc Factors Summary'!D63</f>
        <v>22</v>
      </c>
      <c r="K717" s="347">
        <f t="shared" si="189"/>
        <v>101373</v>
      </c>
      <c r="L717" s="347">
        <f t="shared" si="190"/>
        <v>0</v>
      </c>
      <c r="N717" s="195"/>
      <c r="P717" s="658"/>
    </row>
    <row r="718" spans="1:17" ht="13">
      <c r="A718" s="342">
        <v>13</v>
      </c>
      <c r="B718" s="195"/>
      <c r="C718" s="491" t="s">
        <v>355</v>
      </c>
      <c r="D718" s="583"/>
      <c r="E718" s="708" t="str">
        <f>'FR-16(7)(v)-1 Functional'!$E$718</f>
        <v>K401</v>
      </c>
      <c r="F718" s="643">
        <v>1</v>
      </c>
      <c r="G718" s="354">
        <f>IF($L717=0,F718-SUM(H718:J718),ROUND(G717/$F717,5))</f>
        <v>0.92334000000000005</v>
      </c>
      <c r="H718" s="354">
        <f>IF($F717=0,0,ROUND(H717/$F717,5))</f>
        <v>7.5389999999999999E-2</v>
      </c>
      <c r="I718" s="354">
        <f>IF(F717=0,0,ROUND(I717/F717,5))</f>
        <v>1.0499999999999999E-3</v>
      </c>
      <c r="J718" s="354">
        <f>IF(G717=0,0,ROUND(J717/F717,5))</f>
        <v>2.2000000000000001E-4</v>
      </c>
      <c r="K718" s="354">
        <f t="shared" si="189"/>
        <v>1</v>
      </c>
      <c r="L718" s="354">
        <f t="shared" si="190"/>
        <v>0</v>
      </c>
      <c r="M718" s="195"/>
      <c r="N718" s="195"/>
      <c r="P718" s="659">
        <f>K718</f>
        <v>1</v>
      </c>
      <c r="Q718" s="195"/>
    </row>
    <row r="719" spans="1:17" ht="13">
      <c r="A719" s="342">
        <v>14</v>
      </c>
      <c r="C719" s="592" t="s">
        <v>223</v>
      </c>
      <c r="D719" s="717" t="s">
        <v>1002</v>
      </c>
      <c r="E719" s="723"/>
      <c r="F719" s="473">
        <f>'Alloc Factors Summary'!$F$76</f>
        <v>106848</v>
      </c>
      <c r="G719" s="473">
        <f>'Alloc Factors Summary'!F72</f>
        <v>93602</v>
      </c>
      <c r="H719" s="473">
        <f>'Alloc Factors Summary'!F73</f>
        <v>12869</v>
      </c>
      <c r="I719" s="473">
        <f>'Alloc Factors Summary'!F74</f>
        <v>204</v>
      </c>
      <c r="J719" s="473">
        <f>'Alloc Factors Summary'!F75</f>
        <v>173</v>
      </c>
      <c r="K719" s="347">
        <f t="shared" si="189"/>
        <v>106848</v>
      </c>
      <c r="L719" s="347">
        <f t="shared" si="190"/>
        <v>0</v>
      </c>
      <c r="M719" s="593"/>
      <c r="N719" s="195"/>
      <c r="P719" s="658"/>
    </row>
    <row r="720" spans="1:17" ht="13">
      <c r="A720" s="342">
        <v>15</v>
      </c>
      <c r="B720" s="195"/>
      <c r="C720" s="491" t="s">
        <v>355</v>
      </c>
      <c r="D720" s="583"/>
      <c r="E720" s="708" t="str">
        <f>'FR-16(7)(v)-1 Functional'!$E$720</f>
        <v>K403</v>
      </c>
      <c r="F720" s="643">
        <v>1</v>
      </c>
      <c r="G720" s="354">
        <f>IF($L719=0,F720-SUM(H720:J720),ROUND(G719/$F719,5))</f>
        <v>0.87602999999999998</v>
      </c>
      <c r="H720" s="354">
        <f>IF($F719=0,0,ROUND(H719/$F719,5))</f>
        <v>0.12044000000000001</v>
      </c>
      <c r="I720" s="354">
        <f>IF(F719=0,0,ROUND(I719/F719,5))</f>
        <v>1.91E-3</v>
      </c>
      <c r="J720" s="354">
        <f>IF(G719=0,0,ROUND(J719/F719,5))</f>
        <v>1.6199999999999999E-3</v>
      </c>
      <c r="K720" s="354">
        <f t="shared" si="189"/>
        <v>0.99999999999999989</v>
      </c>
      <c r="L720" s="354">
        <f t="shared" si="190"/>
        <v>0</v>
      </c>
      <c r="M720" s="195"/>
      <c r="N720" s="195"/>
      <c r="P720" s="659">
        <f>K720</f>
        <v>0.99999999999999989</v>
      </c>
      <c r="Q720" s="195"/>
    </row>
    <row r="721" spans="1:17" ht="13">
      <c r="A721" s="342">
        <v>16</v>
      </c>
      <c r="C721" s="592" t="s">
        <v>385</v>
      </c>
      <c r="D721" s="717" t="s">
        <v>1002</v>
      </c>
      <c r="E721" s="723"/>
      <c r="F721" s="473">
        <f>'Alloc Factors Summary'!$G$88</f>
        <v>2925179.9999999995</v>
      </c>
      <c r="G721" s="473">
        <f>'Alloc Factors Summary'!G84</f>
        <v>2700943.0357195702</v>
      </c>
      <c r="H721" s="473">
        <f>'Alloc Factors Summary'!G85</f>
        <v>220543.44588795831</v>
      </c>
      <c r="I721" s="473">
        <f>'Alloc Factors Summary'!G86</f>
        <v>3058.6949187653518</v>
      </c>
      <c r="J721" s="473">
        <f>'Alloc Factors Summary'!G87</f>
        <v>634.82347370601633</v>
      </c>
      <c r="K721" s="347">
        <f t="shared" si="189"/>
        <v>2925179.9999999995</v>
      </c>
      <c r="L721" s="347">
        <f t="shared" si="190"/>
        <v>0</v>
      </c>
      <c r="M721" s="593"/>
      <c r="N721" s="195"/>
      <c r="P721" s="658"/>
    </row>
    <row r="722" spans="1:17" ht="13">
      <c r="A722" s="342">
        <v>17</v>
      </c>
      <c r="B722" s="195"/>
      <c r="C722" s="491" t="s">
        <v>355</v>
      </c>
      <c r="D722" s="583"/>
      <c r="E722" s="708" t="str">
        <f>'FR-16(7)(v)-1 Functional'!$E$722</f>
        <v>K405</v>
      </c>
      <c r="F722" s="643">
        <v>1</v>
      </c>
      <c r="G722" s="354">
        <f>IF($L721=0,F722-SUM(H722:J722),ROUND(G721/$F721,5))</f>
        <v>0.92334000000000005</v>
      </c>
      <c r="H722" s="354">
        <f>IF($F721=0,0,ROUND(H721/$F721,5))</f>
        <v>7.5389999999999999E-2</v>
      </c>
      <c r="I722" s="354">
        <f>IF(F721=0,0,ROUND(I721/F721,5))</f>
        <v>1.0499999999999999E-3</v>
      </c>
      <c r="J722" s="354">
        <f>IF(G721=0,0,ROUND(J721/F721,5))</f>
        <v>2.2000000000000001E-4</v>
      </c>
      <c r="K722" s="354">
        <f t="shared" si="189"/>
        <v>1</v>
      </c>
      <c r="L722" s="354">
        <f t="shared" si="190"/>
        <v>0</v>
      </c>
      <c r="M722" s="195"/>
      <c r="N722" s="195"/>
      <c r="P722" s="659">
        <f>K722</f>
        <v>1</v>
      </c>
      <c r="Q722" s="195"/>
    </row>
    <row r="723" spans="1:17" ht="13">
      <c r="A723" s="342">
        <v>18</v>
      </c>
      <c r="C723" s="592" t="s">
        <v>373</v>
      </c>
      <c r="D723" s="717" t="s">
        <v>1002</v>
      </c>
      <c r="E723" s="723"/>
      <c r="F723" s="473">
        <f>'Alloc Factors Summary'!$D$98</f>
        <v>6856</v>
      </c>
      <c r="G723" s="473">
        <f>'Alloc Factors Summary'!D94</f>
        <v>6330.4362305544873</v>
      </c>
      <c r="H723" s="473">
        <f>'Alloc Factors Summary'!D95</f>
        <v>516.90694760932399</v>
      </c>
      <c r="I723" s="473">
        <f>'Alloc Factors Summary'!D96</f>
        <v>7.1689305830941175</v>
      </c>
      <c r="J723" s="473">
        <f>'Alloc Factors Summary'!D97</f>
        <v>1.4878912530950055</v>
      </c>
      <c r="K723" s="347">
        <f t="shared" si="189"/>
        <v>6856</v>
      </c>
      <c r="L723" s="347">
        <f t="shared" si="190"/>
        <v>0</v>
      </c>
      <c r="M723" s="593"/>
      <c r="N723" s="195"/>
      <c r="P723" s="658"/>
    </row>
    <row r="724" spans="1:17" ht="13">
      <c r="A724" s="342">
        <v>19</v>
      </c>
      <c r="B724" s="195"/>
      <c r="C724" s="491" t="s">
        <v>355</v>
      </c>
      <c r="D724" s="583"/>
      <c r="E724" s="708" t="str">
        <f>'FR-16(7)(v)-1 Functional'!$E$724</f>
        <v>K406</v>
      </c>
      <c r="F724" s="643">
        <v>1</v>
      </c>
      <c r="G724" s="354">
        <f>IF($L723=0,F724-SUM(H724:J724),ROUND(G723/$F723,5))</f>
        <v>0.92334000000000005</v>
      </c>
      <c r="H724" s="354">
        <f>IF($F723=0,0,ROUND(H723/$F723,5))</f>
        <v>7.5389999999999999E-2</v>
      </c>
      <c r="I724" s="354">
        <f>IF(F723=0,0,ROUND(I723/F723,5))</f>
        <v>1.0499999999999999E-3</v>
      </c>
      <c r="J724" s="354">
        <f>IF(G723=0,0,ROUND(J723/F723,5))</f>
        <v>2.2000000000000001E-4</v>
      </c>
      <c r="K724" s="354">
        <f t="shared" si="189"/>
        <v>1</v>
      </c>
      <c r="L724" s="354">
        <f t="shared" si="190"/>
        <v>0</v>
      </c>
      <c r="M724" s="195"/>
      <c r="N724" s="195"/>
      <c r="P724" s="659">
        <f>K724</f>
        <v>1</v>
      </c>
      <c r="Q724" s="195"/>
    </row>
    <row r="725" spans="1:17" ht="13">
      <c r="A725" s="342">
        <v>20</v>
      </c>
      <c r="C725" s="592" t="s">
        <v>1025</v>
      </c>
      <c r="D725" s="717" t="s">
        <v>1002</v>
      </c>
      <c r="E725" s="723"/>
      <c r="F725" s="473">
        <f>'Alloc Factors Summary'!$G$108</f>
        <v>108184.00000000001</v>
      </c>
      <c r="G725" s="473">
        <f>'Alloc Factors Summary'!G104</f>
        <v>99890.885817722679</v>
      </c>
      <c r="H725" s="473">
        <f>'Alloc Factors Summary'!G105</f>
        <v>8156.5141803044198</v>
      </c>
      <c r="I725" s="473">
        <f>'Alloc Factors Summary'!G106</f>
        <v>113.12187663381768</v>
      </c>
      <c r="J725" s="473">
        <f>'Alloc Factors Summary'!G107</f>
        <v>23.478125339094234</v>
      </c>
      <c r="K725" s="347">
        <f t="shared" si="189"/>
        <v>108184.00000000001</v>
      </c>
      <c r="L725" s="347">
        <f t="shared" si="190"/>
        <v>0</v>
      </c>
      <c r="M725" s="593"/>
      <c r="N725" s="195"/>
      <c r="P725" s="658"/>
    </row>
    <row r="726" spans="1:17" ht="13">
      <c r="A726" s="342">
        <v>21</v>
      </c>
      <c r="B726" s="195"/>
      <c r="C726" s="491" t="s">
        <v>355</v>
      </c>
      <c r="D726" s="583"/>
      <c r="E726" s="708" t="str">
        <f>'FR-16(7)(v)-1 Functional'!$E$726</f>
        <v>K407</v>
      </c>
      <c r="F726" s="643">
        <v>1</v>
      </c>
      <c r="G726" s="354">
        <f>IF($L725=0,F726-SUM(H726:J726),ROUND(G725/$F725,5))</f>
        <v>0.92334000000000005</v>
      </c>
      <c r="H726" s="354">
        <f>IF($F725=0,0,ROUND(H725/$F725,5))</f>
        <v>7.5389999999999999E-2</v>
      </c>
      <c r="I726" s="354">
        <f>IF(F725=0,0,ROUND(I725/F725,5))</f>
        <v>1.0499999999999999E-3</v>
      </c>
      <c r="J726" s="354">
        <f>IF(G725=0,0,ROUND(J725/F725,5))</f>
        <v>2.2000000000000001E-4</v>
      </c>
      <c r="K726" s="354">
        <f t="shared" si="189"/>
        <v>1</v>
      </c>
      <c r="L726" s="354">
        <f t="shared" si="190"/>
        <v>0</v>
      </c>
      <c r="M726" s="195"/>
      <c r="N726" s="195"/>
      <c r="P726" s="659">
        <f>K726</f>
        <v>1</v>
      </c>
      <c r="Q726" s="195"/>
    </row>
    <row r="727" spans="1:17" ht="13">
      <c r="A727" s="342">
        <v>22</v>
      </c>
      <c r="C727" s="592" t="s">
        <v>1026</v>
      </c>
      <c r="D727" s="717" t="s">
        <v>1002</v>
      </c>
      <c r="E727" s="723"/>
      <c r="F727" s="473">
        <f>'Alloc Factors Summary'!$F$118</f>
        <v>2602</v>
      </c>
      <c r="G727" s="473">
        <f>'Alloc Factors Summary'!F114</f>
        <v>2402</v>
      </c>
      <c r="H727" s="473">
        <f>'Alloc Factors Summary'!F115</f>
        <v>196</v>
      </c>
      <c r="I727" s="473">
        <f>'Alloc Factors Summary'!F116</f>
        <v>3</v>
      </c>
      <c r="J727" s="473">
        <f>'Alloc Factors Summary'!F117</f>
        <v>1</v>
      </c>
      <c r="K727" s="347">
        <f t="shared" si="189"/>
        <v>2602</v>
      </c>
      <c r="L727" s="347">
        <f t="shared" si="190"/>
        <v>0</v>
      </c>
      <c r="M727" s="593"/>
      <c r="N727" s="195"/>
      <c r="P727" s="658"/>
    </row>
    <row r="728" spans="1:17" ht="13">
      <c r="A728" s="342">
        <v>23</v>
      </c>
      <c r="B728" s="195"/>
      <c r="C728" s="491" t="s">
        <v>355</v>
      </c>
      <c r="D728" s="583"/>
      <c r="E728" s="708" t="str">
        <f>'FR-16(7)(v)-1 Functional'!$E$728</f>
        <v>K408</v>
      </c>
      <c r="F728" s="643">
        <v>1</v>
      </c>
      <c r="G728" s="354">
        <f>IF($L727=0,F728-SUM(H728:J728),ROUND(G727/$F727,5))</f>
        <v>0.92313999999999996</v>
      </c>
      <c r="H728" s="354">
        <f>IF($F727=0,0,ROUND(H727/$F727,5))</f>
        <v>7.5329999999999994E-2</v>
      </c>
      <c r="I728" s="354">
        <f>IF(F727=0,0,ROUND(I727/F727,5))</f>
        <v>1.15E-3</v>
      </c>
      <c r="J728" s="354">
        <f>IF(G727=0,0,ROUND(J727/F727,5))</f>
        <v>3.8000000000000002E-4</v>
      </c>
      <c r="K728" s="354">
        <f t="shared" si="189"/>
        <v>1</v>
      </c>
      <c r="L728" s="354">
        <f t="shared" si="190"/>
        <v>0</v>
      </c>
      <c r="M728" s="195"/>
      <c r="N728" s="195"/>
      <c r="P728" s="659">
        <f>K728</f>
        <v>1</v>
      </c>
      <c r="Q728" s="195"/>
    </row>
    <row r="729" spans="1:17" ht="13">
      <c r="A729" s="342">
        <v>24</v>
      </c>
      <c r="C729" s="592" t="s">
        <v>224</v>
      </c>
      <c r="D729" s="717" t="s">
        <v>1002</v>
      </c>
      <c r="E729" s="723"/>
      <c r="F729" s="473">
        <f>'Alloc Factors Summary'!$D$141</f>
        <v>8662854</v>
      </c>
      <c r="G729" s="473">
        <f>'Alloc Factors Summary'!D137</f>
        <v>6936503</v>
      </c>
      <c r="H729" s="473">
        <f>'Alloc Factors Summary'!D138</f>
        <v>1462990</v>
      </c>
      <c r="I729" s="473">
        <f>'Alloc Factors Summary'!D139</f>
        <v>159983</v>
      </c>
      <c r="J729" s="473">
        <f>'Alloc Factors Summary'!D140</f>
        <v>103378</v>
      </c>
      <c r="K729" s="601">
        <f t="shared" si="189"/>
        <v>8662854</v>
      </c>
      <c r="L729" s="347">
        <f t="shared" si="190"/>
        <v>0</v>
      </c>
      <c r="N729" s="195"/>
      <c r="P729" s="658"/>
    </row>
    <row r="730" spans="1:17" ht="13">
      <c r="A730" s="342">
        <v>25</v>
      </c>
      <c r="B730" s="195"/>
      <c r="C730" s="491" t="s">
        <v>355</v>
      </c>
      <c r="D730" s="583"/>
      <c r="E730" s="708" t="str">
        <f>'FR-16(7)(v)-1 Functional'!$E$730</f>
        <v>K413</v>
      </c>
      <c r="F730" s="643">
        <v>1</v>
      </c>
      <c r="G730" s="354">
        <f>IF($L729=0,F730-SUM(H730:J730),ROUND(G729/$F729,5))</f>
        <v>0.80071999999999999</v>
      </c>
      <c r="H730" s="354">
        <f>IF($F729=0,0,ROUND(H729/$F729,5))</f>
        <v>0.16888</v>
      </c>
      <c r="I730" s="354">
        <f>IF(F729=0,0,ROUND(I729/F729,5))</f>
        <v>1.847E-2</v>
      </c>
      <c r="J730" s="354">
        <f>IF(G729=0,0,ROUND(J729/F729,5))</f>
        <v>1.193E-2</v>
      </c>
      <c r="K730" s="354">
        <f t="shared" si="189"/>
        <v>1</v>
      </c>
      <c r="L730" s="354">
        <f t="shared" si="190"/>
        <v>0</v>
      </c>
      <c r="M730" s="195"/>
      <c r="N730" s="195"/>
      <c r="P730" s="659">
        <f>K730</f>
        <v>1</v>
      </c>
      <c r="Q730" s="195"/>
    </row>
    <row r="731" spans="1:17" ht="13">
      <c r="A731" s="342">
        <v>26</v>
      </c>
      <c r="C731" s="663" t="s">
        <v>1004</v>
      </c>
      <c r="D731" s="717" t="s">
        <v>1002</v>
      </c>
      <c r="E731" s="723"/>
      <c r="F731" s="603">
        <f>ROUND('Alloc Factors Summary'!H171*100,0)</f>
        <v>100</v>
      </c>
      <c r="G731" s="603">
        <f>'Alloc Factors Summary'!H167*100</f>
        <v>51.036000000000001</v>
      </c>
      <c r="H731" s="603">
        <f>'Alloc Factors Summary'!H168*100</f>
        <v>30.990000000000002</v>
      </c>
      <c r="I731" s="603">
        <f>'Alloc Factors Summary'!H169*100</f>
        <v>13.624000000000001</v>
      </c>
      <c r="J731" s="603">
        <f>'Alloc Factors Summary'!H170*100</f>
        <v>4.3499999999999996</v>
      </c>
      <c r="K731" s="604">
        <f t="shared" si="189"/>
        <v>100</v>
      </c>
      <c r="L731" s="604">
        <f t="shared" si="190"/>
        <v>0</v>
      </c>
      <c r="N731" s="195"/>
      <c r="P731" s="658"/>
    </row>
    <row r="732" spans="1:17" ht="13">
      <c r="A732" s="342">
        <v>27</v>
      </c>
      <c r="B732" s="195"/>
      <c r="C732" s="491" t="s">
        <v>355</v>
      </c>
      <c r="D732" s="583"/>
      <c r="E732" s="708" t="str">
        <f>'FR-16(7)(v)-1 Functional'!$E$732</f>
        <v>K415</v>
      </c>
      <c r="F732" s="643">
        <v>1</v>
      </c>
      <c r="G732" s="354">
        <f>IF($L731=0,F732-SUM(H732:J732),ROUND(G731/$F731,5))</f>
        <v>0.51036000000000004</v>
      </c>
      <c r="H732" s="354">
        <f>IF($F731=0,0,ROUND(H731/$F731,5))</f>
        <v>0.30990000000000001</v>
      </c>
      <c r="I732" s="354">
        <f>IF(F731=0,0,ROUND(I731/F731,5))</f>
        <v>0.13624</v>
      </c>
      <c r="J732" s="354">
        <f>IF(G731=0,0,ROUND(J731/F731,5))</f>
        <v>4.3499999999999997E-2</v>
      </c>
      <c r="K732" s="354">
        <f t="shared" si="189"/>
        <v>1</v>
      </c>
      <c r="L732" s="354">
        <f t="shared" si="190"/>
        <v>0</v>
      </c>
      <c r="M732" s="195"/>
      <c r="N732" s="195"/>
      <c r="P732" s="659">
        <f>K732</f>
        <v>1</v>
      </c>
      <c r="Q732" s="195"/>
    </row>
    <row r="733" spans="1:17" ht="13">
      <c r="A733" s="342">
        <v>28</v>
      </c>
      <c r="C733" s="592" t="s">
        <v>376</v>
      </c>
      <c r="D733" s="717" t="s">
        <v>1002</v>
      </c>
      <c r="E733" s="723"/>
      <c r="F733" s="473">
        <f>'Alloc Factors Summary'!$D$151</f>
        <v>151324</v>
      </c>
      <c r="G733" s="473">
        <f>'Alloc Factors Summary'!D147</f>
        <v>93602</v>
      </c>
      <c r="H733" s="473">
        <f>'Alloc Factors Summary'!D148</f>
        <v>56319</v>
      </c>
      <c r="I733" s="473">
        <f>'Alloc Factors Summary'!D149</f>
        <v>1162</v>
      </c>
      <c r="J733" s="473">
        <f>'Alloc Factors Summary'!D150</f>
        <v>241</v>
      </c>
      <c r="K733" s="347">
        <f t="shared" si="189"/>
        <v>151324</v>
      </c>
      <c r="L733" s="347">
        <f t="shared" si="190"/>
        <v>0</v>
      </c>
      <c r="N733" s="195"/>
      <c r="P733" s="658"/>
    </row>
    <row r="734" spans="1:17" ht="13">
      <c r="A734" s="342">
        <v>29</v>
      </c>
      <c r="B734" s="195"/>
      <c r="C734" s="491" t="s">
        <v>355</v>
      </c>
      <c r="D734" s="583"/>
      <c r="E734" s="708" t="str">
        <f>'FR-16(7)(v)-1 Functional'!$E$734</f>
        <v>K417</v>
      </c>
      <c r="F734" s="643">
        <v>1</v>
      </c>
      <c r="G734" s="354">
        <f>IF($L733=0,F734-SUM(H734:J734),ROUND(G733/$F733,5))</f>
        <v>0.61856</v>
      </c>
      <c r="H734" s="354">
        <f>IF($F733=0,0,ROUND(H733/$F733,5))</f>
        <v>0.37217</v>
      </c>
      <c r="I734" s="354">
        <f>IF(F733=0,0,ROUND(I733/F733,5))</f>
        <v>7.6800000000000002E-3</v>
      </c>
      <c r="J734" s="354">
        <f>IF(G733=0,0,ROUND(J733/F733,5))</f>
        <v>1.5900000000000001E-3</v>
      </c>
      <c r="K734" s="354">
        <f t="shared" si="189"/>
        <v>1</v>
      </c>
      <c r="L734" s="354">
        <f t="shared" si="190"/>
        <v>0</v>
      </c>
      <c r="M734" s="195"/>
      <c r="N734" s="195"/>
      <c r="P734" s="659">
        <f>K734</f>
        <v>1</v>
      </c>
      <c r="Q734" s="195"/>
    </row>
    <row r="735" spans="1:17" ht="13">
      <c r="A735" s="342">
        <v>30</v>
      </c>
      <c r="B735" s="485"/>
      <c r="C735" s="592" t="s">
        <v>226</v>
      </c>
      <c r="D735" s="717" t="s">
        <v>1002</v>
      </c>
      <c r="E735" s="739"/>
      <c r="F735" s="347">
        <f>'Alloc Factors Summary'!$D$62+'Alloc Factors Summary'!$D$63</f>
        <v>128</v>
      </c>
      <c r="G735" s="608">
        <v>0</v>
      </c>
      <c r="H735" s="608">
        <v>0</v>
      </c>
      <c r="I735" s="347">
        <f>'Alloc Factors Summary'!D62</f>
        <v>106</v>
      </c>
      <c r="J735" s="347">
        <f>'Alloc Factors Summary'!D63</f>
        <v>22</v>
      </c>
      <c r="K735" s="347">
        <f t="shared" si="189"/>
        <v>128</v>
      </c>
      <c r="L735" s="347">
        <f t="shared" si="190"/>
        <v>0</v>
      </c>
      <c r="M735" s="600"/>
      <c r="N735" s="195"/>
      <c r="P735" s="660"/>
      <c r="Q735" s="600"/>
    </row>
    <row r="736" spans="1:17" ht="13">
      <c r="A736" s="342">
        <v>31</v>
      </c>
      <c r="B736" s="195"/>
      <c r="C736" s="491" t="str">
        <f>C734</f>
        <v>RATIO TO TOTAL GAS</v>
      </c>
      <c r="D736" s="583"/>
      <c r="E736" s="708" t="str">
        <f>'FR-16(7)(v)-1 Functional'!$E$736</f>
        <v>K431</v>
      </c>
      <c r="F736" s="348">
        <v>1</v>
      </c>
      <c r="G736" s="354">
        <f>IF($L735=0,F736-SUM(H736:J736),ROUND(G735/$F735,5))</f>
        <v>-1.0000000000065512E-5</v>
      </c>
      <c r="H736" s="354">
        <f>IF($F735=0,0,ROUND(H735/$F735,5))</f>
        <v>0</v>
      </c>
      <c r="I736" s="354">
        <f>IF(F735=0,0,ROUND(I735/F735,5))</f>
        <v>0.82813000000000003</v>
      </c>
      <c r="J736" s="354">
        <f>IF(F735=0,0,ROUND(J735/F735,5))</f>
        <v>0.17188000000000001</v>
      </c>
      <c r="K736" s="354">
        <f t="shared" si="189"/>
        <v>1</v>
      </c>
      <c r="L736" s="348">
        <f t="shared" si="190"/>
        <v>0</v>
      </c>
      <c r="M736" s="195"/>
      <c r="N736" s="195"/>
      <c r="P736" s="659">
        <f>K736</f>
        <v>1</v>
      </c>
      <c r="Q736" s="195"/>
    </row>
    <row r="737" spans="1:17" ht="13">
      <c r="A737" s="342">
        <v>32</v>
      </c>
      <c r="C737" s="602" t="s">
        <v>406</v>
      </c>
      <c r="D737" s="717" t="s">
        <v>1002</v>
      </c>
      <c r="E737" s="723"/>
      <c r="F737" s="473">
        <f>'Alloc Factors Summary'!$D$159</f>
        <v>3928413</v>
      </c>
      <c r="G737" s="486">
        <v>0</v>
      </c>
      <c r="H737" s="486">
        <v>0</v>
      </c>
      <c r="I737" s="473">
        <f>'Alloc Factors Summary'!D157</f>
        <v>2289963</v>
      </c>
      <c r="J737" s="473">
        <f>'Alloc Factors Summary'!D158</f>
        <v>1638450</v>
      </c>
      <c r="K737" s="347">
        <f t="shared" si="189"/>
        <v>3928413</v>
      </c>
      <c r="L737" s="347">
        <f t="shared" si="190"/>
        <v>0</v>
      </c>
      <c r="N737" s="195"/>
      <c r="P737" s="658"/>
    </row>
    <row r="738" spans="1:17" ht="13">
      <c r="A738" s="342">
        <v>33</v>
      </c>
      <c r="B738" s="195"/>
      <c r="C738" s="491" t="s">
        <v>355</v>
      </c>
      <c r="D738" s="583"/>
      <c r="E738" s="708" t="str">
        <f>'FR-16(7)(v)-1 Functional'!$E$738</f>
        <v>K595</v>
      </c>
      <c r="F738" s="643">
        <v>1</v>
      </c>
      <c r="G738" s="354">
        <f>IF($L737=0,F738-SUM(H738:J738),ROUND(G737/$F737,5))</f>
        <v>0</v>
      </c>
      <c r="H738" s="354">
        <f>IF($F737=0,0,ROUND(H737/$F737,5))</f>
        <v>0</v>
      </c>
      <c r="I738" s="354">
        <f>IF(F737=0,0,ROUND(I737/F737,5))</f>
        <v>0.58291999999999999</v>
      </c>
      <c r="J738" s="354">
        <f>IF(F737=0,0,ROUND(J737/F737,5))</f>
        <v>0.41708000000000001</v>
      </c>
      <c r="K738" s="354">
        <f t="shared" si="189"/>
        <v>1</v>
      </c>
      <c r="L738" s="348">
        <f t="shared" si="190"/>
        <v>0</v>
      </c>
      <c r="M738" s="195"/>
      <c r="N738" s="195"/>
      <c r="P738" s="659">
        <f>K738</f>
        <v>1</v>
      </c>
      <c r="Q738" s="195"/>
    </row>
    <row r="739" spans="1:17" ht="13">
      <c r="A739" s="342">
        <v>34</v>
      </c>
      <c r="B739" s="593"/>
      <c r="C739" s="592" t="s">
        <v>225</v>
      </c>
      <c r="D739" s="717" t="s">
        <v>1002</v>
      </c>
      <c r="E739" s="723"/>
      <c r="F739" s="470">
        <v>1</v>
      </c>
      <c r="G739" s="470">
        <v>0</v>
      </c>
      <c r="H739" s="470">
        <v>1</v>
      </c>
      <c r="I739" s="470">
        <v>0</v>
      </c>
      <c r="J739" s="470">
        <v>0</v>
      </c>
      <c r="K739" s="347">
        <f t="shared" si="189"/>
        <v>1</v>
      </c>
      <c r="L739" s="347">
        <f t="shared" si="190"/>
        <v>0</v>
      </c>
      <c r="M739" s="593"/>
      <c r="N739" s="195"/>
      <c r="P739" s="662"/>
      <c r="Q739" s="593"/>
    </row>
    <row r="740" spans="1:17" ht="13">
      <c r="A740" s="342">
        <v>35</v>
      </c>
      <c r="B740" s="195"/>
      <c r="C740" s="491" t="s">
        <v>355</v>
      </c>
      <c r="D740" s="583"/>
      <c r="E740" s="708" t="str">
        <f>'FR-16(7)(v)-1 Functional'!$E$740</f>
        <v>K597</v>
      </c>
      <c r="F740" s="643">
        <v>1</v>
      </c>
      <c r="G740" s="354">
        <f>IF($L739=0,F740-SUM(H740:J740),ROUND(G739/$F739,5))</f>
        <v>0</v>
      </c>
      <c r="H740" s="354">
        <f>IF($F739=0,0,ROUND(H739/$F739,5))</f>
        <v>1</v>
      </c>
      <c r="I740" s="354">
        <f>IF(F739=0,0,ROUND(I739/F739,5))</f>
        <v>0</v>
      </c>
      <c r="J740" s="354">
        <f>IF(G739=0,0,ROUND(J739/F739,5))</f>
        <v>0</v>
      </c>
      <c r="K740" s="354">
        <f t="shared" si="189"/>
        <v>1</v>
      </c>
      <c r="L740" s="354">
        <f t="shared" si="190"/>
        <v>0</v>
      </c>
      <c r="M740" s="195"/>
      <c r="N740" s="195"/>
      <c r="P740" s="659">
        <f>K740</f>
        <v>1</v>
      </c>
      <c r="Q740" s="195"/>
    </row>
    <row r="741" spans="1:17" ht="13">
      <c r="A741" s="342">
        <v>36</v>
      </c>
      <c r="C741" s="592" t="s">
        <v>431</v>
      </c>
      <c r="D741" s="621"/>
      <c r="E741" s="740"/>
      <c r="F741" s="488">
        <v>1</v>
      </c>
      <c r="G741" s="471">
        <v>1</v>
      </c>
      <c r="H741" s="470">
        <v>0</v>
      </c>
      <c r="I741" s="470">
        <v>0</v>
      </c>
      <c r="J741" s="470">
        <v>0</v>
      </c>
      <c r="K741" s="347">
        <f t="shared" si="189"/>
        <v>1</v>
      </c>
      <c r="L741" s="345">
        <f t="shared" si="190"/>
        <v>0</v>
      </c>
      <c r="N741" s="195"/>
      <c r="P741" s="658"/>
    </row>
    <row r="742" spans="1:17" ht="13">
      <c r="A742" s="342">
        <v>37</v>
      </c>
      <c r="C742" s="491" t="s">
        <v>355</v>
      </c>
      <c r="D742" s="583"/>
      <c r="E742" s="708" t="str">
        <f>'FR-16(7)(v)-1 Functional'!$E$742</f>
        <v>K903</v>
      </c>
      <c r="F742" s="642">
        <v>1</v>
      </c>
      <c r="G742" s="354">
        <f>IF($L741=0,F742-SUM(H742:J742),ROUND(G741/$F741,5))</f>
        <v>1</v>
      </c>
      <c r="H742" s="354">
        <f>IF($F741=0,0,ROUND(H741/$F741,5))</f>
        <v>0</v>
      </c>
      <c r="I742" s="354">
        <f>IF(F741=0,0,ROUND(I741/F741,5))</f>
        <v>0</v>
      </c>
      <c r="J742" s="354">
        <f>IF(G741=0,0,ROUND(J741/F741,5))</f>
        <v>0</v>
      </c>
      <c r="K742" s="354">
        <f t="shared" si="189"/>
        <v>1</v>
      </c>
      <c r="L742" s="348">
        <f t="shared" si="190"/>
        <v>0</v>
      </c>
      <c r="N742" s="195"/>
      <c r="P742" s="659">
        <f>K742</f>
        <v>1</v>
      </c>
    </row>
    <row r="743" spans="1:17" ht="13">
      <c r="A743" s="342">
        <v>38</v>
      </c>
      <c r="B743" s="363"/>
      <c r="C743" s="363"/>
      <c r="D743" s="718"/>
      <c r="E743" s="331"/>
      <c r="H743" s="351"/>
      <c r="J743" s="351"/>
      <c r="K743" s="351"/>
      <c r="N743" s="195"/>
    </row>
    <row r="744" spans="1:17" ht="13">
      <c r="A744" s="342">
        <v>39</v>
      </c>
      <c r="C744" s="592" t="s">
        <v>108</v>
      </c>
      <c r="D744" s="342" t="str">
        <f>'FR-16(7)(v)-3 PROD Comm Alloc'!D744</f>
        <v>K901</v>
      </c>
      <c r="E744" s="708" t="str">
        <f>'FR-16(7)(v)-1 Functional'!$E$744</f>
        <v>R600</v>
      </c>
      <c r="F744" s="473">
        <f>'FR-16(7)(v)-4 DISTR Classified'!I744</f>
        <v>28822100</v>
      </c>
      <c r="G744" s="345">
        <f>F744-SUM(H744:J744)</f>
        <v>19548553</v>
      </c>
      <c r="H744" s="345">
        <f>ROUND($F$744*VLOOKUP($D$744,ALLOCTABLE_DISTR_CUSTOMER,$H$10,FALSE),0)</f>
        <v>7397381</v>
      </c>
      <c r="I744" s="345">
        <f>ROUND(F744*VLOOKUP(D744,ALLOCTABLE_DISTR_CUSTOMER,$I$10,FALSE),0)</f>
        <v>1413868</v>
      </c>
      <c r="J744" s="345">
        <f>ROUND(F744*VLOOKUP(D744,ALLOCTABLE_DISTR_CUSTOMER,$J$10,FALSE),0)</f>
        <v>462298</v>
      </c>
      <c r="K744" s="345">
        <f>SUM(G744:J744)</f>
        <v>28822100</v>
      </c>
      <c r="L744" s="347">
        <f>F744-K744</f>
        <v>0</v>
      </c>
      <c r="N744" s="195"/>
      <c r="P744" s="658"/>
    </row>
    <row r="745" spans="1:17" ht="13">
      <c r="A745" s="342">
        <v>40</v>
      </c>
      <c r="C745" s="592" t="s">
        <v>843</v>
      </c>
      <c r="D745" s="342" t="str">
        <f>'FR-16(7)(v)-3 PROD Comm Alloc'!D745</f>
        <v>K902</v>
      </c>
      <c r="E745" s="708" t="str">
        <f>'FR-16(7)(v)-1 Functional'!$E$745</f>
        <v>R602</v>
      </c>
      <c r="F745" s="473">
        <f>'FR-16(7)(v)-4 DISTR Classified'!I745</f>
        <v>32787426</v>
      </c>
      <c r="G745" s="345">
        <f>F745-SUM(H745:J745)</f>
        <v>22131002</v>
      </c>
      <c r="H745" s="345">
        <f>ROUND($F$745*VLOOKUP($D$745,ALLOCTABLE_DISTR_CUSTOMER,$H$10,FALSE),0)</f>
        <v>8489246</v>
      </c>
      <c r="I745" s="345">
        <f>ROUND(F745*VLOOKUP(D745,ALLOCTABLE_DISTR_CUSTOMER,$I$10,FALSE),0)</f>
        <v>1635888</v>
      </c>
      <c r="J745" s="345">
        <f>ROUND(F745*VLOOKUP(D745,ALLOCTABLE_DISTR_CUSTOMER,$J$10,FALSE),0)</f>
        <v>531290</v>
      </c>
      <c r="K745" s="345">
        <f>SUM(G745:J745)</f>
        <v>32787426</v>
      </c>
      <c r="L745" s="347">
        <f>F745-K745</f>
        <v>0</v>
      </c>
      <c r="N745" s="195"/>
      <c r="P745" s="658"/>
    </row>
    <row r="746" spans="1:17" ht="13">
      <c r="E746" s="331"/>
      <c r="H746" s="351"/>
      <c r="J746" s="351"/>
      <c r="K746" s="351"/>
      <c r="N746" s="195"/>
      <c r="P746" s="658"/>
    </row>
    <row r="747" spans="1:17" ht="13">
      <c r="A747" s="341" t="str">
        <f>co_name</f>
        <v>DUKE ENERGY KENTUCKY, INC.</v>
      </c>
      <c r="C747" s="195"/>
      <c r="D747" s="342"/>
      <c r="E747" s="195"/>
      <c r="F747" s="342"/>
      <c r="G747" s="340"/>
      <c r="H747" s="340"/>
      <c r="I747" s="195"/>
      <c r="K747" s="359" t="str">
        <f>$K$1</f>
        <v>FR-16(7)(v)-6</v>
      </c>
      <c r="N747" s="195"/>
      <c r="P747" s="658"/>
    </row>
    <row r="748" spans="1:17" ht="13">
      <c r="A748" s="341" t="str">
        <f>$A$2</f>
        <v>DISTRIBUTION CUSTOMER ALLOCATED - GAS COST OF SERVICE</v>
      </c>
      <c r="C748" s="195"/>
      <c r="D748" s="342"/>
      <c r="E748" s="195"/>
      <c r="F748" s="342"/>
      <c r="G748" s="340"/>
      <c r="H748" s="340"/>
      <c r="I748" s="195"/>
      <c r="K748" s="359" t="str">
        <f>$K$2</f>
        <v>WITNESS RESPONSIBLE:</v>
      </c>
      <c r="N748" s="195"/>
      <c r="P748" s="658"/>
    </row>
    <row r="749" spans="1:17" ht="13">
      <c r="A749" s="341" t="str">
        <f>case_name</f>
        <v>CASE NO: 2021-00190</v>
      </c>
      <c r="C749" s="195"/>
      <c r="D749" s="342"/>
      <c r="E749" s="195"/>
      <c r="F749" s="342"/>
      <c r="G749" s="340"/>
      <c r="H749" s="340"/>
      <c r="I749" s="195"/>
      <c r="K749" s="359" t="str">
        <f>Witness</f>
        <v>JAMES E. ZIOLKOWSKI</v>
      </c>
      <c r="N749" s="195"/>
      <c r="P749" s="658"/>
    </row>
    <row r="750" spans="1:17" ht="13">
      <c r="A750" s="341" t="str">
        <f>data_filing</f>
        <v>DATA: 12 MONTH FORECASTED PERIOD</v>
      </c>
      <c r="C750" s="195"/>
      <c r="D750" s="342"/>
      <c r="E750" s="195"/>
      <c r="F750" s="342"/>
      <c r="G750" s="340"/>
      <c r="H750" s="340"/>
      <c r="I750" s="195"/>
      <c r="K750" s="359" t="str">
        <f>"PAGE "&amp;Pages-1&amp;" OF "&amp;Pages</f>
        <v>PAGE 17 OF 18</v>
      </c>
      <c r="N750" s="195"/>
      <c r="P750" s="658"/>
    </row>
    <row r="751" spans="1:17" ht="13">
      <c r="A751" s="341" t="str">
        <f>type</f>
        <v xml:space="preserve">TYPE OF FILING: "X" ORIGINAL   UPDATED    REVISED  </v>
      </c>
      <c r="C751" s="195"/>
      <c r="D751" s="342"/>
      <c r="E751" s="195"/>
      <c r="F751" s="342"/>
      <c r="G751" s="340"/>
      <c r="H751" s="340"/>
      <c r="I751" s="195"/>
      <c r="J751" s="342"/>
      <c r="K751" s="195"/>
      <c r="N751" s="195"/>
      <c r="P751" s="658"/>
    </row>
    <row r="752" spans="1:17" ht="13">
      <c r="B752" s="195"/>
      <c r="E752" s="331"/>
      <c r="F752" s="342"/>
      <c r="G752" s="340"/>
      <c r="H752" s="340"/>
      <c r="I752" s="195"/>
      <c r="J752" s="342"/>
      <c r="K752" s="195"/>
      <c r="N752" s="195"/>
      <c r="P752" s="658"/>
    </row>
    <row r="753" spans="1:17" ht="13">
      <c r="B753" s="195"/>
      <c r="E753" s="331"/>
      <c r="F753" s="342" t="s">
        <v>229</v>
      </c>
      <c r="G753" s="340"/>
      <c r="H753" s="340"/>
      <c r="I753" s="195"/>
      <c r="J753" s="342"/>
      <c r="K753" s="195"/>
      <c r="N753" s="195"/>
      <c r="P753" s="658"/>
    </row>
    <row r="754" spans="1:17" ht="13">
      <c r="A754" s="342" t="s">
        <v>907</v>
      </c>
      <c r="B754" s="195"/>
      <c r="C754" s="195"/>
      <c r="D754" s="342"/>
      <c r="E754" s="342"/>
      <c r="F754" s="342" t="str">
        <f>$F$8</f>
        <v>DISTRIBUTION</v>
      </c>
      <c r="G754" s="352" t="str">
        <f>$G$8</f>
        <v>RS</v>
      </c>
      <c r="H754" s="352" t="str">
        <f>$H$8</f>
        <v>GS</v>
      </c>
      <c r="I754" s="342" t="str">
        <f>$I$8</f>
        <v>FT-L</v>
      </c>
      <c r="J754" s="342" t="str">
        <f>$J$8</f>
        <v>INTERUPT</v>
      </c>
      <c r="K754" s="342" t="s">
        <v>229</v>
      </c>
      <c r="L754" s="583" t="s">
        <v>342</v>
      </c>
      <c r="M754" s="195"/>
      <c r="N754" s="195"/>
      <c r="P754" s="657"/>
      <c r="Q754" s="195"/>
    </row>
    <row r="755" spans="1:17" ht="13">
      <c r="A755" s="344" t="s">
        <v>908</v>
      </c>
      <c r="B755" s="584" t="s">
        <v>89</v>
      </c>
      <c r="C755" s="343"/>
      <c r="D755" s="585" t="s">
        <v>1001</v>
      </c>
      <c r="E755" s="585" t="s">
        <v>337</v>
      </c>
      <c r="F755" s="342" t="str">
        <f>$F$9</f>
        <v>CUSTOMER</v>
      </c>
      <c r="G755" s="353" t="str">
        <f>$G$9</f>
        <v>RESIDENTIAL</v>
      </c>
      <c r="H755" s="353" t="str">
        <f>$H$9</f>
        <v>GEN SERV</v>
      </c>
      <c r="I755" s="344" t="str">
        <f>$I$9</f>
        <v>FIRM TRANS</v>
      </c>
      <c r="J755" s="344" t="str">
        <f>$J$9</f>
        <v>TRANS</v>
      </c>
      <c r="K755" s="344" t="s">
        <v>341</v>
      </c>
      <c r="L755" s="586" t="s">
        <v>340</v>
      </c>
      <c r="M755" s="195"/>
      <c r="N755" s="195"/>
      <c r="P755" s="657"/>
      <c r="Q755" s="195"/>
    </row>
    <row r="756" spans="1:17" ht="13">
      <c r="C756" s="839" t="s">
        <v>559</v>
      </c>
      <c r="E756" s="627">
        <v>1</v>
      </c>
      <c r="F756" s="813">
        <v>2</v>
      </c>
      <c r="G756" s="627">
        <v>3</v>
      </c>
      <c r="H756" s="627">
        <v>4</v>
      </c>
      <c r="I756" s="627">
        <v>5</v>
      </c>
      <c r="J756" s="627">
        <v>6</v>
      </c>
      <c r="K756" s="351"/>
      <c r="M756" s="195"/>
      <c r="N756" s="195"/>
      <c r="P756" s="658"/>
    </row>
    <row r="757" spans="1:17" ht="13">
      <c r="A757" s="342">
        <v>1</v>
      </c>
      <c r="B757" s="599"/>
      <c r="C757" s="654" t="s">
        <v>1012</v>
      </c>
      <c r="D757" s="719" t="s">
        <v>1003</v>
      </c>
      <c r="E757" s="710"/>
      <c r="F757" s="347">
        <f t="shared" ref="F757:K757" si="191">F771</f>
        <v>164806401</v>
      </c>
      <c r="G757" s="347">
        <f t="shared" si="191"/>
        <v>144375352</v>
      </c>
      <c r="H757" s="347">
        <f t="shared" si="191"/>
        <v>19849283</v>
      </c>
      <c r="I757" s="347">
        <f t="shared" si="191"/>
        <v>314780</v>
      </c>
      <c r="J757" s="347">
        <f t="shared" si="191"/>
        <v>266986</v>
      </c>
      <c r="K757" s="347">
        <f t="shared" si="191"/>
        <v>164806401</v>
      </c>
      <c r="L757" s="347">
        <f t="shared" ref="L757:L764" si="192">F757-K757</f>
        <v>0</v>
      </c>
      <c r="M757" s="195"/>
      <c r="N757" s="195"/>
      <c r="P757" s="661"/>
      <c r="Q757" s="599"/>
    </row>
    <row r="758" spans="1:17" ht="13">
      <c r="A758" s="342">
        <v>2</v>
      </c>
      <c r="B758" s="195"/>
      <c r="C758" s="491" t="s">
        <v>355</v>
      </c>
      <c r="D758" s="583"/>
      <c r="E758" s="708" t="str">
        <f>'FR-16(7)(v)-1 Functional'!$E$758</f>
        <v>K667</v>
      </c>
      <c r="F758" s="643">
        <v>1</v>
      </c>
      <c r="G758" s="354">
        <f>IF($L757=0,F758-SUM(H758:J758),ROUND(G757/$F757,5))</f>
        <v>0.87602999999999998</v>
      </c>
      <c r="H758" s="354">
        <f>IF($F757=0,0,ROUND(H757/$F757,5))</f>
        <v>0.12044000000000001</v>
      </c>
      <c r="I758" s="354">
        <f>IF($F757=0,0,ROUND(I757/$F757,5))</f>
        <v>1.91E-3</v>
      </c>
      <c r="J758" s="354">
        <f>IF($F757=0,0,ROUND(J757/$F757,5))</f>
        <v>1.6199999999999999E-3</v>
      </c>
      <c r="K758" s="354">
        <f>SUM(G758:J758)</f>
        <v>0.99999999999999989</v>
      </c>
      <c r="L758" s="354">
        <f t="shared" si="192"/>
        <v>0</v>
      </c>
      <c r="M758" s="195"/>
      <c r="N758" s="195"/>
      <c r="P758" s="659">
        <f>K758</f>
        <v>0.99999999999999989</v>
      </c>
      <c r="Q758" s="195"/>
    </row>
    <row r="759" spans="1:17" ht="13">
      <c r="A759" s="342">
        <v>3</v>
      </c>
      <c r="B759" s="599"/>
      <c r="C759" s="654" t="s">
        <v>1021</v>
      </c>
      <c r="D759" s="719" t="s">
        <v>1003</v>
      </c>
      <c r="E759" s="723"/>
      <c r="F759" s="347">
        <f t="shared" ref="F759:K759" si="193">F778</f>
        <v>40444763</v>
      </c>
      <c r="G759" s="347">
        <f t="shared" si="193"/>
        <v>30784998</v>
      </c>
      <c r="H759" s="347">
        <f t="shared" si="193"/>
        <v>8615832</v>
      </c>
      <c r="I759" s="347">
        <f t="shared" si="193"/>
        <v>652245</v>
      </c>
      <c r="J759" s="347">
        <f t="shared" si="193"/>
        <v>391688</v>
      </c>
      <c r="K759" s="347">
        <f t="shared" si="193"/>
        <v>40444763</v>
      </c>
      <c r="L759" s="347">
        <f t="shared" si="192"/>
        <v>0</v>
      </c>
      <c r="M759" s="195"/>
      <c r="N759" s="195"/>
      <c r="P759" s="661"/>
      <c r="Q759" s="599"/>
    </row>
    <row r="760" spans="1:17" ht="13">
      <c r="A760" s="342">
        <v>4</v>
      </c>
      <c r="B760" s="195"/>
      <c r="C760" s="491" t="s">
        <v>355</v>
      </c>
      <c r="D760" s="583"/>
      <c r="E760" s="708" t="str">
        <f>'FR-16(7)(v)-1 Functional'!$E$760</f>
        <v>K697</v>
      </c>
      <c r="F760" s="643">
        <v>1</v>
      </c>
      <c r="G760" s="354">
        <f>IF($L759=0,F760-SUM(H760:J760),ROUND(G759/$F759,5))</f>
        <v>0.76116000000000006</v>
      </c>
      <c r="H760" s="354">
        <f>IF($F759=0,0,ROUND(H759/$F759,5))</f>
        <v>0.21303</v>
      </c>
      <c r="I760" s="354">
        <f>IF($F759=0,0,ROUND(I759/$F759,5))</f>
        <v>1.6129999999999999E-2</v>
      </c>
      <c r="J760" s="354">
        <f>IF($F759=0,0,ROUND(J759/$F759,5))</f>
        <v>9.6799999999999994E-3</v>
      </c>
      <c r="K760" s="354">
        <f>SUM(G760:J760)</f>
        <v>1</v>
      </c>
      <c r="L760" s="354">
        <f t="shared" si="192"/>
        <v>0</v>
      </c>
      <c r="M760" s="195"/>
      <c r="N760" s="195"/>
      <c r="P760" s="659">
        <f>K760</f>
        <v>1</v>
      </c>
      <c r="Q760" s="195"/>
    </row>
    <row r="761" spans="1:17" ht="13">
      <c r="A761" s="342">
        <v>5</v>
      </c>
      <c r="B761" s="600"/>
      <c r="C761" s="654" t="s">
        <v>108</v>
      </c>
      <c r="D761" s="719" t="s">
        <v>1003</v>
      </c>
      <c r="E761" s="723"/>
      <c r="F761" s="347">
        <f>'FR-16(7)(v)-3 PROD Comm Alloc'!F761</f>
        <v>111143535</v>
      </c>
      <c r="G761" s="347">
        <f>'FR-16(7)(v)-3 PROD Comm Alloc'!G761</f>
        <v>75382959</v>
      </c>
      <c r="H761" s="347">
        <f>'FR-16(7)(v)-3 PROD Comm Alloc'!H761</f>
        <v>28525719</v>
      </c>
      <c r="I761" s="347">
        <f>'FR-16(7)(v)-3 PROD Comm Alloc'!I761</f>
        <v>5452147</v>
      </c>
      <c r="J761" s="347">
        <f>'FR-16(7)(v)-3 PROD Comm Alloc'!J761</f>
        <v>1782710</v>
      </c>
      <c r="K761" s="345">
        <f>SUM(G761:J761)</f>
        <v>111143535</v>
      </c>
      <c r="L761" s="347">
        <f t="shared" si="192"/>
        <v>0</v>
      </c>
      <c r="M761" s="195"/>
      <c r="N761" s="195"/>
      <c r="P761" s="660"/>
      <c r="Q761" s="600"/>
    </row>
    <row r="762" spans="1:17" ht="13">
      <c r="A762" s="342">
        <v>6</v>
      </c>
      <c r="B762" s="195"/>
      <c r="C762" s="491" t="s">
        <v>355</v>
      </c>
      <c r="D762" s="583"/>
      <c r="E762" s="708" t="str">
        <f>'FR-16(7)(v)-1 Functional'!$E$762</f>
        <v>K901</v>
      </c>
      <c r="F762" s="643">
        <v>1</v>
      </c>
      <c r="G762" s="354">
        <f>IF($L761=0,F762-SUM(H762:J762),ROUND(G761/$F761,5))</f>
        <v>0.67824870799999992</v>
      </c>
      <c r="H762" s="354">
        <f>IF($F761=0,0,ROUND(H761/$F761,9))</f>
        <v>0.256656575</v>
      </c>
      <c r="I762" s="354">
        <f>IF($F761=0,0,ROUND(I761/$F761,9))</f>
        <v>4.9055007999999997E-2</v>
      </c>
      <c r="J762" s="354">
        <f>IF($F761=0,0,ROUND(J761/$F761,9))</f>
        <v>1.6039708999999999E-2</v>
      </c>
      <c r="K762" s="354">
        <f>SUM(G762:J762)</f>
        <v>0.99999999999999989</v>
      </c>
      <c r="L762" s="354">
        <f t="shared" si="192"/>
        <v>0</v>
      </c>
      <c r="M762" s="195"/>
      <c r="N762" s="195"/>
      <c r="P762" s="659">
        <f>K762</f>
        <v>0.99999999999999989</v>
      </c>
      <c r="Q762" s="195"/>
    </row>
    <row r="763" spans="1:17" ht="13">
      <c r="A763" s="342">
        <v>7</v>
      </c>
      <c r="C763" s="654" t="s">
        <v>843</v>
      </c>
      <c r="D763" s="719" t="s">
        <v>1003</v>
      </c>
      <c r="E763" s="723"/>
      <c r="F763" s="347">
        <f>'FR-16(7)(v)-3 PROD Comm Alloc'!F763</f>
        <v>126434590</v>
      </c>
      <c r="G763" s="347">
        <f>'FR-16(7)(v)-3 PROD Comm Alloc'!G763</f>
        <v>85341378</v>
      </c>
      <c r="H763" s="347">
        <f>'FR-16(7)(v)-3 PROD Comm Alloc'!H763</f>
        <v>32736156</v>
      </c>
      <c r="I763" s="347">
        <f>'FR-16(7)(v)-3 PROD Comm Alloc'!I763</f>
        <v>6308299</v>
      </c>
      <c r="J763" s="347">
        <f>'FR-16(7)(v)-3 PROD Comm Alloc'!J763</f>
        <v>2048757</v>
      </c>
      <c r="K763" s="345">
        <f>SUM(G763:J763)</f>
        <v>126434590</v>
      </c>
      <c r="L763" s="347">
        <f t="shared" si="192"/>
        <v>0</v>
      </c>
      <c r="M763" s="195"/>
      <c r="N763" s="195"/>
    </row>
    <row r="764" spans="1:17" ht="13">
      <c r="A764" s="342">
        <v>8</v>
      </c>
      <c r="C764" s="491" t="s">
        <v>355</v>
      </c>
      <c r="D764" s="583"/>
      <c r="E764" s="708" t="s">
        <v>1179</v>
      </c>
      <c r="F764" s="643">
        <v>1</v>
      </c>
      <c r="G764" s="354">
        <f>IF($L763=0,F764-SUM(H764:J764),ROUND(G763/$F763,5))</f>
        <v>0.674984417</v>
      </c>
      <c r="H764" s="354">
        <f>IF($F763=0,0,ROUND(H763/$F763,9))</f>
        <v>0.25891772200000002</v>
      </c>
      <c r="I764" s="354">
        <f>IF($F763=0,0,ROUND(I763/$F763,9))</f>
        <v>4.9893775000000001E-2</v>
      </c>
      <c r="J764" s="354">
        <f>IF($F763=0,0,ROUND(J763/$F763,9))</f>
        <v>1.6204085999999999E-2</v>
      </c>
      <c r="K764" s="354">
        <f>SUM(G764:J764)</f>
        <v>1</v>
      </c>
      <c r="L764" s="354">
        <f t="shared" si="192"/>
        <v>0</v>
      </c>
      <c r="M764" s="195"/>
      <c r="N764" s="195"/>
    </row>
    <row r="765" spans="1:17" ht="13">
      <c r="A765" s="342">
        <v>9</v>
      </c>
      <c r="E765" s="740"/>
      <c r="F765" s="351"/>
      <c r="G765" s="351"/>
      <c r="H765" s="351"/>
      <c r="J765" s="351"/>
      <c r="K765" s="351"/>
      <c r="L765" s="351"/>
      <c r="M765" s="195"/>
      <c r="N765" s="195"/>
    </row>
    <row r="766" spans="1:17" ht="13">
      <c r="A766" s="342">
        <v>10</v>
      </c>
      <c r="B766" s="702" t="s">
        <v>92</v>
      </c>
      <c r="C766" s="703"/>
      <c r="D766" s="720"/>
      <c r="E766" s="723"/>
      <c r="F766" s="619"/>
      <c r="G766" s="619"/>
      <c r="H766" s="619"/>
      <c r="I766" s="619"/>
      <c r="J766" s="619"/>
      <c r="K766" s="619"/>
      <c r="L766" s="619"/>
      <c r="M766" s="195"/>
      <c r="N766" s="195"/>
      <c r="P766" s="662"/>
      <c r="Q766" s="593"/>
    </row>
    <row r="767" spans="1:17" ht="13">
      <c r="A767" s="342">
        <v>11</v>
      </c>
      <c r="B767" s="653"/>
      <c r="C767" s="654" t="s">
        <v>1015</v>
      </c>
      <c r="D767" s="719"/>
      <c r="E767" s="723"/>
      <c r="F767" s="347">
        <f>'FR-16(7)(v)-4 DISTR Classified'!$I$71</f>
        <v>0</v>
      </c>
      <c r="G767" s="347">
        <f t="shared" ref="G767:K768" si="194">G71</f>
        <v>0</v>
      </c>
      <c r="H767" s="347">
        <f t="shared" si="194"/>
        <v>0</v>
      </c>
      <c r="I767" s="347">
        <f t="shared" si="194"/>
        <v>0</v>
      </c>
      <c r="J767" s="347">
        <f t="shared" si="194"/>
        <v>0</v>
      </c>
      <c r="K767" s="347">
        <f t="shared" si="194"/>
        <v>0</v>
      </c>
      <c r="L767" s="347">
        <f>F767-K767</f>
        <v>0</v>
      </c>
      <c r="M767" s="195"/>
      <c r="N767" s="195"/>
      <c r="P767" s="662"/>
      <c r="Q767" s="593"/>
    </row>
    <row r="768" spans="1:17" ht="13">
      <c r="A768" s="342">
        <v>12</v>
      </c>
      <c r="B768" s="653"/>
      <c r="C768" s="654" t="s">
        <v>1016</v>
      </c>
      <c r="D768" s="719"/>
      <c r="E768" s="707"/>
      <c r="F768" s="347">
        <f>'FR-16(7)(v)-4 DISTR Classified'!$I$72</f>
        <v>226116720</v>
      </c>
      <c r="G768" s="347">
        <f t="shared" si="194"/>
        <v>198085030</v>
      </c>
      <c r="H768" s="347">
        <f t="shared" si="194"/>
        <v>27233498</v>
      </c>
      <c r="I768" s="347">
        <f t="shared" si="194"/>
        <v>431883</v>
      </c>
      <c r="J768" s="347">
        <f t="shared" si="194"/>
        <v>366309</v>
      </c>
      <c r="K768" s="347">
        <f t="shared" si="194"/>
        <v>226116720</v>
      </c>
      <c r="L768" s="347">
        <f>F768-K768</f>
        <v>0</v>
      </c>
      <c r="M768" s="593"/>
      <c r="N768" s="195"/>
      <c r="P768" s="662"/>
      <c r="Q768" s="593"/>
    </row>
    <row r="769" spans="1:17" ht="13">
      <c r="A769" s="342">
        <v>13</v>
      </c>
      <c r="B769" s="653"/>
      <c r="C769" s="654" t="s">
        <v>1013</v>
      </c>
      <c r="D769" s="719"/>
      <c r="E769" s="707"/>
      <c r="F769" s="347">
        <f>-'FR-16(7)(v)-4 DISTR Classified'!$I$125</f>
        <v>0</v>
      </c>
      <c r="G769" s="347">
        <f t="shared" ref="G769:K770" si="195">-G125</f>
        <v>0</v>
      </c>
      <c r="H769" s="347">
        <f t="shared" si="195"/>
        <v>0</v>
      </c>
      <c r="I769" s="347">
        <f t="shared" si="195"/>
        <v>0</v>
      </c>
      <c r="J769" s="347">
        <f t="shared" si="195"/>
        <v>0</v>
      </c>
      <c r="K769" s="347">
        <f t="shared" si="195"/>
        <v>0</v>
      </c>
      <c r="L769" s="347">
        <f>F769-K769</f>
        <v>0</v>
      </c>
      <c r="M769" s="593"/>
      <c r="N769" s="195"/>
      <c r="P769" s="662"/>
      <c r="Q769" s="593"/>
    </row>
    <row r="770" spans="1:17" ht="13">
      <c r="A770" s="342">
        <v>14</v>
      </c>
      <c r="B770" s="653"/>
      <c r="C770" s="654" t="s">
        <v>1014</v>
      </c>
      <c r="D770" s="719"/>
      <c r="E770" s="711"/>
      <c r="F770" s="347">
        <f>-'FR-16(7)(v)-4 DISTR Classified'!$I$126</f>
        <v>-61310319</v>
      </c>
      <c r="G770" s="664">
        <f t="shared" si="195"/>
        <v>-53709678</v>
      </c>
      <c r="H770" s="664">
        <f t="shared" si="195"/>
        <v>-7384215</v>
      </c>
      <c r="I770" s="664">
        <f t="shared" si="195"/>
        <v>-117103</v>
      </c>
      <c r="J770" s="664">
        <f t="shared" si="195"/>
        <v>-99323</v>
      </c>
      <c r="K770" s="664">
        <f t="shared" si="195"/>
        <v>-61310319</v>
      </c>
      <c r="L770" s="347">
        <f>F770-K770</f>
        <v>0</v>
      </c>
      <c r="M770" s="593"/>
      <c r="N770" s="195"/>
      <c r="P770" s="662"/>
      <c r="Q770" s="593"/>
    </row>
    <row r="771" spans="1:17" ht="13">
      <c r="A771" s="342">
        <v>15</v>
      </c>
      <c r="B771" s="653"/>
      <c r="C771" s="704" t="s">
        <v>1023</v>
      </c>
      <c r="D771" s="719"/>
      <c r="E771" s="707"/>
      <c r="F771" s="759">
        <f t="shared" ref="F771:L771" si="196">SUM(F767:F770)</f>
        <v>164806401</v>
      </c>
      <c r="G771" s="759">
        <f t="shared" si="196"/>
        <v>144375352</v>
      </c>
      <c r="H771" s="759">
        <f t="shared" si="196"/>
        <v>19849283</v>
      </c>
      <c r="I771" s="759">
        <f t="shared" si="196"/>
        <v>314780</v>
      </c>
      <c r="J771" s="759">
        <f t="shared" si="196"/>
        <v>266986</v>
      </c>
      <c r="K771" s="759">
        <f t="shared" si="196"/>
        <v>164806401</v>
      </c>
      <c r="L771" s="759">
        <f t="shared" si="196"/>
        <v>0</v>
      </c>
      <c r="M771" s="593"/>
      <c r="N771" s="195"/>
      <c r="P771" s="662"/>
      <c r="Q771" s="593"/>
    </row>
    <row r="772" spans="1:17" ht="13">
      <c r="A772" s="342">
        <v>16</v>
      </c>
      <c r="B772" s="653"/>
      <c r="C772" s="653"/>
      <c r="D772" s="707"/>
      <c r="E772" s="707"/>
      <c r="F772" s="351"/>
      <c r="G772" s="351"/>
      <c r="H772" s="351"/>
      <c r="J772" s="351"/>
      <c r="K772" s="351"/>
      <c r="L772" s="351"/>
      <c r="M772" s="593"/>
      <c r="N772" s="195"/>
      <c r="P772" s="662"/>
      <c r="Q772" s="593"/>
    </row>
    <row r="773" spans="1:17" ht="13">
      <c r="A773" s="342">
        <v>17</v>
      </c>
      <c r="B773" s="705" t="s">
        <v>93</v>
      </c>
      <c r="C773" s="610"/>
      <c r="D773" s="707"/>
      <c r="E773" s="707"/>
      <c r="F773" s="351"/>
      <c r="G773" s="351"/>
      <c r="H773" s="351"/>
      <c r="J773" s="351"/>
      <c r="K773" s="351"/>
      <c r="L773" s="351"/>
      <c r="M773" s="593"/>
      <c r="N773" s="195"/>
      <c r="P773" s="662"/>
      <c r="Q773" s="593"/>
    </row>
    <row r="774" spans="1:17" ht="13">
      <c r="A774" s="342">
        <v>18</v>
      </c>
      <c r="B774" s="653"/>
      <c r="C774" s="654" t="s">
        <v>1017</v>
      </c>
      <c r="D774" s="707"/>
      <c r="E774" s="707"/>
      <c r="F774" s="347">
        <f>'FR-16(7)(v)-4 DISTR Classified'!$I$73</f>
        <v>30766213</v>
      </c>
      <c r="G774" s="347">
        <f>G73</f>
        <v>24635122</v>
      </c>
      <c r="H774" s="347">
        <f>H73</f>
        <v>5195798</v>
      </c>
      <c r="I774" s="347">
        <f>I73</f>
        <v>568252</v>
      </c>
      <c r="J774" s="347">
        <f>J73</f>
        <v>367041</v>
      </c>
      <c r="K774" s="347">
        <f>K73</f>
        <v>30766213</v>
      </c>
      <c r="L774" s="347">
        <f>F774-K774</f>
        <v>0</v>
      </c>
      <c r="M774" s="593"/>
      <c r="N774" s="195"/>
      <c r="P774" s="662"/>
      <c r="Q774" s="593"/>
    </row>
    <row r="775" spans="1:17" ht="13">
      <c r="A775" s="342">
        <v>19</v>
      </c>
      <c r="B775" s="653"/>
      <c r="C775" s="654" t="s">
        <v>1018</v>
      </c>
      <c r="D775" s="707"/>
      <c r="E775" s="707"/>
      <c r="F775" s="347">
        <f>'FR-16(7)(v)-4 DISTR Classified'!$I$75</f>
        <v>14731367</v>
      </c>
      <c r="G775" s="347">
        <f>G75</f>
        <v>9112234</v>
      </c>
      <c r="H775" s="347">
        <f>H75</f>
        <v>5482573</v>
      </c>
      <c r="I775" s="347">
        <f>I75</f>
        <v>113137</v>
      </c>
      <c r="J775" s="347">
        <f>J75</f>
        <v>23423</v>
      </c>
      <c r="K775" s="347">
        <f>K75</f>
        <v>14731367</v>
      </c>
      <c r="L775" s="347">
        <f>F775-K775</f>
        <v>0</v>
      </c>
      <c r="M775" s="593"/>
      <c r="N775" s="195"/>
      <c r="P775" s="662"/>
      <c r="Q775" s="593"/>
    </row>
    <row r="776" spans="1:17" ht="13">
      <c r="A776" s="342">
        <v>20</v>
      </c>
      <c r="B776" s="653"/>
      <c r="C776" s="654" t="s">
        <v>1019</v>
      </c>
      <c r="D776" s="707"/>
      <c r="E776" s="707"/>
      <c r="F776" s="347">
        <f>-'FR-16(7)(v)-4 DISTR Classified'!$I$127</f>
        <v>895430</v>
      </c>
      <c r="G776" s="347">
        <f>-G127</f>
        <v>716989</v>
      </c>
      <c r="H776" s="347">
        <f>-H127</f>
        <v>151220</v>
      </c>
      <c r="I776" s="347">
        <f>-I127</f>
        <v>16539</v>
      </c>
      <c r="J776" s="347">
        <f>-J127</f>
        <v>10682</v>
      </c>
      <c r="K776" s="347">
        <f>-K127</f>
        <v>895430</v>
      </c>
      <c r="L776" s="347">
        <f>F776-K776</f>
        <v>0</v>
      </c>
      <c r="M776" s="593"/>
      <c r="N776" s="195"/>
      <c r="P776" s="662"/>
      <c r="Q776" s="593"/>
    </row>
    <row r="777" spans="1:17" ht="13">
      <c r="A777" s="342">
        <v>21</v>
      </c>
      <c r="B777" s="653"/>
      <c r="C777" s="654" t="s">
        <v>1020</v>
      </c>
      <c r="D777" s="707"/>
      <c r="E777" s="707"/>
      <c r="F777" s="347">
        <f>-'FR-16(7)(v)-4 DISTR Classified'!$I$129</f>
        <v>-5948247</v>
      </c>
      <c r="G777" s="664">
        <f>-G129</f>
        <v>-3679347</v>
      </c>
      <c r="H777" s="664">
        <f>-H129</f>
        <v>-2213759</v>
      </c>
      <c r="I777" s="664">
        <f>-I129</f>
        <v>-45683</v>
      </c>
      <c r="J777" s="664">
        <f>-J129</f>
        <v>-9458</v>
      </c>
      <c r="K777" s="664">
        <f>-K129</f>
        <v>-5948247</v>
      </c>
      <c r="L777" s="347">
        <f>F777-K777</f>
        <v>0</v>
      </c>
      <c r="M777" s="593"/>
      <c r="N777" s="195"/>
      <c r="P777" s="662"/>
      <c r="Q777" s="593"/>
    </row>
    <row r="778" spans="1:17" ht="13">
      <c r="A778" s="342">
        <v>22</v>
      </c>
      <c r="B778" s="653"/>
      <c r="C778" s="704" t="s">
        <v>1024</v>
      </c>
      <c r="D778" s="707"/>
      <c r="E778" s="707"/>
      <c r="F778" s="758">
        <f t="shared" ref="F778:L778" si="197">SUM(F774:F777)</f>
        <v>40444763</v>
      </c>
      <c r="G778" s="758">
        <f t="shared" si="197"/>
        <v>30784998</v>
      </c>
      <c r="H778" s="759">
        <f t="shared" si="197"/>
        <v>8615832</v>
      </c>
      <c r="I778" s="759">
        <f t="shared" si="197"/>
        <v>652245</v>
      </c>
      <c r="J778" s="759">
        <f t="shared" si="197"/>
        <v>391688</v>
      </c>
      <c r="K778" s="759">
        <f t="shared" si="197"/>
        <v>40444763</v>
      </c>
      <c r="L778" s="758">
        <f t="shared" si="197"/>
        <v>0</v>
      </c>
      <c r="M778" s="593"/>
      <c r="N778" s="195"/>
      <c r="P778" s="662"/>
      <c r="Q778" s="593"/>
    </row>
    <row r="779" spans="1:17" ht="13">
      <c r="A779" s="342">
        <v>23</v>
      </c>
      <c r="E779" s="331"/>
      <c r="H779" s="351"/>
      <c r="J779" s="351"/>
      <c r="K779" s="351"/>
      <c r="N779" s="195"/>
    </row>
    <row r="780" spans="1:17" ht="13">
      <c r="A780" s="342">
        <v>24</v>
      </c>
      <c r="B780" s="625" t="s">
        <v>94</v>
      </c>
      <c r="C780" s="195"/>
      <c r="D780" s="712"/>
      <c r="E780" s="712"/>
      <c r="F780" s="626"/>
      <c r="G780" s="626"/>
      <c r="H780" s="627"/>
      <c r="I780" s="627"/>
      <c r="J780" s="627"/>
      <c r="K780" s="627"/>
      <c r="L780" s="626"/>
      <c r="M780" s="195"/>
      <c r="N780" s="195"/>
      <c r="P780" s="657"/>
      <c r="Q780" s="195"/>
    </row>
    <row r="781" spans="1:17" ht="13">
      <c r="A781" s="342">
        <v>25</v>
      </c>
      <c r="B781" s="591" t="s">
        <v>95</v>
      </c>
      <c r="C781" s="628"/>
      <c r="D781" s="713"/>
      <c r="E781" s="713"/>
      <c r="F781" s="504"/>
      <c r="G781" s="504"/>
      <c r="H781" s="484"/>
      <c r="I781" s="484"/>
      <c r="J781" s="504"/>
      <c r="K781" s="504"/>
      <c r="L781" s="504"/>
      <c r="M781" s="195"/>
      <c r="N781" s="195"/>
      <c r="P781" s="657"/>
      <c r="Q781" s="195"/>
    </row>
    <row r="782" spans="1:17" ht="13">
      <c r="A782" s="342">
        <v>26</v>
      </c>
      <c r="B782" s="195"/>
      <c r="C782" s="581" t="s">
        <v>230</v>
      </c>
      <c r="D782" s="719" t="s">
        <v>1003</v>
      </c>
      <c r="E782" s="708" t="str">
        <f>'FR-16(7)(v)-1 Functional'!$E$782</f>
        <v>P129</v>
      </c>
      <c r="F782" s="1075">
        <v>0</v>
      </c>
      <c r="G782" s="1074">
        <f>F782-SUM(H782:J782)</f>
        <v>0</v>
      </c>
      <c r="H782" s="1074">
        <f>ROUND(IF($F$59=0,0,$H$59/$F$59),5)</f>
        <v>0</v>
      </c>
      <c r="I782" s="1074">
        <f>ROUND(IF($F$59=0,0,$I$59/$F$59),5)</f>
        <v>0</v>
      </c>
      <c r="J782" s="1074">
        <f>ROUND(IF($F$59=0,0,$J$59/$F$59),5)</f>
        <v>0</v>
      </c>
      <c r="K782" s="1074">
        <f t="shared" ref="K782:K789" si="198">SUM(G782:J782)</f>
        <v>0</v>
      </c>
      <c r="L782" s="1074">
        <f t="shared" ref="L782:L789" si="199">F782-K782</f>
        <v>0</v>
      </c>
      <c r="M782" s="195"/>
      <c r="N782" s="195"/>
      <c r="P782" s="659">
        <f t="shared" ref="P782:P789" si="200">K782</f>
        <v>0</v>
      </c>
      <c r="Q782" s="195"/>
    </row>
    <row r="783" spans="1:17" ht="13">
      <c r="A783" s="342">
        <v>27</v>
      </c>
      <c r="B783" s="195"/>
      <c r="C783" s="581" t="s">
        <v>231</v>
      </c>
      <c r="D783" s="719" t="s">
        <v>1003</v>
      </c>
      <c r="E783" s="708" t="str">
        <f>'FR-16(7)(v)-1 Functional'!$E$783</f>
        <v>D149</v>
      </c>
      <c r="F783" s="642">
        <v>1</v>
      </c>
      <c r="G783" s="354">
        <f>F783-SUM(H783:J783)</f>
        <v>0.85353000000000001</v>
      </c>
      <c r="H783" s="354">
        <f>ROUND(IF($F$78=0,0,H78/$F$78),5)</f>
        <v>0.13958000000000001</v>
      </c>
      <c r="I783" s="354">
        <f>ROUND(IF($F$78=0,0,I78/$F$78),5)</f>
        <v>4.1000000000000003E-3</v>
      </c>
      <c r="J783" s="354">
        <f>ROUND(IF($F$78=0,0,J78/$F$78),5)</f>
        <v>2.7899999999999999E-3</v>
      </c>
      <c r="K783" s="354">
        <f t="shared" si="198"/>
        <v>1</v>
      </c>
      <c r="L783" s="348">
        <f t="shared" si="199"/>
        <v>0</v>
      </c>
      <c r="M783" s="195"/>
      <c r="N783" s="195"/>
      <c r="P783" s="659">
        <f t="shared" si="200"/>
        <v>1</v>
      </c>
      <c r="Q783" s="195"/>
    </row>
    <row r="784" spans="1:17" ht="13">
      <c r="A784" s="342">
        <v>28</v>
      </c>
      <c r="B784" s="195"/>
      <c r="C784" s="581" t="s">
        <v>232</v>
      </c>
      <c r="D784" s="719" t="s">
        <v>1003</v>
      </c>
      <c r="E784" s="708" t="str">
        <f>'FR-16(7)(v)-1 Functional'!$E$784</f>
        <v>PD29</v>
      </c>
      <c r="F784" s="642">
        <v>1</v>
      </c>
      <c r="G784" s="354">
        <f t="shared" ref="G784:G789" si="201">F784-SUM(H784:J784)</f>
        <v>0.85353000000000001</v>
      </c>
      <c r="H784" s="354">
        <f>ROUND(IF($F$81=0,0,H81/$F$81),5)</f>
        <v>0.13958000000000001</v>
      </c>
      <c r="I784" s="354">
        <f>ROUND(IF($F$81=0,0,I81/$F$81),5)</f>
        <v>4.1000000000000003E-3</v>
      </c>
      <c r="J784" s="354">
        <f>ROUND(IF($F$81=0,0,J81/$F$81),5)</f>
        <v>2.7899999999999999E-3</v>
      </c>
      <c r="K784" s="354">
        <f t="shared" si="198"/>
        <v>1</v>
      </c>
      <c r="L784" s="348">
        <f t="shared" si="199"/>
        <v>0</v>
      </c>
      <c r="M784" s="195"/>
      <c r="N784" s="195"/>
      <c r="P784" s="659">
        <f t="shared" si="200"/>
        <v>1</v>
      </c>
      <c r="Q784" s="195"/>
    </row>
    <row r="785" spans="1:17" ht="13">
      <c r="A785" s="342">
        <v>29</v>
      </c>
      <c r="B785" s="195"/>
      <c r="C785" s="581" t="s">
        <v>233</v>
      </c>
      <c r="D785" s="719" t="s">
        <v>1003</v>
      </c>
      <c r="E785" s="708" t="str">
        <f>'FR-16(7)(v)-1 Functional'!$E$785</f>
        <v>G129</v>
      </c>
      <c r="F785" s="642">
        <v>1</v>
      </c>
      <c r="G785" s="354">
        <f t="shared" si="201"/>
        <v>0.89412999999999998</v>
      </c>
      <c r="H785" s="354">
        <f>ROUND(IF($F$90=0,0,H90/$F$90),5)</f>
        <v>0.10120999999999999</v>
      </c>
      <c r="I785" s="354">
        <f>ROUND(IF($F$90=0,0,I90/$F$90),5)</f>
        <v>3.0200000000000001E-3</v>
      </c>
      <c r="J785" s="354">
        <f>ROUND(IF($F$90=0,0,J90/$F$90),5)</f>
        <v>1.64E-3</v>
      </c>
      <c r="K785" s="354">
        <f t="shared" si="198"/>
        <v>1</v>
      </c>
      <c r="L785" s="348">
        <f t="shared" si="199"/>
        <v>0</v>
      </c>
      <c r="M785" s="195"/>
      <c r="N785" s="195"/>
      <c r="P785" s="659">
        <f t="shared" si="200"/>
        <v>1</v>
      </c>
      <c r="Q785" s="195"/>
    </row>
    <row r="786" spans="1:17" ht="13">
      <c r="A786" s="342">
        <v>30</v>
      </c>
      <c r="B786" s="195"/>
      <c r="C786" s="581" t="s">
        <v>234</v>
      </c>
      <c r="D786" s="719" t="s">
        <v>1003</v>
      </c>
      <c r="E786" s="708" t="str">
        <f>'FR-16(7)(v)-1 Functional'!$E$786</f>
        <v>C129</v>
      </c>
      <c r="F786" s="642">
        <v>1</v>
      </c>
      <c r="G786" s="354">
        <f t="shared" si="201"/>
        <v>0.89412999999999998</v>
      </c>
      <c r="H786" s="354">
        <f>ROUND(IF($F$99=0,0,H99/$F$99),5)</f>
        <v>0.10120999999999999</v>
      </c>
      <c r="I786" s="354">
        <f>ROUND(IF($F$99=0,0,I99/$F$99),5)</f>
        <v>3.0200000000000001E-3</v>
      </c>
      <c r="J786" s="354">
        <f>ROUND(IF($F$99=0,0,J99/$F$99),5)</f>
        <v>1.64E-3</v>
      </c>
      <c r="K786" s="354">
        <f t="shared" si="198"/>
        <v>1</v>
      </c>
      <c r="L786" s="348">
        <f t="shared" si="199"/>
        <v>0</v>
      </c>
      <c r="M786" s="195"/>
      <c r="N786" s="195"/>
      <c r="P786" s="659">
        <f t="shared" si="200"/>
        <v>1</v>
      </c>
      <c r="Q786" s="195"/>
    </row>
    <row r="787" spans="1:17" ht="13">
      <c r="A787" s="342">
        <v>31</v>
      </c>
      <c r="B787" s="195"/>
      <c r="C787" s="581" t="s">
        <v>235</v>
      </c>
      <c r="D787" s="719" t="s">
        <v>1003</v>
      </c>
      <c r="E787" s="708" t="str">
        <f>'FR-16(7)(v)-1 Functional'!$E$787</f>
        <v>GP19</v>
      </c>
      <c r="F787" s="642">
        <v>1</v>
      </c>
      <c r="G787" s="354">
        <f t="shared" si="201"/>
        <v>0.85580999999999996</v>
      </c>
      <c r="H787" s="354">
        <f>ROUND(IF($F$101=0,0,H101/$F$101),5)</f>
        <v>0.13743</v>
      </c>
      <c r="I787" s="354">
        <f>ROUND(IF($F$101=0,0,I101/$F$101),5)</f>
        <v>4.0400000000000002E-3</v>
      </c>
      <c r="J787" s="354">
        <f>ROUND(IF($F$101=0,0,J101/$F$101),5)</f>
        <v>2.7200000000000002E-3</v>
      </c>
      <c r="K787" s="354">
        <f t="shared" si="198"/>
        <v>1</v>
      </c>
      <c r="L787" s="348">
        <f t="shared" si="199"/>
        <v>0</v>
      </c>
      <c r="M787" s="195"/>
      <c r="N787" s="195"/>
      <c r="P787" s="659">
        <f t="shared" si="200"/>
        <v>1</v>
      </c>
      <c r="Q787" s="195"/>
    </row>
    <row r="788" spans="1:17" ht="13">
      <c r="A788" s="342">
        <v>32</v>
      </c>
      <c r="B788" s="195"/>
      <c r="C788" s="581" t="s">
        <v>236</v>
      </c>
      <c r="D788" s="719" t="s">
        <v>1003</v>
      </c>
      <c r="E788" s="708" t="str">
        <f>'FR-16(7)(v)-1 Functional'!$E$788</f>
        <v>D199</v>
      </c>
      <c r="F788" s="642">
        <v>1</v>
      </c>
      <c r="G788" s="354">
        <f t="shared" si="201"/>
        <v>0.85397000000000001</v>
      </c>
      <c r="H788" s="354">
        <f>ROUND(IF($F$131=0,0,H131/$F$131),5)</f>
        <v>0.14235</v>
      </c>
      <c r="I788" s="354">
        <f>ROUND(IF($F$131=0,0,I131/$F$131),5)</f>
        <v>2.2000000000000001E-3</v>
      </c>
      <c r="J788" s="354">
        <f>ROUND(IF($F$131=0,0,J131/$F$131),5)</f>
        <v>1.48E-3</v>
      </c>
      <c r="K788" s="354">
        <f t="shared" si="198"/>
        <v>1</v>
      </c>
      <c r="L788" s="348">
        <f t="shared" si="199"/>
        <v>0</v>
      </c>
      <c r="M788" s="195"/>
      <c r="N788" s="195"/>
      <c r="P788" s="659">
        <f t="shared" si="200"/>
        <v>1</v>
      </c>
      <c r="Q788" s="195"/>
    </row>
    <row r="789" spans="1:17" ht="13">
      <c r="A789" s="342">
        <v>33</v>
      </c>
      <c r="B789" s="195"/>
      <c r="C789" s="581" t="s">
        <v>237</v>
      </c>
      <c r="D789" s="719" t="s">
        <v>1003</v>
      </c>
      <c r="E789" s="708" t="str">
        <f>'FR-16(7)(v)-1 Functional'!$E$789</f>
        <v>DR19</v>
      </c>
      <c r="F789" s="642">
        <v>1</v>
      </c>
      <c r="G789" s="354">
        <f t="shared" si="201"/>
        <v>0.85865000000000002</v>
      </c>
      <c r="H789" s="354">
        <f>ROUND(IF($F$151=0,0,H151/$F$151),5)</f>
        <v>0.13755000000000001</v>
      </c>
      <c r="I789" s="354">
        <f>ROUND(IF($F$151=0,0,I151/$F$151),5)</f>
        <v>2.3E-3</v>
      </c>
      <c r="J789" s="354">
        <f>ROUND(IF($F$151=0,0,J151/$F$151),5)</f>
        <v>1.5E-3</v>
      </c>
      <c r="K789" s="354">
        <f t="shared" si="198"/>
        <v>0.99999999999999989</v>
      </c>
      <c r="L789" s="348">
        <f t="shared" si="199"/>
        <v>0</v>
      </c>
      <c r="M789" s="195"/>
      <c r="N789" s="195"/>
      <c r="P789" s="659">
        <f t="shared" si="200"/>
        <v>0.99999999999999989</v>
      </c>
      <c r="Q789" s="195"/>
    </row>
    <row r="790" spans="1:17" ht="13">
      <c r="A790" s="342">
        <v>34</v>
      </c>
      <c r="B790" s="195"/>
      <c r="C790" s="195"/>
      <c r="D790" s="342"/>
      <c r="E790" s="723"/>
      <c r="F790" s="642"/>
      <c r="G790" s="354"/>
      <c r="H790" s="354"/>
      <c r="I790" s="354"/>
      <c r="J790" s="354"/>
      <c r="K790" s="354"/>
      <c r="M790" s="195"/>
      <c r="N790" s="195"/>
      <c r="P790" s="657"/>
      <c r="Q790" s="195"/>
    </row>
    <row r="791" spans="1:17" ht="13">
      <c r="A791" s="342">
        <v>35</v>
      </c>
      <c r="B791" s="581" t="s">
        <v>96</v>
      </c>
      <c r="C791" s="195"/>
      <c r="D791" s="342"/>
      <c r="E791" s="723"/>
      <c r="F791" s="642"/>
      <c r="G791" s="354"/>
      <c r="H791" s="354"/>
      <c r="I791" s="354"/>
      <c r="J791" s="354"/>
      <c r="K791" s="354"/>
      <c r="M791" s="195"/>
      <c r="N791" s="195"/>
      <c r="P791" s="657"/>
      <c r="Q791" s="195"/>
    </row>
    <row r="792" spans="1:17" ht="13">
      <c r="A792" s="342">
        <v>36</v>
      </c>
      <c r="B792" s="195"/>
      <c r="C792" s="581" t="s">
        <v>238</v>
      </c>
      <c r="D792" s="719" t="s">
        <v>1003</v>
      </c>
      <c r="E792" s="708" t="str">
        <f>'FR-16(7)(v)-1 Functional'!$E$792</f>
        <v>P229</v>
      </c>
      <c r="F792" s="1075">
        <v>0</v>
      </c>
      <c r="G792" s="1074">
        <f>F792-SUM(H792:J792)</f>
        <v>0</v>
      </c>
      <c r="H792" s="1074">
        <f>ROUND(IF($F$166=0,0,H166/$F$166),5)</f>
        <v>0</v>
      </c>
      <c r="I792" s="1074">
        <f>ROUND(IF($F$166=0,0,I166/$F$166),5)</f>
        <v>0</v>
      </c>
      <c r="J792" s="1074">
        <f>ROUND(IF($F$166=0,0,J166/$F$166),5)</f>
        <v>0</v>
      </c>
      <c r="K792" s="1074">
        <f>SUM(G792:J792)</f>
        <v>0</v>
      </c>
      <c r="L792" s="1074">
        <f>F792-K792</f>
        <v>0</v>
      </c>
      <c r="M792" s="195"/>
      <c r="N792" s="195"/>
      <c r="P792" s="659">
        <f>K792</f>
        <v>0</v>
      </c>
      <c r="Q792" s="195"/>
    </row>
    <row r="793" spans="1:17" ht="13">
      <c r="A793" s="342">
        <v>37</v>
      </c>
      <c r="B793" s="195"/>
      <c r="C793" s="581" t="s">
        <v>239</v>
      </c>
      <c r="D793" s="719" t="s">
        <v>1003</v>
      </c>
      <c r="E793" s="708" t="str">
        <f>'FR-16(7)(v)-1 Functional'!$E$793</f>
        <v>D249</v>
      </c>
      <c r="F793" s="642">
        <v>1</v>
      </c>
      <c r="G793" s="354">
        <f>F793-SUM(H793:J793)</f>
        <v>0.85340000000000005</v>
      </c>
      <c r="H793" s="354">
        <f>ROUND(IF($F$176=0,0,H176/$F$176),5)</f>
        <v>0.13868</v>
      </c>
      <c r="I793" s="354">
        <f>ROUND(IF($F$176=0,0,I176/$F$176),5)</f>
        <v>4.7099999999999998E-3</v>
      </c>
      <c r="J793" s="354">
        <f>ROUND(IF($F$176=0,0,J176/$F$176),5)</f>
        <v>3.2100000000000002E-3</v>
      </c>
      <c r="K793" s="354">
        <f>SUM(G793:J793)</f>
        <v>1</v>
      </c>
      <c r="L793" s="348">
        <f>F793-K793</f>
        <v>0</v>
      </c>
      <c r="M793" s="195"/>
      <c r="N793" s="195"/>
      <c r="P793" s="659">
        <f>K793</f>
        <v>1</v>
      </c>
      <c r="Q793" s="195"/>
    </row>
    <row r="794" spans="1:17" ht="13">
      <c r="A794" s="342">
        <v>38</v>
      </c>
      <c r="B794" s="195"/>
      <c r="C794" s="581" t="s">
        <v>240</v>
      </c>
      <c r="D794" s="719" t="s">
        <v>1003</v>
      </c>
      <c r="E794" s="708" t="str">
        <f>'FR-16(7)(v)-1 Functional'!$E$794</f>
        <v>G229</v>
      </c>
      <c r="F794" s="642">
        <v>1</v>
      </c>
      <c r="G794" s="354">
        <f>F794-SUM(H794:J794)</f>
        <v>0.89412999999999998</v>
      </c>
      <c r="H794" s="354">
        <f>ROUND(IF($F$184=0,0,H184/$F$184),5)</f>
        <v>0.10120999999999999</v>
      </c>
      <c r="I794" s="354">
        <f>ROUND(IF($F$184=0,0,I184/$F$184),5)</f>
        <v>3.0200000000000001E-3</v>
      </c>
      <c r="J794" s="354">
        <f>ROUND(IF($F$184=0,0,J184/$F$184),5)</f>
        <v>1.64E-3</v>
      </c>
      <c r="K794" s="354">
        <f>SUM(G794:J794)</f>
        <v>1</v>
      </c>
      <c r="L794" s="348">
        <f>F794-K794</f>
        <v>0</v>
      </c>
      <c r="M794" s="195"/>
      <c r="N794" s="195"/>
      <c r="P794" s="659">
        <f>K794</f>
        <v>1</v>
      </c>
      <c r="Q794" s="195"/>
    </row>
    <row r="795" spans="1:17" ht="13">
      <c r="A795" s="342">
        <v>39</v>
      </c>
      <c r="B795" s="195"/>
      <c r="C795" s="581" t="s">
        <v>241</v>
      </c>
      <c r="D795" s="719" t="s">
        <v>1003</v>
      </c>
      <c r="E795" s="708" t="str">
        <f>'FR-16(7)(v)-1 Functional'!$E$795</f>
        <v>C229</v>
      </c>
      <c r="F795" s="642">
        <v>1</v>
      </c>
      <c r="G795" s="354">
        <f>F795-SUM(H795:J795)</f>
        <v>0.89412999999999998</v>
      </c>
      <c r="H795" s="354">
        <f>ROUND(IF($F$189=0,0,H189/$F$189),5)</f>
        <v>0.10120999999999999</v>
      </c>
      <c r="I795" s="354">
        <f>ROUND(IF($F$189=0,0,I189/$F$189),5)</f>
        <v>3.0200000000000001E-3</v>
      </c>
      <c r="J795" s="354">
        <f>ROUND(IF($F$189=0,0,J189/$F$189),5)</f>
        <v>1.64E-3</v>
      </c>
      <c r="K795" s="354">
        <f>SUM(G795:J795)</f>
        <v>1</v>
      </c>
      <c r="L795" s="348">
        <f>F795-K795</f>
        <v>0</v>
      </c>
      <c r="M795" s="195"/>
      <c r="N795" s="195"/>
      <c r="P795" s="659">
        <f>K795</f>
        <v>1</v>
      </c>
      <c r="Q795" s="195"/>
    </row>
    <row r="796" spans="1:17" ht="13">
      <c r="A796" s="342">
        <v>40</v>
      </c>
      <c r="B796" s="195"/>
      <c r="C796" s="581" t="s">
        <v>242</v>
      </c>
      <c r="D796" s="719" t="s">
        <v>1003</v>
      </c>
      <c r="E796" s="708" t="str">
        <f>'FR-16(7)(v)-1 Functional'!$E$796</f>
        <v>NP29</v>
      </c>
      <c r="F796" s="642">
        <v>1</v>
      </c>
      <c r="G796" s="354">
        <f>F796-SUM(H796:J796)</f>
        <v>0.85482000000000002</v>
      </c>
      <c r="H796" s="354">
        <f>ROUND(IF($F$191=0,0,H191/$F$191),5)</f>
        <v>0.13738</v>
      </c>
      <c r="I796" s="354">
        <f>ROUND(IF($F$191=0,0,I191/$F$191),5)</f>
        <v>4.6499999999999996E-3</v>
      </c>
      <c r="J796" s="354">
        <f>ROUND(IF($F$191=0,0,J191/$F$191),5)</f>
        <v>3.15E-3</v>
      </c>
      <c r="K796" s="354">
        <f>SUM(G796:J796)</f>
        <v>1</v>
      </c>
      <c r="L796" s="348">
        <f>F796-K796</f>
        <v>0</v>
      </c>
      <c r="M796" s="195"/>
      <c r="N796" s="195"/>
      <c r="P796" s="657"/>
      <c r="Q796" s="195"/>
    </row>
    <row r="797" spans="1:17" ht="13">
      <c r="A797" s="342">
        <v>41</v>
      </c>
      <c r="B797" s="195"/>
      <c r="C797" s="581"/>
      <c r="D797" s="708"/>
      <c r="E797" s="728"/>
      <c r="F797" s="348"/>
      <c r="G797" s="354"/>
      <c r="H797" s="354"/>
      <c r="I797" s="354"/>
      <c r="J797" s="354"/>
      <c r="K797" s="354"/>
      <c r="L797" s="348"/>
      <c r="M797" s="195"/>
      <c r="N797" s="195"/>
      <c r="P797" s="657"/>
      <c r="Q797" s="195"/>
    </row>
    <row r="798" spans="1:17" ht="13">
      <c r="A798" s="342">
        <v>42</v>
      </c>
      <c r="B798" s="581" t="s">
        <v>32</v>
      </c>
      <c r="C798" s="195"/>
      <c r="D798" s="342"/>
      <c r="E798" s="723"/>
      <c r="F798" s="348"/>
      <c r="G798" s="354"/>
      <c r="H798" s="354"/>
      <c r="I798" s="354"/>
      <c r="J798" s="354"/>
      <c r="K798" s="354"/>
      <c r="M798" s="195"/>
      <c r="N798" s="195"/>
      <c r="P798" s="657"/>
      <c r="Q798" s="195"/>
    </row>
    <row r="799" spans="1:17" ht="13">
      <c r="A799" s="342">
        <v>43</v>
      </c>
      <c r="B799" s="195"/>
      <c r="C799" s="581" t="s">
        <v>243</v>
      </c>
      <c r="D799" s="719" t="s">
        <v>1003</v>
      </c>
      <c r="E799" s="708" t="str">
        <f>'FR-16(7)(v)-1 Functional'!$E$799</f>
        <v>W669</v>
      </c>
      <c r="F799" s="642">
        <v>1</v>
      </c>
      <c r="G799" s="354">
        <f>F799-SUM(H799:J799)</f>
        <v>0.85482000000000002</v>
      </c>
      <c r="H799" s="354">
        <f>ROUND(IF($F$304=0,0,H304/$F$304),5)</f>
        <v>0.13738</v>
      </c>
      <c r="I799" s="354">
        <f>ROUND(IF($F$304=0,0,I304/$F$304),5)</f>
        <v>4.6499999999999996E-3</v>
      </c>
      <c r="J799" s="354">
        <f>ROUND(IF($F$304=0,0,J304/$F$304),5)</f>
        <v>3.15E-3</v>
      </c>
      <c r="K799" s="354">
        <f>SUM(G799:J799)</f>
        <v>1</v>
      </c>
      <c r="L799" s="348">
        <f>F799-K799</f>
        <v>0</v>
      </c>
      <c r="M799" s="195"/>
      <c r="N799" s="195"/>
      <c r="P799" s="659">
        <f>K799</f>
        <v>1</v>
      </c>
      <c r="Q799" s="195"/>
    </row>
    <row r="800" spans="1:17" ht="13">
      <c r="A800" s="342">
        <v>44</v>
      </c>
      <c r="B800" s="195"/>
      <c r="C800" s="581" t="s">
        <v>244</v>
      </c>
      <c r="D800" s="719" t="s">
        <v>1003</v>
      </c>
      <c r="E800" s="708" t="str">
        <f>'FR-16(7)(v)-1 Functional'!$E$800</f>
        <v>W689</v>
      </c>
      <c r="F800" s="642">
        <v>1</v>
      </c>
      <c r="G800" s="354">
        <f>IF(F310=0,0,F800-SUM(H800:J800))</f>
        <v>0.89880000000000004</v>
      </c>
      <c r="H800" s="354">
        <f>ROUND(IF($F$310=0,0,H310/$F$310),5)</f>
        <v>9.7070000000000004E-2</v>
      </c>
      <c r="I800" s="354">
        <f>ROUND(IF($F$310=0,0,I310/$F$310),5)</f>
        <v>2.7100000000000002E-3</v>
      </c>
      <c r="J800" s="354">
        <f>ROUND(IF($F$310=0,0,J310/$F$310),5)</f>
        <v>1.42E-3</v>
      </c>
      <c r="K800" s="354">
        <f>SUM(G800:J800)</f>
        <v>1</v>
      </c>
      <c r="L800" s="348">
        <f>F800-K800</f>
        <v>0</v>
      </c>
      <c r="M800" s="195"/>
      <c r="N800" s="195"/>
      <c r="P800" s="659">
        <f>K800</f>
        <v>1</v>
      </c>
      <c r="Q800" s="195"/>
    </row>
    <row r="801" spans="1:17" ht="13">
      <c r="A801" s="342">
        <v>45</v>
      </c>
      <c r="B801" s="195"/>
      <c r="C801" s="581" t="s">
        <v>245</v>
      </c>
      <c r="D801" s="719" t="s">
        <v>1003</v>
      </c>
      <c r="E801" s="708" t="str">
        <f>'FR-16(7)(v)-1 Functional'!$E$801</f>
        <v>W729</v>
      </c>
      <c r="F801" s="642">
        <v>1</v>
      </c>
      <c r="G801" s="354">
        <f>IF(F313=0,0,F801-SUM(H801:J801))</f>
        <v>0</v>
      </c>
      <c r="H801" s="354">
        <f>ROUND(IF($F$313=0,0,H313/$F$313),5)</f>
        <v>0</v>
      </c>
      <c r="I801" s="354">
        <f>ROUND(IF($F$313=0,0,I313/$F$313),5)</f>
        <v>0</v>
      </c>
      <c r="J801" s="354">
        <f>ROUND(IF($F$313=0,0,J313/$F$313),5)</f>
        <v>0</v>
      </c>
      <c r="K801" s="354">
        <f>SUM(G801:J801)</f>
        <v>0</v>
      </c>
      <c r="L801" s="348">
        <f>F801-K801</f>
        <v>1</v>
      </c>
      <c r="M801" s="195"/>
      <c r="N801" s="195"/>
      <c r="P801" s="659">
        <f>K801</f>
        <v>0</v>
      </c>
      <c r="Q801" s="195"/>
    </row>
    <row r="802" spans="1:17" ht="13">
      <c r="A802" s="342">
        <v>46</v>
      </c>
      <c r="B802" s="195"/>
      <c r="C802" s="581" t="s">
        <v>246</v>
      </c>
      <c r="D802" s="719" t="s">
        <v>1003</v>
      </c>
      <c r="E802" s="708" t="str">
        <f>'FR-16(7)(v)-1 Functional'!$E$802</f>
        <v>W749</v>
      </c>
      <c r="F802" s="642">
        <v>1</v>
      </c>
      <c r="G802" s="354">
        <f>IF(F319=0,0,F802-SUM(H802:J802))</f>
        <v>0</v>
      </c>
      <c r="H802" s="354">
        <f>ROUND(IF($F$319=0,0,H319/$F$319),5)</f>
        <v>0</v>
      </c>
      <c r="I802" s="354">
        <f>ROUND(IF($F$319=0,0,I319/$F$319),5)</f>
        <v>0</v>
      </c>
      <c r="J802" s="354">
        <f>ROUND(IF($F$319=0,0,J319/$F$319),5)</f>
        <v>0</v>
      </c>
      <c r="K802" s="354">
        <f>SUM(G802:J802)</f>
        <v>0</v>
      </c>
      <c r="L802" s="348">
        <f>F802-K802</f>
        <v>1</v>
      </c>
      <c r="M802" s="195"/>
      <c r="N802" s="195"/>
      <c r="P802" s="659">
        <f>K802</f>
        <v>0</v>
      </c>
      <c r="Q802" s="195"/>
    </row>
    <row r="803" spans="1:17" ht="13">
      <c r="A803" s="342">
        <v>47</v>
      </c>
      <c r="B803" s="195"/>
      <c r="C803" s="581" t="s">
        <v>247</v>
      </c>
      <c r="D803" s="719" t="s">
        <v>1003</v>
      </c>
      <c r="E803" s="708" t="str">
        <f>'FR-16(7)(v)-1 Functional'!$E$803</f>
        <v>WC79</v>
      </c>
      <c r="F803" s="642">
        <v>1</v>
      </c>
      <c r="G803" s="354">
        <f>F803-SUM(H803:J803)</f>
        <v>0.85871999999999993</v>
      </c>
      <c r="H803" s="354">
        <f>ROUND(IF($F$321=0,0,H321/$F$321),5)</f>
        <v>0.1338</v>
      </c>
      <c r="I803" s="354">
        <f>ROUND(IF($F$321=0,0,I321/$F$321),5)</f>
        <v>4.4799999999999996E-3</v>
      </c>
      <c r="J803" s="354">
        <f>ROUND(IF($F$321=0,0,J321/$F$321),5)</f>
        <v>3.0000000000000001E-3</v>
      </c>
      <c r="K803" s="354">
        <f>SUM(G803:J803)</f>
        <v>1</v>
      </c>
      <c r="L803" s="348">
        <f>F803-K803</f>
        <v>0</v>
      </c>
      <c r="M803" s="195"/>
      <c r="N803" s="195"/>
      <c r="P803" s="659">
        <f>K803</f>
        <v>1</v>
      </c>
      <c r="Q803" s="195"/>
    </row>
    <row r="804" spans="1:17" ht="13">
      <c r="A804" s="342"/>
      <c r="B804" s="195"/>
      <c r="C804" s="195"/>
      <c r="D804" s="342"/>
      <c r="E804" s="723"/>
      <c r="F804" s="642"/>
      <c r="G804" s="348"/>
      <c r="H804" s="354"/>
      <c r="I804" s="354"/>
      <c r="J804" s="354"/>
      <c r="K804" s="354"/>
      <c r="M804" s="195"/>
      <c r="N804" s="195"/>
      <c r="P804" s="657"/>
      <c r="Q804" s="195"/>
    </row>
    <row r="805" spans="1:17" ht="13">
      <c r="A805" s="341" t="str">
        <f>co_name</f>
        <v>DUKE ENERGY KENTUCKY, INC.</v>
      </c>
      <c r="C805" s="195"/>
      <c r="D805" s="342"/>
      <c r="E805" s="195"/>
      <c r="F805" s="342"/>
      <c r="G805" s="340"/>
      <c r="H805" s="340"/>
      <c r="I805" s="195"/>
      <c r="K805" s="359" t="str">
        <f>$K$1</f>
        <v>FR-16(7)(v)-6</v>
      </c>
      <c r="N805" s="195"/>
      <c r="P805" s="658"/>
    </row>
    <row r="806" spans="1:17" ht="13">
      <c r="A806" s="341" t="str">
        <f>$A$2</f>
        <v>DISTRIBUTION CUSTOMER ALLOCATED - GAS COST OF SERVICE</v>
      </c>
      <c r="C806" s="195"/>
      <c r="D806" s="342"/>
      <c r="E806" s="195"/>
      <c r="F806" s="342"/>
      <c r="G806" s="340"/>
      <c r="H806" s="340"/>
      <c r="I806" s="195"/>
      <c r="K806" s="359" t="str">
        <f>$K$2</f>
        <v>WITNESS RESPONSIBLE:</v>
      </c>
      <c r="N806" s="195"/>
      <c r="P806" s="658"/>
    </row>
    <row r="807" spans="1:17" ht="13">
      <c r="A807" s="341" t="str">
        <f>case_name</f>
        <v>CASE NO: 2021-00190</v>
      </c>
      <c r="C807" s="195"/>
      <c r="D807" s="342"/>
      <c r="E807" s="195"/>
      <c r="F807" s="342"/>
      <c r="G807" s="340"/>
      <c r="H807" s="340"/>
      <c r="I807" s="195"/>
      <c r="K807" s="359" t="str">
        <f>Witness</f>
        <v>JAMES E. ZIOLKOWSKI</v>
      </c>
      <c r="N807" s="195"/>
      <c r="P807" s="658"/>
    </row>
    <row r="808" spans="1:17" ht="13">
      <c r="A808" s="341" t="str">
        <f>data_filing</f>
        <v>DATA: 12 MONTH FORECASTED PERIOD</v>
      </c>
      <c r="C808" s="195"/>
      <c r="D808" s="342"/>
      <c r="E808" s="195"/>
      <c r="F808" s="342"/>
      <c r="G808" s="340"/>
      <c r="H808" s="340"/>
      <c r="I808" s="195"/>
      <c r="K808" s="359" t="str">
        <f>"PAGE "&amp;Pages&amp;" OF "&amp;Pages</f>
        <v>PAGE 18 OF 18</v>
      </c>
      <c r="N808" s="195"/>
      <c r="P808" s="658"/>
    </row>
    <row r="809" spans="1:17" ht="13">
      <c r="A809" s="341" t="str">
        <f>type</f>
        <v xml:space="preserve">TYPE OF FILING: "X" ORIGINAL   UPDATED    REVISED  </v>
      </c>
      <c r="C809" s="195"/>
      <c r="D809" s="342"/>
      <c r="E809" s="195"/>
      <c r="F809" s="342"/>
      <c r="G809" s="340"/>
      <c r="H809" s="340"/>
      <c r="I809" s="195"/>
      <c r="J809" s="342"/>
      <c r="K809" s="195"/>
      <c r="N809" s="195"/>
      <c r="P809" s="658"/>
    </row>
    <row r="810" spans="1:17" ht="13">
      <c r="B810" s="195"/>
      <c r="E810" s="331"/>
      <c r="F810" s="342"/>
      <c r="G810" s="340"/>
      <c r="H810" s="340"/>
      <c r="I810" s="195"/>
      <c r="J810" s="342"/>
      <c r="K810" s="195"/>
      <c r="N810" s="195"/>
      <c r="P810" s="658"/>
    </row>
    <row r="811" spans="1:17" ht="13">
      <c r="B811" s="195"/>
      <c r="E811" s="331"/>
      <c r="F811" s="342" t="s">
        <v>229</v>
      </c>
      <c r="G811" s="340"/>
      <c r="H811" s="340"/>
      <c r="I811" s="195"/>
      <c r="J811" s="342"/>
      <c r="K811" s="195"/>
      <c r="N811" s="195"/>
      <c r="P811" s="658"/>
    </row>
    <row r="812" spans="1:17" ht="13">
      <c r="A812" s="342" t="s">
        <v>907</v>
      </c>
      <c r="B812" s="195"/>
      <c r="C812" s="195"/>
      <c r="D812" s="342"/>
      <c r="E812" s="342"/>
      <c r="F812" s="342" t="str">
        <f>$F$8</f>
        <v>DISTRIBUTION</v>
      </c>
      <c r="G812" s="352" t="str">
        <f>$G$8</f>
        <v>RS</v>
      </c>
      <c r="H812" s="352" t="str">
        <f>$H$8</f>
        <v>GS</v>
      </c>
      <c r="I812" s="342" t="str">
        <f>$I$8</f>
        <v>FT-L</v>
      </c>
      <c r="J812" s="342" t="str">
        <f>$J$8</f>
        <v>INTERUPT</v>
      </c>
      <c r="K812" s="342" t="s">
        <v>229</v>
      </c>
      <c r="L812" s="583" t="s">
        <v>342</v>
      </c>
      <c r="M812" s="195"/>
      <c r="N812" s="195"/>
      <c r="P812" s="657"/>
      <c r="Q812" s="195"/>
    </row>
    <row r="813" spans="1:17" ht="13">
      <c r="A813" s="344" t="s">
        <v>908</v>
      </c>
      <c r="B813" s="584" t="s">
        <v>89</v>
      </c>
      <c r="C813" s="343"/>
      <c r="D813" s="585" t="s">
        <v>1001</v>
      </c>
      <c r="E813" s="585" t="s">
        <v>337</v>
      </c>
      <c r="F813" s="342" t="str">
        <f>$F$9</f>
        <v>CUSTOMER</v>
      </c>
      <c r="G813" s="353" t="str">
        <f>$G$9</f>
        <v>RESIDENTIAL</v>
      </c>
      <c r="H813" s="353" t="str">
        <f>$H$9</f>
        <v>GEN SERV</v>
      </c>
      <c r="I813" s="344" t="str">
        <f>$I$9</f>
        <v>FIRM TRANS</v>
      </c>
      <c r="J813" s="344" t="str">
        <f>$J$9</f>
        <v>TRANS</v>
      </c>
      <c r="K813" s="344" t="s">
        <v>341</v>
      </c>
      <c r="L813" s="586" t="s">
        <v>340</v>
      </c>
      <c r="M813" s="195"/>
      <c r="N813" s="195"/>
      <c r="P813" s="657"/>
      <c r="Q813" s="195"/>
    </row>
    <row r="814" spans="1:17" ht="13">
      <c r="C814" s="839" t="s">
        <v>1036</v>
      </c>
      <c r="E814" s="627">
        <v>1</v>
      </c>
      <c r="F814" s="813">
        <v>2</v>
      </c>
      <c r="G814" s="627">
        <v>3</v>
      </c>
      <c r="H814" s="627">
        <v>4</v>
      </c>
      <c r="I814" s="627">
        <v>5</v>
      </c>
      <c r="J814" s="627">
        <v>6</v>
      </c>
      <c r="K814" s="351"/>
      <c r="N814" s="195"/>
      <c r="P814" s="658"/>
    </row>
    <row r="815" spans="1:17" ht="13">
      <c r="A815" s="342">
        <v>1</v>
      </c>
      <c r="B815" s="581" t="s">
        <v>25</v>
      </c>
      <c r="C815" s="195"/>
      <c r="D815" s="342"/>
      <c r="E815" s="723"/>
      <c r="F815" s="642"/>
      <c r="G815" s="348"/>
      <c r="H815" s="354"/>
      <c r="I815" s="354"/>
      <c r="J815" s="354"/>
      <c r="K815" s="354"/>
      <c r="M815" s="195"/>
      <c r="N815" s="195"/>
      <c r="P815" s="657"/>
      <c r="Q815" s="195"/>
    </row>
    <row r="816" spans="1:17" ht="13">
      <c r="A816" s="342">
        <v>2</v>
      </c>
      <c r="B816" s="195"/>
      <c r="C816" s="581" t="s">
        <v>248</v>
      </c>
      <c r="D816" s="719" t="s">
        <v>1003</v>
      </c>
      <c r="E816" s="708" t="str">
        <f>'FR-16(7)(v)-1 Functional'!$E$816</f>
        <v>RB29</v>
      </c>
      <c r="F816" s="642">
        <v>1</v>
      </c>
      <c r="G816" s="354">
        <f>F816-SUM(H816:J816)</f>
        <v>0.85489999999999999</v>
      </c>
      <c r="H816" s="354">
        <f>ROUND(IF($F$296=0,0,H296/$F$296),5)</f>
        <v>0.13730000000000001</v>
      </c>
      <c r="I816" s="354">
        <f>ROUND(IF($F$296=0,0,I296/$F$296),5)</f>
        <v>4.6499999999999996E-3</v>
      </c>
      <c r="J816" s="354">
        <f>ROUND(IF($F$296=0,0,J296/$F$296),5)</f>
        <v>3.15E-3</v>
      </c>
      <c r="K816" s="354">
        <f>SUM(G816:J816)</f>
        <v>1</v>
      </c>
      <c r="L816" s="348">
        <f>F816-K816</f>
        <v>0</v>
      </c>
      <c r="M816" s="195"/>
      <c r="N816" s="195"/>
      <c r="P816" s="659">
        <f>K816</f>
        <v>1</v>
      </c>
      <c r="Q816" s="195"/>
    </row>
    <row r="817" spans="1:17" ht="13">
      <c r="A817" s="342">
        <v>3</v>
      </c>
      <c r="B817" s="195"/>
      <c r="C817" s="581" t="s">
        <v>249</v>
      </c>
      <c r="D817" s="719" t="s">
        <v>1003</v>
      </c>
      <c r="E817" s="708" t="str">
        <f>'FR-16(7)(v)-1 Functional'!$E$817</f>
        <v>RB99</v>
      </c>
      <c r="F817" s="642">
        <v>1</v>
      </c>
      <c r="G817" s="354">
        <f>F817-SUM(H817:J817)</f>
        <v>0.85491000000000006</v>
      </c>
      <c r="H817" s="354">
        <f>ROUND(IF($F$331=0,0,H331/$F$331),5)</f>
        <v>0.13729</v>
      </c>
      <c r="I817" s="354">
        <f>ROUND(IF($F$331=0,0,I331/$F$331),5)</f>
        <v>4.6499999999999996E-3</v>
      </c>
      <c r="J817" s="354">
        <f>ROUND(IF($F$331=0,0,J331/$F$331),5)</f>
        <v>3.15E-3</v>
      </c>
      <c r="K817" s="354">
        <f>SUM(G817:J817)</f>
        <v>1.0000000000000002</v>
      </c>
      <c r="L817" s="348">
        <f>F817-K817</f>
        <v>0</v>
      </c>
      <c r="M817" s="195"/>
      <c r="N817" s="195"/>
      <c r="P817" s="659">
        <f>K817</f>
        <v>1.0000000000000002</v>
      </c>
      <c r="Q817" s="195"/>
    </row>
    <row r="818" spans="1:17" ht="13">
      <c r="A818" s="342">
        <v>4</v>
      </c>
      <c r="B818" s="195"/>
      <c r="C818" s="581" t="s">
        <v>383</v>
      </c>
      <c r="D818" s="719" t="s">
        <v>1003</v>
      </c>
      <c r="E818" s="708" t="str">
        <f>'FR-16(7)(v)-1 Functional'!$E$818</f>
        <v>CW29</v>
      </c>
      <c r="F818" s="642">
        <v>0</v>
      </c>
      <c r="G818" s="354">
        <f>F818-SUM(H818:J818)</f>
        <v>0</v>
      </c>
      <c r="H818" s="643">
        <v>0</v>
      </c>
      <c r="I818" s="643">
        <v>0</v>
      </c>
      <c r="J818" s="643">
        <v>0</v>
      </c>
      <c r="K818" s="643">
        <v>0</v>
      </c>
      <c r="L818" s="348">
        <f>F818-K818</f>
        <v>0</v>
      </c>
      <c r="M818" s="195"/>
      <c r="N818" s="195"/>
      <c r="P818" s="659">
        <f>K818</f>
        <v>0</v>
      </c>
      <c r="Q818" s="195"/>
    </row>
    <row r="819" spans="1:17" ht="13">
      <c r="A819" s="342">
        <v>5</v>
      </c>
      <c r="B819" s="629"/>
      <c r="C819" s="366"/>
      <c r="D819" s="579"/>
      <c r="E819" s="743"/>
      <c r="F819" s="644"/>
      <c r="G819" s="631"/>
      <c r="H819" s="631"/>
      <c r="I819" s="631"/>
      <c r="J819" s="631"/>
      <c r="K819" s="631"/>
      <c r="L819" s="630"/>
      <c r="M819" s="366"/>
      <c r="N819" s="195"/>
      <c r="P819" s="657"/>
      <c r="Q819" s="366"/>
    </row>
    <row r="820" spans="1:17" ht="13">
      <c r="A820" s="342">
        <v>6</v>
      </c>
      <c r="B820" s="591" t="s">
        <v>1011</v>
      </c>
      <c r="C820" s="628"/>
      <c r="D820" s="713"/>
      <c r="E820" s="739"/>
      <c r="F820" s="645"/>
      <c r="G820" s="635"/>
      <c r="H820" s="635"/>
      <c r="I820" s="635"/>
      <c r="J820" s="635"/>
      <c r="K820" s="635"/>
      <c r="L820" s="635"/>
      <c r="M820" s="195"/>
      <c r="N820" s="195"/>
      <c r="P820" s="657"/>
      <c r="Q820" s="195"/>
    </row>
    <row r="821" spans="1:17" ht="13">
      <c r="A821" s="342">
        <v>7</v>
      </c>
      <c r="B821" s="195"/>
      <c r="C821" s="581" t="s">
        <v>1006</v>
      </c>
      <c r="D821" s="719" t="s">
        <v>1003</v>
      </c>
      <c r="E821" s="708" t="str">
        <f>'FR-16(7)(v)-1 Functional'!$E$821</f>
        <v>P349</v>
      </c>
      <c r="F821" s="1075">
        <v>0</v>
      </c>
      <c r="G821" s="1074">
        <f t="shared" ref="G821:G828" si="202">F821-SUM(H821:J821)</f>
        <v>0</v>
      </c>
      <c r="H821" s="1074">
        <f>ROUND(IF($F$350=0,0,H350/$F$350),5)</f>
        <v>0</v>
      </c>
      <c r="I821" s="1074">
        <f>ROUND(IF($F$350=0,0,I350/$F$350),5)</f>
        <v>0</v>
      </c>
      <c r="J821" s="1074">
        <f>ROUND(IF($F$350=0,0,J350/$F$350),5)</f>
        <v>0</v>
      </c>
      <c r="K821" s="1074">
        <f t="shared" ref="K821:K828" si="203">SUM(G821:J821)</f>
        <v>0</v>
      </c>
      <c r="L821" s="1074">
        <f t="shared" ref="L821:L828" si="204">F821-K821</f>
        <v>0</v>
      </c>
      <c r="M821" s="195"/>
      <c r="N821" s="195"/>
      <c r="P821" s="659">
        <f>K821</f>
        <v>0</v>
      </c>
      <c r="Q821" s="195"/>
    </row>
    <row r="822" spans="1:17" ht="13">
      <c r="A822" s="342">
        <v>8</v>
      </c>
      <c r="B822" s="195"/>
      <c r="C822" s="581" t="s">
        <v>264</v>
      </c>
      <c r="D822" s="719" t="s">
        <v>1003</v>
      </c>
      <c r="E822" s="708" t="str">
        <f>'FR-16(7)(v)-1 Functional'!$E$822</f>
        <v>P459</v>
      </c>
      <c r="F822" s="1075">
        <v>0</v>
      </c>
      <c r="G822" s="1074">
        <f t="shared" si="202"/>
        <v>0</v>
      </c>
      <c r="H822" s="1074">
        <f>ROUND(IF($F$360=0,0,H360/$F$360),5)</f>
        <v>0</v>
      </c>
      <c r="I822" s="1074">
        <f>ROUND(IF($F$360=0,0,I360/$F$360),5)</f>
        <v>0</v>
      </c>
      <c r="J822" s="1074">
        <f>ROUND(IF($F$360=0,0,J360/$F$360),5)</f>
        <v>0</v>
      </c>
      <c r="K822" s="1074">
        <f t="shared" si="203"/>
        <v>0</v>
      </c>
      <c r="L822" s="1074">
        <f t="shared" si="204"/>
        <v>0</v>
      </c>
      <c r="M822" s="195"/>
      <c r="N822" s="195"/>
      <c r="P822" s="659">
        <f>K822</f>
        <v>0</v>
      </c>
      <c r="Q822" s="195"/>
    </row>
    <row r="823" spans="1:17" ht="13">
      <c r="A823" s="342">
        <v>9</v>
      </c>
      <c r="B823" s="195"/>
      <c r="C823" s="581" t="s">
        <v>250</v>
      </c>
      <c r="D823" s="719" t="s">
        <v>1003</v>
      </c>
      <c r="E823" s="708" t="str">
        <f>'FR-16(7)(v)-1 Functional'!$E$823</f>
        <v>D349</v>
      </c>
      <c r="F823" s="642">
        <v>1</v>
      </c>
      <c r="G823" s="354">
        <f t="shared" si="202"/>
        <v>0.83474999999999999</v>
      </c>
      <c r="H823" s="354">
        <f>ROUND(IF($F$378=0,0,H378/$F$378),5)</f>
        <v>0.15371000000000001</v>
      </c>
      <c r="I823" s="354">
        <f>ROUND(IF($F$378=0,0,I378/$F$378),5)</f>
        <v>7.0200000000000002E-3</v>
      </c>
      <c r="J823" s="354">
        <f>ROUND(IF($F$378=0,0,J378/$F$378),5)</f>
        <v>4.5199999999999997E-3</v>
      </c>
      <c r="K823" s="354">
        <f t="shared" si="203"/>
        <v>1</v>
      </c>
      <c r="L823" s="348">
        <f t="shared" si="204"/>
        <v>0</v>
      </c>
      <c r="M823" s="195"/>
      <c r="N823" s="195"/>
      <c r="P823" s="659">
        <f>K823</f>
        <v>1</v>
      </c>
      <c r="Q823" s="195"/>
    </row>
    <row r="824" spans="1:17" ht="13">
      <c r="A824" s="342">
        <v>10</v>
      </c>
      <c r="B824" s="195"/>
      <c r="C824" s="581" t="s">
        <v>251</v>
      </c>
      <c r="D824" s="719" t="s">
        <v>1003</v>
      </c>
      <c r="E824" s="708" t="str">
        <f>'FR-16(7)(v)-1 Functional'!$E$824</f>
        <v>CA19</v>
      </c>
      <c r="F824" s="642">
        <v>1</v>
      </c>
      <c r="G824" s="354">
        <f t="shared" si="202"/>
        <v>0.92334000000000005</v>
      </c>
      <c r="H824" s="354">
        <f>ROUND(IF($F$389=0,0,H389/$F$389),5)</f>
        <v>7.5389999999999999E-2</v>
      </c>
      <c r="I824" s="354">
        <f>ROUND(IF($F$389=0,0,I389/$F$389),5)</f>
        <v>1.0499999999999999E-3</v>
      </c>
      <c r="J824" s="354">
        <f>ROUND(IF($F$389=0,0,J389/$F$389),5)</f>
        <v>2.2000000000000001E-4</v>
      </c>
      <c r="K824" s="354">
        <f t="shared" si="203"/>
        <v>1</v>
      </c>
      <c r="L824" s="348">
        <f t="shared" si="204"/>
        <v>0</v>
      </c>
      <c r="M824" s="195"/>
      <c r="N824" s="195"/>
      <c r="P824" s="659">
        <f>K824</f>
        <v>1</v>
      </c>
      <c r="Q824" s="195"/>
    </row>
    <row r="825" spans="1:17" ht="13">
      <c r="A825" s="342">
        <v>11</v>
      </c>
      <c r="B825" s="195"/>
      <c r="C825" s="581" t="s">
        <v>1009</v>
      </c>
      <c r="D825" s="719" t="s">
        <v>1003</v>
      </c>
      <c r="E825" s="708" t="str">
        <f>'FR-16(7)(v)-1 Functional'!$E$825</f>
        <v>CS19</v>
      </c>
      <c r="F825" s="642">
        <v>1</v>
      </c>
      <c r="G825" s="354">
        <f t="shared" si="202"/>
        <v>0.92334000000000005</v>
      </c>
      <c r="H825" s="354">
        <f>ROUND(IF($F$403=0,0,H403/$F$403),5)</f>
        <v>7.5389999999999999E-2</v>
      </c>
      <c r="I825" s="354">
        <f>ROUND(IF($F$403=0,0,I403/$F$403),5)</f>
        <v>1.0499999999999999E-3</v>
      </c>
      <c r="J825" s="354">
        <f>ROUND(IF($F$403=0,0,J403/$F$403),5)</f>
        <v>2.2000000000000001E-4</v>
      </c>
      <c r="K825" s="354">
        <f t="shared" si="203"/>
        <v>1</v>
      </c>
      <c r="L825" s="348">
        <f t="shared" si="204"/>
        <v>0</v>
      </c>
      <c r="M825" s="195"/>
      <c r="N825" s="195"/>
      <c r="P825" s="659"/>
      <c r="Q825" s="195"/>
    </row>
    <row r="826" spans="1:17" ht="13">
      <c r="A826" s="342">
        <v>12</v>
      </c>
      <c r="B826" s="195"/>
      <c r="C826" s="581" t="s">
        <v>252</v>
      </c>
      <c r="D826" s="719" t="s">
        <v>1003</v>
      </c>
      <c r="E826" s="708" t="str">
        <f>'FR-16(7)(v)-1 Functional'!$E$826</f>
        <v>SE19</v>
      </c>
      <c r="F826" s="642">
        <v>1</v>
      </c>
      <c r="G826" s="354">
        <f t="shared" si="202"/>
        <v>0.92313999999999996</v>
      </c>
      <c r="H826" s="354">
        <f>ROUND(IF($F$407=0,0,H407/$F$407),5)</f>
        <v>7.5329999999999994E-2</v>
      </c>
      <c r="I826" s="354">
        <f>ROUND(IF($F$407=0,0,I407/$F$407),5)</f>
        <v>1.15E-3</v>
      </c>
      <c r="J826" s="354">
        <f>ROUND(IF($F$407=0,0,J407/$F$407),5)</f>
        <v>3.8000000000000002E-4</v>
      </c>
      <c r="K826" s="354">
        <f t="shared" si="203"/>
        <v>1</v>
      </c>
      <c r="L826" s="348">
        <f t="shared" si="204"/>
        <v>0</v>
      </c>
      <c r="M826" s="195"/>
      <c r="N826" s="195"/>
      <c r="P826" s="659">
        <f>K826</f>
        <v>1</v>
      </c>
      <c r="Q826" s="195"/>
    </row>
    <row r="827" spans="1:17" ht="13">
      <c r="A827" s="342">
        <v>13</v>
      </c>
      <c r="B827" s="195"/>
      <c r="C827" s="581" t="s">
        <v>253</v>
      </c>
      <c r="D827" s="719" t="s">
        <v>1003</v>
      </c>
      <c r="E827" s="708" t="str">
        <f>'FR-16(7)(v)-1 Functional'!$E$827</f>
        <v>AG39</v>
      </c>
      <c r="F827" s="642">
        <v>1</v>
      </c>
      <c r="G827" s="354">
        <f t="shared" si="202"/>
        <v>0.89412999999999998</v>
      </c>
      <c r="H827" s="354">
        <f>ROUND(IF($F$416=0,0,H416/$F$416),5)</f>
        <v>0.10120999999999999</v>
      </c>
      <c r="I827" s="354">
        <f>ROUND(IF($F$416=0,0,I416/$F$416),5)</f>
        <v>3.0200000000000001E-3</v>
      </c>
      <c r="J827" s="354">
        <f>ROUND(IF($F$416=0,0,J416/$F$416),5)</f>
        <v>1.64E-3</v>
      </c>
      <c r="K827" s="354">
        <f t="shared" si="203"/>
        <v>1</v>
      </c>
      <c r="L827" s="348">
        <f t="shared" si="204"/>
        <v>0</v>
      </c>
      <c r="M827" s="195"/>
      <c r="N827" s="195"/>
      <c r="P827" s="659">
        <f>K827</f>
        <v>1</v>
      </c>
      <c r="Q827" s="195"/>
    </row>
    <row r="828" spans="1:17" ht="13">
      <c r="A828" s="342">
        <v>14</v>
      </c>
      <c r="B828" s="195"/>
      <c r="C828" s="581" t="s">
        <v>254</v>
      </c>
      <c r="D828" s="719" t="s">
        <v>1003</v>
      </c>
      <c r="E828" s="708" t="str">
        <f>'FR-16(7)(v)-1 Functional'!$E$828</f>
        <v>OM39</v>
      </c>
      <c r="F828" s="642">
        <v>1</v>
      </c>
      <c r="G828" s="354">
        <f t="shared" si="202"/>
        <v>0.89878000000000002</v>
      </c>
      <c r="H828" s="354">
        <f>ROUND(IF($F$433=0,0,H433/$F$433),5)</f>
        <v>9.7089999999999996E-2</v>
      </c>
      <c r="I828" s="354">
        <f>ROUND(IF($F$433=0,0,I433/$F$433),5)</f>
        <v>2.7100000000000002E-3</v>
      </c>
      <c r="J828" s="354">
        <f>ROUND(IF($F$433=0,0,J433/$F$433),5)</f>
        <v>1.42E-3</v>
      </c>
      <c r="K828" s="354">
        <f t="shared" si="203"/>
        <v>1</v>
      </c>
      <c r="L828" s="348">
        <f t="shared" si="204"/>
        <v>0</v>
      </c>
      <c r="M828" s="195"/>
      <c r="N828" s="195"/>
      <c r="P828" s="659">
        <f>K828</f>
        <v>1</v>
      </c>
      <c r="Q828" s="195"/>
    </row>
    <row r="829" spans="1:17" ht="13">
      <c r="A829" s="342">
        <v>15</v>
      </c>
      <c r="B829" s="195"/>
      <c r="C829" s="195"/>
      <c r="D829" s="342"/>
      <c r="E829" s="723"/>
      <c r="F829" s="642"/>
      <c r="G829" s="354"/>
      <c r="H829" s="354"/>
      <c r="I829" s="354"/>
      <c r="J829" s="354"/>
      <c r="K829" s="354"/>
      <c r="L829" s="348"/>
      <c r="M829" s="195"/>
      <c r="N829" s="195"/>
      <c r="P829" s="657"/>
      <c r="Q829" s="195"/>
    </row>
    <row r="830" spans="1:17" ht="13">
      <c r="A830" s="342">
        <v>16</v>
      </c>
      <c r="B830" s="581" t="s">
        <v>97</v>
      </c>
      <c r="C830" s="195"/>
      <c r="D830" s="342"/>
      <c r="E830" s="723"/>
      <c r="F830" s="642"/>
      <c r="G830" s="354"/>
      <c r="H830" s="354"/>
      <c r="I830" s="354"/>
      <c r="J830" s="354"/>
      <c r="K830" s="354"/>
      <c r="L830" s="348"/>
      <c r="M830" s="195"/>
      <c r="N830" s="195"/>
      <c r="P830" s="657"/>
      <c r="Q830" s="195"/>
    </row>
    <row r="831" spans="1:17" ht="13">
      <c r="A831" s="342">
        <v>17</v>
      </c>
      <c r="B831" s="195"/>
      <c r="C831" s="581" t="s">
        <v>255</v>
      </c>
      <c r="D831" s="719" t="s">
        <v>1003</v>
      </c>
      <c r="E831" s="708" t="str">
        <f>'FR-16(7)(v)-1 Functional'!$E$831</f>
        <v>P489</v>
      </c>
      <c r="F831" s="1075">
        <v>0</v>
      </c>
      <c r="G831" s="1074">
        <f>F831-SUM(H831:J831)</f>
        <v>0</v>
      </c>
      <c r="H831" s="1074">
        <f>ROUND(IF($F$447=0,0,H447/$F$447),5)</f>
        <v>0</v>
      </c>
      <c r="I831" s="1074">
        <f>ROUND(IF($F$447=0,0,I447/$F$447),5)</f>
        <v>0</v>
      </c>
      <c r="J831" s="1074">
        <f>ROUND(IF($F$447=0,0,J447/$F$447),5)</f>
        <v>0</v>
      </c>
      <c r="K831" s="1074">
        <f>SUM(G831:J831)</f>
        <v>0</v>
      </c>
      <c r="L831" s="1074">
        <f>F831-K831</f>
        <v>0</v>
      </c>
      <c r="M831" s="195"/>
      <c r="N831" s="195"/>
      <c r="P831" s="659">
        <f>K831</f>
        <v>0</v>
      </c>
      <c r="Q831" s="195"/>
    </row>
    <row r="832" spans="1:17" ht="13">
      <c r="A832" s="342">
        <v>18</v>
      </c>
      <c r="B832" s="195"/>
      <c r="C832" s="581" t="s">
        <v>256</v>
      </c>
      <c r="D832" s="719" t="s">
        <v>1003</v>
      </c>
      <c r="E832" s="708" t="str">
        <f>'FR-16(7)(v)-1 Functional'!$E$832</f>
        <v>D489</v>
      </c>
      <c r="F832" s="642">
        <v>1</v>
      </c>
      <c r="G832" s="354">
        <f>F832-SUM(H832:J832)</f>
        <v>0.85340000000000005</v>
      </c>
      <c r="H832" s="354">
        <f>ROUND(IF($F$454=0,0,H454/$F$454),5)</f>
        <v>0.13868</v>
      </c>
      <c r="I832" s="354">
        <f>ROUND(IF($F$454=0,0,I454/$F$454),5)</f>
        <v>4.7099999999999998E-3</v>
      </c>
      <c r="J832" s="354">
        <f>ROUND(IF($F$454=0,0,J454/$F$454),5)</f>
        <v>3.2100000000000002E-3</v>
      </c>
      <c r="K832" s="354">
        <f>SUM(G832:J832)</f>
        <v>1</v>
      </c>
      <c r="L832" s="348">
        <f>F832-K832</f>
        <v>0</v>
      </c>
      <c r="M832" s="195"/>
      <c r="N832" s="195"/>
      <c r="P832" s="659">
        <f>K832</f>
        <v>1</v>
      </c>
      <c r="Q832" s="195"/>
    </row>
    <row r="833" spans="1:17" ht="13">
      <c r="A833" s="342">
        <v>19</v>
      </c>
      <c r="B833" s="195"/>
      <c r="C833" s="581" t="s">
        <v>257</v>
      </c>
      <c r="D833" s="719" t="s">
        <v>1003</v>
      </c>
      <c r="E833" s="708" t="str">
        <f>'FR-16(7)(v)-1 Functional'!$E$833</f>
        <v>G489</v>
      </c>
      <c r="F833" s="642">
        <v>1</v>
      </c>
      <c r="G833" s="354">
        <f>F833-SUM(H833:J833)</f>
        <v>0.89412999999999998</v>
      </c>
      <c r="H833" s="354">
        <f>ROUND(IF($F$458=0,0,H458/$F$458),5)</f>
        <v>0.10120999999999999</v>
      </c>
      <c r="I833" s="354">
        <f>ROUND(IF($F$458=0,0,I458/$F$458),5)</f>
        <v>3.0200000000000001E-3</v>
      </c>
      <c r="J833" s="354">
        <f>ROUND(IF($F$458=0,0,J458/$F$458),5)</f>
        <v>1.64E-3</v>
      </c>
      <c r="K833" s="354">
        <f>SUM(G833:J833)</f>
        <v>1</v>
      </c>
      <c r="L833" s="348">
        <f>F833-K833</f>
        <v>0</v>
      </c>
      <c r="M833" s="195"/>
      <c r="N833" s="195"/>
      <c r="P833" s="659">
        <f>K833</f>
        <v>1</v>
      </c>
      <c r="Q833" s="195"/>
    </row>
    <row r="834" spans="1:17" ht="13">
      <c r="A834" s="342">
        <v>20</v>
      </c>
      <c r="B834" s="195"/>
      <c r="C834" s="581" t="s">
        <v>258</v>
      </c>
      <c r="D834" s="719" t="s">
        <v>1003</v>
      </c>
      <c r="E834" s="708" t="str">
        <f>'FR-16(7)(v)-1 Functional'!$E$834</f>
        <v>C489</v>
      </c>
      <c r="F834" s="642">
        <v>1</v>
      </c>
      <c r="G834" s="354">
        <f>F834-SUM(H834:J834)</f>
        <v>0.89415</v>
      </c>
      <c r="H834" s="354">
        <f>ROUND(IF($F$462=0,0,H462/$F$462),5)</f>
        <v>0.10122</v>
      </c>
      <c r="I834" s="354">
        <f>ROUND(IF($F$462=0,0,I462/$F$462),5)</f>
        <v>3.0100000000000001E-3</v>
      </c>
      <c r="J834" s="354">
        <f>ROUND(IF($F$462=0,0,J462/$F$462),5)</f>
        <v>1.6199999999999999E-3</v>
      </c>
      <c r="K834" s="354">
        <f>SUM(G834:J834)</f>
        <v>0.99999999999999989</v>
      </c>
      <c r="L834" s="348">
        <f>F834-K834</f>
        <v>0</v>
      </c>
      <c r="M834" s="195"/>
      <c r="N834" s="195"/>
      <c r="P834" s="659">
        <f>K834</f>
        <v>0.99999999999999989</v>
      </c>
      <c r="Q834" s="195"/>
    </row>
    <row r="835" spans="1:17" ht="13">
      <c r="A835" s="342">
        <v>21</v>
      </c>
      <c r="B835" s="195"/>
      <c r="C835" s="581" t="s">
        <v>259</v>
      </c>
      <c r="D835" s="719" t="s">
        <v>1003</v>
      </c>
      <c r="E835" s="708" t="str">
        <f>'FR-16(7)(v)-1 Functional'!$E$835</f>
        <v>DE49</v>
      </c>
      <c r="F835" s="642">
        <v>1</v>
      </c>
      <c r="G835" s="354">
        <f>F835-SUM(H835:J835)</f>
        <v>0.86104999999999998</v>
      </c>
      <c r="H835" s="354">
        <f>ROUND(IF($F$465=0,0,H465/$F$465),5)</f>
        <v>0.13164000000000001</v>
      </c>
      <c r="I835" s="354">
        <f>ROUND(IF($F$465=0,0,I465/$F$465),5)</f>
        <v>4.3899999999999998E-3</v>
      </c>
      <c r="J835" s="354">
        <f>ROUND(IF($F$465=0,0,J465/$F$465),5)</f>
        <v>2.9199999999999999E-3</v>
      </c>
      <c r="K835" s="354">
        <f>SUM(G835:J835)</f>
        <v>1</v>
      </c>
      <c r="L835" s="348">
        <f>F835-K835</f>
        <v>0</v>
      </c>
      <c r="M835" s="195"/>
      <c r="N835" s="195"/>
      <c r="P835" s="659">
        <f>K835</f>
        <v>1</v>
      </c>
      <c r="Q835" s="195"/>
    </row>
    <row r="836" spans="1:17" ht="13">
      <c r="A836" s="342">
        <v>22</v>
      </c>
      <c r="B836" s="195"/>
      <c r="C836" s="195"/>
      <c r="D836" s="342"/>
      <c r="E836" s="723"/>
      <c r="F836" s="646"/>
      <c r="G836" s="351"/>
      <c r="H836" s="351"/>
      <c r="J836" s="351"/>
      <c r="K836" s="351"/>
      <c r="M836" s="195"/>
      <c r="N836" s="195"/>
      <c r="P836" s="657"/>
      <c r="Q836" s="195"/>
    </row>
    <row r="837" spans="1:17" ht="13">
      <c r="A837" s="342">
        <v>23</v>
      </c>
      <c r="B837" s="581" t="s">
        <v>62</v>
      </c>
      <c r="C837" s="195"/>
      <c r="D837" s="342"/>
      <c r="E837" s="723"/>
      <c r="F837" s="487"/>
      <c r="G837" s="351"/>
      <c r="H837" s="351"/>
      <c r="J837" s="351"/>
      <c r="K837" s="347"/>
      <c r="L837" s="345"/>
      <c r="M837" s="195"/>
      <c r="N837" s="195"/>
      <c r="P837" s="657"/>
      <c r="Q837" s="195"/>
    </row>
    <row r="838" spans="1:17" ht="13">
      <c r="A838" s="342">
        <v>24</v>
      </c>
      <c r="B838" s="195"/>
      <c r="C838" s="581" t="s">
        <v>260</v>
      </c>
      <c r="D838" s="719" t="s">
        <v>1003</v>
      </c>
      <c r="E838" s="708" t="str">
        <f>'FR-16(7)(v)-1 Functional'!$E$838</f>
        <v>L529</v>
      </c>
      <c r="F838" s="642">
        <v>1</v>
      </c>
      <c r="G838" s="354">
        <f>F838-SUM(H838:J838)</f>
        <v>0.85482000000000002</v>
      </c>
      <c r="H838" s="354">
        <f>ROUND(IF($F$481=0,0,$H$481/$F$481),5)</f>
        <v>0.13738</v>
      </c>
      <c r="I838" s="354">
        <f>ROUND(IF($F$481=0,0,$I$481/$F$481),5)</f>
        <v>4.6499999999999996E-3</v>
      </c>
      <c r="J838" s="354">
        <f>ROUND(IF($F$481=0,0,$J$481/$F$481),5)</f>
        <v>3.15E-3</v>
      </c>
      <c r="K838" s="354">
        <f>SUM(G838:J838)</f>
        <v>1</v>
      </c>
      <c r="L838" s="348">
        <f>F838-K838</f>
        <v>0</v>
      </c>
      <c r="M838" s="195"/>
      <c r="N838" s="195"/>
      <c r="P838" s="659">
        <f>K838</f>
        <v>1</v>
      </c>
      <c r="Q838" s="195"/>
    </row>
    <row r="839" spans="1:17" ht="13">
      <c r="A839" s="342">
        <v>25</v>
      </c>
      <c r="B839" s="195"/>
      <c r="C839" s="581" t="s">
        <v>261</v>
      </c>
      <c r="D839" s="719" t="s">
        <v>1003</v>
      </c>
      <c r="E839" s="708" t="str">
        <f>'FR-16(7)(v)-1 Functional'!$E$839</f>
        <v>L589</v>
      </c>
      <c r="F839" s="642">
        <v>1</v>
      </c>
      <c r="G839" s="354">
        <f>F839-SUM(H839:J839)</f>
        <v>0.89412999999999998</v>
      </c>
      <c r="H839" s="354">
        <f>ROUND(IF($F$488=0,0,$H$488/$F$488),5)</f>
        <v>0.10120999999999999</v>
      </c>
      <c r="I839" s="354">
        <f>ROUND(IF($F$488=0,0,$I$488/$F$488),5)</f>
        <v>3.0200000000000001E-3</v>
      </c>
      <c r="J839" s="354">
        <f>ROUND(IF($F$488=0,0,$J$488/$F$488),5)</f>
        <v>1.64E-3</v>
      </c>
      <c r="K839" s="354">
        <f>SUM(G839:J839)</f>
        <v>1</v>
      </c>
      <c r="L839" s="348">
        <f>F839-K839</f>
        <v>0</v>
      </c>
      <c r="M839" s="195"/>
      <c r="N839" s="195"/>
      <c r="P839" s="659">
        <f>K839</f>
        <v>1</v>
      </c>
      <c r="Q839" s="195"/>
    </row>
    <row r="840" spans="1:17" ht="13">
      <c r="A840" s="342">
        <v>26</v>
      </c>
      <c r="B840" s="195"/>
      <c r="C840" s="581" t="s">
        <v>262</v>
      </c>
      <c r="D840" s="719" t="s">
        <v>1003</v>
      </c>
      <c r="E840" s="708" t="str">
        <f>'FR-16(7)(v)-1 Functional'!$E$840</f>
        <v>L599</v>
      </c>
      <c r="F840" s="642">
        <v>1</v>
      </c>
      <c r="G840" s="354">
        <f>F840-SUM(H840:J840)</f>
        <v>0.86031000000000002</v>
      </c>
      <c r="H840" s="354">
        <f>ROUND(IF($F$500=0,0,$H$500/$F$500),5)</f>
        <v>0.13233</v>
      </c>
      <c r="I840" s="354">
        <f>ROUND(IF($F$500=0,0,$I$500/$F$500),5)</f>
        <v>4.4200000000000003E-3</v>
      </c>
      <c r="J840" s="354">
        <f>ROUND(IF($F$500=0,0,$J$500/$F$500),5)</f>
        <v>2.9399999999999999E-3</v>
      </c>
      <c r="K840" s="354">
        <f>SUM(G840:J840)</f>
        <v>1</v>
      </c>
      <c r="L840" s="348">
        <f>F840-K840</f>
        <v>0</v>
      </c>
      <c r="M840" s="195"/>
      <c r="N840" s="195"/>
      <c r="P840" s="659">
        <f>K840</f>
        <v>1</v>
      </c>
      <c r="Q840" s="195"/>
    </row>
    <row r="841" spans="1:17" ht="13">
      <c r="A841" s="342">
        <v>27</v>
      </c>
      <c r="B841" s="195"/>
      <c r="C841" s="581" t="s">
        <v>263</v>
      </c>
      <c r="D841" s="719" t="s">
        <v>1003</v>
      </c>
      <c r="E841" s="708" t="str">
        <f>'FR-16(7)(v)-1 Functional'!$E$841</f>
        <v>OP69</v>
      </c>
      <c r="F841" s="642">
        <v>1</v>
      </c>
      <c r="G841" s="354">
        <f>F841-SUM(H841:J841)</f>
        <v>0.88063000000000002</v>
      </c>
      <c r="H841" s="354">
        <f>ROUND(IF($F$501=0,0,$H$501/$F$501),5)</f>
        <v>0.11371000000000001</v>
      </c>
      <c r="I841" s="354">
        <f>ROUND(IF($F$501=0,0,$I$501/$F$501),5)</f>
        <v>3.5200000000000001E-3</v>
      </c>
      <c r="J841" s="354">
        <f>ROUND(IF($F$501=0,0,$J$501/$F$501),5)</f>
        <v>2.14E-3</v>
      </c>
      <c r="K841" s="354">
        <f>SUM(G841:J841)</f>
        <v>1</v>
      </c>
      <c r="L841" s="348">
        <f>F841-K841</f>
        <v>0</v>
      </c>
      <c r="M841" s="195"/>
      <c r="N841" s="195"/>
      <c r="P841" s="659">
        <f>K841</f>
        <v>1</v>
      </c>
      <c r="Q841" s="195"/>
    </row>
    <row r="842" spans="1:17" ht="13">
      <c r="A842" s="342">
        <v>28</v>
      </c>
      <c r="B842" s="195"/>
      <c r="C842" s="195"/>
      <c r="D842" s="342"/>
      <c r="E842" s="723"/>
      <c r="F842" s="642"/>
      <c r="G842" s="354"/>
      <c r="H842" s="354"/>
      <c r="I842" s="354"/>
      <c r="J842" s="354"/>
      <c r="K842" s="354"/>
      <c r="L842" s="348"/>
      <c r="M842" s="195"/>
      <c r="N842" s="195"/>
      <c r="P842" s="657"/>
      <c r="Q842" s="195"/>
    </row>
    <row r="843" spans="1:17" ht="13">
      <c r="A843" s="342">
        <v>29</v>
      </c>
      <c r="B843" s="581" t="s">
        <v>1157</v>
      </c>
      <c r="C843" s="195"/>
      <c r="D843" s="342"/>
      <c r="E843" s="723"/>
      <c r="F843" s="642"/>
      <c r="G843" s="354"/>
      <c r="H843" s="354"/>
      <c r="I843" s="354"/>
      <c r="J843" s="354"/>
      <c r="K843" s="354"/>
      <c r="L843" s="348"/>
      <c r="M843" s="195"/>
      <c r="N843" s="195"/>
      <c r="P843" s="657"/>
      <c r="Q843" s="195"/>
    </row>
    <row r="844" spans="1:17" ht="13">
      <c r="A844" s="342">
        <v>30</v>
      </c>
      <c r="B844" s="195"/>
      <c r="C844" s="581" t="s">
        <v>1031</v>
      </c>
      <c r="D844" s="719" t="s">
        <v>1003</v>
      </c>
      <c r="E844" s="708" t="str">
        <f>'FR-16(7)(v)-1 Functional'!$E$844</f>
        <v>CS09</v>
      </c>
      <c r="F844" s="642">
        <v>1</v>
      </c>
      <c r="G844" s="354">
        <f>F844-SUM(H844:J844)</f>
        <v>0.86922999999999995</v>
      </c>
      <c r="H844" s="354">
        <f>ROUND(IF($F$647=0,0,H647/$F$647),5)</f>
        <v>0.12416000000000001</v>
      </c>
      <c r="I844" s="354">
        <f>ROUND(IF($F$647=0,0,I647/$F$647),5)</f>
        <v>4.0200000000000001E-3</v>
      </c>
      <c r="J844" s="354">
        <f>ROUND(IF($F$647=0,0,J647/$F$647),5)</f>
        <v>2.5899999999999999E-3</v>
      </c>
      <c r="K844" s="354">
        <f>SUM(G844:J844)</f>
        <v>1</v>
      </c>
      <c r="L844" s="348">
        <f>F844-K844</f>
        <v>0</v>
      </c>
      <c r="M844" s="195"/>
      <c r="N844" s="195"/>
      <c r="P844" s="659">
        <f>K844</f>
        <v>1</v>
      </c>
      <c r="Q844" s="195"/>
    </row>
    <row r="845" spans="1:17" ht="13">
      <c r="H845" s="351"/>
      <c r="J845" s="351"/>
      <c r="K845" s="351"/>
      <c r="N845" s="195"/>
    </row>
    <row r="846" spans="1:17" ht="13">
      <c r="A846" s="195"/>
      <c r="B846" s="195"/>
      <c r="C846" s="195"/>
      <c r="D846" s="342"/>
      <c r="F846" s="636"/>
      <c r="G846" s="636"/>
      <c r="H846" s="637"/>
      <c r="I846" s="637"/>
      <c r="J846" s="637"/>
      <c r="K846" s="637"/>
      <c r="L846" s="636"/>
      <c r="M846" s="195"/>
      <c r="N846" s="195"/>
      <c r="O846" s="195"/>
      <c r="P846" s="195"/>
      <c r="Q846" s="195"/>
    </row>
    <row r="847" spans="1:17">
      <c r="H847" s="351"/>
      <c r="J847" s="351"/>
      <c r="K847" s="351"/>
    </row>
    <row r="848" spans="1:17" ht="13">
      <c r="A848" s="342">
        <v>1</v>
      </c>
      <c r="B848" s="611" t="s">
        <v>91</v>
      </c>
      <c r="C848" s="612"/>
      <c r="D848" s="721"/>
      <c r="E848" s="714"/>
      <c r="F848" s="348"/>
      <c r="G848" s="345"/>
      <c r="H848" s="347"/>
      <c r="I848" s="347"/>
      <c r="J848" s="347"/>
      <c r="K848" s="354"/>
      <c r="L848" s="348"/>
    </row>
    <row r="849" spans="1:12" ht="13">
      <c r="A849" s="342">
        <v>2</v>
      </c>
      <c r="B849" s="613"/>
      <c r="C849" s="614" t="s">
        <v>227</v>
      </c>
      <c r="D849" s="722"/>
      <c r="E849" s="708" t="str">
        <f>'FR-16(7)(v)-1 Functional'!$E$849</f>
        <v>K597</v>
      </c>
      <c r="F849" s="471">
        <f>ROUND(0.06889*0,0)</f>
        <v>0</v>
      </c>
      <c r="G849" s="609">
        <f>ROUND($F$849*VLOOKUP($E$849,ALLOCTABLE_DISTR_CUSTOMER,$G$10,FALSE),0)</f>
        <v>0</v>
      </c>
      <c r="H849" s="609">
        <f>ROUND($F$849*VLOOKUP($E$849,ALLOCTABLE_DISTR_CUSTOMER,$H$10,FALSE),0)</f>
        <v>0</v>
      </c>
      <c r="I849" s="609">
        <f t="shared" ref="I849:I854" si="205">ROUND(F849*VLOOKUP(E849,ALLOCTABLE_DISTR_CUSTOMER,$I$10,FALSE),0)</f>
        <v>0</v>
      </c>
      <c r="J849" s="609">
        <f>ROUND($F$849*VLOOKUP($E$849,ALLOCTABLE_DISTR_CUSTOMER,$J$10,FALSE),0)</f>
        <v>0</v>
      </c>
      <c r="K849" s="347">
        <f t="shared" ref="K849:K854" si="206">SUM(G849:J849)</f>
        <v>0</v>
      </c>
      <c r="L849" s="345">
        <f t="shared" ref="L849:L854" si="207">F849-K849</f>
        <v>0</v>
      </c>
    </row>
    <row r="850" spans="1:12" ht="13">
      <c r="A850" s="342">
        <v>3</v>
      </c>
      <c r="B850" s="612"/>
      <c r="C850" s="291" t="s">
        <v>228</v>
      </c>
      <c r="D850" s="716"/>
      <c r="E850" s="708" t="str">
        <f>'FR-16(7)(v)-1 Functional'!$E$850</f>
        <v>AG39</v>
      </c>
      <c r="F850" s="488">
        <v>0</v>
      </c>
      <c r="G850" s="609">
        <f>ROUND($F$850*VLOOKUP($E$850,ALLOCTABLE_DISTR_CUSTOMER,$G$10,FALSE),0)</f>
        <v>0</v>
      </c>
      <c r="H850" s="609">
        <f>ROUND($F$850*VLOOKUP($E$850,ALLOCTABLE_DISTR_CUSTOMER,$H$10,FALSE),0)</f>
        <v>0</v>
      </c>
      <c r="I850" s="609">
        <f t="shared" si="205"/>
        <v>0</v>
      </c>
      <c r="J850" s="609">
        <f>ROUND($F$850*VLOOKUP($E$850,ALLOCTABLE_DISTR_CUSTOMER,$J$10,FALSE),0)</f>
        <v>0</v>
      </c>
      <c r="K850" s="347">
        <f t="shared" si="206"/>
        <v>0</v>
      </c>
      <c r="L850" s="345">
        <f t="shared" si="207"/>
        <v>0</v>
      </c>
    </row>
    <row r="851" spans="1:12" ht="13">
      <c r="A851" s="342">
        <v>4</v>
      </c>
      <c r="B851" s="612"/>
      <c r="C851" s="291" t="s">
        <v>427</v>
      </c>
      <c r="D851" s="716"/>
      <c r="E851" s="708" t="str">
        <f>'FR-16(7)(v)-1 Functional'!$E$851</f>
        <v>AG39</v>
      </c>
      <c r="F851" s="488">
        <v>0</v>
      </c>
      <c r="G851" s="609">
        <f>ROUND($F$851*VLOOKUP($E$851,ALLOCTABLE_DISTR_CUSTOMER,$G$10,FALSE),0)</f>
        <v>0</v>
      </c>
      <c r="H851" s="609">
        <f>ROUND($F$851*VLOOKUP($E$851,ALLOCTABLE_DISTR_CUSTOMER,$H$10,FALSE),0)</f>
        <v>0</v>
      </c>
      <c r="I851" s="609">
        <f t="shared" si="205"/>
        <v>0</v>
      </c>
      <c r="J851" s="609">
        <f>ROUND($F$851*VLOOKUP($E$851,ALLOCTABLE_DISTR_CUSTOMER,$J$10,FALSE),0)</f>
        <v>0</v>
      </c>
      <c r="K851" s="347">
        <f t="shared" si="206"/>
        <v>0</v>
      </c>
      <c r="L851" s="345">
        <f t="shared" si="207"/>
        <v>0</v>
      </c>
    </row>
    <row r="852" spans="1:12" ht="13">
      <c r="A852" s="342">
        <v>5</v>
      </c>
      <c r="B852" s="612"/>
      <c r="C852" s="291" t="s">
        <v>422</v>
      </c>
      <c r="D852" s="716" t="s">
        <v>343</v>
      </c>
      <c r="E852" s="708" t="str">
        <f>'FR-16(7)(v)-1 Functional'!$E$852</f>
        <v>K301</v>
      </c>
      <c r="F852" s="488">
        <v>0</v>
      </c>
      <c r="G852" s="609">
        <f>ROUND($F$852*VLOOKUP($E$852,ALLOCTABLE_DISTR_CUSTOMER,$G$10,FALSE),0)</f>
        <v>0</v>
      </c>
      <c r="H852" s="609">
        <f>ROUND($F$852*VLOOKUP($E$852,ALLOCTABLE_DISTR_CUSTOMER,$H$10,FALSE),0)</f>
        <v>0</v>
      </c>
      <c r="I852" s="609">
        <f t="shared" si="205"/>
        <v>0</v>
      </c>
      <c r="J852" s="609">
        <f>ROUND($F$852*VLOOKUP($E$852,ALLOCTABLE_DISTR_CUSTOMER,$J$10,FALSE),0)</f>
        <v>0</v>
      </c>
      <c r="K852" s="347">
        <f t="shared" si="206"/>
        <v>0</v>
      </c>
      <c r="L852" s="345">
        <f t="shared" si="207"/>
        <v>0</v>
      </c>
    </row>
    <row r="853" spans="1:12" ht="13">
      <c r="A853" s="342">
        <v>6</v>
      </c>
      <c r="B853" s="612"/>
      <c r="C853" s="291" t="s">
        <v>408</v>
      </c>
      <c r="D853" s="716"/>
      <c r="E853" s="708" t="str">
        <f>'FR-16(7)(v)-1 Functional'!$E$853</f>
        <v>K415</v>
      </c>
      <c r="F853" s="488">
        <v>0</v>
      </c>
      <c r="G853" s="609">
        <f>ROUND($F$853*VLOOKUP($E$853,ALLOCTABLE_DISTR_CUSTOMER,$G$10,FALSE),0)</f>
        <v>0</v>
      </c>
      <c r="H853" s="609">
        <f>ROUND($F$853*VLOOKUP($E$853,ALLOCTABLE_DISTR_CUSTOMER,$H$10,FALSE),0)</f>
        <v>0</v>
      </c>
      <c r="I853" s="609">
        <f t="shared" si="205"/>
        <v>0</v>
      </c>
      <c r="J853" s="609">
        <f>ROUND($F$853*VLOOKUP($E$853,ALLOCTABLE_DISTR_CUSTOMER,$J$10,FALSE),0)</f>
        <v>0</v>
      </c>
      <c r="K853" s="347">
        <f t="shared" si="206"/>
        <v>0</v>
      </c>
      <c r="L853" s="345">
        <f t="shared" si="207"/>
        <v>0</v>
      </c>
    </row>
    <row r="854" spans="1:12" ht="13">
      <c r="A854" s="342">
        <v>7</v>
      </c>
      <c r="B854" s="612"/>
      <c r="C854" s="291" t="s">
        <v>423</v>
      </c>
      <c r="D854" s="716" t="s">
        <v>343</v>
      </c>
      <c r="E854" s="708" t="str">
        <f>'FR-16(7)(v)-1 Functional'!$E$854</f>
        <v>NP29</v>
      </c>
      <c r="F854" s="488">
        <v>0</v>
      </c>
      <c r="G854" s="609">
        <f>ROUND($F$854*VLOOKUP($E$854,ALLOCTABLE_DISTR_CUSTOMER,$G$10,FALSE),0)</f>
        <v>0</v>
      </c>
      <c r="H854" s="609">
        <f>ROUND($F$854*VLOOKUP($E$854,ALLOCTABLE_DISTR_CUSTOMER,$H$10,FALSE),0)</f>
        <v>0</v>
      </c>
      <c r="I854" s="609">
        <f t="shared" si="205"/>
        <v>0</v>
      </c>
      <c r="J854" s="609">
        <f>ROUND($F$854*VLOOKUP($E$854,ALLOCTABLE_DISTR_CUSTOMER,$J$10,FALSE),0)</f>
        <v>0</v>
      </c>
      <c r="K854" s="347">
        <f t="shared" si="206"/>
        <v>0</v>
      </c>
      <c r="L854" s="345">
        <f t="shared" si="207"/>
        <v>0</v>
      </c>
    </row>
    <row r="855" spans="1:12" ht="13">
      <c r="A855" s="342">
        <v>8</v>
      </c>
      <c r="C855" s="482" t="s">
        <v>229</v>
      </c>
      <c r="D855" s="583" t="s">
        <v>285</v>
      </c>
      <c r="E855" s="331"/>
      <c r="F855" s="346">
        <f t="shared" ref="F855:L855" si="208">SUM(F848:F854)</f>
        <v>0</v>
      </c>
      <c r="G855" s="346">
        <f t="shared" si="208"/>
        <v>0</v>
      </c>
      <c r="H855" s="346">
        <f t="shared" si="208"/>
        <v>0</v>
      </c>
      <c r="I855" s="346">
        <f t="shared" si="208"/>
        <v>0</v>
      </c>
      <c r="J855" s="346">
        <f t="shared" si="208"/>
        <v>0</v>
      </c>
      <c r="K855" s="346">
        <f t="shared" si="208"/>
        <v>0</v>
      </c>
      <c r="L855" s="346">
        <f t="shared" si="208"/>
        <v>0</v>
      </c>
    </row>
    <row r="861" spans="1:12" ht="20">
      <c r="A861" s="1184" t="s">
        <v>1193</v>
      </c>
    </row>
    <row r="862" spans="1:12" ht="13">
      <c r="F862" s="342" t="s">
        <v>229</v>
      </c>
    </row>
    <row r="863" spans="1:12" ht="13">
      <c r="A863" s="342" t="s">
        <v>907</v>
      </c>
      <c r="B863" s="195"/>
      <c r="C863" s="195"/>
      <c r="D863" s="342"/>
      <c r="E863" s="195"/>
      <c r="F863" s="342" t="str">
        <f>$F$8</f>
        <v>DISTRIBUTION</v>
      </c>
      <c r="G863" s="352" t="str">
        <f>$G$8</f>
        <v>RS</v>
      </c>
      <c r="H863" s="352" t="str">
        <f>$H$8</f>
        <v>GS</v>
      </c>
      <c r="I863" s="342" t="str">
        <f>$I$8</f>
        <v>FT-L</v>
      </c>
      <c r="J863" s="342" t="str">
        <f>$J$8</f>
        <v>INTERUPT</v>
      </c>
      <c r="K863" s="342" t="s">
        <v>229</v>
      </c>
      <c r="L863" s="342" t="s">
        <v>342</v>
      </c>
    </row>
    <row r="864" spans="1:12" ht="13">
      <c r="A864" s="344" t="s">
        <v>908</v>
      </c>
      <c r="B864" s="343" t="s">
        <v>99</v>
      </c>
      <c r="C864" s="343"/>
      <c r="D864" s="344" t="s">
        <v>337</v>
      </c>
      <c r="E864" s="343"/>
      <c r="F864" s="342" t="str">
        <f>$F$9</f>
        <v>CUSTOMER</v>
      </c>
      <c r="G864" s="353" t="str">
        <f>$G$9</f>
        <v>RESIDENTIAL</v>
      </c>
      <c r="H864" s="353" t="str">
        <f>$H$9</f>
        <v>GEN SERV</v>
      </c>
      <c r="I864" s="344" t="str">
        <f>$I$9</f>
        <v>FIRM TRANS</v>
      </c>
      <c r="J864" s="344" t="str">
        <f>$J$9</f>
        <v>TRANS</v>
      </c>
      <c r="K864" s="344" t="s">
        <v>341</v>
      </c>
      <c r="L864" s="344" t="s">
        <v>340</v>
      </c>
    </row>
    <row r="865" spans="1:12" ht="13">
      <c r="B865" s="195"/>
      <c r="C865" s="572" t="s">
        <v>4</v>
      </c>
      <c r="D865" s="342"/>
      <c r="E865" s="195"/>
      <c r="F865" s="755"/>
      <c r="G865" s="627">
        <f>$G$10</f>
        <v>3</v>
      </c>
      <c r="H865" s="627">
        <f>$H$10</f>
        <v>4</v>
      </c>
      <c r="I865" s="627">
        <f>$I$10</f>
        <v>5</v>
      </c>
      <c r="J865" s="627">
        <f>$J$10</f>
        <v>6</v>
      </c>
    </row>
    <row r="866" spans="1:12" ht="13">
      <c r="A866" s="331">
        <v>1</v>
      </c>
      <c r="B866" s="330" t="s">
        <v>100</v>
      </c>
      <c r="D866" s="342"/>
      <c r="E866" s="195"/>
      <c r="I866" s="330"/>
    </row>
    <row r="867" spans="1:12" ht="13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L867" si="209">F647</f>
        <v>32380784</v>
      </c>
      <c r="G867" s="345">
        <f t="shared" si="209"/>
        <v>28146650</v>
      </c>
      <c r="H867" s="345">
        <f t="shared" si="209"/>
        <v>4020265</v>
      </c>
      <c r="I867" s="345">
        <f t="shared" si="209"/>
        <v>130120</v>
      </c>
      <c r="J867" s="345">
        <f t="shared" si="209"/>
        <v>83750</v>
      </c>
      <c r="K867" s="345">
        <f t="shared" si="209"/>
        <v>32380785</v>
      </c>
      <c r="L867" s="345">
        <f t="shared" si="209"/>
        <v>1</v>
      </c>
    </row>
    <row r="868" spans="1:12" ht="13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150489</v>
      </c>
      <c r="G868" s="345">
        <f>$G$630</f>
        <v>136076</v>
      </c>
      <c r="H868" s="345">
        <f>$H$630</f>
        <v>13888</v>
      </c>
      <c r="I868" s="345">
        <f>$I$630</f>
        <v>352</v>
      </c>
      <c r="J868" s="345">
        <f>$J$630</f>
        <v>173</v>
      </c>
      <c r="K868" s="345">
        <f>$K$630</f>
        <v>150489</v>
      </c>
      <c r="L868" s="345">
        <f>$L$630</f>
        <v>0</v>
      </c>
    </row>
    <row r="869" spans="1:12" ht="13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L869" si="210">SUM(F866:F868)</f>
        <v>32531273</v>
      </c>
      <c r="G869" s="346">
        <f t="shared" si="210"/>
        <v>28282726</v>
      </c>
      <c r="H869" s="346">
        <f t="shared" si="210"/>
        <v>4034153</v>
      </c>
      <c r="I869" s="346">
        <f t="shared" si="210"/>
        <v>130472</v>
      </c>
      <c r="J869" s="346">
        <f t="shared" si="210"/>
        <v>83923</v>
      </c>
      <c r="K869" s="346">
        <f t="shared" si="210"/>
        <v>32531274</v>
      </c>
      <c r="L869" s="346">
        <f t="shared" si="210"/>
        <v>1</v>
      </c>
    </row>
    <row r="870" spans="1:12" ht="13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-18452784</v>
      </c>
      <c r="G870" s="345">
        <f>-$G$501</f>
        <v>-16250122</v>
      </c>
      <c r="H870" s="345">
        <f>-$H$501</f>
        <v>-2098303</v>
      </c>
      <c r="I870" s="345">
        <f>-$I$501</f>
        <v>-64917</v>
      </c>
      <c r="J870" s="345">
        <f>-$J$501</f>
        <v>-39442</v>
      </c>
      <c r="K870" s="506">
        <f>-$K$501</f>
        <v>-18452784</v>
      </c>
      <c r="L870" s="345">
        <f>-$L$501</f>
        <v>0</v>
      </c>
    </row>
    <row r="871" spans="1:12" ht="13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>-ROUND(F694*F867,0)</f>
        <v>0</v>
      </c>
      <c r="G871" s="345">
        <f>F871-SUM(H871:J871)</f>
        <v>0</v>
      </c>
      <c r="H871" s="345">
        <f>-ROUND(H694*H867,0)</f>
        <v>0</v>
      </c>
      <c r="I871" s="345">
        <f>-ROUND(I694*I867,0)</f>
        <v>0</v>
      </c>
      <c r="J871" s="345">
        <f>-ROUND(J694*J867,0)</f>
        <v>0</v>
      </c>
      <c r="K871" s="504">
        <f>SUM(G871:J871)</f>
        <v>0</v>
      </c>
      <c r="L871" s="345">
        <f>-ROUND('FR-16(7)(v)-1 Functional'!K694*L867,0)</f>
        <v>0</v>
      </c>
    </row>
    <row r="872" spans="1:12" ht="13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>SUM(F869:F871)</f>
        <v>14078489</v>
      </c>
      <c r="G872" s="346">
        <f>SUM(G869:G871)</f>
        <v>12032604</v>
      </c>
      <c r="H872" s="346">
        <f>SUM(H869:H871)</f>
        <v>1935850</v>
      </c>
      <c r="I872" s="346">
        <f>SUM(I869:I871)</f>
        <v>65555</v>
      </c>
      <c r="J872" s="346">
        <f>SUM(J869:J871)</f>
        <v>44481</v>
      </c>
      <c r="K872" s="346">
        <f>SUM(G872:J872)</f>
        <v>14078490</v>
      </c>
      <c r="L872" s="346">
        <f>SUM(L869:L871)</f>
        <v>1</v>
      </c>
    </row>
    <row r="873" spans="1:12" ht="13">
      <c r="A873" s="331">
        <v>8</v>
      </c>
      <c r="D873" s="342"/>
      <c r="E873" s="195"/>
      <c r="I873" s="330"/>
    </row>
    <row r="874" spans="1:12" ht="13">
      <c r="A874" s="331">
        <v>9</v>
      </c>
      <c r="B874" s="330" t="s">
        <v>101</v>
      </c>
      <c r="D874" s="342"/>
      <c r="E874" s="195"/>
      <c r="I874" s="330"/>
    </row>
    <row r="875" spans="1:12" ht="13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-3216474</v>
      </c>
      <c r="G875" s="345">
        <f>-$G$516</f>
        <v>-2749795</v>
      </c>
      <c r="H875" s="345">
        <f>-$H$516</f>
        <v>-441590</v>
      </c>
      <c r="I875" s="345">
        <f>-$I$516</f>
        <v>-14957</v>
      </c>
      <c r="J875" s="345">
        <f>-$J$516</f>
        <v>-10132</v>
      </c>
      <c r="K875" s="345">
        <f>-$K$516</f>
        <v>-3216474</v>
      </c>
      <c r="L875" s="345">
        <f>-$L$516</f>
        <v>0</v>
      </c>
    </row>
    <row r="876" spans="1:12" ht="13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-2682788</v>
      </c>
      <c r="G876" s="345">
        <f>-$G$522</f>
        <v>-2307054</v>
      </c>
      <c r="H876" s="345">
        <f>-$H$522</f>
        <v>-355886</v>
      </c>
      <c r="I876" s="345">
        <f>-$I$522</f>
        <v>-11900</v>
      </c>
      <c r="J876" s="345">
        <f>-$J$522</f>
        <v>-7948</v>
      </c>
      <c r="K876" s="345">
        <f>-$K$522</f>
        <v>-2682788</v>
      </c>
      <c r="L876" s="345">
        <f>-$L$522</f>
        <v>0</v>
      </c>
    </row>
    <row r="877" spans="1:12" ht="13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>SUM(F874:F876)+F872</f>
        <v>8179227</v>
      </c>
      <c r="G877" s="346">
        <f>SUM(G874:G876)+G872</f>
        <v>6975755</v>
      </c>
      <c r="H877" s="346">
        <f>SUM(H874:H876)+H872</f>
        <v>1138374</v>
      </c>
      <c r="I877" s="346">
        <f>SUM(I874:I876)+I872</f>
        <v>38698</v>
      </c>
      <c r="J877" s="346">
        <f>SUM(J874:J876)+J872</f>
        <v>26401</v>
      </c>
      <c r="K877" s="346">
        <f>SUM(G877:J877)</f>
        <v>8179228</v>
      </c>
      <c r="L877" s="346">
        <f>SUM(L874:L876)+L872</f>
        <v>1</v>
      </c>
    </row>
    <row r="878" spans="1:12" ht="13">
      <c r="A878" s="331">
        <v>13</v>
      </c>
      <c r="D878" s="342"/>
      <c r="E878" s="195"/>
      <c r="I878" s="330"/>
    </row>
    <row r="879" spans="1:12" ht="13">
      <c r="A879" s="331">
        <v>14</v>
      </c>
      <c r="B879" s="330" t="s">
        <v>99</v>
      </c>
      <c r="D879" s="342"/>
      <c r="E879" s="195"/>
      <c r="I879" s="330"/>
    </row>
    <row r="880" spans="1:12" ht="13">
      <c r="A880" s="331">
        <v>15</v>
      </c>
      <c r="B880" s="330" t="s">
        <v>74</v>
      </c>
      <c r="D880" s="342"/>
      <c r="E880" s="195"/>
      <c r="I880" s="330"/>
    </row>
    <row r="881" spans="1:12" ht="13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L881" si="211">F877</f>
        <v>8179227</v>
      </c>
      <c r="G881" s="345">
        <f t="shared" si="211"/>
        <v>6975755</v>
      </c>
      <c r="H881" s="345">
        <f t="shared" si="211"/>
        <v>1138374</v>
      </c>
      <c r="I881" s="345">
        <f t="shared" si="211"/>
        <v>38698</v>
      </c>
      <c r="J881" s="345">
        <f t="shared" si="211"/>
        <v>26401</v>
      </c>
      <c r="K881" s="345">
        <f t="shared" si="211"/>
        <v>8179228</v>
      </c>
      <c r="L881" s="345">
        <f t="shared" si="211"/>
        <v>1</v>
      </c>
    </row>
    <row r="882" spans="1:12" ht="13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L882" si="212">SUM(F881:F881)</f>
        <v>8179227</v>
      </c>
      <c r="G882" s="345">
        <f t="shared" si="212"/>
        <v>6975755</v>
      </c>
      <c r="H882" s="345">
        <f t="shared" si="212"/>
        <v>1138374</v>
      </c>
      <c r="I882" s="345">
        <f t="shared" si="212"/>
        <v>38698</v>
      </c>
      <c r="J882" s="345">
        <f t="shared" si="212"/>
        <v>26401</v>
      </c>
      <c r="K882" s="345">
        <f t="shared" si="212"/>
        <v>8179228</v>
      </c>
      <c r="L882" s="345">
        <f t="shared" si="212"/>
        <v>1</v>
      </c>
    </row>
    <row r="883" spans="1:12" ht="13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348">
        <f>G692</f>
        <v>0.21</v>
      </c>
      <c r="H883" s="348">
        <f>H692</f>
        <v>0.21</v>
      </c>
      <c r="I883" s="348">
        <f>I692</f>
        <v>0.21</v>
      </c>
      <c r="J883" s="348">
        <f>J692</f>
        <v>0.21</v>
      </c>
      <c r="K883" s="348"/>
      <c r="L883" s="348">
        <f>'FR-16(7)(v)-1 Functional'!K692</f>
        <v>0.21</v>
      </c>
    </row>
    <row r="884" spans="1:12" ht="13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>ROUND(F883*F882,0)</f>
        <v>1717638</v>
      </c>
      <c r="G884" s="345">
        <f>ROUND(G883*G882,0)</f>
        <v>1464909</v>
      </c>
      <c r="H884" s="345">
        <f>ROUND(H883*H882,0)</f>
        <v>239059</v>
      </c>
      <c r="I884" s="345">
        <f>ROUND(I883*I882,0)</f>
        <v>8127</v>
      </c>
      <c r="J884" s="345">
        <f>ROUND(J883*J882,0)</f>
        <v>5544</v>
      </c>
      <c r="K884" s="345">
        <f>SUM(G884:J884)</f>
        <v>1717639</v>
      </c>
      <c r="L884" s="345">
        <f>ROUND(L883*L882,0)</f>
        <v>0</v>
      </c>
    </row>
    <row r="885" spans="1:12" ht="13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-17508</v>
      </c>
      <c r="G885" s="345">
        <f>$G$532</f>
        <v>-14646</v>
      </c>
      <c r="H885" s="345">
        <f>$H$532</f>
        <v>-2666</v>
      </c>
      <c r="I885" s="345">
        <f>$I$532</f>
        <v>-120</v>
      </c>
      <c r="J885" s="345">
        <f>$J$532</f>
        <v>-76</v>
      </c>
      <c r="K885" s="345">
        <f>$K$532</f>
        <v>-17508</v>
      </c>
      <c r="L885" s="345">
        <f>$L$532</f>
        <v>0</v>
      </c>
    </row>
    <row r="886" spans="1:12" ht="13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-22864</v>
      </c>
      <c r="G886" s="345">
        <f>-$G$536</f>
        <v>-19545</v>
      </c>
      <c r="H886" s="345">
        <f>-$H$536</f>
        <v>-3141</v>
      </c>
      <c r="I886" s="345">
        <f>-$I$536</f>
        <v>-106</v>
      </c>
      <c r="J886" s="345">
        <f>-$J$536</f>
        <v>-72</v>
      </c>
      <c r="K886" s="345">
        <f>-$K$536</f>
        <v>-22864</v>
      </c>
      <c r="L886" s="345">
        <f>-$L$536</f>
        <v>0</v>
      </c>
    </row>
    <row r="887" spans="1:12" ht="13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L887" si="213">SUM(F884:F886)</f>
        <v>1677266</v>
      </c>
      <c r="G887" s="346">
        <f t="shared" si="213"/>
        <v>1430718</v>
      </c>
      <c r="H887" s="346">
        <f t="shared" si="213"/>
        <v>233252</v>
      </c>
      <c r="I887" s="346">
        <f t="shared" si="213"/>
        <v>7901</v>
      </c>
      <c r="J887" s="346">
        <f t="shared" si="213"/>
        <v>5396</v>
      </c>
      <c r="K887" s="346">
        <f t="shared" si="213"/>
        <v>1677267</v>
      </c>
      <c r="L887" s="346">
        <f t="shared" si="213"/>
        <v>0</v>
      </c>
    </row>
    <row r="888" spans="1:12" ht="13">
      <c r="A888" s="331">
        <v>23</v>
      </c>
      <c r="D888" s="342"/>
      <c r="E888" s="195"/>
      <c r="I888" s="330"/>
    </row>
    <row r="889" spans="1:12" ht="13">
      <c r="A889" s="331">
        <v>24</v>
      </c>
      <c r="B889" s="330" t="s">
        <v>75</v>
      </c>
      <c r="D889" s="342"/>
      <c r="E889" s="195"/>
      <c r="I889" s="330"/>
    </row>
    <row r="890" spans="1:12" ht="13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L890" si="214">F884</f>
        <v>1717638</v>
      </c>
      <c r="G890" s="345">
        <f t="shared" si="214"/>
        <v>1464909</v>
      </c>
      <c r="H890" s="345">
        <f t="shared" si="214"/>
        <v>239059</v>
      </c>
      <c r="I890" s="345">
        <f t="shared" si="214"/>
        <v>8127</v>
      </c>
      <c r="J890" s="345">
        <f t="shared" si="214"/>
        <v>5544</v>
      </c>
      <c r="K890" s="345">
        <f t="shared" si="214"/>
        <v>1717639</v>
      </c>
      <c r="L890" s="345">
        <f t="shared" si="214"/>
        <v>0</v>
      </c>
    </row>
    <row r="891" spans="1:12" ht="13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620">
        <f>-$G$540</f>
        <v>0</v>
      </c>
      <c r="H891" s="620">
        <f>-$H$540</f>
        <v>0</v>
      </c>
      <c r="I891" s="345">
        <f>-$I$540</f>
        <v>0</v>
      </c>
      <c r="J891" s="345">
        <f>-$J$540</f>
        <v>0</v>
      </c>
      <c r="K891" s="345">
        <f>-$K$540</f>
        <v>0</v>
      </c>
      <c r="L891" s="345">
        <f>-$L$540</f>
        <v>0</v>
      </c>
    </row>
    <row r="892" spans="1:12" ht="13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L892" si="215">SUM(F889:F891)</f>
        <v>1717638</v>
      </c>
      <c r="G892" s="346">
        <f t="shared" si="215"/>
        <v>1464909</v>
      </c>
      <c r="H892" s="346">
        <f t="shared" si="215"/>
        <v>239059</v>
      </c>
      <c r="I892" s="346">
        <f t="shared" si="215"/>
        <v>8127</v>
      </c>
      <c r="J892" s="346">
        <f t="shared" si="215"/>
        <v>5544</v>
      </c>
      <c r="K892" s="346">
        <f t="shared" si="215"/>
        <v>1717639</v>
      </c>
      <c r="L892" s="346">
        <f t="shared" si="215"/>
        <v>0</v>
      </c>
    </row>
    <row r="893" spans="1:12" ht="13">
      <c r="A893" s="331">
        <v>28</v>
      </c>
      <c r="D893" s="342"/>
      <c r="E893" s="195"/>
      <c r="I893" s="330"/>
    </row>
    <row r="894" spans="1:12" ht="13">
      <c r="A894" s="331">
        <v>29</v>
      </c>
      <c r="B894" s="330" t="s">
        <v>40</v>
      </c>
      <c r="D894" s="342"/>
      <c r="E894" s="195"/>
      <c r="I894" s="330"/>
    </row>
    <row r="895" spans="1:12" ht="13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L895" si="216">F872</f>
        <v>14078489</v>
      </c>
      <c r="G895" s="345">
        <f t="shared" si="216"/>
        <v>12032604</v>
      </c>
      <c r="H895" s="345">
        <f t="shared" si="216"/>
        <v>1935850</v>
      </c>
      <c r="I895" s="345">
        <f t="shared" si="216"/>
        <v>65555</v>
      </c>
      <c r="J895" s="345">
        <f t="shared" si="216"/>
        <v>44481</v>
      </c>
      <c r="K895" s="345">
        <f t="shared" si="216"/>
        <v>14078490</v>
      </c>
      <c r="L895" s="345">
        <f t="shared" si="216"/>
        <v>1</v>
      </c>
    </row>
    <row r="896" spans="1:12" ht="13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L896" si="217">-F887</f>
        <v>-1677266</v>
      </c>
      <c r="G896" s="345">
        <f t="shared" si="217"/>
        <v>-1430718</v>
      </c>
      <c r="H896" s="345">
        <f t="shared" si="217"/>
        <v>-233252</v>
      </c>
      <c r="I896" s="345">
        <f t="shared" si="217"/>
        <v>-7901</v>
      </c>
      <c r="J896" s="345">
        <f t="shared" si="217"/>
        <v>-5396</v>
      </c>
      <c r="K896" s="345">
        <f t="shared" si="217"/>
        <v>-1677267</v>
      </c>
      <c r="L896" s="345">
        <f t="shared" si="217"/>
        <v>0</v>
      </c>
    </row>
    <row r="897" spans="1:14" ht="13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L897" si="218">SUM(F894:F896)</f>
        <v>12401223</v>
      </c>
      <c r="G897" s="346">
        <f t="shared" si="218"/>
        <v>10601886</v>
      </c>
      <c r="H897" s="346">
        <f t="shared" si="218"/>
        <v>1702598</v>
      </c>
      <c r="I897" s="346">
        <f t="shared" si="218"/>
        <v>57654</v>
      </c>
      <c r="J897" s="346">
        <f t="shared" si="218"/>
        <v>39085</v>
      </c>
      <c r="K897" s="346">
        <f t="shared" si="218"/>
        <v>12401223</v>
      </c>
      <c r="L897" s="346">
        <f t="shared" si="218"/>
        <v>1</v>
      </c>
    </row>
    <row r="898" spans="1:14" ht="13">
      <c r="A898" s="331">
        <v>33</v>
      </c>
      <c r="D898" s="342"/>
      <c r="E898" s="195"/>
      <c r="I898" s="330"/>
    </row>
    <row r="899" spans="1:14" ht="13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L899" si="219">IF(F331=0,0,ROUND(F897/F331,5))</f>
        <v>7.0889999999999995E-2</v>
      </c>
      <c r="G899" s="348">
        <f t="shared" si="219"/>
        <v>7.0889999999999995E-2</v>
      </c>
      <c r="H899" s="348">
        <f t="shared" si="219"/>
        <v>7.0889999999999995E-2</v>
      </c>
      <c r="I899" s="348">
        <f t="shared" si="219"/>
        <v>7.0889999999999995E-2</v>
      </c>
      <c r="J899" s="348">
        <f t="shared" si="219"/>
        <v>7.0889999999999995E-2</v>
      </c>
      <c r="K899" s="348">
        <f t="shared" si="219"/>
        <v>7.0889999999999995E-2</v>
      </c>
      <c r="L899" s="348">
        <f t="shared" si="219"/>
        <v>0</v>
      </c>
    </row>
    <row r="900" spans="1:14" ht="13">
      <c r="N900" s="195"/>
    </row>
  </sheetData>
  <conditionalFormatting sqref="P708:P742 P744:P762 P766:P778 P780:P844">
    <cfRule type="cellIs" dxfId="1" priority="1" operator="notEqual">
      <formula>1</formula>
    </cfRule>
  </conditionalFormatting>
  <pageMargins left="1" right="1" top="1" bottom="1" header="1" footer="0.5"/>
  <pageSetup scale="64" orientation="landscape" blackAndWhite="1" r:id="rId1"/>
  <headerFooter alignWithMargins="0"/>
  <rowBreaks count="16" manualBreakCount="16">
    <brk id="44" max="11" man="1"/>
    <brk id="101" max="11" man="1"/>
    <brk id="151" max="11" man="1"/>
    <brk id="191" max="11" man="1"/>
    <brk id="238" max="11" man="1"/>
    <brk id="283" max="11" man="1"/>
    <brk id="334" max="11" man="1"/>
    <brk id="389" max="11" man="1"/>
    <brk id="433" max="11" man="1"/>
    <brk id="465" max="11" man="1"/>
    <brk id="501" max="11" man="1"/>
    <brk id="565" max="11" man="1"/>
    <brk id="655" max="11" man="1"/>
    <brk id="694" max="11" man="1"/>
    <brk id="746" max="11" man="1"/>
    <brk id="803" max="11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1">
    <tabColor rgb="FF0070C0"/>
  </sheetPr>
  <dimension ref="A1:O899"/>
  <sheetViews>
    <sheetView zoomScale="80" zoomScaleNormal="80" zoomScaleSheetLayoutView="80" workbookViewId="0"/>
  </sheetViews>
  <sheetFormatPr defaultColWidth="8.765625" defaultRowHeight="12.5"/>
  <cols>
    <col min="1" max="1" width="6.4609375" style="330" customWidth="1"/>
    <col min="2" max="2" width="3.53515625" style="330" customWidth="1"/>
    <col min="3" max="3" width="35.765625" style="330" customWidth="1"/>
    <col min="4" max="4" width="9.765625" style="331" customWidth="1"/>
    <col min="5" max="5" width="8" style="330" customWidth="1"/>
    <col min="6" max="6" width="12.53515625" style="330" customWidth="1"/>
    <col min="7" max="8" width="11.765625" style="330" customWidth="1"/>
    <col min="9" max="9" width="13.765625" style="330" customWidth="1"/>
    <col min="10" max="11" width="11.765625" style="330" customWidth="1"/>
    <col min="12" max="16384" width="8.765625" style="330"/>
  </cols>
  <sheetData>
    <row r="1" spans="1:11" ht="13">
      <c r="A1" s="341" t="str">
        <f>co_name</f>
        <v>DUKE ENERGY KENTUCKY, INC.</v>
      </c>
      <c r="C1" s="195"/>
      <c r="D1" s="342"/>
      <c r="E1" s="195"/>
      <c r="F1" s="195"/>
      <c r="G1" s="195"/>
      <c r="H1" s="195"/>
      <c r="I1" s="195"/>
      <c r="J1" s="577" t="s">
        <v>1458</v>
      </c>
      <c r="K1" s="195"/>
    </row>
    <row r="2" spans="1:11" ht="13">
      <c r="A2" s="577" t="s">
        <v>1203</v>
      </c>
      <c r="C2" s="195"/>
      <c r="D2" s="342"/>
      <c r="E2" s="195"/>
      <c r="F2" s="195"/>
      <c r="G2" s="195"/>
      <c r="H2" s="195"/>
      <c r="I2" s="195"/>
      <c r="J2" s="577" t="s">
        <v>435</v>
      </c>
      <c r="K2" s="195"/>
    </row>
    <row r="3" spans="1:11" ht="13">
      <c r="A3" s="341" t="str">
        <f>case_name</f>
        <v>CASE NO: 2021-00190</v>
      </c>
      <c r="C3" s="195"/>
      <c r="D3" s="342"/>
      <c r="E3" s="195"/>
      <c r="F3" s="195"/>
      <c r="G3" s="195"/>
      <c r="H3" s="195"/>
      <c r="I3" s="195"/>
      <c r="J3" s="195" t="str">
        <f>Witness</f>
        <v>JAMES E. ZIOLKOWSKI</v>
      </c>
      <c r="K3" s="195"/>
    </row>
    <row r="4" spans="1:11" ht="13">
      <c r="A4" s="341" t="str">
        <f>data_filing</f>
        <v>DATA: 12 MONTH FORECASTED PERIOD</v>
      </c>
      <c r="C4" s="195"/>
      <c r="D4" s="342"/>
      <c r="E4" s="195"/>
      <c r="F4" s="195"/>
      <c r="G4" s="195"/>
      <c r="H4" s="195"/>
      <c r="I4" s="195"/>
      <c r="J4" s="195" t="str">
        <f>"PAGE "&amp;Pages2-14&amp;" OF "&amp;Pages2</f>
        <v>PAGE 1 OF 15</v>
      </c>
      <c r="K4" s="195"/>
    </row>
    <row r="5" spans="1:11" ht="13">
      <c r="A5" s="341" t="str">
        <f>type</f>
        <v xml:space="preserve">TYPE OF FILING: "X" ORIGINAL   UPDATED    REVISED  </v>
      </c>
      <c r="C5" s="195"/>
      <c r="D5" s="342"/>
      <c r="E5" s="195"/>
      <c r="F5" s="195"/>
      <c r="G5" s="195"/>
      <c r="H5" s="195"/>
      <c r="I5" s="195"/>
      <c r="J5" s="195"/>
      <c r="K5" s="195"/>
    </row>
    <row r="6" spans="1:11" ht="13">
      <c r="A6" s="341"/>
      <c r="C6" s="195"/>
      <c r="D6" s="342"/>
      <c r="E6" s="195"/>
      <c r="F6" s="195"/>
      <c r="G6" s="195"/>
      <c r="H6" s="195"/>
      <c r="I6" s="195"/>
      <c r="J6" s="195"/>
      <c r="K6" s="195"/>
    </row>
    <row r="7" spans="1:11" ht="13">
      <c r="A7" s="341"/>
      <c r="C7" s="195"/>
      <c r="D7" s="342"/>
      <c r="E7" s="195"/>
      <c r="F7" s="195"/>
      <c r="G7" s="195"/>
      <c r="H7" s="195"/>
      <c r="I7" s="195"/>
      <c r="J7" s="195"/>
      <c r="K7" s="195"/>
    </row>
    <row r="8" spans="1:11" ht="13">
      <c r="A8" s="342" t="s">
        <v>907</v>
      </c>
      <c r="B8" s="195"/>
      <c r="C8" s="195"/>
      <c r="D8" s="342"/>
      <c r="E8" s="195"/>
      <c r="F8" s="342" t="s">
        <v>229</v>
      </c>
      <c r="G8" s="539" t="s">
        <v>995</v>
      </c>
      <c r="H8" s="527"/>
      <c r="I8" s="528"/>
      <c r="J8" s="342" t="s">
        <v>229</v>
      </c>
      <c r="K8" s="342" t="s">
        <v>342</v>
      </c>
    </row>
    <row r="9" spans="1:11" ht="13">
      <c r="A9" s="344" t="s">
        <v>908</v>
      </c>
      <c r="B9" s="343" t="s">
        <v>102</v>
      </c>
      <c r="C9" s="343"/>
      <c r="D9" s="344" t="s">
        <v>337</v>
      </c>
      <c r="E9" s="343"/>
      <c r="F9" s="822" t="s">
        <v>970</v>
      </c>
      <c r="G9" s="540" t="s">
        <v>840</v>
      </c>
      <c r="H9" s="529" t="s">
        <v>841</v>
      </c>
      <c r="I9" s="530" t="s">
        <v>842</v>
      </c>
      <c r="J9" s="344" t="s">
        <v>341</v>
      </c>
      <c r="K9" s="344" t="s">
        <v>340</v>
      </c>
    </row>
    <row r="10" spans="1:11" ht="13">
      <c r="C10" s="572" t="s">
        <v>354</v>
      </c>
      <c r="D10" s="342"/>
      <c r="E10" s="195"/>
      <c r="G10" s="779">
        <v>3</v>
      </c>
      <c r="H10" s="780">
        <v>4</v>
      </c>
      <c r="I10" s="781">
        <v>5</v>
      </c>
    </row>
    <row r="11" spans="1:11" ht="13">
      <c r="A11" s="331">
        <v>1</v>
      </c>
      <c r="B11" s="330" t="s">
        <v>100</v>
      </c>
      <c r="D11" s="342"/>
      <c r="E11" s="195"/>
      <c r="G11" s="541"/>
      <c r="H11" s="531"/>
      <c r="I11" s="532"/>
    </row>
    <row r="12" spans="1:11" ht="13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 t="shared" ref="F12:K12" si="0">F101</f>
        <v>0</v>
      </c>
      <c r="G12" s="542">
        <f t="shared" si="0"/>
        <v>0</v>
      </c>
      <c r="H12" s="533">
        <f t="shared" si="0"/>
        <v>0</v>
      </c>
      <c r="I12" s="534">
        <f t="shared" si="0"/>
        <v>0</v>
      </c>
      <c r="J12" s="345">
        <f t="shared" si="0"/>
        <v>0</v>
      </c>
      <c r="K12" s="345">
        <f t="shared" si="0"/>
        <v>0</v>
      </c>
    </row>
    <row r="13" spans="1:11" ht="13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 t="shared" ref="F13:K13" si="1">-F151</f>
        <v>0</v>
      </c>
      <c r="G13" s="542">
        <f t="shared" si="1"/>
        <v>0</v>
      </c>
      <c r="H13" s="533">
        <f t="shared" si="1"/>
        <v>0</v>
      </c>
      <c r="I13" s="534">
        <f t="shared" si="1"/>
        <v>0</v>
      </c>
      <c r="J13" s="345">
        <f t="shared" si="1"/>
        <v>0</v>
      </c>
      <c r="K13" s="345">
        <f t="shared" si="1"/>
        <v>0</v>
      </c>
    </row>
    <row r="14" spans="1:11" ht="13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 t="shared" ref="F14:K14" si="2">F326</f>
        <v>0</v>
      </c>
      <c r="G14" s="542">
        <f t="shared" si="2"/>
        <v>0</v>
      </c>
      <c r="H14" s="533">
        <f t="shared" si="2"/>
        <v>0</v>
      </c>
      <c r="I14" s="534">
        <f t="shared" si="2"/>
        <v>0</v>
      </c>
      <c r="J14" s="345">
        <f t="shared" si="2"/>
        <v>0</v>
      </c>
      <c r="K14" s="345">
        <f t="shared" si="2"/>
        <v>0</v>
      </c>
    </row>
    <row r="15" spans="1:11" ht="13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3">SUM(F12:F14)</f>
        <v>0</v>
      </c>
      <c r="G15" s="543">
        <f t="shared" si="3"/>
        <v>0</v>
      </c>
      <c r="H15" s="535">
        <f t="shared" si="3"/>
        <v>0</v>
      </c>
      <c r="I15" s="536">
        <f t="shared" si="3"/>
        <v>0</v>
      </c>
      <c r="J15" s="346">
        <f t="shared" si="3"/>
        <v>0</v>
      </c>
      <c r="K15" s="346">
        <f t="shared" si="3"/>
        <v>0</v>
      </c>
    </row>
    <row r="16" spans="1:11" ht="13">
      <c r="A16" s="331">
        <v>6</v>
      </c>
      <c r="D16" s="342"/>
      <c r="E16" s="195"/>
      <c r="G16" s="541"/>
      <c r="H16" s="531"/>
      <c r="I16" s="532"/>
    </row>
    <row r="17" spans="1:11" ht="13">
      <c r="A17" s="331">
        <v>7</v>
      </c>
      <c r="B17" s="330" t="s">
        <v>98</v>
      </c>
      <c r="D17" s="342"/>
      <c r="E17" s="195"/>
      <c r="G17" s="541"/>
      <c r="H17" s="531"/>
      <c r="I17" s="532"/>
    </row>
    <row r="18" spans="1:11" ht="13">
      <c r="A18" s="331">
        <v>8</v>
      </c>
      <c r="C18" s="330" t="str">
        <f>'FR-16(7)(v)-1 Functional'!C18</f>
        <v>TOTAL O&amp;M EXPENSE</v>
      </c>
      <c r="D18" s="342"/>
      <c r="E18" s="195"/>
      <c r="F18" s="345">
        <f t="shared" ref="F18:K18" si="4">F433</f>
        <v>0</v>
      </c>
      <c r="G18" s="542">
        <f t="shared" si="4"/>
        <v>0</v>
      </c>
      <c r="H18" s="533">
        <f t="shared" si="4"/>
        <v>0</v>
      </c>
      <c r="I18" s="534">
        <f t="shared" si="4"/>
        <v>0</v>
      </c>
      <c r="J18" s="345">
        <f t="shared" si="4"/>
        <v>0</v>
      </c>
      <c r="K18" s="345">
        <f t="shared" si="4"/>
        <v>0</v>
      </c>
    </row>
    <row r="19" spans="1:11" ht="13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 t="shared" ref="F19:K19" si="5">F465</f>
        <v>0</v>
      </c>
      <c r="G19" s="542">
        <f t="shared" si="5"/>
        <v>0</v>
      </c>
      <c r="H19" s="533">
        <f t="shared" si="5"/>
        <v>0</v>
      </c>
      <c r="I19" s="534">
        <f t="shared" si="5"/>
        <v>0</v>
      </c>
      <c r="J19" s="345">
        <f t="shared" si="5"/>
        <v>0</v>
      </c>
      <c r="K19" s="345">
        <f t="shared" si="5"/>
        <v>0</v>
      </c>
    </row>
    <row r="20" spans="1:11" ht="13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0</v>
      </c>
      <c r="G20" s="542">
        <f>$G$495</f>
        <v>0</v>
      </c>
      <c r="H20" s="533">
        <f>$H$495</f>
        <v>0</v>
      </c>
      <c r="I20" s="534">
        <f>$I$495</f>
        <v>0</v>
      </c>
      <c r="J20" s="345">
        <f>$J$495</f>
        <v>0</v>
      </c>
      <c r="K20" s="345">
        <f>$K$495</f>
        <v>0</v>
      </c>
    </row>
    <row r="21" spans="1:11" ht="13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 t="shared" ref="F21:K21" si="6">SUM(F17:F20)</f>
        <v>0</v>
      </c>
      <c r="G21" s="543">
        <f t="shared" si="6"/>
        <v>0</v>
      </c>
      <c r="H21" s="535">
        <f t="shared" si="6"/>
        <v>0</v>
      </c>
      <c r="I21" s="536">
        <f t="shared" si="6"/>
        <v>0</v>
      </c>
      <c r="J21" s="346">
        <f t="shared" si="6"/>
        <v>0</v>
      </c>
      <c r="K21" s="346">
        <f t="shared" si="6"/>
        <v>0</v>
      </c>
    </row>
    <row r="22" spans="1:11" ht="13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>F557</f>
        <v>340676</v>
      </c>
      <c r="G22" s="542" t="e">
        <f>$G$557</f>
        <v>#N/A</v>
      </c>
      <c r="H22" s="533" t="e">
        <f>$H$557</f>
        <v>#N/A</v>
      </c>
      <c r="I22" s="534" t="e">
        <f>$I$557</f>
        <v>#N/A</v>
      </c>
      <c r="J22" s="345" t="e">
        <f>$J$557</f>
        <v>#N/A</v>
      </c>
      <c r="K22" s="345" t="e">
        <f>$K$557</f>
        <v>#N/A</v>
      </c>
    </row>
    <row r="23" spans="1:11" ht="13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>F605</f>
        <v>329254</v>
      </c>
      <c r="G23" s="542" t="e">
        <f>G605</f>
        <v>#N/A</v>
      </c>
      <c r="H23" s="533" t="e">
        <f>H605</f>
        <v>#N/A</v>
      </c>
      <c r="I23" s="534" t="e">
        <f>I605</f>
        <v>#N/A</v>
      </c>
      <c r="J23" s="345" t="e">
        <f>J605</f>
        <v>#N/A</v>
      </c>
      <c r="K23" s="345" t="e">
        <f t="shared" ref="K23" si="7">K646</f>
        <v>#N/A</v>
      </c>
    </row>
    <row r="24" spans="1:11" ht="13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 t="shared" ref="F24:K24" si="8">SUM(F21:F23)</f>
        <v>669930</v>
      </c>
      <c r="G24" s="543" t="e">
        <f t="shared" si="8"/>
        <v>#N/A</v>
      </c>
      <c r="H24" s="535" t="e">
        <f t="shared" si="8"/>
        <v>#N/A</v>
      </c>
      <c r="I24" s="536" t="e">
        <f t="shared" si="8"/>
        <v>#N/A</v>
      </c>
      <c r="J24" s="346" t="e">
        <f t="shared" si="8"/>
        <v>#N/A</v>
      </c>
      <c r="K24" s="346" t="e">
        <f t="shared" si="8"/>
        <v>#N/A</v>
      </c>
    </row>
    <row r="25" spans="1:11" ht="13">
      <c r="A25" s="331">
        <v>15</v>
      </c>
      <c r="D25" s="342"/>
      <c r="E25" s="195"/>
      <c r="G25" s="541"/>
      <c r="H25" s="531"/>
      <c r="I25" s="532"/>
    </row>
    <row r="26" spans="1:11" ht="13">
      <c r="A26" s="331">
        <v>16</v>
      </c>
      <c r="B26" s="330" t="s">
        <v>43</v>
      </c>
      <c r="D26" s="342"/>
      <c r="E26" s="195"/>
      <c r="F26" s="345">
        <f t="shared" ref="F26:K26" si="9">F334</f>
        <v>0</v>
      </c>
      <c r="G26" s="542">
        <f t="shared" si="9"/>
        <v>0</v>
      </c>
      <c r="H26" s="533">
        <f t="shared" si="9"/>
        <v>0</v>
      </c>
      <c r="I26" s="534">
        <f t="shared" si="9"/>
        <v>0</v>
      </c>
      <c r="J26" s="345">
        <f t="shared" si="9"/>
        <v>0</v>
      </c>
      <c r="K26" s="345">
        <f t="shared" si="9"/>
        <v>0</v>
      </c>
    </row>
    <row r="27" spans="1:11" ht="13">
      <c r="A27" s="331">
        <v>17</v>
      </c>
      <c r="B27" s="357" t="s">
        <v>103</v>
      </c>
      <c r="C27" s="357"/>
      <c r="D27" s="342"/>
      <c r="E27" s="195"/>
      <c r="F27" s="345">
        <f>-F630</f>
        <v>0</v>
      </c>
      <c r="G27" s="542">
        <f>-$G$630</f>
        <v>0</v>
      </c>
      <c r="H27" s="533">
        <f>-$H$630</f>
        <v>0</v>
      </c>
      <c r="I27" s="534">
        <f>-$I$630</f>
        <v>0</v>
      </c>
      <c r="J27" s="345">
        <f>-$J$630</f>
        <v>0</v>
      </c>
      <c r="K27" s="345">
        <f>-$K$630</f>
        <v>0</v>
      </c>
    </row>
    <row r="28" spans="1:11" ht="13">
      <c r="A28" s="1166">
        <v>18</v>
      </c>
      <c r="B28" s="351"/>
      <c r="C28" s="330" t="str">
        <f>'FR-16(7)(v)-1 Functional'!C28</f>
        <v>TOTAL GAS COST OF SERVICE</v>
      </c>
      <c r="D28" s="352"/>
      <c r="E28" s="340"/>
      <c r="F28" s="346">
        <f t="shared" ref="F28:K28" si="10">SUM(F24:F27)</f>
        <v>669930</v>
      </c>
      <c r="G28" s="1167" t="e">
        <f t="shared" si="10"/>
        <v>#N/A</v>
      </c>
      <c r="H28" s="1168" t="e">
        <f t="shared" si="10"/>
        <v>#N/A</v>
      </c>
      <c r="I28" s="1169" t="e">
        <f t="shared" si="10"/>
        <v>#N/A</v>
      </c>
      <c r="J28" s="346" t="e">
        <f t="shared" si="10"/>
        <v>#N/A</v>
      </c>
      <c r="K28" s="346" t="e">
        <f t="shared" si="10"/>
        <v>#N/A</v>
      </c>
    </row>
    <row r="29" spans="1:11" ht="13">
      <c r="A29" s="1104">
        <v>19</v>
      </c>
      <c r="B29" s="1105" t="s">
        <v>1184</v>
      </c>
      <c r="C29" s="1106"/>
      <c r="D29" s="1107">
        <f>1-'WP FR-16(7)(v)Rate Incr (40.0%)'!I11</f>
        <v>0</v>
      </c>
      <c r="E29" s="1108"/>
      <c r="F29" s="1109">
        <f ca="1">'WP FR-16(7)(v)Rate Incr (40.0%)'!R20</f>
        <v>0</v>
      </c>
      <c r="G29" s="1158">
        <v>0</v>
      </c>
      <c r="H29" s="1159">
        <v>0</v>
      </c>
      <c r="I29" s="1160">
        <v>0</v>
      </c>
      <c r="J29" s="1109"/>
      <c r="K29" s="1112">
        <f>$K$495</f>
        <v>0</v>
      </c>
    </row>
    <row r="30" spans="1:11" ht="13">
      <c r="A30" s="1104">
        <v>20</v>
      </c>
      <c r="B30" s="1113" t="s">
        <v>1185</v>
      </c>
      <c r="C30" s="1017"/>
      <c r="D30" s="1114"/>
      <c r="E30" s="1108"/>
      <c r="F30" s="1115">
        <f t="shared" ref="F30:K30" ca="1" si="11">F28+F29</f>
        <v>669930</v>
      </c>
      <c r="G30" s="1163" t="e">
        <f t="shared" si="11"/>
        <v>#N/A</v>
      </c>
      <c r="H30" s="1164" t="e">
        <f t="shared" si="11"/>
        <v>#N/A</v>
      </c>
      <c r="I30" s="1165" t="e">
        <f t="shared" si="11"/>
        <v>#N/A</v>
      </c>
      <c r="J30" s="1115" t="e">
        <f t="shared" si="11"/>
        <v>#N/A</v>
      </c>
      <c r="K30" s="1115" t="e">
        <f t="shared" si="11"/>
        <v>#N/A</v>
      </c>
    </row>
    <row r="31" spans="1:11" ht="13">
      <c r="A31" s="1104">
        <v>21</v>
      </c>
      <c r="B31" s="1120" t="s">
        <v>843</v>
      </c>
      <c r="C31" s="1106"/>
      <c r="D31" s="1114"/>
      <c r="E31" s="1108"/>
      <c r="F31" s="1119">
        <f>F745</f>
        <v>0</v>
      </c>
      <c r="G31" s="1116" t="e">
        <f ca="1">G745</f>
        <v>#N/A</v>
      </c>
      <c r="H31" s="1117" t="e">
        <f ca="1">H745</f>
        <v>#N/A</v>
      </c>
      <c r="I31" s="1118" t="e">
        <f ca="1">I745</f>
        <v>#N/A</v>
      </c>
      <c r="J31" s="1119" t="e">
        <f ca="1">K745</f>
        <v>#N/A</v>
      </c>
      <c r="K31" s="1119">
        <f>L745</f>
        <v>0</v>
      </c>
    </row>
    <row r="32" spans="1:11" ht="13">
      <c r="A32" s="1104">
        <v>22</v>
      </c>
      <c r="B32" s="1121" t="s">
        <v>1186</v>
      </c>
      <c r="C32" s="1017"/>
      <c r="D32" s="1114"/>
      <c r="E32" s="1108"/>
      <c r="F32" s="1124">
        <f t="shared" ref="F32:K32" ca="1" si="12">F30-F31</f>
        <v>669930</v>
      </c>
      <c r="G32" s="1143" t="e">
        <f t="shared" ca="1" si="12"/>
        <v>#N/A</v>
      </c>
      <c r="H32" s="1161" t="e">
        <f t="shared" ca="1" si="12"/>
        <v>#N/A</v>
      </c>
      <c r="I32" s="1144" t="e">
        <f t="shared" ca="1" si="12"/>
        <v>#N/A</v>
      </c>
      <c r="J32" s="1124" t="e">
        <f t="shared" ca="1" si="12"/>
        <v>#N/A</v>
      </c>
      <c r="K32" s="1124" t="e">
        <f t="shared" si="12"/>
        <v>#N/A</v>
      </c>
    </row>
    <row r="33" spans="1:14" ht="13">
      <c r="A33" s="1104">
        <v>23</v>
      </c>
      <c r="B33" s="1017"/>
      <c r="C33" s="1017"/>
      <c r="D33" s="1114"/>
      <c r="E33" s="1108"/>
      <c r="F33" s="1017"/>
      <c r="G33" s="1126"/>
      <c r="H33" s="1127"/>
      <c r="I33" s="1128"/>
      <c r="J33" s="1017"/>
      <c r="K33" s="1017"/>
    </row>
    <row r="34" spans="1:14" ht="13">
      <c r="A34" s="1104">
        <v>24</v>
      </c>
      <c r="B34" s="1017" t="s">
        <v>104</v>
      </c>
      <c r="C34" s="1017"/>
      <c r="D34" s="1114"/>
      <c r="E34" s="1108"/>
      <c r="F34" s="1119">
        <f t="shared" ref="F34:K34" si="13">F654+F26</f>
        <v>-221439</v>
      </c>
      <c r="G34" s="1116" t="e">
        <f t="shared" ca="1" si="13"/>
        <v>#N/A</v>
      </c>
      <c r="H34" s="1117" t="e">
        <f t="shared" ca="1" si="13"/>
        <v>#N/A</v>
      </c>
      <c r="I34" s="1118" t="e">
        <f t="shared" ca="1" si="13"/>
        <v>#N/A</v>
      </c>
      <c r="J34" s="1119" t="e">
        <f t="shared" ca="1" si="13"/>
        <v>#N/A</v>
      </c>
      <c r="K34" s="1119" t="e">
        <f t="shared" si="13"/>
        <v>#N/A</v>
      </c>
    </row>
    <row r="35" spans="1:14" ht="13">
      <c r="A35" s="1104">
        <v>25</v>
      </c>
      <c r="B35" s="1017" t="s">
        <v>105</v>
      </c>
      <c r="C35" s="1017"/>
      <c r="D35" s="1114"/>
      <c r="E35" s="1108"/>
      <c r="F35" s="1129">
        <f t="shared" ref="F35:K35" si="14">IF(F331=0,0,ROUND(F34/F331,5))</f>
        <v>0</v>
      </c>
      <c r="G35" s="1130">
        <f t="shared" si="14"/>
        <v>0</v>
      </c>
      <c r="H35" s="1131">
        <f t="shared" si="14"/>
        <v>0</v>
      </c>
      <c r="I35" s="1132">
        <f t="shared" si="14"/>
        <v>0</v>
      </c>
      <c r="J35" s="1129">
        <f t="shared" si="14"/>
        <v>0</v>
      </c>
      <c r="K35" s="1129">
        <f t="shared" si="14"/>
        <v>0</v>
      </c>
    </row>
    <row r="36" spans="1:14" ht="13">
      <c r="A36" s="1104">
        <v>26</v>
      </c>
      <c r="B36" s="1017" t="s">
        <v>42</v>
      </c>
      <c r="C36" s="1017"/>
      <c r="D36" s="1114"/>
      <c r="E36" s="1108"/>
      <c r="F36" s="1129">
        <f>$F$688</f>
        <v>7.0599999999999996E-2</v>
      </c>
      <c r="G36" s="1130">
        <f>F688</f>
        <v>7.0599999999999996E-2</v>
      </c>
      <c r="H36" s="1131">
        <f>F688</f>
        <v>7.0599999999999996E-2</v>
      </c>
      <c r="I36" s="1132">
        <f>F688</f>
        <v>7.0599999999999996E-2</v>
      </c>
      <c r="J36" s="1129">
        <f>$F$688</f>
        <v>7.0599999999999996E-2</v>
      </c>
      <c r="K36" s="1129">
        <f>F688</f>
        <v>7.0599999999999996E-2</v>
      </c>
      <c r="N36" s="653" t="s">
        <v>1188</v>
      </c>
    </row>
    <row r="37" spans="1:14" ht="13">
      <c r="A37" s="1104">
        <v>27</v>
      </c>
      <c r="B37" s="1017" t="s">
        <v>106</v>
      </c>
      <c r="C37" s="1017"/>
      <c r="D37" s="1114"/>
      <c r="E37" s="1108"/>
      <c r="F37" s="1129">
        <f>IF(F670=0,0,(F35-$F$683-$F$684-$F$686)*$F$673/$F$670)</f>
        <v>-3.6296061514971487E-2</v>
      </c>
      <c r="G37" s="1130">
        <f>IF(F670=0,0,(G35-F683-F684-F686)*F673/F670)</f>
        <v>-3.6296061514971487E-2</v>
      </c>
      <c r="H37" s="1131">
        <f>IF(F670=0,0,(H35-F683-F684-F686)*F673/F670)</f>
        <v>-3.6296061514971487E-2</v>
      </c>
      <c r="I37" s="1132">
        <f>IF(F670=0,0,(I35-F683-F684-F686)*F673/F670)</f>
        <v>-3.6296061514971487E-2</v>
      </c>
      <c r="J37" s="1129">
        <f>IF(F670=0,0,(J35-F683-F684-F686)*F673/F670)</f>
        <v>-3.6296061514971487E-2</v>
      </c>
      <c r="K37" s="1129">
        <f>IF(F670=0,0,(K35-F683-F684-F686)*F673/F670)</f>
        <v>-3.6296061514971487E-2</v>
      </c>
      <c r="N37" s="653" t="s">
        <v>1189</v>
      </c>
    </row>
    <row r="38" spans="1:14" ht="13">
      <c r="A38" s="1104">
        <v>28</v>
      </c>
      <c r="B38" s="1017" t="s">
        <v>107</v>
      </c>
      <c r="C38" s="1017"/>
      <c r="D38" s="1114"/>
      <c r="E38" s="1108"/>
      <c r="F38" s="1129">
        <f>IF(F670=0,0,(F36-$F$683-$F$684-$F$686)*$F$673/$F$670)</f>
        <v>0.102970348428343</v>
      </c>
      <c r="G38" s="1130">
        <f>IF(F670=0,0,(G36-F683-F684-F686)*F673/F670)</f>
        <v>0.102970348428343</v>
      </c>
      <c r="H38" s="1131">
        <f>IF(F670=0,0,(H36-F683-F684-F686)*F673/F670)</f>
        <v>0.102970348428343</v>
      </c>
      <c r="I38" s="1132">
        <f>IF(F670=0,0,(I36-F683-F684-F686)*F673/F670)</f>
        <v>0.102970348428343</v>
      </c>
      <c r="J38" s="1129">
        <f>IF($F$670=0,0,(J36-$F$683-$F$684-$F$686)*$F$673/$F$670)</f>
        <v>0.102970348428343</v>
      </c>
      <c r="K38" s="1129">
        <f>IF(F670=0,0,(K36-F683-F684-F686)*F673/F670)</f>
        <v>0.102970348428343</v>
      </c>
    </row>
    <row r="39" spans="1:14" ht="13">
      <c r="A39" s="1104">
        <v>29</v>
      </c>
      <c r="B39" s="1017"/>
      <c r="C39" s="1017"/>
      <c r="D39" s="1114"/>
      <c r="E39" s="1108"/>
      <c r="F39" s="1017" t="s">
        <v>343</v>
      </c>
      <c r="G39" s="1126"/>
      <c r="H39" s="1127"/>
      <c r="I39" s="1128"/>
      <c r="J39" s="1017"/>
      <c r="K39" s="1017"/>
    </row>
    <row r="40" spans="1:14" ht="13">
      <c r="A40" s="1104">
        <v>30</v>
      </c>
      <c r="B40" s="1017" t="s">
        <v>108</v>
      </c>
      <c r="C40" s="1017"/>
      <c r="D40" s="1114"/>
      <c r="E40" s="1108"/>
      <c r="F40" s="1119">
        <f>F744</f>
        <v>0</v>
      </c>
      <c r="G40" s="1116" t="e">
        <f ca="1">G744</f>
        <v>#N/A</v>
      </c>
      <c r="H40" s="1117" t="e">
        <f ca="1">H744</f>
        <v>#N/A</v>
      </c>
      <c r="I40" s="1118" t="e">
        <f ca="1">I744</f>
        <v>#N/A</v>
      </c>
      <c r="J40" s="1119" t="e">
        <f ca="1">K744</f>
        <v>#N/A</v>
      </c>
      <c r="K40" s="1119">
        <f>L744</f>
        <v>0</v>
      </c>
    </row>
    <row r="41" spans="1:14" ht="13">
      <c r="A41" s="1104">
        <v>31</v>
      </c>
      <c r="B41" s="1017" t="s">
        <v>109</v>
      </c>
      <c r="C41" s="1017"/>
      <c r="D41" s="1114"/>
      <c r="E41" s="1108"/>
      <c r="F41" s="1119">
        <f t="shared" ref="F41:K41" si="15">F28-F40</f>
        <v>669930</v>
      </c>
      <c r="G41" s="1116" t="e">
        <f t="shared" ca="1" si="15"/>
        <v>#N/A</v>
      </c>
      <c r="H41" s="1117" t="e">
        <f t="shared" ca="1" si="15"/>
        <v>#N/A</v>
      </c>
      <c r="I41" s="1118" t="e">
        <f t="shared" ca="1" si="15"/>
        <v>#N/A</v>
      </c>
      <c r="J41" s="1119" t="e">
        <f t="shared" ca="1" si="15"/>
        <v>#N/A</v>
      </c>
      <c r="K41" s="1119" t="e">
        <f t="shared" si="15"/>
        <v>#N/A</v>
      </c>
    </row>
    <row r="42" spans="1:14" ht="13">
      <c r="A42" s="1104">
        <v>32</v>
      </c>
      <c r="B42" s="1017"/>
      <c r="C42" s="1017" t="s">
        <v>283</v>
      </c>
      <c r="D42" s="1114"/>
      <c r="E42" s="1108"/>
      <c r="F42" s="1133">
        <f t="shared" ref="F42:K42" si="16">IF(F40=0,0,ROUND(F41/F40,5))</f>
        <v>0</v>
      </c>
      <c r="G42" s="1134" t="e">
        <f t="shared" ca="1" si="16"/>
        <v>#N/A</v>
      </c>
      <c r="H42" s="1135" t="e">
        <f t="shared" ca="1" si="16"/>
        <v>#N/A</v>
      </c>
      <c r="I42" s="1136" t="e">
        <f t="shared" ca="1" si="16"/>
        <v>#N/A</v>
      </c>
      <c r="J42" s="1133" t="e">
        <f t="shared" ca="1" si="16"/>
        <v>#N/A</v>
      </c>
      <c r="K42" s="1119">
        <f t="shared" si="16"/>
        <v>0</v>
      </c>
    </row>
    <row r="43" spans="1:14" ht="13">
      <c r="A43" s="1104">
        <v>33</v>
      </c>
      <c r="B43" s="1017" t="s">
        <v>110</v>
      </c>
      <c r="C43" s="1017"/>
      <c r="D43" s="1114"/>
      <c r="E43" s="1108"/>
      <c r="F43" s="1119">
        <f t="shared" ref="F43:K43" si="17">F31-F40</f>
        <v>0</v>
      </c>
      <c r="G43" s="1116" t="e">
        <f t="shared" ca="1" si="17"/>
        <v>#N/A</v>
      </c>
      <c r="H43" s="1117" t="e">
        <f t="shared" ca="1" si="17"/>
        <v>#N/A</v>
      </c>
      <c r="I43" s="1118" t="e">
        <f t="shared" ca="1" si="17"/>
        <v>#N/A</v>
      </c>
      <c r="J43" s="1119" t="e">
        <f t="shared" ca="1" si="17"/>
        <v>#N/A</v>
      </c>
      <c r="K43" s="1119">
        <f t="shared" si="17"/>
        <v>0</v>
      </c>
    </row>
    <row r="44" spans="1:14" ht="13">
      <c r="A44" s="1104">
        <v>34</v>
      </c>
      <c r="B44" s="1017"/>
      <c r="C44" s="1017" t="s">
        <v>283</v>
      </c>
      <c r="D44" s="1114"/>
      <c r="E44" s="1108"/>
      <c r="F44" s="1133">
        <f t="shared" ref="F44:K44" si="18">IF(F40=0,0,ROUND(F43/F40,5))</f>
        <v>0</v>
      </c>
      <c r="G44" s="1137" t="e">
        <f t="shared" ca="1" si="18"/>
        <v>#N/A</v>
      </c>
      <c r="H44" s="1138" t="e">
        <f t="shared" ca="1" si="18"/>
        <v>#N/A</v>
      </c>
      <c r="I44" s="1139" t="e">
        <f t="shared" ca="1" si="18"/>
        <v>#N/A</v>
      </c>
      <c r="J44" s="1133" t="e">
        <f t="shared" ca="1" si="18"/>
        <v>#N/A</v>
      </c>
      <c r="K44" s="1119">
        <f t="shared" si="18"/>
        <v>0</v>
      </c>
    </row>
    <row r="45" spans="1:14" ht="13">
      <c r="A45" s="341"/>
      <c r="C45" s="195"/>
      <c r="D45" s="342"/>
      <c r="E45" s="195"/>
      <c r="F45" s="195"/>
      <c r="G45" s="195"/>
      <c r="H45" s="195"/>
      <c r="I45" s="195"/>
      <c r="J45" s="195"/>
      <c r="K45" s="195"/>
    </row>
    <row r="46" spans="1:14" ht="13">
      <c r="A46" s="341" t="str">
        <f>co_name</f>
        <v>DUKE ENERGY KENTUCKY, INC.</v>
      </c>
      <c r="C46" s="195"/>
      <c r="D46" s="342"/>
      <c r="E46" s="195"/>
      <c r="F46" s="195"/>
      <c r="G46" s="195"/>
      <c r="H46" s="195"/>
      <c r="I46" s="195"/>
      <c r="J46" s="195" t="str">
        <f>$J$1</f>
        <v>FR-16(7)(v)-7</v>
      </c>
      <c r="K46" s="195"/>
    </row>
    <row r="47" spans="1:14" ht="13">
      <c r="A47" s="341" t="str">
        <f>$A$2</f>
        <v>STORAGE CLASSIFIED -  GAS COST OF SERVICE</v>
      </c>
      <c r="C47" s="195"/>
      <c r="D47" s="342"/>
      <c r="E47" s="195"/>
      <c r="F47" s="195"/>
      <c r="G47" s="195"/>
      <c r="H47" s="195"/>
      <c r="I47" s="195"/>
      <c r="J47" s="195" t="str">
        <f>$J$2</f>
        <v>WITNESS RESPONSIBLE:</v>
      </c>
      <c r="K47" s="195"/>
    </row>
    <row r="48" spans="1:14" ht="13">
      <c r="A48" s="341" t="str">
        <f>case_name</f>
        <v>CASE NO: 2021-00190</v>
      </c>
      <c r="C48" s="195"/>
      <c r="D48" s="342"/>
      <c r="E48" s="195"/>
      <c r="F48" s="195"/>
      <c r="G48" s="195"/>
      <c r="H48" s="195"/>
      <c r="I48" s="195"/>
      <c r="J48" s="195" t="str">
        <f>Witness</f>
        <v>JAMES E. ZIOLKOWSKI</v>
      </c>
      <c r="K48" s="195"/>
    </row>
    <row r="49" spans="1:11" ht="13">
      <c r="A49" s="341" t="str">
        <f>data_filing</f>
        <v>DATA: 12 MONTH FORECASTED PERIOD</v>
      </c>
      <c r="C49" s="195"/>
      <c r="D49" s="342"/>
      <c r="E49" s="195"/>
      <c r="F49" s="195"/>
      <c r="G49" s="195"/>
      <c r="H49" s="195"/>
      <c r="I49" s="195"/>
      <c r="J49" s="195" t="str">
        <f>"PAGE "&amp;Pages2-13&amp;" OF "&amp;Pages2</f>
        <v>PAGE 2 OF 15</v>
      </c>
      <c r="K49" s="195"/>
    </row>
    <row r="50" spans="1:11" ht="13">
      <c r="A50" s="341" t="str">
        <f>type</f>
        <v xml:space="preserve">TYPE OF FILING: "X" ORIGINAL   UPDATED    REVISED  </v>
      </c>
      <c r="C50" s="195"/>
      <c r="D50" s="342"/>
      <c r="E50" s="195"/>
      <c r="F50" s="195"/>
      <c r="G50" s="195"/>
      <c r="H50" s="195"/>
      <c r="I50" s="195"/>
      <c r="J50" s="195"/>
      <c r="K50" s="195"/>
    </row>
    <row r="51" spans="1:11" ht="13">
      <c r="A51" s="341"/>
      <c r="C51" s="195"/>
      <c r="D51" s="342"/>
      <c r="E51" s="195"/>
      <c r="F51" s="195"/>
      <c r="G51" s="195"/>
      <c r="H51" s="195"/>
      <c r="I51" s="195"/>
      <c r="J51" s="195"/>
      <c r="K51" s="195"/>
    </row>
    <row r="52" spans="1:11" ht="13">
      <c r="A52" s="341"/>
      <c r="C52" s="195"/>
      <c r="D52" s="342"/>
      <c r="E52" s="195"/>
      <c r="F52" s="195"/>
      <c r="G52" s="195"/>
      <c r="H52" s="195"/>
      <c r="I52" s="195"/>
      <c r="J52" s="195"/>
      <c r="K52" s="195"/>
    </row>
    <row r="53" spans="1:11" ht="13">
      <c r="A53" s="342" t="s">
        <v>907</v>
      </c>
      <c r="B53" s="195"/>
      <c r="C53" s="195"/>
      <c r="D53" s="342"/>
      <c r="E53" s="195"/>
      <c r="F53" s="342" t="str">
        <f>$F$8</f>
        <v>TOTAL</v>
      </c>
      <c r="G53" s="539" t="s">
        <v>995</v>
      </c>
      <c r="H53" s="527"/>
      <c r="I53" s="528"/>
      <c r="J53" s="342" t="s">
        <v>229</v>
      </c>
      <c r="K53" s="342" t="s">
        <v>342</v>
      </c>
    </row>
    <row r="54" spans="1:11" ht="13">
      <c r="A54" s="344" t="s">
        <v>908</v>
      </c>
      <c r="B54" s="343" t="s">
        <v>95</v>
      </c>
      <c r="C54" s="343"/>
      <c r="D54" s="344" t="s">
        <v>337</v>
      </c>
      <c r="E54" s="343"/>
      <c r="F54" s="344" t="str">
        <f>$F$9</f>
        <v>STORAGE</v>
      </c>
      <c r="G54" s="540" t="s">
        <v>840</v>
      </c>
      <c r="H54" s="529" t="s">
        <v>841</v>
      </c>
      <c r="I54" s="530" t="s">
        <v>842</v>
      </c>
      <c r="J54" s="344" t="s">
        <v>341</v>
      </c>
      <c r="K54" s="344" t="s">
        <v>340</v>
      </c>
    </row>
    <row r="55" spans="1:11" ht="13">
      <c r="C55" s="572" t="s">
        <v>344</v>
      </c>
      <c r="D55" s="342"/>
      <c r="E55" s="195"/>
      <c r="G55" s="793">
        <f>$G$10</f>
        <v>3</v>
      </c>
      <c r="H55" s="794">
        <f>$H$10</f>
        <v>4</v>
      </c>
      <c r="I55" s="795">
        <f>$I$10</f>
        <v>5</v>
      </c>
      <c r="K55" s="330" t="s">
        <v>343</v>
      </c>
    </row>
    <row r="56" spans="1:11" ht="13">
      <c r="A56" s="331">
        <v>1</v>
      </c>
      <c r="B56" s="330" t="s">
        <v>14</v>
      </c>
      <c r="E56" s="195"/>
      <c r="G56" s="541"/>
      <c r="H56" s="531"/>
      <c r="I56" s="532"/>
    </row>
    <row r="57" spans="1:11" ht="13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3">
        <f>'FR-16(7)(v)-1 Functional'!H57</f>
        <v>0</v>
      </c>
      <c r="G57" s="542">
        <f>ROUND(F57*VLOOKUP(D57,AllocTable_Classified_Storage,$G$10,FALSE),0)</f>
        <v>0</v>
      </c>
      <c r="H57" s="533">
        <f>ROUND(F57*VLOOKUP(D57,AllocTable_Classified_Storage,$H$10,FALSE),0)</f>
        <v>0</v>
      </c>
      <c r="I57" s="534">
        <f>ROUND(F57*VLOOKUP(D57,AllocTable_Classified_Storage,$I$10,FALSE),0)</f>
        <v>0</v>
      </c>
      <c r="J57" s="345">
        <f>SUM($G$57:$I$57)</f>
        <v>0</v>
      </c>
      <c r="K57" s="345">
        <f>F57-$J$57</f>
        <v>0</v>
      </c>
    </row>
    <row r="58" spans="1:11" ht="13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3">
        <f>'FR-16(7)(v)-1 Functional'!H58</f>
        <v>0</v>
      </c>
      <c r="G58" s="542">
        <f>ROUND(F58*VLOOKUP(D58,AllocTable_Classified_Storage,$G$10,FALSE),0)</f>
        <v>0</v>
      </c>
      <c r="H58" s="533">
        <f>ROUND(F58*VLOOKUP(D58,AllocTable_Classified_Storage,$H$10,FALSE),0)</f>
        <v>0</v>
      </c>
      <c r="I58" s="534">
        <f>ROUND(F58*VLOOKUP(D58,AllocTable_Classified_Storage,$I$10,FALSE),0)</f>
        <v>0</v>
      </c>
      <c r="J58" s="345">
        <f>SUM($G$58:$I$58)</f>
        <v>0</v>
      </c>
      <c r="K58" s="345">
        <f>F58-$J$58</f>
        <v>0</v>
      </c>
    </row>
    <row r="59" spans="1:11" ht="13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0</v>
      </c>
      <c r="G59" s="543">
        <f>SUM($G$57:$G$58)</f>
        <v>0</v>
      </c>
      <c r="H59" s="535">
        <f>SUM($H$57:$H$58)</f>
        <v>0</v>
      </c>
      <c r="I59" s="536">
        <f>SUM($I$57:$I$58)</f>
        <v>0</v>
      </c>
      <c r="J59" s="346">
        <f>SUM($J$57:$J$58)</f>
        <v>0</v>
      </c>
      <c r="K59" s="346">
        <f>SUM($K$57:$K$58)</f>
        <v>0</v>
      </c>
    </row>
    <row r="60" spans="1:11" ht="13">
      <c r="A60" s="331">
        <v>5</v>
      </c>
      <c r="D60" s="342"/>
      <c r="E60" s="195"/>
      <c r="G60" s="541"/>
      <c r="H60" s="531"/>
      <c r="I60" s="532"/>
    </row>
    <row r="61" spans="1:11" ht="13">
      <c r="A61" s="331">
        <v>6</v>
      </c>
      <c r="B61" s="330" t="s">
        <v>15</v>
      </c>
      <c r="D61" s="342"/>
      <c r="E61" s="195"/>
      <c r="G61" s="541"/>
      <c r="H61" s="531"/>
      <c r="I61" s="532"/>
    </row>
    <row r="62" spans="1:11" ht="13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1"/>
      <c r="G62" s="542"/>
      <c r="H62" s="533"/>
      <c r="I62" s="534"/>
      <c r="J62" s="345"/>
      <c r="K62" s="345"/>
    </row>
    <row r="63" spans="1:11" ht="13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543">
        <f>SUM($G$62)</f>
        <v>0</v>
      </c>
      <c r="H63" s="535">
        <f>SUM($H$62)</f>
        <v>0</v>
      </c>
      <c r="I63" s="536">
        <f>SUM($I$62)</f>
        <v>0</v>
      </c>
      <c r="J63" s="346">
        <f>SUM($J$62)</f>
        <v>0</v>
      </c>
      <c r="K63" s="346">
        <f>SUM($K$62)</f>
        <v>0</v>
      </c>
    </row>
    <row r="64" spans="1:11" ht="13">
      <c r="A64" s="331">
        <v>9</v>
      </c>
      <c r="D64" s="342"/>
      <c r="E64" s="195"/>
      <c r="G64" s="541"/>
      <c r="H64" s="531"/>
      <c r="I64" s="532"/>
    </row>
    <row r="65" spans="1:11" ht="13">
      <c r="A65" s="331">
        <v>10</v>
      </c>
      <c r="B65" s="330" t="s">
        <v>16</v>
      </c>
      <c r="D65" s="342"/>
      <c r="E65" s="195"/>
      <c r="F65" s="345">
        <f>F63+F59</f>
        <v>0</v>
      </c>
      <c r="G65" s="542">
        <f>$G$63+$G$59</f>
        <v>0</v>
      </c>
      <c r="H65" s="533">
        <f>$H$63+$H$59</f>
        <v>0</v>
      </c>
      <c r="I65" s="534">
        <f>$I$63+$I$59</f>
        <v>0</v>
      </c>
      <c r="J65" s="345">
        <f>$J$63+$J$59</f>
        <v>0</v>
      </c>
      <c r="K65" s="345">
        <f>$K$63+$K$59</f>
        <v>0</v>
      </c>
    </row>
    <row r="66" spans="1:11" ht="13">
      <c r="A66" s="331">
        <v>11</v>
      </c>
      <c r="D66" s="342"/>
      <c r="E66" s="195"/>
      <c r="G66" s="541"/>
      <c r="H66" s="531"/>
      <c r="I66" s="532"/>
    </row>
    <row r="67" spans="1:11" ht="13">
      <c r="A67" s="331">
        <v>12</v>
      </c>
      <c r="B67" s="330" t="s">
        <v>17</v>
      </c>
      <c r="D67" s="342"/>
      <c r="E67" s="195"/>
      <c r="G67" s="541"/>
      <c r="H67" s="531"/>
      <c r="I67" s="532"/>
    </row>
    <row r="68" spans="1:11" ht="13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3">
        <f>'FR-16(7)(v)-1 Functional'!H68</f>
        <v>0</v>
      </c>
      <c r="G68" s="542">
        <f t="shared" ref="G68:G77" si="19">ROUND(F68*VLOOKUP(D68,AllocTable_Classified_Storage,$G$10,FALSE),0)</f>
        <v>0</v>
      </c>
      <c r="H68" s="533">
        <f t="shared" ref="H68:H77" si="20">ROUND(F68*VLOOKUP(D68,AllocTable_Classified_Storage,$H$10,FALSE),0)</f>
        <v>0</v>
      </c>
      <c r="I68" s="534">
        <f t="shared" ref="I68:I77" si="21">ROUND(F68*VLOOKUP(D68,AllocTable_Classified_Storage,$I$10,FALSE),0)</f>
        <v>0</v>
      </c>
      <c r="J68" s="345">
        <f t="shared" ref="J68:J77" si="22">SUM(G68:I68)</f>
        <v>0</v>
      </c>
      <c r="K68" s="345">
        <f t="shared" ref="K68:K77" si="23">F68-J68</f>
        <v>0</v>
      </c>
    </row>
    <row r="69" spans="1:11" ht="13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3">
        <f>'FR-16(7)(v)-1 Functional'!H69</f>
        <v>0</v>
      </c>
      <c r="G69" s="542">
        <f t="shared" si="19"/>
        <v>0</v>
      </c>
      <c r="H69" s="533">
        <f t="shared" si="20"/>
        <v>0</v>
      </c>
      <c r="I69" s="534">
        <f t="shared" si="21"/>
        <v>0</v>
      </c>
      <c r="J69" s="345">
        <f t="shared" si="22"/>
        <v>0</v>
      </c>
      <c r="K69" s="345">
        <f t="shared" si="23"/>
        <v>0</v>
      </c>
    </row>
    <row r="70" spans="1:11" ht="13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3">
        <f>'FR-16(7)(v)-1 Functional'!H70</f>
        <v>0</v>
      </c>
      <c r="G70" s="542">
        <f t="shared" si="19"/>
        <v>0</v>
      </c>
      <c r="H70" s="533">
        <f t="shared" si="20"/>
        <v>0</v>
      </c>
      <c r="I70" s="534">
        <f t="shared" si="21"/>
        <v>0</v>
      </c>
      <c r="J70" s="345">
        <f t="shared" si="22"/>
        <v>0</v>
      </c>
      <c r="K70" s="345">
        <f t="shared" si="23"/>
        <v>0</v>
      </c>
    </row>
    <row r="71" spans="1:11" ht="13">
      <c r="A71" s="331">
        <v>16</v>
      </c>
      <c r="C71" s="330" t="str">
        <f>'FR-16(7)(v)-1 Functional'!C71</f>
        <v>MAINS - (2761, 2762, 2763, 2765)</v>
      </c>
      <c r="D71" s="342" t="str">
        <f>'FR-16(7)(v)-1 Functional'!D71</f>
        <v>K415</v>
      </c>
      <c r="E71" s="195"/>
      <c r="F71" s="473">
        <f>'FR-16(7)(v)-1 Functional'!H71</f>
        <v>0</v>
      </c>
      <c r="G71" s="542">
        <f t="shared" si="19"/>
        <v>0</v>
      </c>
      <c r="H71" s="533">
        <f t="shared" si="20"/>
        <v>0</v>
      </c>
      <c r="I71" s="534">
        <f t="shared" si="21"/>
        <v>0</v>
      </c>
      <c r="J71" s="345">
        <f t="shared" si="22"/>
        <v>0</v>
      </c>
      <c r="K71" s="345">
        <f t="shared" si="23"/>
        <v>0</v>
      </c>
    </row>
    <row r="72" spans="1:11" ht="13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3">
        <f>'FR-16(7)(v)-1 Functional'!H72</f>
        <v>0</v>
      </c>
      <c r="G72" s="542">
        <f t="shared" si="19"/>
        <v>0</v>
      </c>
      <c r="H72" s="533">
        <f t="shared" si="20"/>
        <v>0</v>
      </c>
      <c r="I72" s="534">
        <f t="shared" si="21"/>
        <v>0</v>
      </c>
      <c r="J72" s="345">
        <f t="shared" si="22"/>
        <v>0</v>
      </c>
      <c r="K72" s="345">
        <f t="shared" si="23"/>
        <v>0</v>
      </c>
    </row>
    <row r="73" spans="1:11" ht="13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3">
        <f>'FR-16(7)(v)-1 Functional'!H73</f>
        <v>0</v>
      </c>
      <c r="G73" s="542">
        <f t="shared" si="19"/>
        <v>0</v>
      </c>
      <c r="H73" s="533">
        <f t="shared" si="20"/>
        <v>0</v>
      </c>
      <c r="I73" s="534">
        <f t="shared" si="21"/>
        <v>0</v>
      </c>
      <c r="J73" s="345">
        <f t="shared" si="22"/>
        <v>0</v>
      </c>
      <c r="K73" s="345">
        <f t="shared" si="23"/>
        <v>0</v>
      </c>
    </row>
    <row r="74" spans="1:11" ht="13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3">
        <f>'FR-16(7)(v)-1 Functional'!H74</f>
        <v>0</v>
      </c>
      <c r="G74" s="542">
        <f t="shared" si="19"/>
        <v>0</v>
      </c>
      <c r="H74" s="533">
        <f t="shared" si="20"/>
        <v>0</v>
      </c>
      <c r="I74" s="534">
        <f t="shared" si="21"/>
        <v>0</v>
      </c>
      <c r="J74" s="345">
        <f t="shared" si="22"/>
        <v>0</v>
      </c>
      <c r="K74" s="345">
        <f t="shared" si="23"/>
        <v>0</v>
      </c>
    </row>
    <row r="75" spans="1:11" ht="13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3">
        <f>'FR-16(7)(v)-1 Functional'!H75</f>
        <v>0</v>
      </c>
      <c r="G75" s="542">
        <f t="shared" si="19"/>
        <v>0</v>
      </c>
      <c r="H75" s="533">
        <f t="shared" si="20"/>
        <v>0</v>
      </c>
      <c r="I75" s="534">
        <f t="shared" si="21"/>
        <v>0</v>
      </c>
      <c r="J75" s="345">
        <f t="shared" si="22"/>
        <v>0</v>
      </c>
      <c r="K75" s="345">
        <f t="shared" si="23"/>
        <v>0</v>
      </c>
    </row>
    <row r="76" spans="1:11" ht="13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3">
        <f>'FR-16(7)(v)-1 Functional'!H76</f>
        <v>0</v>
      </c>
      <c r="G76" s="542">
        <f t="shared" si="19"/>
        <v>0</v>
      </c>
      <c r="H76" s="533">
        <f t="shared" si="20"/>
        <v>0</v>
      </c>
      <c r="I76" s="534">
        <f t="shared" si="21"/>
        <v>0</v>
      </c>
      <c r="J76" s="345">
        <f t="shared" si="22"/>
        <v>0</v>
      </c>
      <c r="K76" s="345">
        <f t="shared" si="23"/>
        <v>0</v>
      </c>
    </row>
    <row r="77" spans="1:11" ht="13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3">
        <f>'FR-16(7)(v)-1 Functional'!H77</f>
        <v>0</v>
      </c>
      <c r="G77" s="542">
        <f t="shared" si="19"/>
        <v>0</v>
      </c>
      <c r="H77" s="533">
        <f t="shared" si="20"/>
        <v>0</v>
      </c>
      <c r="I77" s="534">
        <f t="shared" si="21"/>
        <v>0</v>
      </c>
      <c r="J77" s="345">
        <f t="shared" si="22"/>
        <v>0</v>
      </c>
      <c r="K77" s="345">
        <f t="shared" si="23"/>
        <v>0</v>
      </c>
    </row>
    <row r="78" spans="1:11" ht="13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K78" si="24">SUM(F68:F77)</f>
        <v>0</v>
      </c>
      <c r="G78" s="543">
        <f t="shared" si="24"/>
        <v>0</v>
      </c>
      <c r="H78" s="535">
        <f t="shared" si="24"/>
        <v>0</v>
      </c>
      <c r="I78" s="536">
        <f t="shared" si="24"/>
        <v>0</v>
      </c>
      <c r="J78" s="346">
        <f t="shared" si="24"/>
        <v>0</v>
      </c>
      <c r="K78" s="346">
        <f t="shared" si="24"/>
        <v>0</v>
      </c>
    </row>
    <row r="79" spans="1:11" ht="13">
      <c r="A79" s="331">
        <v>24</v>
      </c>
      <c r="D79" s="342"/>
      <c r="E79" s="195"/>
      <c r="G79" s="541"/>
      <c r="H79" s="531"/>
      <c r="I79" s="532"/>
    </row>
    <row r="80" spans="1:11" ht="13">
      <c r="A80" s="331">
        <v>25</v>
      </c>
      <c r="B80" s="330" t="s">
        <v>18</v>
      </c>
      <c r="D80" s="342"/>
      <c r="E80" s="195"/>
      <c r="F80" s="345">
        <f>F78+F63</f>
        <v>0</v>
      </c>
      <c r="G80" s="542">
        <f>G78+$G$63</f>
        <v>0</v>
      </c>
      <c r="H80" s="533">
        <f>H78+$H$63</f>
        <v>0</v>
      </c>
      <c r="I80" s="534">
        <f>I78+$I$63</f>
        <v>0</v>
      </c>
      <c r="J80" s="345">
        <f>J78+$J$63</f>
        <v>0</v>
      </c>
      <c r="K80" s="345">
        <f>K78+$K$63</f>
        <v>0</v>
      </c>
    </row>
    <row r="81" spans="1:11" ht="13">
      <c r="A81" s="331">
        <v>26</v>
      </c>
      <c r="B81" s="330" t="s">
        <v>19</v>
      </c>
      <c r="D81" s="342"/>
      <c r="E81" s="195"/>
      <c r="F81" s="345">
        <f t="shared" ref="F81:K81" si="25">F78+F65</f>
        <v>0</v>
      </c>
      <c r="G81" s="542">
        <f t="shared" si="25"/>
        <v>0</v>
      </c>
      <c r="H81" s="533">
        <f t="shared" si="25"/>
        <v>0</v>
      </c>
      <c r="I81" s="534">
        <f t="shared" si="25"/>
        <v>0</v>
      </c>
      <c r="J81" s="345">
        <f t="shared" si="25"/>
        <v>0</v>
      </c>
      <c r="K81" s="345">
        <f t="shared" si="25"/>
        <v>0</v>
      </c>
    </row>
    <row r="82" spans="1:11" ht="13">
      <c r="A82" s="331">
        <v>27</v>
      </c>
      <c r="D82" s="342"/>
      <c r="E82" s="195"/>
      <c r="G82" s="541"/>
      <c r="H82" s="531"/>
      <c r="I82" s="532"/>
    </row>
    <row r="83" spans="1:11" ht="13">
      <c r="A83" s="331">
        <v>28</v>
      </c>
      <c r="B83" s="330" t="s">
        <v>20</v>
      </c>
      <c r="D83" s="342"/>
      <c r="E83" s="195"/>
      <c r="G83" s="541"/>
      <c r="H83" s="531"/>
      <c r="I83" s="532"/>
    </row>
    <row r="84" spans="1:11" ht="13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3">
        <f>'FR-16(7)(v)-1 Functional'!H84</f>
        <v>0</v>
      </c>
      <c r="G84" s="542">
        <f t="shared" ref="G84:G89" si="26">ROUND(F84*VLOOKUP(D84,AllocTable_Classified_Storage,$G$10,FALSE),0)</f>
        <v>0</v>
      </c>
      <c r="H84" s="533">
        <f t="shared" ref="H84:H89" si="27">ROUND(F84*VLOOKUP(D84,AllocTable_Classified_Storage,$H$10,FALSE),0)</f>
        <v>0</v>
      </c>
      <c r="I84" s="534">
        <f t="shared" ref="I84:I89" si="28">ROUND(F84*VLOOKUP(D84,AllocTable_Classified_Storage,$I$10,FALSE),0)</f>
        <v>0</v>
      </c>
      <c r="J84" s="345">
        <f t="shared" ref="J84:J89" si="29">SUM(G84:I84)</f>
        <v>0</v>
      </c>
      <c r="K84" s="345">
        <f t="shared" ref="K84:K89" si="30">F84-J84</f>
        <v>0</v>
      </c>
    </row>
    <row r="85" spans="1:11" ht="13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3">
        <f>'FR-16(7)(v)-1 Functional'!H85</f>
        <v>0</v>
      </c>
      <c r="G85" s="542">
        <f t="shared" si="26"/>
        <v>0</v>
      </c>
      <c r="H85" s="533">
        <f t="shared" si="27"/>
        <v>0</v>
      </c>
      <c r="I85" s="534">
        <f t="shared" si="28"/>
        <v>0</v>
      </c>
      <c r="J85" s="345">
        <f t="shared" si="29"/>
        <v>0</v>
      </c>
      <c r="K85" s="345">
        <f t="shared" si="30"/>
        <v>0</v>
      </c>
    </row>
    <row r="86" spans="1:11" ht="13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3">
        <f>'FR-16(7)(v)-1 Functional'!H86</f>
        <v>0</v>
      </c>
      <c r="G86" s="542">
        <f t="shared" si="26"/>
        <v>0</v>
      </c>
      <c r="H86" s="533">
        <f t="shared" si="27"/>
        <v>0</v>
      </c>
      <c r="I86" s="534">
        <f t="shared" si="28"/>
        <v>0</v>
      </c>
      <c r="J86" s="345">
        <f t="shared" si="29"/>
        <v>0</v>
      </c>
      <c r="K86" s="345">
        <f t="shared" si="30"/>
        <v>0</v>
      </c>
    </row>
    <row r="87" spans="1:11" ht="13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3">
        <f>'FR-16(7)(v)-1 Functional'!H87</f>
        <v>0</v>
      </c>
      <c r="G87" s="542">
        <f t="shared" si="26"/>
        <v>0</v>
      </c>
      <c r="H87" s="533">
        <f t="shared" si="27"/>
        <v>0</v>
      </c>
      <c r="I87" s="534">
        <f t="shared" si="28"/>
        <v>0</v>
      </c>
      <c r="J87" s="345">
        <f t="shared" si="29"/>
        <v>0</v>
      </c>
      <c r="K87" s="345">
        <f t="shared" si="30"/>
        <v>0</v>
      </c>
    </row>
    <row r="88" spans="1:11" ht="13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3">
        <f>'FR-16(7)(v)-1 Functional'!H88</f>
        <v>0</v>
      </c>
      <c r="G88" s="542">
        <f t="shared" si="26"/>
        <v>0</v>
      </c>
      <c r="H88" s="533">
        <f t="shared" si="27"/>
        <v>0</v>
      </c>
      <c r="I88" s="534">
        <f t="shared" si="28"/>
        <v>0</v>
      </c>
      <c r="J88" s="345">
        <f t="shared" si="29"/>
        <v>0</v>
      </c>
      <c r="K88" s="345">
        <f t="shared" si="30"/>
        <v>0</v>
      </c>
    </row>
    <row r="89" spans="1:11" ht="13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3">
        <f>'FR-16(7)(v)-1 Functional'!H89</f>
        <v>0</v>
      </c>
      <c r="G89" s="542">
        <f t="shared" si="26"/>
        <v>0</v>
      </c>
      <c r="H89" s="533">
        <f t="shared" si="27"/>
        <v>0</v>
      </c>
      <c r="I89" s="534">
        <f t="shared" si="28"/>
        <v>0</v>
      </c>
      <c r="J89" s="345">
        <f t="shared" si="29"/>
        <v>0</v>
      </c>
      <c r="K89" s="345">
        <f t="shared" si="30"/>
        <v>0</v>
      </c>
    </row>
    <row r="90" spans="1:11" ht="13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4">
        <f t="shared" ref="F90:K90" si="31">SUM(F84:F89)</f>
        <v>0</v>
      </c>
      <c r="G90" s="543">
        <f t="shared" si="31"/>
        <v>0</v>
      </c>
      <c r="H90" s="535">
        <f t="shared" si="31"/>
        <v>0</v>
      </c>
      <c r="I90" s="536">
        <f t="shared" si="31"/>
        <v>0</v>
      </c>
      <c r="J90" s="346">
        <f t="shared" si="31"/>
        <v>0</v>
      </c>
      <c r="K90" s="346">
        <f t="shared" si="31"/>
        <v>0</v>
      </c>
    </row>
    <row r="91" spans="1:11" ht="13">
      <c r="A91" s="331">
        <v>36</v>
      </c>
      <c r="D91" s="342"/>
      <c r="E91" s="195"/>
      <c r="G91" s="541"/>
      <c r="H91" s="531"/>
      <c r="I91" s="532"/>
    </row>
    <row r="92" spans="1:11" ht="13">
      <c r="A92" s="331">
        <v>37</v>
      </c>
      <c r="B92" s="330" t="s">
        <v>21</v>
      </c>
      <c r="D92" s="342"/>
      <c r="E92" s="195"/>
      <c r="G92" s="541"/>
      <c r="H92" s="531"/>
      <c r="I92" s="532"/>
    </row>
    <row r="93" spans="1:11" ht="13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3">
        <f>'FR-16(7)(v)-1 Functional'!H93</f>
        <v>0</v>
      </c>
      <c r="G93" s="542">
        <f t="shared" ref="G93:G98" si="32">ROUND(F93*VLOOKUP(D93,AllocTable_Classified_Storage,$G$10,FALSE),0)</f>
        <v>0</v>
      </c>
      <c r="H93" s="533">
        <f t="shared" ref="H93:H98" si="33">ROUND(F93*VLOOKUP(D93,AllocTable_Classified_Storage,$H$10,FALSE),0)</f>
        <v>0</v>
      </c>
      <c r="I93" s="534">
        <f t="shared" ref="I93:I98" si="34">ROUND(F93*VLOOKUP(D93,AllocTable_Classified_Storage,$I$10,FALSE),0)</f>
        <v>0</v>
      </c>
      <c r="J93" s="345">
        <f t="shared" ref="J93:J98" si="35">SUM(G93:I93)</f>
        <v>0</v>
      </c>
      <c r="K93" s="345">
        <f t="shared" ref="K93:K98" si="36">F93-J93</f>
        <v>0</v>
      </c>
    </row>
    <row r="94" spans="1:11" ht="13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3">
        <f>'FR-16(7)(v)-1 Functional'!H94</f>
        <v>0</v>
      </c>
      <c r="G94" s="542">
        <f t="shared" si="32"/>
        <v>0</v>
      </c>
      <c r="H94" s="533">
        <f t="shared" si="33"/>
        <v>0</v>
      </c>
      <c r="I94" s="534">
        <f t="shared" si="34"/>
        <v>0</v>
      </c>
      <c r="J94" s="345">
        <f t="shared" si="35"/>
        <v>0</v>
      </c>
      <c r="K94" s="345">
        <f t="shared" si="36"/>
        <v>0</v>
      </c>
    </row>
    <row r="95" spans="1:11" ht="13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3">
        <f>'FR-16(7)(v)-1 Functional'!H95</f>
        <v>0</v>
      </c>
      <c r="G95" s="542">
        <f t="shared" si="32"/>
        <v>0</v>
      </c>
      <c r="H95" s="533">
        <f t="shared" si="33"/>
        <v>0</v>
      </c>
      <c r="I95" s="534">
        <f t="shared" si="34"/>
        <v>0</v>
      </c>
      <c r="J95" s="345">
        <f t="shared" si="35"/>
        <v>0</v>
      </c>
      <c r="K95" s="345">
        <f t="shared" si="36"/>
        <v>0</v>
      </c>
    </row>
    <row r="96" spans="1:11" ht="13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3">
        <f>'FR-16(7)(v)-1 Functional'!H96</f>
        <v>0</v>
      </c>
      <c r="G96" s="542">
        <f t="shared" si="32"/>
        <v>0</v>
      </c>
      <c r="H96" s="533">
        <f t="shared" si="33"/>
        <v>0</v>
      </c>
      <c r="I96" s="534">
        <f t="shared" si="34"/>
        <v>0</v>
      </c>
      <c r="J96" s="345">
        <f t="shared" si="35"/>
        <v>0</v>
      </c>
      <c r="K96" s="345">
        <f t="shared" si="36"/>
        <v>0</v>
      </c>
    </row>
    <row r="97" spans="1:11" ht="13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3">
        <f>'FR-16(7)(v)-1 Functional'!H97</f>
        <v>0</v>
      </c>
      <c r="G97" s="542">
        <f t="shared" si="32"/>
        <v>0</v>
      </c>
      <c r="H97" s="533">
        <f t="shared" si="33"/>
        <v>0</v>
      </c>
      <c r="I97" s="534">
        <f t="shared" si="34"/>
        <v>0</v>
      </c>
      <c r="J97" s="345">
        <f t="shared" si="35"/>
        <v>0</v>
      </c>
      <c r="K97" s="345">
        <f t="shared" si="36"/>
        <v>0</v>
      </c>
    </row>
    <row r="98" spans="1:11" ht="13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3">
        <f>'FR-16(7)(v)-1 Functional'!H98</f>
        <v>0</v>
      </c>
      <c r="G98" s="542">
        <f t="shared" si="32"/>
        <v>0</v>
      </c>
      <c r="H98" s="533">
        <f t="shared" si="33"/>
        <v>0</v>
      </c>
      <c r="I98" s="534">
        <f t="shared" si="34"/>
        <v>0</v>
      </c>
      <c r="J98" s="345">
        <f t="shared" si="35"/>
        <v>0</v>
      </c>
      <c r="K98" s="345">
        <f t="shared" si="36"/>
        <v>0</v>
      </c>
    </row>
    <row r="99" spans="1:11" ht="13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K99" si="37">SUM(F93:F98)</f>
        <v>0</v>
      </c>
      <c r="G99" s="543">
        <f t="shared" si="37"/>
        <v>0</v>
      </c>
      <c r="H99" s="535">
        <f t="shared" si="37"/>
        <v>0</v>
      </c>
      <c r="I99" s="536">
        <f t="shared" si="37"/>
        <v>0</v>
      </c>
      <c r="J99" s="346">
        <f t="shared" si="37"/>
        <v>0</v>
      </c>
      <c r="K99" s="346">
        <f t="shared" si="37"/>
        <v>0</v>
      </c>
    </row>
    <row r="100" spans="1:11" ht="13">
      <c r="A100" s="331">
        <v>45</v>
      </c>
      <c r="E100" s="195"/>
      <c r="G100" s="541"/>
      <c r="H100" s="531"/>
      <c r="I100" s="532"/>
    </row>
    <row r="101" spans="1:11" ht="13">
      <c r="A101" s="331">
        <v>46</v>
      </c>
      <c r="B101" s="330" t="s">
        <v>95</v>
      </c>
      <c r="E101" s="195"/>
      <c r="F101" s="345">
        <f t="shared" ref="F101:K101" si="38">F81+F90+F99</f>
        <v>0</v>
      </c>
      <c r="G101" s="544">
        <f t="shared" si="38"/>
        <v>0</v>
      </c>
      <c r="H101" s="537">
        <f t="shared" si="38"/>
        <v>0</v>
      </c>
      <c r="I101" s="538">
        <f t="shared" si="38"/>
        <v>0</v>
      </c>
      <c r="J101" s="345">
        <f t="shared" si="38"/>
        <v>0</v>
      </c>
      <c r="K101" s="345">
        <f t="shared" si="38"/>
        <v>0</v>
      </c>
    </row>
    <row r="102" spans="1:11" ht="13">
      <c r="B102" s="341"/>
      <c r="C102" s="195"/>
      <c r="D102" s="342"/>
      <c r="E102" s="195"/>
      <c r="F102" s="195"/>
      <c r="G102" s="195"/>
      <c r="H102" s="195"/>
      <c r="I102" s="195"/>
      <c r="J102" s="195"/>
      <c r="K102" s="195"/>
    </row>
    <row r="103" spans="1:11" ht="13">
      <c r="A103" s="341" t="str">
        <f>co_name</f>
        <v>DUKE ENERGY KENTUCKY, INC.</v>
      </c>
      <c r="C103" s="195"/>
      <c r="D103" s="342"/>
      <c r="E103" s="195"/>
      <c r="F103" s="195"/>
      <c r="G103" s="195"/>
      <c r="H103" s="195"/>
      <c r="I103" s="195"/>
      <c r="J103" s="195" t="str">
        <f>$J$1</f>
        <v>FR-16(7)(v)-7</v>
      </c>
      <c r="K103" s="195"/>
    </row>
    <row r="104" spans="1:11" ht="13">
      <c r="A104" s="341" t="str">
        <f>$A$2</f>
        <v>STORAGE CLASSIFIED -  GAS COST OF SERVICE</v>
      </c>
      <c r="C104" s="195"/>
      <c r="D104" s="342"/>
      <c r="E104" s="195"/>
      <c r="F104" s="195"/>
      <c r="G104" s="195"/>
      <c r="H104" s="195"/>
      <c r="I104" s="195"/>
      <c r="J104" s="195" t="str">
        <f>$J$2</f>
        <v>WITNESS RESPONSIBLE:</v>
      </c>
      <c r="K104" s="195"/>
    </row>
    <row r="105" spans="1:11" ht="13">
      <c r="A105" s="341" t="str">
        <f>case_name</f>
        <v>CASE NO: 2021-00190</v>
      </c>
      <c r="C105" s="195"/>
      <c r="D105" s="342"/>
      <c r="E105" s="195"/>
      <c r="F105" s="195"/>
      <c r="G105" s="195"/>
      <c r="H105" s="195"/>
      <c r="I105" s="195"/>
      <c r="J105" s="195" t="str">
        <f>Witness</f>
        <v>JAMES E. ZIOLKOWSKI</v>
      </c>
      <c r="K105" s="195"/>
    </row>
    <row r="106" spans="1:11" ht="13">
      <c r="A106" s="341" t="str">
        <f>data_filing</f>
        <v>DATA: 12 MONTH FORECASTED PERIOD</v>
      </c>
      <c r="C106" s="195"/>
      <c r="D106" s="342"/>
      <c r="E106" s="195"/>
      <c r="F106" s="195"/>
      <c r="G106" s="195"/>
      <c r="H106" s="195"/>
      <c r="I106" s="195"/>
      <c r="J106" s="195" t="str">
        <f>"PAGE "&amp;Pages2-12&amp;" OF "&amp;Pages2</f>
        <v>PAGE 3 OF 15</v>
      </c>
      <c r="K106" s="195"/>
    </row>
    <row r="107" spans="1:11" ht="13">
      <c r="A107" s="341" t="str">
        <f>type</f>
        <v xml:space="preserve">TYPE OF FILING: "X" ORIGINAL   UPDATED    REVISED  </v>
      </c>
      <c r="C107" s="195"/>
      <c r="D107" s="342"/>
      <c r="E107" s="195"/>
      <c r="F107" s="195"/>
      <c r="G107" s="195"/>
      <c r="H107" s="195"/>
      <c r="I107" s="195"/>
      <c r="J107" s="195"/>
      <c r="K107" s="195"/>
    </row>
    <row r="108" spans="1:11" ht="13">
      <c r="A108" s="341"/>
      <c r="C108" s="195"/>
      <c r="D108" s="342"/>
      <c r="E108" s="195"/>
      <c r="F108" s="195"/>
      <c r="G108" s="195"/>
      <c r="H108" s="195"/>
      <c r="I108" s="195"/>
      <c r="J108" s="195"/>
      <c r="K108" s="195"/>
    </row>
    <row r="109" spans="1:11" ht="13">
      <c r="B109" s="341"/>
      <c r="C109" s="195"/>
      <c r="D109" s="342"/>
      <c r="E109" s="195"/>
      <c r="F109" s="195"/>
      <c r="G109" s="195"/>
      <c r="H109" s="195"/>
      <c r="I109" s="195"/>
      <c r="J109" s="195"/>
      <c r="K109" s="195"/>
    </row>
    <row r="110" spans="1:11" ht="13">
      <c r="A110" s="342" t="s">
        <v>907</v>
      </c>
      <c r="B110" s="195"/>
      <c r="C110" s="195"/>
      <c r="D110" s="342"/>
      <c r="E110" s="195"/>
      <c r="F110" s="342" t="str">
        <f>$F$8</f>
        <v>TOTAL</v>
      </c>
      <c r="G110" s="539" t="s">
        <v>995</v>
      </c>
      <c r="H110" s="527"/>
      <c r="I110" s="528"/>
      <c r="J110" s="342" t="s">
        <v>229</v>
      </c>
      <c r="K110" s="342" t="s">
        <v>342</v>
      </c>
    </row>
    <row r="111" spans="1:11" ht="13">
      <c r="A111" s="344" t="s">
        <v>908</v>
      </c>
      <c r="B111" s="343" t="s">
        <v>22</v>
      </c>
      <c r="C111" s="343"/>
      <c r="D111" s="344" t="s">
        <v>337</v>
      </c>
      <c r="E111" s="343"/>
      <c r="F111" s="344" t="str">
        <f>$F$9</f>
        <v>STORAGE</v>
      </c>
      <c r="G111" s="540" t="s">
        <v>840</v>
      </c>
      <c r="H111" s="529" t="s">
        <v>841</v>
      </c>
      <c r="I111" s="530" t="s">
        <v>842</v>
      </c>
      <c r="J111" s="344" t="s">
        <v>341</v>
      </c>
      <c r="K111" s="344" t="s">
        <v>340</v>
      </c>
    </row>
    <row r="112" spans="1:11" ht="13">
      <c r="C112" s="572" t="s">
        <v>345</v>
      </c>
      <c r="D112" s="342"/>
      <c r="E112" s="195"/>
      <c r="G112" s="793">
        <f>$G$10</f>
        <v>3</v>
      </c>
      <c r="H112" s="794">
        <f>$H$10</f>
        <v>4</v>
      </c>
      <c r="I112" s="795">
        <f>$I$10</f>
        <v>5</v>
      </c>
    </row>
    <row r="113" spans="1:11" ht="13">
      <c r="A113" s="331">
        <v>1</v>
      </c>
      <c r="B113" s="330" t="s">
        <v>14</v>
      </c>
      <c r="D113" s="342"/>
      <c r="E113" s="195"/>
      <c r="G113" s="541"/>
      <c r="H113" s="531"/>
      <c r="I113" s="532"/>
    </row>
    <row r="114" spans="1:11" ht="13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3">
        <f>'FR-16(7)(v)-1 Functional'!H114</f>
        <v>0</v>
      </c>
      <c r="G114" s="542">
        <f>F114-SUM(H114:I114)</f>
        <v>0</v>
      </c>
      <c r="H114" s="533">
        <f>ROUND(F114*VLOOKUP(D114,AllocTable_Classified_Storage,$H$10,FALSE),0)</f>
        <v>0</v>
      </c>
      <c r="I114" s="534">
        <f>ROUND(F114*VLOOKUP(D114,AllocTable_Classified_Storage,$I$10,FALSE),0)</f>
        <v>0</v>
      </c>
      <c r="J114" s="345">
        <f>SUM(G114:I114)</f>
        <v>0</v>
      </c>
      <c r="K114" s="345">
        <f>F114-J114</f>
        <v>0</v>
      </c>
    </row>
    <row r="115" spans="1:11" ht="13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K115" si="39">SUM(F114:F114)</f>
        <v>0</v>
      </c>
      <c r="G115" s="543">
        <f t="shared" si="39"/>
        <v>0</v>
      </c>
      <c r="H115" s="535">
        <f t="shared" si="39"/>
        <v>0</v>
      </c>
      <c r="I115" s="536">
        <f t="shared" si="39"/>
        <v>0</v>
      </c>
      <c r="J115" s="346">
        <f t="shared" si="39"/>
        <v>0</v>
      </c>
      <c r="K115" s="346">
        <f t="shared" si="39"/>
        <v>0</v>
      </c>
    </row>
    <row r="116" spans="1:11" ht="13">
      <c r="A116" s="331">
        <v>4</v>
      </c>
      <c r="D116" s="342"/>
      <c r="E116" s="195"/>
      <c r="G116" s="541"/>
      <c r="H116" s="531"/>
      <c r="I116" s="532"/>
    </row>
    <row r="117" spans="1:11" ht="13">
      <c r="A117" s="331">
        <v>5</v>
      </c>
      <c r="B117" s="330" t="s">
        <v>15</v>
      </c>
      <c r="D117" s="342"/>
      <c r="E117" s="195"/>
      <c r="G117" s="541"/>
      <c r="H117" s="531"/>
      <c r="I117" s="532"/>
    </row>
    <row r="118" spans="1:11" ht="13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1"/>
      <c r="G118" s="542"/>
      <c r="H118" s="533"/>
      <c r="I118" s="534"/>
      <c r="J118" s="345"/>
      <c r="K118" s="345"/>
    </row>
    <row r="119" spans="1:11" ht="13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K119" si="40">SUM(F118:F118)</f>
        <v>0</v>
      </c>
      <c r="G119" s="543">
        <f t="shared" si="40"/>
        <v>0</v>
      </c>
      <c r="H119" s="535">
        <f t="shared" si="40"/>
        <v>0</v>
      </c>
      <c r="I119" s="536">
        <f t="shared" si="40"/>
        <v>0</v>
      </c>
      <c r="J119" s="346">
        <f t="shared" si="40"/>
        <v>0</v>
      </c>
      <c r="K119" s="346">
        <f t="shared" si="40"/>
        <v>0</v>
      </c>
    </row>
    <row r="120" spans="1:11" ht="13">
      <c r="A120" s="331">
        <v>8</v>
      </c>
      <c r="D120" s="342"/>
      <c r="E120" s="195"/>
      <c r="G120" s="541"/>
      <c r="H120" s="531"/>
      <c r="I120" s="532"/>
    </row>
    <row r="121" spans="1:11" ht="13">
      <c r="A121" s="331">
        <v>9</v>
      </c>
      <c r="B121" s="330" t="s">
        <v>17</v>
      </c>
      <c r="D121" s="342"/>
      <c r="E121" s="195"/>
      <c r="G121" s="541"/>
      <c r="H121" s="531"/>
      <c r="I121" s="532"/>
    </row>
    <row r="122" spans="1:11" ht="13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3">
        <f>'FR-16(7)(v)-1 Functional'!H122</f>
        <v>0</v>
      </c>
      <c r="G122" s="542">
        <f t="shared" ref="G122:G130" si="41">F122-SUM(H122:I122)</f>
        <v>0</v>
      </c>
      <c r="H122" s="533">
        <f t="shared" ref="H122:H130" si="42">ROUND(F122*VLOOKUP(D122,AllocTable_Classified_Storage,$H$10,FALSE),0)</f>
        <v>0</v>
      </c>
      <c r="I122" s="534">
        <f t="shared" ref="I122:I130" si="43">ROUND(F122*VLOOKUP(D122,AllocTable_Classified_Storage,$I$10,FALSE),0)</f>
        <v>0</v>
      </c>
      <c r="J122" s="345">
        <f t="shared" ref="J122:J130" si="44">SUM(G122:I122)</f>
        <v>0</v>
      </c>
      <c r="K122" s="345">
        <f t="shared" ref="K122:K130" si="45">F122-J122</f>
        <v>0</v>
      </c>
    </row>
    <row r="123" spans="1:11" ht="13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3">
        <f>'FR-16(7)(v)-1 Functional'!H123</f>
        <v>0</v>
      </c>
      <c r="G123" s="542">
        <f t="shared" si="41"/>
        <v>0</v>
      </c>
      <c r="H123" s="533">
        <f t="shared" si="42"/>
        <v>0</v>
      </c>
      <c r="I123" s="534">
        <f t="shared" si="43"/>
        <v>0</v>
      </c>
      <c r="J123" s="345">
        <f t="shared" si="44"/>
        <v>0</v>
      </c>
      <c r="K123" s="345">
        <f t="shared" si="45"/>
        <v>0</v>
      </c>
    </row>
    <row r="124" spans="1:11" ht="13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3">
        <f>'FR-16(7)(v)-1 Functional'!H124</f>
        <v>0</v>
      </c>
      <c r="G124" s="542">
        <f t="shared" si="41"/>
        <v>0</v>
      </c>
      <c r="H124" s="533">
        <f t="shared" si="42"/>
        <v>0</v>
      </c>
      <c r="I124" s="534">
        <f t="shared" si="43"/>
        <v>0</v>
      </c>
      <c r="J124" s="345">
        <f t="shared" si="44"/>
        <v>0</v>
      </c>
      <c r="K124" s="345">
        <f t="shared" si="45"/>
        <v>0</v>
      </c>
    </row>
    <row r="125" spans="1:11" ht="13">
      <c r="A125" s="331">
        <v>13</v>
      </c>
      <c r="C125" s="330" t="str">
        <f>'FR-16(7)(v)-1 Functional'!C125</f>
        <v>MAINS - (2761, 2762, 2763, 2765)</v>
      </c>
      <c r="D125" s="342" t="str">
        <f>'FR-16(7)(v)-1 Functional'!D125</f>
        <v>K415</v>
      </c>
      <c r="E125" s="195"/>
      <c r="F125" s="473">
        <f>'FR-16(7)(v)-1 Functional'!H125</f>
        <v>0</v>
      </c>
      <c r="G125" s="542">
        <f t="shared" si="41"/>
        <v>0</v>
      </c>
      <c r="H125" s="533">
        <f t="shared" si="42"/>
        <v>0</v>
      </c>
      <c r="I125" s="534">
        <f t="shared" si="43"/>
        <v>0</v>
      </c>
      <c r="J125" s="345">
        <f t="shared" si="44"/>
        <v>0</v>
      </c>
      <c r="K125" s="345">
        <f t="shared" si="45"/>
        <v>0</v>
      </c>
    </row>
    <row r="126" spans="1:11" ht="13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3">
        <f>'FR-16(7)(v)-1 Functional'!H126</f>
        <v>0</v>
      </c>
      <c r="G126" s="542">
        <f t="shared" si="41"/>
        <v>0</v>
      </c>
      <c r="H126" s="533">
        <f t="shared" si="42"/>
        <v>0</v>
      </c>
      <c r="I126" s="534">
        <f t="shared" si="43"/>
        <v>0</v>
      </c>
      <c r="J126" s="345">
        <f t="shared" si="44"/>
        <v>0</v>
      </c>
      <c r="K126" s="345">
        <f t="shared" si="45"/>
        <v>0</v>
      </c>
    </row>
    <row r="127" spans="1:11" ht="13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3">
        <f>'FR-16(7)(v)-1 Functional'!H127</f>
        <v>0</v>
      </c>
      <c r="G127" s="542">
        <f t="shared" si="41"/>
        <v>0</v>
      </c>
      <c r="H127" s="533">
        <f t="shared" si="42"/>
        <v>0</v>
      </c>
      <c r="I127" s="534">
        <f t="shared" si="43"/>
        <v>0</v>
      </c>
      <c r="J127" s="345">
        <f t="shared" si="44"/>
        <v>0</v>
      </c>
      <c r="K127" s="345">
        <f t="shared" si="45"/>
        <v>0</v>
      </c>
    </row>
    <row r="128" spans="1:11" ht="13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3">
        <f>'FR-16(7)(v)-1 Functional'!H128</f>
        <v>0</v>
      </c>
      <c r="G128" s="542">
        <f t="shared" si="41"/>
        <v>0</v>
      </c>
      <c r="H128" s="533">
        <f t="shared" si="42"/>
        <v>0</v>
      </c>
      <c r="I128" s="534">
        <f t="shared" si="43"/>
        <v>0</v>
      </c>
      <c r="J128" s="345">
        <f t="shared" si="44"/>
        <v>0</v>
      </c>
      <c r="K128" s="345">
        <f t="shared" si="45"/>
        <v>0</v>
      </c>
    </row>
    <row r="129" spans="1:11" ht="13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3">
        <f>'FR-16(7)(v)-1 Functional'!H129</f>
        <v>0</v>
      </c>
      <c r="G129" s="542">
        <f t="shared" si="41"/>
        <v>0</v>
      </c>
      <c r="H129" s="533">
        <f t="shared" si="42"/>
        <v>0</v>
      </c>
      <c r="I129" s="534">
        <f t="shared" si="43"/>
        <v>0</v>
      </c>
      <c r="J129" s="345">
        <f t="shared" si="44"/>
        <v>0</v>
      </c>
      <c r="K129" s="345">
        <f t="shared" si="45"/>
        <v>0</v>
      </c>
    </row>
    <row r="130" spans="1:11" ht="13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3">
        <f>'FR-16(7)(v)-1 Functional'!H130</f>
        <v>0</v>
      </c>
      <c r="G130" s="542">
        <f t="shared" si="41"/>
        <v>0</v>
      </c>
      <c r="H130" s="533">
        <f t="shared" si="42"/>
        <v>0</v>
      </c>
      <c r="I130" s="534">
        <f t="shared" si="43"/>
        <v>0</v>
      </c>
      <c r="J130" s="345">
        <f t="shared" si="44"/>
        <v>0</v>
      </c>
      <c r="K130" s="345">
        <f t="shared" si="45"/>
        <v>0</v>
      </c>
    </row>
    <row r="131" spans="1:11" ht="13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K131" si="46">SUM(F121:F130)</f>
        <v>0</v>
      </c>
      <c r="G131" s="543">
        <f t="shared" si="46"/>
        <v>0</v>
      </c>
      <c r="H131" s="535">
        <f t="shared" si="46"/>
        <v>0</v>
      </c>
      <c r="I131" s="536">
        <f t="shared" si="46"/>
        <v>0</v>
      </c>
      <c r="J131" s="346">
        <f t="shared" si="46"/>
        <v>0</v>
      </c>
      <c r="K131" s="346">
        <f t="shared" si="46"/>
        <v>0</v>
      </c>
    </row>
    <row r="132" spans="1:11" ht="13">
      <c r="A132" s="331">
        <v>20</v>
      </c>
      <c r="D132" s="342"/>
      <c r="E132" s="195"/>
      <c r="G132" s="541"/>
      <c r="H132" s="531"/>
      <c r="I132" s="532"/>
    </row>
    <row r="133" spans="1:11" ht="13">
      <c r="A133" s="331">
        <v>21</v>
      </c>
      <c r="B133" s="330" t="s">
        <v>20</v>
      </c>
      <c r="D133" s="342"/>
      <c r="E133" s="195"/>
      <c r="G133" s="541"/>
      <c r="H133" s="531"/>
      <c r="I133" s="532"/>
    </row>
    <row r="134" spans="1:11" ht="13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3">
        <f>'FR-16(7)(v)-1 Functional'!H134</f>
        <v>0</v>
      </c>
      <c r="G134" s="542">
        <f t="shared" ref="G134:G139" si="47">F134-SUM(H134:I134)</f>
        <v>0</v>
      </c>
      <c r="H134" s="533">
        <f t="shared" ref="H134:H139" si="48">ROUND(F134*VLOOKUP(D134,AllocTable_Classified_Storage,$H$10,FALSE),0)</f>
        <v>0</v>
      </c>
      <c r="I134" s="534">
        <f t="shared" ref="I134:I139" si="49">ROUND(F134*VLOOKUP(D134,AllocTable_Classified_Storage,$I$10,FALSE),0)</f>
        <v>0</v>
      </c>
      <c r="J134" s="345">
        <f t="shared" ref="J134:J139" si="50">SUM(G134:I134)</f>
        <v>0</v>
      </c>
      <c r="K134" s="345">
        <f t="shared" ref="K134:K139" si="51">F134-J134</f>
        <v>0</v>
      </c>
    </row>
    <row r="135" spans="1:11" ht="13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3">
        <f>'FR-16(7)(v)-1 Functional'!H135</f>
        <v>0</v>
      </c>
      <c r="G135" s="542">
        <f t="shared" si="47"/>
        <v>0</v>
      </c>
      <c r="H135" s="533">
        <f t="shared" si="48"/>
        <v>0</v>
      </c>
      <c r="I135" s="534">
        <f t="shared" si="49"/>
        <v>0</v>
      </c>
      <c r="J135" s="345">
        <f t="shared" si="50"/>
        <v>0</v>
      </c>
      <c r="K135" s="345">
        <f t="shared" si="51"/>
        <v>0</v>
      </c>
    </row>
    <row r="136" spans="1:11" ht="13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3">
        <f>'FR-16(7)(v)-1 Functional'!H136</f>
        <v>0</v>
      </c>
      <c r="G136" s="542">
        <f t="shared" si="47"/>
        <v>0</v>
      </c>
      <c r="H136" s="533">
        <f t="shared" si="48"/>
        <v>0</v>
      </c>
      <c r="I136" s="534">
        <f t="shared" si="49"/>
        <v>0</v>
      </c>
      <c r="J136" s="345">
        <f t="shared" si="50"/>
        <v>0</v>
      </c>
      <c r="K136" s="345">
        <f t="shared" si="51"/>
        <v>0</v>
      </c>
    </row>
    <row r="137" spans="1:11" ht="13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3">
        <f>'FR-16(7)(v)-1 Functional'!H137</f>
        <v>0</v>
      </c>
      <c r="G137" s="542">
        <f t="shared" si="47"/>
        <v>0</v>
      </c>
      <c r="H137" s="533">
        <f t="shared" si="48"/>
        <v>0</v>
      </c>
      <c r="I137" s="534">
        <f t="shared" si="49"/>
        <v>0</v>
      </c>
      <c r="J137" s="345">
        <f t="shared" si="50"/>
        <v>0</v>
      </c>
      <c r="K137" s="345">
        <f t="shared" si="51"/>
        <v>0</v>
      </c>
    </row>
    <row r="138" spans="1:11" ht="13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3">
        <f>'FR-16(7)(v)-1 Functional'!H138</f>
        <v>0</v>
      </c>
      <c r="G138" s="542">
        <f t="shared" si="47"/>
        <v>0</v>
      </c>
      <c r="H138" s="533">
        <f t="shared" si="48"/>
        <v>0</v>
      </c>
      <c r="I138" s="534">
        <f t="shared" si="49"/>
        <v>0</v>
      </c>
      <c r="J138" s="345">
        <f t="shared" si="50"/>
        <v>0</v>
      </c>
      <c r="K138" s="345">
        <f t="shared" si="51"/>
        <v>0</v>
      </c>
    </row>
    <row r="139" spans="1:11" ht="13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3">
        <f>'FR-16(7)(v)-1 Functional'!H139</f>
        <v>0</v>
      </c>
      <c r="G139" s="542">
        <f t="shared" si="47"/>
        <v>0</v>
      </c>
      <c r="H139" s="533">
        <f t="shared" si="48"/>
        <v>0</v>
      </c>
      <c r="I139" s="534">
        <f t="shared" si="49"/>
        <v>0</v>
      </c>
      <c r="J139" s="345">
        <f t="shared" si="50"/>
        <v>0</v>
      </c>
      <c r="K139" s="345">
        <f t="shared" si="51"/>
        <v>0</v>
      </c>
    </row>
    <row r="140" spans="1:11" ht="13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K140" si="52">SUM(F133:F139)</f>
        <v>0</v>
      </c>
      <c r="G140" s="543">
        <f t="shared" si="52"/>
        <v>0</v>
      </c>
      <c r="H140" s="535">
        <f t="shared" si="52"/>
        <v>0</v>
      </c>
      <c r="I140" s="536">
        <f t="shared" si="52"/>
        <v>0</v>
      </c>
      <c r="J140" s="346">
        <f t="shared" si="52"/>
        <v>0</v>
      </c>
      <c r="K140" s="346">
        <f t="shared" si="52"/>
        <v>0</v>
      </c>
    </row>
    <row r="141" spans="1:11" ht="13">
      <c r="A141" s="331">
        <v>29</v>
      </c>
      <c r="C141" s="363"/>
      <c r="D141" s="342"/>
      <c r="E141" s="195"/>
      <c r="G141" s="541"/>
      <c r="H141" s="531"/>
      <c r="I141" s="532"/>
    </row>
    <row r="142" spans="1:11" ht="13">
      <c r="A142" s="331">
        <v>30</v>
      </c>
      <c r="B142" s="330" t="s">
        <v>21</v>
      </c>
      <c r="C142" s="363"/>
      <c r="D142" s="342"/>
      <c r="E142" s="195"/>
      <c r="G142" s="541"/>
      <c r="H142" s="531"/>
      <c r="I142" s="532"/>
    </row>
    <row r="143" spans="1:11" ht="13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3">
        <f>'FR-16(7)(v)-1 Functional'!H143</f>
        <v>0</v>
      </c>
      <c r="G143" s="542">
        <f t="shared" ref="G143:G148" si="53">F143-SUM(H143:I143)</f>
        <v>0</v>
      </c>
      <c r="H143" s="533">
        <f t="shared" ref="H143:H148" si="54">ROUND(F143*VLOOKUP(D143,AllocTable_Classified_Storage,$H$10,FALSE),0)</f>
        <v>0</v>
      </c>
      <c r="I143" s="534">
        <f t="shared" ref="I143:I148" si="55">ROUND(F143*VLOOKUP(D143,AllocTable_Classified_Storage,$I$10,FALSE),0)</f>
        <v>0</v>
      </c>
      <c r="J143" s="345">
        <f t="shared" ref="J143:J148" si="56">SUM(G143:I143)</f>
        <v>0</v>
      </c>
      <c r="K143" s="345">
        <f t="shared" ref="K143:K148" si="57">F143-J143</f>
        <v>0</v>
      </c>
    </row>
    <row r="144" spans="1:11" ht="13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3">
        <f>'FR-16(7)(v)-1 Functional'!H144</f>
        <v>0</v>
      </c>
      <c r="G144" s="542">
        <f t="shared" si="53"/>
        <v>0</v>
      </c>
      <c r="H144" s="533">
        <f t="shared" si="54"/>
        <v>0</v>
      </c>
      <c r="I144" s="534">
        <f t="shared" si="55"/>
        <v>0</v>
      </c>
      <c r="J144" s="345">
        <f t="shared" si="56"/>
        <v>0</v>
      </c>
      <c r="K144" s="345">
        <f t="shared" si="57"/>
        <v>0</v>
      </c>
    </row>
    <row r="145" spans="1:11" ht="13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3">
        <f>'FR-16(7)(v)-1 Functional'!H145</f>
        <v>0</v>
      </c>
      <c r="G145" s="542">
        <f t="shared" si="53"/>
        <v>0</v>
      </c>
      <c r="H145" s="533">
        <f t="shared" si="54"/>
        <v>0</v>
      </c>
      <c r="I145" s="534">
        <f t="shared" si="55"/>
        <v>0</v>
      </c>
      <c r="J145" s="345">
        <f t="shared" si="56"/>
        <v>0</v>
      </c>
      <c r="K145" s="345">
        <f t="shared" si="57"/>
        <v>0</v>
      </c>
    </row>
    <row r="146" spans="1:11" ht="13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3">
        <f>'FR-16(7)(v)-1 Functional'!H146</f>
        <v>0</v>
      </c>
      <c r="G146" s="542">
        <f t="shared" si="53"/>
        <v>0</v>
      </c>
      <c r="H146" s="533">
        <f t="shared" si="54"/>
        <v>0</v>
      </c>
      <c r="I146" s="534">
        <f t="shared" si="55"/>
        <v>0</v>
      </c>
      <c r="J146" s="345">
        <f t="shared" si="56"/>
        <v>0</v>
      </c>
      <c r="K146" s="345">
        <f t="shared" si="57"/>
        <v>0</v>
      </c>
    </row>
    <row r="147" spans="1:11" ht="13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3">
        <f>'FR-16(7)(v)-1 Functional'!H147</f>
        <v>0</v>
      </c>
      <c r="G147" s="542">
        <f t="shared" si="53"/>
        <v>0</v>
      </c>
      <c r="H147" s="533">
        <f t="shared" si="54"/>
        <v>0</v>
      </c>
      <c r="I147" s="534">
        <f t="shared" si="55"/>
        <v>0</v>
      </c>
      <c r="J147" s="345">
        <f t="shared" si="56"/>
        <v>0</v>
      </c>
      <c r="K147" s="345">
        <f t="shared" si="57"/>
        <v>0</v>
      </c>
    </row>
    <row r="148" spans="1:11" ht="13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3">
        <f>'FR-16(7)(v)-1 Functional'!H148</f>
        <v>0</v>
      </c>
      <c r="G148" s="542">
        <f t="shared" si="53"/>
        <v>0</v>
      </c>
      <c r="H148" s="533">
        <f t="shared" si="54"/>
        <v>0</v>
      </c>
      <c r="I148" s="534">
        <f t="shared" si="55"/>
        <v>0</v>
      </c>
      <c r="J148" s="345">
        <f t="shared" si="56"/>
        <v>0</v>
      </c>
      <c r="K148" s="345">
        <f t="shared" si="57"/>
        <v>0</v>
      </c>
    </row>
    <row r="149" spans="1:11" ht="13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0</v>
      </c>
      <c r="G149" s="543">
        <f>SUM(G142:G148)</f>
        <v>0</v>
      </c>
      <c r="H149" s="535">
        <f>SUM(H142:H148)</f>
        <v>0</v>
      </c>
      <c r="I149" s="536">
        <f>SUM(I142:I148)</f>
        <v>0</v>
      </c>
      <c r="J149" s="346">
        <f>SUM(J142:J148)</f>
        <v>0</v>
      </c>
      <c r="K149" s="346">
        <f>SUM(K142:K148)</f>
        <v>0</v>
      </c>
    </row>
    <row r="150" spans="1:11" ht="13">
      <c r="A150" s="331">
        <v>38</v>
      </c>
      <c r="D150" s="342"/>
      <c r="E150" s="195"/>
      <c r="G150" s="541"/>
      <c r="H150" s="531"/>
      <c r="I150" s="532"/>
    </row>
    <row r="151" spans="1:11" ht="13">
      <c r="A151" s="331">
        <v>39</v>
      </c>
      <c r="B151" s="330" t="s">
        <v>23</v>
      </c>
      <c r="D151" s="342"/>
      <c r="E151" s="195"/>
      <c r="F151" s="345">
        <f t="shared" ref="F151:K151" si="58">F149+F140+F131+F119+F115</f>
        <v>0</v>
      </c>
      <c r="G151" s="544">
        <f t="shared" si="58"/>
        <v>0</v>
      </c>
      <c r="H151" s="537">
        <f t="shared" si="58"/>
        <v>0</v>
      </c>
      <c r="I151" s="538">
        <f t="shared" si="58"/>
        <v>0</v>
      </c>
      <c r="J151" s="345">
        <f t="shared" si="58"/>
        <v>0</v>
      </c>
      <c r="K151" s="345">
        <f t="shared" si="58"/>
        <v>0</v>
      </c>
    </row>
    <row r="152" spans="1:11" ht="13">
      <c r="B152" s="341"/>
      <c r="C152" s="195"/>
      <c r="D152" s="342"/>
      <c r="E152" s="195"/>
      <c r="F152" s="195"/>
      <c r="G152" s="195"/>
      <c r="H152" s="195"/>
      <c r="I152" s="195"/>
      <c r="J152" s="195"/>
    </row>
    <row r="153" spans="1:11" ht="13">
      <c r="A153" s="341" t="str">
        <f>co_name</f>
        <v>DUKE ENERGY KENTUCKY, INC.</v>
      </c>
      <c r="C153" s="195"/>
      <c r="D153" s="342"/>
      <c r="E153" s="195"/>
      <c r="F153" s="195"/>
      <c r="G153" s="195"/>
      <c r="H153" s="195"/>
      <c r="I153" s="195"/>
      <c r="J153" s="195" t="str">
        <f>$J$1</f>
        <v>FR-16(7)(v)-7</v>
      </c>
      <c r="K153" s="195"/>
    </row>
    <row r="154" spans="1:11" ht="13">
      <c r="A154" s="341" t="str">
        <f>$A$2</f>
        <v>STORAGE CLASSIFIED -  GAS COST OF SERVICE</v>
      </c>
      <c r="C154" s="195"/>
      <c r="D154" s="342"/>
      <c r="E154" s="195"/>
      <c r="F154" s="195"/>
      <c r="G154" s="195"/>
      <c r="H154" s="195"/>
      <c r="I154" s="195"/>
      <c r="J154" s="195" t="str">
        <f>$J$2</f>
        <v>WITNESS RESPONSIBLE:</v>
      </c>
      <c r="K154" s="195"/>
    </row>
    <row r="155" spans="1:11" ht="13">
      <c r="A155" s="341" t="str">
        <f>case_name</f>
        <v>CASE NO: 2021-00190</v>
      </c>
      <c r="C155" s="195"/>
      <c r="D155" s="342"/>
      <c r="E155" s="195"/>
      <c r="F155" s="195"/>
      <c r="G155" s="195"/>
      <c r="H155" s="195"/>
      <c r="I155" s="195"/>
      <c r="J155" s="195" t="str">
        <f>Witness</f>
        <v>JAMES E. ZIOLKOWSKI</v>
      </c>
      <c r="K155" s="195"/>
    </row>
    <row r="156" spans="1:11" ht="13">
      <c r="A156" s="341" t="str">
        <f>data_filing</f>
        <v>DATA: 12 MONTH FORECASTED PERIOD</v>
      </c>
      <c r="C156" s="195"/>
      <c r="D156" s="342"/>
      <c r="E156" s="195"/>
      <c r="F156" s="195"/>
      <c r="G156" s="195"/>
      <c r="H156" s="195"/>
      <c r="I156" s="195"/>
      <c r="J156" s="195" t="str">
        <f>"PAGE "&amp;Pages2-11&amp;" OF "&amp;Pages2</f>
        <v>PAGE 4 OF 15</v>
      </c>
      <c r="K156" s="195"/>
    </row>
    <row r="157" spans="1:11" ht="13">
      <c r="A157" s="341" t="str">
        <f>type</f>
        <v xml:space="preserve">TYPE OF FILING: "X" ORIGINAL   UPDATED    REVISED  </v>
      </c>
      <c r="C157" s="195"/>
      <c r="D157" s="342"/>
      <c r="E157" s="195"/>
      <c r="F157" s="195"/>
      <c r="G157" s="195"/>
      <c r="H157" s="195"/>
      <c r="I157" s="195"/>
      <c r="J157" s="195"/>
      <c r="K157" s="195"/>
    </row>
    <row r="158" spans="1:11" ht="13">
      <c r="A158" s="341"/>
      <c r="C158" s="195"/>
      <c r="D158" s="342"/>
      <c r="E158" s="195"/>
      <c r="F158" s="195"/>
      <c r="G158" s="195"/>
      <c r="H158" s="195"/>
      <c r="I158" s="195"/>
      <c r="J158" s="195"/>
      <c r="K158" s="195"/>
    </row>
    <row r="159" spans="1:11" ht="13">
      <c r="B159" s="341"/>
      <c r="C159" s="195"/>
      <c r="D159" s="342"/>
      <c r="E159" s="195"/>
      <c r="F159" s="195"/>
      <c r="G159" s="195"/>
      <c r="H159" s="195"/>
      <c r="I159" s="195"/>
      <c r="J159" s="195"/>
    </row>
    <row r="160" spans="1:11" ht="13">
      <c r="A160" s="342" t="s">
        <v>907</v>
      </c>
      <c r="B160" s="195"/>
      <c r="C160" s="195"/>
      <c r="D160" s="342"/>
      <c r="E160" s="195"/>
      <c r="F160" s="342" t="str">
        <f>$F$8</f>
        <v>TOTAL</v>
      </c>
      <c r="G160" s="539" t="s">
        <v>995</v>
      </c>
      <c r="H160" s="527"/>
      <c r="I160" s="528"/>
      <c r="J160" s="342" t="s">
        <v>229</v>
      </c>
      <c r="K160" s="342" t="s">
        <v>342</v>
      </c>
    </row>
    <row r="161" spans="1:11" ht="13">
      <c r="A161" s="344" t="s">
        <v>908</v>
      </c>
      <c r="B161" s="343" t="str">
        <f>"NET GAS PLANT"</f>
        <v>NET GAS PLANT</v>
      </c>
      <c r="C161" s="343"/>
      <c r="D161" s="344" t="s">
        <v>337</v>
      </c>
      <c r="E161" s="343"/>
      <c r="F161" s="344" t="str">
        <f>$F$9</f>
        <v>STORAGE</v>
      </c>
      <c r="G161" s="540" t="s">
        <v>840</v>
      </c>
      <c r="H161" s="529" t="s">
        <v>841</v>
      </c>
      <c r="I161" s="530" t="s">
        <v>842</v>
      </c>
      <c r="J161" s="344" t="s">
        <v>341</v>
      </c>
      <c r="K161" s="344" t="s">
        <v>340</v>
      </c>
    </row>
    <row r="162" spans="1:11" ht="13">
      <c r="C162" s="572" t="s">
        <v>346</v>
      </c>
      <c r="D162" s="342"/>
      <c r="E162" s="195"/>
      <c r="G162" s="793">
        <f>$G$10</f>
        <v>3</v>
      </c>
      <c r="H162" s="794">
        <f>$H$10</f>
        <v>4</v>
      </c>
      <c r="I162" s="795">
        <f>$I$10</f>
        <v>5</v>
      </c>
    </row>
    <row r="163" spans="1:11" ht="13">
      <c r="A163" s="331">
        <v>1</v>
      </c>
      <c r="B163" s="330" t="s">
        <v>14</v>
      </c>
      <c r="D163" s="342"/>
      <c r="E163" s="195"/>
      <c r="G163" s="541"/>
      <c r="H163" s="531"/>
      <c r="I163" s="532"/>
    </row>
    <row r="164" spans="1:11" ht="13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0</v>
      </c>
      <c r="G164" s="542">
        <f>$G$59</f>
        <v>0</v>
      </c>
      <c r="H164" s="533">
        <f>$H$59</f>
        <v>0</v>
      </c>
      <c r="I164" s="534">
        <f>$I$59</f>
        <v>0</v>
      </c>
      <c r="J164" s="345">
        <f>$J$59</f>
        <v>0</v>
      </c>
      <c r="K164" s="345">
        <f>F164-J164</f>
        <v>0</v>
      </c>
    </row>
    <row r="165" spans="1:11" ht="13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>-F115</f>
        <v>0</v>
      </c>
      <c r="G165" s="542">
        <f>-G115</f>
        <v>0</v>
      </c>
      <c r="H165" s="533">
        <f>-H115</f>
        <v>0</v>
      </c>
      <c r="I165" s="534">
        <f>-I115</f>
        <v>0</v>
      </c>
      <c r="J165" s="345">
        <f>-J115</f>
        <v>0</v>
      </c>
      <c r="K165" s="345">
        <f>F165-J165</f>
        <v>0</v>
      </c>
    </row>
    <row r="166" spans="1:11" ht="13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K166" si="59">SUM(F164:F165)</f>
        <v>0</v>
      </c>
      <c r="G166" s="543">
        <f t="shared" si="59"/>
        <v>0</v>
      </c>
      <c r="H166" s="535">
        <f t="shared" si="59"/>
        <v>0</v>
      </c>
      <c r="I166" s="536">
        <f t="shared" si="59"/>
        <v>0</v>
      </c>
      <c r="J166" s="346">
        <f t="shared" si="59"/>
        <v>0</v>
      </c>
      <c r="K166" s="346">
        <f t="shared" si="59"/>
        <v>0</v>
      </c>
    </row>
    <row r="167" spans="1:11" ht="13">
      <c r="A167" s="331">
        <v>5</v>
      </c>
      <c r="D167" s="342"/>
      <c r="E167" s="195"/>
      <c r="G167" s="541"/>
      <c r="H167" s="531"/>
      <c r="I167" s="532"/>
    </row>
    <row r="168" spans="1:11" ht="13">
      <c r="A168" s="331">
        <v>6</v>
      </c>
      <c r="B168" s="357" t="s">
        <v>15</v>
      </c>
      <c r="C168" s="357"/>
      <c r="D168" s="342"/>
      <c r="E168" s="195"/>
      <c r="F168" s="345"/>
      <c r="G168" s="542"/>
      <c r="H168" s="533"/>
      <c r="I168" s="534"/>
      <c r="J168" s="345"/>
    </row>
    <row r="169" spans="1:11" ht="13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542">
        <f>$G$63</f>
        <v>0</v>
      </c>
      <c r="H169" s="533">
        <f>$H$63</f>
        <v>0</v>
      </c>
      <c r="I169" s="534">
        <f>$I$63</f>
        <v>0</v>
      </c>
      <c r="J169" s="345">
        <f>$J$63</f>
        <v>0</v>
      </c>
      <c r="K169" s="345">
        <f>F169-J169</f>
        <v>0</v>
      </c>
    </row>
    <row r="170" spans="1:11" ht="13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>-F119</f>
        <v>0</v>
      </c>
      <c r="G170" s="542">
        <f>-G119</f>
        <v>0</v>
      </c>
      <c r="H170" s="533">
        <f>-H119</f>
        <v>0</v>
      </c>
      <c r="I170" s="534">
        <f>-I119</f>
        <v>0</v>
      </c>
      <c r="J170" s="345">
        <f>-J119</f>
        <v>0</v>
      </c>
      <c r="K170" s="345">
        <f>F170-J170</f>
        <v>0</v>
      </c>
    </row>
    <row r="171" spans="1:11" ht="13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K171" si="60">SUM(F168:F170)</f>
        <v>0</v>
      </c>
      <c r="G171" s="543">
        <f t="shared" si="60"/>
        <v>0</v>
      </c>
      <c r="H171" s="535">
        <f t="shared" si="60"/>
        <v>0</v>
      </c>
      <c r="I171" s="536">
        <f t="shared" si="60"/>
        <v>0</v>
      </c>
      <c r="J171" s="346">
        <f t="shared" si="60"/>
        <v>0</v>
      </c>
      <c r="K171" s="346">
        <f t="shared" si="60"/>
        <v>0</v>
      </c>
    </row>
    <row r="172" spans="1:11" ht="13">
      <c r="A172" s="331">
        <v>10</v>
      </c>
      <c r="D172" s="342"/>
      <c r="E172" s="195"/>
      <c r="G172" s="541"/>
      <c r="H172" s="531"/>
      <c r="I172" s="532"/>
    </row>
    <row r="173" spans="1:11" ht="13">
      <c r="A173" s="331">
        <v>11</v>
      </c>
      <c r="B173" s="330" t="s">
        <v>17</v>
      </c>
      <c r="D173" s="342"/>
      <c r="E173" s="195"/>
      <c r="G173" s="541"/>
      <c r="H173" s="531"/>
      <c r="I173" s="532"/>
    </row>
    <row r="174" spans="1:11" ht="13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>F78</f>
        <v>0</v>
      </c>
      <c r="G174" s="542">
        <f>G78</f>
        <v>0</v>
      </c>
      <c r="H174" s="533">
        <f>H78</f>
        <v>0</v>
      </c>
      <c r="I174" s="534">
        <f>I78</f>
        <v>0</v>
      </c>
      <c r="J174" s="345">
        <f>J78</f>
        <v>0</v>
      </c>
      <c r="K174" s="345">
        <f>F174-J174</f>
        <v>0</v>
      </c>
    </row>
    <row r="175" spans="1:11" ht="13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>-F131</f>
        <v>0</v>
      </c>
      <c r="G175" s="542">
        <f>-G131</f>
        <v>0</v>
      </c>
      <c r="H175" s="533">
        <f>-H131</f>
        <v>0</v>
      </c>
      <c r="I175" s="534">
        <f>-I131</f>
        <v>0</v>
      </c>
      <c r="J175" s="345">
        <f>-J131</f>
        <v>0</v>
      </c>
      <c r="K175" s="345">
        <f>F175-J175</f>
        <v>0</v>
      </c>
    </row>
    <row r="176" spans="1:11" ht="13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K176" si="61">SUM(F173:F175)</f>
        <v>0</v>
      </c>
      <c r="G176" s="543">
        <f t="shared" si="61"/>
        <v>0</v>
      </c>
      <c r="H176" s="535">
        <f t="shared" si="61"/>
        <v>0</v>
      </c>
      <c r="I176" s="536">
        <f t="shared" si="61"/>
        <v>0</v>
      </c>
      <c r="J176" s="346">
        <f t="shared" si="61"/>
        <v>0</v>
      </c>
      <c r="K176" s="346">
        <f t="shared" si="61"/>
        <v>0</v>
      </c>
    </row>
    <row r="177" spans="1:11" ht="13">
      <c r="A177" s="331">
        <v>15</v>
      </c>
      <c r="D177" s="342"/>
      <c r="E177" s="195"/>
      <c r="G177" s="541"/>
      <c r="H177" s="531"/>
      <c r="I177" s="532"/>
    </row>
    <row r="178" spans="1:11" ht="13">
      <c r="A178" s="331">
        <v>16</v>
      </c>
      <c r="B178" s="330" t="s">
        <v>429</v>
      </c>
      <c r="D178" s="342"/>
      <c r="E178" s="195"/>
      <c r="F178" s="345">
        <f t="shared" ref="F178:K178" si="62">F176+F171+F166</f>
        <v>0</v>
      </c>
      <c r="G178" s="542">
        <f t="shared" si="62"/>
        <v>0</v>
      </c>
      <c r="H178" s="533">
        <f t="shared" si="62"/>
        <v>0</v>
      </c>
      <c r="I178" s="534">
        <f t="shared" si="62"/>
        <v>0</v>
      </c>
      <c r="J178" s="345">
        <f t="shared" si="62"/>
        <v>0</v>
      </c>
      <c r="K178" s="345">
        <f t="shared" si="62"/>
        <v>0</v>
      </c>
    </row>
    <row r="179" spans="1:11" ht="13">
      <c r="A179" s="331">
        <v>17</v>
      </c>
      <c r="B179" s="330" t="s">
        <v>24</v>
      </c>
      <c r="D179" s="342"/>
      <c r="E179" s="195"/>
      <c r="F179" s="345">
        <f t="shared" ref="F179:K179" si="63">F176+F171</f>
        <v>0</v>
      </c>
      <c r="G179" s="542">
        <f t="shared" si="63"/>
        <v>0</v>
      </c>
      <c r="H179" s="533">
        <f t="shared" si="63"/>
        <v>0</v>
      </c>
      <c r="I179" s="534">
        <f t="shared" si="63"/>
        <v>0</v>
      </c>
      <c r="J179" s="345">
        <f t="shared" si="63"/>
        <v>0</v>
      </c>
      <c r="K179" s="345">
        <f t="shared" si="63"/>
        <v>0</v>
      </c>
    </row>
    <row r="180" spans="1:11" ht="13">
      <c r="A180" s="331">
        <v>18</v>
      </c>
      <c r="D180" s="342"/>
      <c r="E180" s="195"/>
      <c r="G180" s="541"/>
      <c r="H180" s="531"/>
      <c r="I180" s="532"/>
    </row>
    <row r="181" spans="1:11" ht="13">
      <c r="A181" s="331">
        <v>19</v>
      </c>
      <c r="B181" s="330" t="s">
        <v>20</v>
      </c>
      <c r="D181" s="342"/>
      <c r="E181" s="195"/>
      <c r="G181" s="541"/>
      <c r="H181" s="531"/>
      <c r="I181" s="532"/>
    </row>
    <row r="182" spans="1:11" ht="13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>F90</f>
        <v>0</v>
      </c>
      <c r="G182" s="542">
        <f>G90</f>
        <v>0</v>
      </c>
      <c r="H182" s="533">
        <f>H90</f>
        <v>0</v>
      </c>
      <c r="I182" s="534">
        <f>I90</f>
        <v>0</v>
      </c>
      <c r="J182" s="345">
        <f>J90</f>
        <v>0</v>
      </c>
      <c r="K182" s="345">
        <f>F182-J182</f>
        <v>0</v>
      </c>
    </row>
    <row r="183" spans="1:11" ht="13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>-F140</f>
        <v>0</v>
      </c>
      <c r="G183" s="542">
        <f>-G140</f>
        <v>0</v>
      </c>
      <c r="H183" s="533">
        <f>-H140</f>
        <v>0</v>
      </c>
      <c r="I183" s="534">
        <f>-I140</f>
        <v>0</v>
      </c>
      <c r="J183" s="345">
        <f>-J140</f>
        <v>0</v>
      </c>
      <c r="K183" s="345">
        <f>F183-J183</f>
        <v>0</v>
      </c>
    </row>
    <row r="184" spans="1:11" ht="13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K184" si="64">SUM(F181:F183)</f>
        <v>0</v>
      </c>
      <c r="G184" s="543">
        <f t="shared" si="64"/>
        <v>0</v>
      </c>
      <c r="H184" s="535">
        <f t="shared" si="64"/>
        <v>0</v>
      </c>
      <c r="I184" s="536">
        <f t="shared" si="64"/>
        <v>0</v>
      </c>
      <c r="J184" s="346">
        <f t="shared" si="64"/>
        <v>0</v>
      </c>
      <c r="K184" s="346">
        <f t="shared" si="64"/>
        <v>0</v>
      </c>
    </row>
    <row r="185" spans="1:11" ht="13">
      <c r="A185" s="331">
        <v>23</v>
      </c>
      <c r="D185" s="342"/>
      <c r="E185" s="195"/>
      <c r="F185" s="345"/>
      <c r="G185" s="542"/>
      <c r="H185" s="533"/>
      <c r="I185" s="534"/>
      <c r="J185" s="345"/>
    </row>
    <row r="186" spans="1:11" ht="13">
      <c r="A186" s="331">
        <v>24</v>
      </c>
      <c r="B186" s="330" t="s">
        <v>21</v>
      </c>
      <c r="D186" s="342"/>
      <c r="E186" s="195"/>
      <c r="F186" s="345"/>
      <c r="G186" s="542"/>
      <c r="H186" s="533"/>
      <c r="I186" s="534"/>
      <c r="J186" s="345"/>
    </row>
    <row r="187" spans="1:11" ht="13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>F99</f>
        <v>0</v>
      </c>
      <c r="G187" s="542">
        <f>G99</f>
        <v>0</v>
      </c>
      <c r="H187" s="533">
        <f>H99</f>
        <v>0</v>
      </c>
      <c r="I187" s="534">
        <f>I99</f>
        <v>0</v>
      </c>
      <c r="J187" s="345">
        <f>J99</f>
        <v>0</v>
      </c>
      <c r="K187" s="345">
        <f>F187-J187</f>
        <v>0</v>
      </c>
    </row>
    <row r="188" spans="1:11" ht="13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>-F149</f>
        <v>0</v>
      </c>
      <c r="G188" s="542">
        <f>-G149</f>
        <v>0</v>
      </c>
      <c r="H188" s="533">
        <f>-H149</f>
        <v>0</v>
      </c>
      <c r="I188" s="534">
        <f>-I149</f>
        <v>0</v>
      </c>
      <c r="J188" s="345">
        <f>-J149</f>
        <v>0</v>
      </c>
      <c r="K188" s="345">
        <f>F188-J188</f>
        <v>0</v>
      </c>
    </row>
    <row r="189" spans="1:11" ht="13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K189" si="65">SUM(F186:F188)</f>
        <v>0</v>
      </c>
      <c r="G189" s="543">
        <f t="shared" si="65"/>
        <v>0</v>
      </c>
      <c r="H189" s="535">
        <f t="shared" si="65"/>
        <v>0</v>
      </c>
      <c r="I189" s="536">
        <f t="shared" si="65"/>
        <v>0</v>
      </c>
      <c r="J189" s="346">
        <f t="shared" si="65"/>
        <v>0</v>
      </c>
      <c r="K189" s="346">
        <f t="shared" si="65"/>
        <v>0</v>
      </c>
    </row>
    <row r="190" spans="1:11" ht="13">
      <c r="A190" s="331">
        <v>28</v>
      </c>
      <c r="D190" s="342"/>
      <c r="E190" s="195"/>
      <c r="F190" s="345"/>
      <c r="G190" s="542"/>
      <c r="H190" s="533"/>
      <c r="I190" s="534"/>
      <c r="J190" s="345"/>
      <c r="K190" s="345"/>
    </row>
    <row r="191" spans="1:11" ht="13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K191" si="66">F189+F184+F176+F171+F166</f>
        <v>0</v>
      </c>
      <c r="G191" s="544">
        <f t="shared" si="66"/>
        <v>0</v>
      </c>
      <c r="H191" s="537">
        <f t="shared" si="66"/>
        <v>0</v>
      </c>
      <c r="I191" s="538">
        <f t="shared" si="66"/>
        <v>0</v>
      </c>
      <c r="J191" s="345">
        <f t="shared" si="66"/>
        <v>0</v>
      </c>
      <c r="K191" s="345">
        <f t="shared" si="66"/>
        <v>0</v>
      </c>
    </row>
    <row r="192" spans="1:11" ht="13">
      <c r="B192" s="341"/>
      <c r="C192" s="195"/>
      <c r="D192" s="342"/>
      <c r="E192" s="195"/>
      <c r="F192" s="195"/>
      <c r="G192" s="195"/>
      <c r="H192" s="195"/>
      <c r="I192" s="195"/>
      <c r="J192" s="195"/>
      <c r="K192" s="195"/>
    </row>
    <row r="193" spans="1:11" ht="13">
      <c r="A193" s="341" t="str">
        <f>co_name</f>
        <v>DUKE ENERGY KENTUCKY, INC.</v>
      </c>
      <c r="C193" s="195"/>
      <c r="D193" s="342"/>
      <c r="E193" s="195"/>
      <c r="F193" s="195"/>
      <c r="G193" s="195"/>
      <c r="H193" s="195"/>
      <c r="I193" s="195"/>
      <c r="J193" s="195" t="str">
        <f>$J$1</f>
        <v>FR-16(7)(v)-7</v>
      </c>
      <c r="K193" s="195"/>
    </row>
    <row r="194" spans="1:11" ht="13">
      <c r="A194" s="341" t="str">
        <f>$A$2</f>
        <v>STORAGE CLASSIFIED -  GAS COST OF SERVICE</v>
      </c>
      <c r="C194" s="195"/>
      <c r="D194" s="342"/>
      <c r="E194" s="195"/>
      <c r="F194" s="195"/>
      <c r="G194" s="195"/>
      <c r="H194" s="195"/>
      <c r="I194" s="195"/>
      <c r="J194" s="195" t="str">
        <f>$J$2</f>
        <v>WITNESS RESPONSIBLE:</v>
      </c>
      <c r="K194" s="195"/>
    </row>
    <row r="195" spans="1:11" ht="13">
      <c r="A195" s="341" t="str">
        <f>case_name</f>
        <v>CASE NO: 2021-00190</v>
      </c>
      <c r="C195" s="195"/>
      <c r="D195" s="342"/>
      <c r="E195" s="195"/>
      <c r="F195" s="195"/>
      <c r="G195" s="195"/>
      <c r="H195" s="195"/>
      <c r="I195" s="195"/>
      <c r="J195" s="195" t="str">
        <f>Witness</f>
        <v>JAMES E. ZIOLKOWSKI</v>
      </c>
      <c r="K195" s="195"/>
    </row>
    <row r="196" spans="1:11" ht="13">
      <c r="A196" s="341" t="str">
        <f>data_filing</f>
        <v>DATA: 12 MONTH FORECASTED PERIOD</v>
      </c>
      <c r="C196" s="195"/>
      <c r="D196" s="342"/>
      <c r="E196" s="195"/>
      <c r="F196" s="195"/>
      <c r="G196" s="195"/>
      <c r="H196" s="195"/>
      <c r="I196" s="195"/>
      <c r="J196" s="195" t="str">
        <f>"PAGE "&amp;Pages2-10&amp;" OF "&amp;Pages2</f>
        <v>PAGE 5 OF 15</v>
      </c>
      <c r="K196" s="195"/>
    </row>
    <row r="197" spans="1:11" ht="13">
      <c r="A197" s="341" t="str">
        <f>type</f>
        <v xml:space="preserve">TYPE OF FILING: "X" ORIGINAL   UPDATED    REVISED  </v>
      </c>
      <c r="C197" s="195"/>
      <c r="D197" s="342"/>
      <c r="E197" s="195"/>
      <c r="F197" s="195"/>
      <c r="G197" s="195"/>
      <c r="H197" s="195"/>
      <c r="I197" s="195"/>
      <c r="J197" s="195"/>
      <c r="K197" s="195"/>
    </row>
    <row r="198" spans="1:11" ht="13">
      <c r="B198" s="341"/>
      <c r="C198" s="195"/>
      <c r="D198" s="342"/>
      <c r="E198" s="195"/>
      <c r="F198" s="195"/>
      <c r="G198" s="195"/>
      <c r="H198" s="195"/>
      <c r="I198" s="195"/>
      <c r="J198" s="195"/>
      <c r="K198" s="195"/>
    </row>
    <row r="199" spans="1:11" ht="13">
      <c r="B199" s="341"/>
      <c r="C199" s="195"/>
      <c r="D199" s="342"/>
      <c r="E199" s="195"/>
      <c r="F199" s="195"/>
      <c r="G199" s="195"/>
      <c r="H199" s="195"/>
      <c r="I199" s="195"/>
      <c r="J199" s="195"/>
      <c r="K199" s="195"/>
    </row>
    <row r="200" spans="1:11" ht="13">
      <c r="A200" s="342" t="s">
        <v>907</v>
      </c>
      <c r="B200" s="195"/>
      <c r="C200" s="195"/>
      <c r="D200" s="342"/>
      <c r="E200" s="195"/>
      <c r="F200" s="342" t="str">
        <f>$F$8</f>
        <v>TOTAL</v>
      </c>
      <c r="G200" s="539" t="s">
        <v>995</v>
      </c>
      <c r="H200" s="527"/>
      <c r="I200" s="528"/>
      <c r="J200" s="342" t="s">
        <v>229</v>
      </c>
      <c r="K200" s="342" t="s">
        <v>342</v>
      </c>
    </row>
    <row r="201" spans="1:11" ht="13">
      <c r="A201" s="344" t="s">
        <v>908</v>
      </c>
      <c r="B201" s="343" t="s">
        <v>946</v>
      </c>
      <c r="C201" s="343"/>
      <c r="D201" s="344" t="s">
        <v>337</v>
      </c>
      <c r="E201" s="343"/>
      <c r="F201" s="344" t="str">
        <f>$F$9</f>
        <v>STORAGE</v>
      </c>
      <c r="G201" s="540" t="s">
        <v>840</v>
      </c>
      <c r="H201" s="529" t="s">
        <v>841</v>
      </c>
      <c r="I201" s="530" t="s">
        <v>842</v>
      </c>
      <c r="J201" s="344" t="s">
        <v>341</v>
      </c>
      <c r="K201" s="344" t="s">
        <v>340</v>
      </c>
    </row>
    <row r="202" spans="1:11" ht="13">
      <c r="C202" s="572" t="s">
        <v>347</v>
      </c>
      <c r="D202" s="342"/>
      <c r="E202" s="195"/>
      <c r="G202" s="793">
        <f>$G$10</f>
        <v>3</v>
      </c>
      <c r="H202" s="794">
        <f>$H$10</f>
        <v>4</v>
      </c>
      <c r="I202" s="795">
        <f>$I$10</f>
        <v>5</v>
      </c>
    </row>
    <row r="203" spans="1:11" ht="13">
      <c r="A203" s="331">
        <v>1</v>
      </c>
      <c r="B203" s="330" t="s">
        <v>26</v>
      </c>
      <c r="D203" s="342"/>
      <c r="E203" s="195"/>
      <c r="G203" s="541"/>
      <c r="H203" s="531"/>
      <c r="I203" s="532"/>
    </row>
    <row r="204" spans="1:11" ht="13">
      <c r="A204" s="331">
        <v>2</v>
      </c>
      <c r="B204" s="330" t="s">
        <v>816</v>
      </c>
      <c r="D204" s="342"/>
      <c r="E204" s="195"/>
      <c r="G204" s="541"/>
      <c r="H204" s="531"/>
      <c r="I204" s="532"/>
    </row>
    <row r="205" spans="1:11" ht="13">
      <c r="A205" s="331">
        <v>3</v>
      </c>
      <c r="B205" s="330" t="s">
        <v>27</v>
      </c>
      <c r="D205" s="342"/>
      <c r="E205" s="195"/>
      <c r="G205" s="541"/>
      <c r="H205" s="531"/>
      <c r="I205" s="532"/>
    </row>
    <row r="206" spans="1:11" ht="13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3">
        <f>'FR-16(7)(v)-1 Functional'!H206</f>
        <v>0</v>
      </c>
      <c r="G206" s="542">
        <f t="shared" ref="G206:G214" si="67">F206-SUM(H206:I206)</f>
        <v>0</v>
      </c>
      <c r="H206" s="533">
        <f t="shared" ref="H206:H214" si="68">ROUND(F206*VLOOKUP(D206,AllocTable_Classified_Storage,$H$10,FALSE),0)</f>
        <v>0</v>
      </c>
      <c r="I206" s="534">
        <f t="shared" ref="I206:I214" si="69">ROUND(F206*VLOOKUP(D206,AllocTable_Classified_Storage,$I$10,FALSE),0)</f>
        <v>0</v>
      </c>
      <c r="J206" s="345">
        <f t="shared" ref="J206:J214" si="70">SUM(G206:I206)</f>
        <v>0</v>
      </c>
      <c r="K206" s="345">
        <f t="shared" ref="K206:K214" si="71">F206-J206</f>
        <v>0</v>
      </c>
    </row>
    <row r="207" spans="1:11" ht="13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3">
        <f>'FR-16(7)(v)-1 Functional'!H207</f>
        <v>0</v>
      </c>
      <c r="G207" s="542">
        <f t="shared" si="67"/>
        <v>0</v>
      </c>
      <c r="H207" s="533">
        <f t="shared" si="68"/>
        <v>0</v>
      </c>
      <c r="I207" s="534">
        <f t="shared" si="69"/>
        <v>0</v>
      </c>
      <c r="J207" s="345">
        <f t="shared" si="70"/>
        <v>0</v>
      </c>
      <c r="K207" s="345">
        <f t="shared" si="71"/>
        <v>0</v>
      </c>
    </row>
    <row r="208" spans="1:11" ht="13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3">
        <f>'FR-16(7)(v)-1 Functional'!H208</f>
        <v>0</v>
      </c>
      <c r="G208" s="542">
        <f t="shared" si="67"/>
        <v>0</v>
      </c>
      <c r="H208" s="533">
        <f t="shared" si="68"/>
        <v>0</v>
      </c>
      <c r="I208" s="534">
        <f t="shared" si="69"/>
        <v>0</v>
      </c>
      <c r="J208" s="345">
        <f t="shared" si="70"/>
        <v>0</v>
      </c>
      <c r="K208" s="345">
        <f t="shared" si="71"/>
        <v>0</v>
      </c>
    </row>
    <row r="209" spans="1:11" ht="13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3">
        <f>'FR-16(7)(v)-1 Functional'!H209</f>
        <v>0</v>
      </c>
      <c r="G209" s="542">
        <f t="shared" si="67"/>
        <v>0</v>
      </c>
      <c r="H209" s="533">
        <f t="shared" si="68"/>
        <v>0</v>
      </c>
      <c r="I209" s="534">
        <f t="shared" si="69"/>
        <v>0</v>
      </c>
      <c r="J209" s="345">
        <f t="shared" si="70"/>
        <v>0</v>
      </c>
      <c r="K209" s="345">
        <f t="shared" si="71"/>
        <v>0</v>
      </c>
    </row>
    <row r="210" spans="1:11" ht="13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3">
        <f>'FR-16(7)(v)-1 Functional'!H210</f>
        <v>0</v>
      </c>
      <c r="G210" s="542">
        <f t="shared" si="67"/>
        <v>0</v>
      </c>
      <c r="H210" s="533">
        <f t="shared" si="68"/>
        <v>0</v>
      </c>
      <c r="I210" s="534">
        <f t="shared" si="69"/>
        <v>0</v>
      </c>
      <c r="J210" s="345">
        <f t="shared" si="70"/>
        <v>0</v>
      </c>
      <c r="K210" s="345">
        <f t="shared" si="71"/>
        <v>0</v>
      </c>
    </row>
    <row r="211" spans="1:11" ht="13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3">
        <f>'FR-16(7)(v)-1 Functional'!H211</f>
        <v>0</v>
      </c>
      <c r="G211" s="542">
        <f t="shared" si="67"/>
        <v>0</v>
      </c>
      <c r="H211" s="533">
        <f t="shared" si="68"/>
        <v>0</v>
      </c>
      <c r="I211" s="534">
        <f t="shared" si="69"/>
        <v>0</v>
      </c>
      <c r="J211" s="345">
        <f t="shared" si="70"/>
        <v>0</v>
      </c>
      <c r="K211" s="345">
        <f t="shared" si="71"/>
        <v>0</v>
      </c>
    </row>
    <row r="212" spans="1:11" ht="13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3">
        <f>'FR-16(7)(v)-1 Functional'!H212</f>
        <v>0</v>
      </c>
      <c r="G212" s="542">
        <f t="shared" si="67"/>
        <v>0</v>
      </c>
      <c r="H212" s="533">
        <f t="shared" si="68"/>
        <v>0</v>
      </c>
      <c r="I212" s="534">
        <f t="shared" si="69"/>
        <v>0</v>
      </c>
      <c r="J212" s="345">
        <f t="shared" si="70"/>
        <v>0</v>
      </c>
      <c r="K212" s="345">
        <f t="shared" si="71"/>
        <v>0</v>
      </c>
    </row>
    <row r="213" spans="1:11" ht="13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3">
        <f>'FR-16(7)(v)-1 Functional'!H213</f>
        <v>0</v>
      </c>
      <c r="G213" s="542">
        <f t="shared" si="67"/>
        <v>0</v>
      </c>
      <c r="H213" s="533">
        <f t="shared" si="68"/>
        <v>0</v>
      </c>
      <c r="I213" s="534">
        <f t="shared" si="69"/>
        <v>0</v>
      </c>
      <c r="J213" s="345">
        <f t="shared" si="70"/>
        <v>0</v>
      </c>
      <c r="K213" s="345">
        <f t="shared" si="71"/>
        <v>0</v>
      </c>
    </row>
    <row r="214" spans="1:11" ht="13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3">
        <f>'FR-16(7)(v)-1 Functional'!H214</f>
        <v>0</v>
      </c>
      <c r="G214" s="542">
        <f t="shared" si="67"/>
        <v>0</v>
      </c>
      <c r="H214" s="533">
        <f t="shared" si="68"/>
        <v>0</v>
      </c>
      <c r="I214" s="534">
        <f t="shared" si="69"/>
        <v>0</v>
      </c>
      <c r="J214" s="345">
        <f t="shared" si="70"/>
        <v>0</v>
      </c>
      <c r="K214" s="345">
        <f t="shared" si="71"/>
        <v>0</v>
      </c>
    </row>
    <row r="215" spans="1:11" ht="13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K215" si="72">SUM(F206:F214)</f>
        <v>0</v>
      </c>
      <c r="G215" s="543">
        <f t="shared" si="72"/>
        <v>0</v>
      </c>
      <c r="H215" s="535">
        <f t="shared" si="72"/>
        <v>0</v>
      </c>
      <c r="I215" s="536">
        <f t="shared" si="72"/>
        <v>0</v>
      </c>
      <c r="J215" s="346">
        <f t="shared" si="72"/>
        <v>0</v>
      </c>
      <c r="K215" s="346">
        <f t="shared" si="72"/>
        <v>0</v>
      </c>
    </row>
    <row r="216" spans="1:11" ht="13">
      <c r="A216" s="331">
        <v>14</v>
      </c>
      <c r="D216" s="342"/>
      <c r="E216" s="195"/>
      <c r="G216" s="541"/>
      <c r="H216" s="531"/>
      <c r="I216" s="532"/>
    </row>
    <row r="217" spans="1:11" ht="13">
      <c r="A217" s="331">
        <v>15</v>
      </c>
      <c r="B217" s="330" t="s">
        <v>28</v>
      </c>
      <c r="D217" s="342"/>
      <c r="E217" s="195"/>
      <c r="G217" s="541"/>
      <c r="H217" s="531"/>
      <c r="I217" s="532"/>
    </row>
    <row r="218" spans="1:11" ht="13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3">
        <f>'FR-16(7)(v)-1 Functional'!H218</f>
        <v>0</v>
      </c>
      <c r="G218" s="542">
        <f t="shared" ref="G218:G228" si="73">F218-SUM(H218:I218)</f>
        <v>0</v>
      </c>
      <c r="H218" s="533">
        <f t="shared" ref="H218:H225" si="74">ROUND(F218*VLOOKUP(D218,AllocTable_Classified_Storage,$H$10,FALSE),0)</f>
        <v>0</v>
      </c>
      <c r="I218" s="534">
        <f t="shared" ref="I218:I225" si="75">ROUND(F218*VLOOKUP(D218,AllocTable_Classified_Storage,$I$10,FALSE),0)</f>
        <v>0</v>
      </c>
      <c r="J218" s="345">
        <f t="shared" ref="J218:J228" si="76">SUM(G218:I218)</f>
        <v>0</v>
      </c>
      <c r="K218" s="345">
        <f t="shared" ref="K218:K228" si="77">F218-J218</f>
        <v>0</v>
      </c>
    </row>
    <row r="219" spans="1:11" ht="13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3">
        <f>'FR-16(7)(v)-1 Functional'!H219</f>
        <v>0</v>
      </c>
      <c r="G219" s="542">
        <f t="shared" si="73"/>
        <v>0</v>
      </c>
      <c r="H219" s="533">
        <f t="shared" si="74"/>
        <v>0</v>
      </c>
      <c r="I219" s="534">
        <f t="shared" si="75"/>
        <v>0</v>
      </c>
      <c r="J219" s="345">
        <f t="shared" si="76"/>
        <v>0</v>
      </c>
      <c r="K219" s="345">
        <f t="shared" si="77"/>
        <v>0</v>
      </c>
    </row>
    <row r="220" spans="1:11" ht="13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3">
        <f>'FR-16(7)(v)-1 Functional'!H220</f>
        <v>0</v>
      </c>
      <c r="G220" s="542">
        <f t="shared" si="73"/>
        <v>0</v>
      </c>
      <c r="H220" s="533">
        <f t="shared" si="74"/>
        <v>0</v>
      </c>
      <c r="I220" s="534">
        <f t="shared" si="75"/>
        <v>0</v>
      </c>
      <c r="J220" s="345">
        <f t="shared" si="76"/>
        <v>0</v>
      </c>
      <c r="K220" s="345">
        <f t="shared" si="77"/>
        <v>0</v>
      </c>
    </row>
    <row r="221" spans="1:11" ht="13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3">
        <f>'FR-16(7)(v)-1 Functional'!H221</f>
        <v>0</v>
      </c>
      <c r="G221" s="542">
        <f t="shared" si="73"/>
        <v>0</v>
      </c>
      <c r="H221" s="533">
        <f t="shared" si="74"/>
        <v>0</v>
      </c>
      <c r="I221" s="534">
        <f t="shared" si="75"/>
        <v>0</v>
      </c>
      <c r="J221" s="345">
        <f t="shared" si="76"/>
        <v>0</v>
      </c>
      <c r="K221" s="345">
        <f t="shared" si="77"/>
        <v>0</v>
      </c>
    </row>
    <row r="222" spans="1:11" ht="13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3">
        <f>'FR-16(7)(v)-1 Functional'!H222</f>
        <v>0</v>
      </c>
      <c r="G222" s="542">
        <f t="shared" si="73"/>
        <v>0</v>
      </c>
      <c r="H222" s="533">
        <f t="shared" si="74"/>
        <v>0</v>
      </c>
      <c r="I222" s="534">
        <f t="shared" si="75"/>
        <v>0</v>
      </c>
      <c r="J222" s="345">
        <f t="shared" si="76"/>
        <v>0</v>
      </c>
      <c r="K222" s="345">
        <f t="shared" si="77"/>
        <v>0</v>
      </c>
    </row>
    <row r="223" spans="1:11" ht="13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3">
        <f>'FR-16(7)(v)-1 Functional'!H223</f>
        <v>0</v>
      </c>
      <c r="G223" s="542">
        <f t="shared" si="73"/>
        <v>0</v>
      </c>
      <c r="H223" s="533">
        <f t="shared" si="74"/>
        <v>0</v>
      </c>
      <c r="I223" s="534">
        <f t="shared" si="75"/>
        <v>0</v>
      </c>
      <c r="J223" s="345">
        <f t="shared" si="76"/>
        <v>0</v>
      </c>
      <c r="K223" s="345">
        <f t="shared" si="77"/>
        <v>0</v>
      </c>
    </row>
    <row r="224" spans="1:11" ht="13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3">
        <f>'FR-16(7)(v)-1 Functional'!H224</f>
        <v>0</v>
      </c>
      <c r="G224" s="542">
        <f t="shared" si="73"/>
        <v>0</v>
      </c>
      <c r="H224" s="533">
        <f t="shared" si="74"/>
        <v>0</v>
      </c>
      <c r="I224" s="534">
        <f t="shared" si="75"/>
        <v>0</v>
      </c>
      <c r="J224" s="345">
        <f t="shared" si="76"/>
        <v>0</v>
      </c>
      <c r="K224" s="345">
        <f t="shared" si="77"/>
        <v>0</v>
      </c>
    </row>
    <row r="225" spans="1:11" ht="13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3">
        <f>'FR-16(7)(v)-1 Functional'!H225</f>
        <v>0</v>
      </c>
      <c r="G225" s="542">
        <f t="shared" si="73"/>
        <v>0</v>
      </c>
      <c r="H225" s="533">
        <f t="shared" si="74"/>
        <v>0</v>
      </c>
      <c r="I225" s="534">
        <f t="shared" si="75"/>
        <v>0</v>
      </c>
      <c r="J225" s="345">
        <f t="shared" si="76"/>
        <v>0</v>
      </c>
      <c r="K225" s="345">
        <f t="shared" si="77"/>
        <v>0</v>
      </c>
    </row>
    <row r="226" spans="1:11" ht="13">
      <c r="A226" s="331">
        <v>24</v>
      </c>
      <c r="C226" s="612" t="str">
        <f>'FR-16(7)(v)-1 Functional'!C226</f>
        <v>RATE CASE EXPENSE AMORT</v>
      </c>
      <c r="D226" s="342" t="str">
        <f>'FR-16(7)(v)-1 Functional'!D226</f>
        <v>AG39</v>
      </c>
      <c r="F226" s="473">
        <f>'FR-16(7)(v)-1 Functional'!H226</f>
        <v>0</v>
      </c>
      <c r="G226" s="542">
        <f>F226-SUM(H226:I226)</f>
        <v>0</v>
      </c>
      <c r="H226" s="533">
        <f>ROUND(F226*VLOOKUP(D226,AllocTable_Classified_Storage,$H$10,FALSE),0)</f>
        <v>0</v>
      </c>
      <c r="I226" s="534">
        <f>ROUND(F226*VLOOKUP(D226,AllocTable_Classified_Storage,$I$10,FALSE),0)</f>
        <v>0</v>
      </c>
      <c r="J226" s="345">
        <f>SUM(G226:I226)</f>
        <v>0</v>
      </c>
      <c r="K226" s="345">
        <f>F226-J226</f>
        <v>0</v>
      </c>
    </row>
    <row r="227" spans="1:11" ht="13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3">
        <f>'FR-16(7)(v)-1 Functional'!H227</f>
        <v>0</v>
      </c>
      <c r="G227" s="542">
        <f>F227-SUM(H227:I227)</f>
        <v>0</v>
      </c>
      <c r="H227" s="533">
        <f>ROUND(F227*VLOOKUP(D227,AllocTable_Classified_Storage,$H$10,FALSE),0)</f>
        <v>0</v>
      </c>
      <c r="I227" s="534">
        <f>ROUND(F227*VLOOKUP(D227,AllocTable_Classified_Storage,$I$10,FALSE),0)</f>
        <v>0</v>
      </c>
      <c r="J227" s="345">
        <f>SUM(G227:I227)</f>
        <v>0</v>
      </c>
      <c r="K227" s="345">
        <f>F227-J227</f>
        <v>0</v>
      </c>
    </row>
    <row r="228" spans="1:11" ht="13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3">
        <f>'FR-16(7)(v)-1 Functional'!H228</f>
        <v>0</v>
      </c>
      <c r="G228" s="542">
        <f t="shared" si="73"/>
        <v>0</v>
      </c>
      <c r="H228" s="533">
        <f>ROUND(F228*VLOOKUP(D228,AllocTable_Classified_Storage,$H$10,FALSE),0)</f>
        <v>0</v>
      </c>
      <c r="I228" s="534">
        <f>ROUND(F228*VLOOKUP(D228,AllocTable_Classified_Storage,$I$10,FALSE),0)</f>
        <v>0</v>
      </c>
      <c r="J228" s="345">
        <f t="shared" si="76"/>
        <v>0</v>
      </c>
      <c r="K228" s="345">
        <f t="shared" si="77"/>
        <v>0</v>
      </c>
    </row>
    <row r="229" spans="1:11" ht="13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K229" si="78">SUM(F217:F228)</f>
        <v>0</v>
      </c>
      <c r="G229" s="543">
        <f t="shared" si="78"/>
        <v>0</v>
      </c>
      <c r="H229" s="535">
        <f t="shared" si="78"/>
        <v>0</v>
      </c>
      <c r="I229" s="536">
        <f t="shared" si="78"/>
        <v>0</v>
      </c>
      <c r="J229" s="346">
        <f t="shared" si="78"/>
        <v>0</v>
      </c>
      <c r="K229" s="346">
        <f t="shared" si="78"/>
        <v>0</v>
      </c>
    </row>
    <row r="230" spans="1:11" ht="13">
      <c r="A230" s="331">
        <v>28</v>
      </c>
      <c r="D230" s="342"/>
      <c r="E230" s="195"/>
      <c r="G230" s="541"/>
      <c r="H230" s="531"/>
      <c r="I230" s="532"/>
    </row>
    <row r="231" spans="1:11" ht="13">
      <c r="A231" s="331">
        <v>29</v>
      </c>
      <c r="B231" s="351" t="s">
        <v>817</v>
      </c>
      <c r="C231" s="351"/>
      <c r="D231" s="342"/>
      <c r="E231" s="195"/>
      <c r="G231" s="541"/>
      <c r="H231" s="531"/>
      <c r="I231" s="532"/>
    </row>
    <row r="232" spans="1:11" ht="13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3">
        <f>'FR-16(7)(v)-1 Functional'!H232</f>
        <v>0</v>
      </c>
      <c r="G232" s="542">
        <f>F232-SUM(H232:I232)</f>
        <v>0</v>
      </c>
      <c r="H232" s="533">
        <f>ROUND(F232*VLOOKUP(D232,AllocTable_Classified_Storage,$H$10,FALSE),0)</f>
        <v>0</v>
      </c>
      <c r="I232" s="534">
        <f>ROUND(F232*VLOOKUP(D232,AllocTable_Classified_Storage,$I$10,FALSE),0)</f>
        <v>0</v>
      </c>
      <c r="J232" s="345">
        <f>SUM(G232:I232)</f>
        <v>0</v>
      </c>
      <c r="K232" s="345">
        <f>F232-J232</f>
        <v>0</v>
      </c>
    </row>
    <row r="233" spans="1:11" ht="13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3">
        <f>'FR-16(7)(v)-1 Functional'!H233</f>
        <v>0</v>
      </c>
      <c r="G233" s="542">
        <f>F233-SUM(H233:I233)</f>
        <v>0</v>
      </c>
      <c r="H233" s="533">
        <f>ROUND(F233*VLOOKUP(D233,AllocTable_Classified_Storage,$H$10,FALSE),0)</f>
        <v>0</v>
      </c>
      <c r="I233" s="534">
        <f>ROUND(F233*VLOOKUP(D233,AllocTable_Classified_Storage,$I$10,FALSE),0)</f>
        <v>0</v>
      </c>
      <c r="J233" s="345">
        <f>SUM(G233:I233)</f>
        <v>0</v>
      </c>
      <c r="K233" s="345">
        <f>F233-J233</f>
        <v>0</v>
      </c>
    </row>
    <row r="234" spans="1:11" ht="13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3">
        <f>'FR-16(7)(v)-1 Functional'!H234</f>
        <v>0</v>
      </c>
      <c r="G234" s="542">
        <f>F234-SUM(H234:I234)</f>
        <v>0</v>
      </c>
      <c r="H234" s="533">
        <f>ROUND(F234*VLOOKUP(D234,AllocTable_Classified_Storage,$H$10,FALSE),0)</f>
        <v>0</v>
      </c>
      <c r="I234" s="534">
        <f>ROUND(F234*VLOOKUP(D234,AllocTable_Classified_Storage,$I$10,FALSE),0)</f>
        <v>0</v>
      </c>
      <c r="J234" s="345">
        <f>SUM(G234:I234)</f>
        <v>0</v>
      </c>
      <c r="K234" s="345">
        <f>F234-J234</f>
        <v>0</v>
      </c>
    </row>
    <row r="235" spans="1:11" ht="13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3">
        <f>'FR-16(7)(v)-1 Functional'!H235</f>
        <v>0</v>
      </c>
      <c r="G235" s="542">
        <f>F235-SUM(H235:I235)</f>
        <v>0</v>
      </c>
      <c r="H235" s="533">
        <f>ROUND(F235*VLOOKUP(D235,AllocTable_Classified_Storage,$H$10,FALSE),0)</f>
        <v>0</v>
      </c>
      <c r="I235" s="534">
        <f>ROUND(F235*VLOOKUP(D235,AllocTable_Classified_Storage,$I$10,FALSE),0)</f>
        <v>0</v>
      </c>
      <c r="J235" s="345">
        <f>SUM(G235:I235)</f>
        <v>0</v>
      </c>
      <c r="K235" s="345">
        <f>F235-J235</f>
        <v>0</v>
      </c>
    </row>
    <row r="236" spans="1:11" ht="13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K236" si="79">SUM(F231:F235)</f>
        <v>0</v>
      </c>
      <c r="G236" s="543">
        <f t="shared" si="79"/>
        <v>0</v>
      </c>
      <c r="H236" s="535">
        <f t="shared" si="79"/>
        <v>0</v>
      </c>
      <c r="I236" s="536">
        <f t="shared" si="79"/>
        <v>0</v>
      </c>
      <c r="J236" s="346">
        <f t="shared" si="79"/>
        <v>0</v>
      </c>
      <c r="K236" s="346">
        <f t="shared" si="79"/>
        <v>0</v>
      </c>
    </row>
    <row r="237" spans="1:11" ht="13">
      <c r="A237" s="331">
        <v>35</v>
      </c>
      <c r="D237" s="342"/>
      <c r="E237" s="195"/>
      <c r="G237" s="541"/>
      <c r="H237" s="531"/>
      <c r="I237" s="532"/>
    </row>
    <row r="238" spans="1:11" ht="13">
      <c r="A238" s="331">
        <v>36</v>
      </c>
      <c r="B238" s="330" t="s">
        <v>821</v>
      </c>
      <c r="D238" s="342"/>
      <c r="E238" s="195"/>
      <c r="F238" s="345">
        <f t="shared" ref="F238:K238" si="80">F236+F229+F215</f>
        <v>0</v>
      </c>
      <c r="G238" s="544">
        <f t="shared" si="80"/>
        <v>0</v>
      </c>
      <c r="H238" s="537">
        <f t="shared" si="80"/>
        <v>0</v>
      </c>
      <c r="I238" s="538">
        <f t="shared" si="80"/>
        <v>0</v>
      </c>
      <c r="J238" s="345">
        <f t="shared" si="80"/>
        <v>0</v>
      </c>
      <c r="K238" s="345">
        <f t="shared" si="80"/>
        <v>0</v>
      </c>
    </row>
    <row r="239" spans="1:11" ht="13">
      <c r="B239" s="341"/>
      <c r="C239" s="195"/>
      <c r="D239" s="342"/>
      <c r="E239" s="195"/>
      <c r="F239" s="195"/>
      <c r="G239" s="195"/>
      <c r="H239" s="195"/>
      <c r="I239" s="195"/>
      <c r="J239" s="195"/>
      <c r="K239" s="195"/>
    </row>
    <row r="240" spans="1:11" ht="13">
      <c r="A240" s="341" t="str">
        <f>co_name</f>
        <v>DUKE ENERGY KENTUCKY, INC.</v>
      </c>
      <c r="C240" s="195"/>
      <c r="D240" s="342"/>
      <c r="E240" s="195"/>
      <c r="F240" s="195"/>
      <c r="G240" s="195"/>
      <c r="H240" s="195"/>
      <c r="I240" s="195"/>
      <c r="J240" s="195" t="str">
        <f>$J$1</f>
        <v>FR-16(7)(v)-7</v>
      </c>
      <c r="K240" s="195"/>
    </row>
    <row r="241" spans="1:11" ht="13">
      <c r="A241" s="341" t="str">
        <f>$A$2</f>
        <v>STORAGE CLASSIFIED -  GAS COST OF SERVICE</v>
      </c>
      <c r="C241" s="195"/>
      <c r="D241" s="342"/>
      <c r="E241" s="195"/>
      <c r="F241" s="195"/>
      <c r="G241" s="195"/>
      <c r="H241" s="195"/>
      <c r="I241" s="195"/>
      <c r="J241" s="195" t="str">
        <f>$J$2</f>
        <v>WITNESS RESPONSIBLE:</v>
      </c>
      <c r="K241" s="195"/>
    </row>
    <row r="242" spans="1:11" ht="13">
      <c r="A242" s="341" t="str">
        <f>case_name</f>
        <v>CASE NO: 2021-00190</v>
      </c>
      <c r="C242" s="195"/>
      <c r="D242" s="342"/>
      <c r="E242" s="195"/>
      <c r="F242" s="195"/>
      <c r="G242" s="195"/>
      <c r="H242" s="195"/>
      <c r="I242" s="195"/>
      <c r="J242" s="195" t="str">
        <f>Witness</f>
        <v>JAMES E. ZIOLKOWSKI</v>
      </c>
      <c r="K242" s="195"/>
    </row>
    <row r="243" spans="1:11" ht="13">
      <c r="A243" s="341" t="str">
        <f>data_filing</f>
        <v>DATA: 12 MONTH FORECASTED PERIOD</v>
      </c>
      <c r="C243" s="195"/>
      <c r="D243" s="342"/>
      <c r="E243" s="195"/>
      <c r="F243" s="195"/>
      <c r="G243" s="195"/>
      <c r="H243" s="195"/>
      <c r="I243" s="195"/>
      <c r="J243" s="195" t="str">
        <f>"PAGE "&amp;Pages2-9&amp;" OF "&amp;Pages2</f>
        <v>PAGE 6 OF 15</v>
      </c>
      <c r="K243" s="195"/>
    </row>
    <row r="244" spans="1:11" ht="13">
      <c r="A244" s="341" t="str">
        <f>type</f>
        <v xml:space="preserve">TYPE OF FILING: "X" ORIGINAL   UPDATED    REVISED  </v>
      </c>
      <c r="C244" s="195"/>
      <c r="D244" s="342"/>
      <c r="E244" s="195"/>
      <c r="F244" s="195"/>
      <c r="G244" s="195"/>
      <c r="H244" s="195"/>
      <c r="I244" s="195"/>
      <c r="J244" s="195"/>
      <c r="K244" s="195"/>
    </row>
    <row r="245" spans="1:11" ht="13">
      <c r="B245" s="341"/>
      <c r="C245" s="195"/>
      <c r="D245" s="342"/>
      <c r="E245" s="195"/>
      <c r="F245" s="195"/>
      <c r="G245" s="195"/>
      <c r="H245" s="195"/>
      <c r="I245" s="195"/>
      <c r="J245" s="195"/>
      <c r="K245" s="195"/>
    </row>
    <row r="246" spans="1:11" ht="13">
      <c r="B246" s="341"/>
      <c r="C246" s="195"/>
      <c r="D246" s="342"/>
      <c r="E246" s="195"/>
      <c r="F246" s="195"/>
      <c r="G246" s="195"/>
      <c r="H246" s="195"/>
      <c r="I246" s="195"/>
      <c r="J246" s="195"/>
      <c r="K246" s="195"/>
    </row>
    <row r="247" spans="1:11" ht="13">
      <c r="A247" s="342" t="s">
        <v>907</v>
      </c>
      <c r="B247" s="195"/>
      <c r="C247" s="195"/>
      <c r="D247" s="342"/>
      <c r="E247" s="195"/>
      <c r="F247" s="342" t="str">
        <f>$F$8</f>
        <v>TOTAL</v>
      </c>
      <c r="G247" s="539" t="s">
        <v>995</v>
      </c>
      <c r="H247" s="527"/>
      <c r="I247" s="528"/>
      <c r="J247" s="342" t="s">
        <v>229</v>
      </c>
      <c r="K247" s="342" t="s">
        <v>342</v>
      </c>
    </row>
    <row r="248" spans="1:11" ht="13">
      <c r="A248" s="344" t="s">
        <v>908</v>
      </c>
      <c r="B248" s="343" t="s">
        <v>947</v>
      </c>
      <c r="C248" s="343"/>
      <c r="D248" s="344" t="s">
        <v>337</v>
      </c>
      <c r="E248" s="343"/>
      <c r="F248" s="344" t="str">
        <f>$F$9</f>
        <v>STORAGE</v>
      </c>
      <c r="G248" s="540" t="s">
        <v>840</v>
      </c>
      <c r="H248" s="529" t="s">
        <v>841</v>
      </c>
      <c r="I248" s="530" t="s">
        <v>842</v>
      </c>
      <c r="J248" s="344" t="s">
        <v>341</v>
      </c>
      <c r="K248" s="344" t="s">
        <v>340</v>
      </c>
    </row>
    <row r="249" spans="1:11" ht="13">
      <c r="C249" s="572" t="s">
        <v>555</v>
      </c>
      <c r="D249" s="342"/>
      <c r="E249" s="195"/>
      <c r="G249" s="793">
        <f>$G$10</f>
        <v>3</v>
      </c>
      <c r="H249" s="794">
        <f>$H$10</f>
        <v>4</v>
      </c>
      <c r="I249" s="795">
        <f>$I$10</f>
        <v>5</v>
      </c>
    </row>
    <row r="250" spans="1:11" ht="13">
      <c r="A250" s="331">
        <v>1</v>
      </c>
      <c r="B250" s="330" t="s">
        <v>819</v>
      </c>
      <c r="D250" s="342"/>
      <c r="E250" s="195"/>
      <c r="G250" s="541"/>
      <c r="H250" s="531"/>
      <c r="I250" s="532"/>
    </row>
    <row r="251" spans="1:11" ht="13">
      <c r="A251" s="331">
        <v>2</v>
      </c>
      <c r="B251" s="330" t="s">
        <v>29</v>
      </c>
      <c r="D251" s="342"/>
      <c r="E251" s="195"/>
      <c r="G251" s="541"/>
      <c r="H251" s="531"/>
      <c r="I251" s="532"/>
    </row>
    <row r="252" spans="1:11" ht="13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3">
        <f>'FR-16(7)(v)-1 Functional'!H252</f>
        <v>0</v>
      </c>
      <c r="G252" s="542">
        <f>F252-SUM(H252:I252)</f>
        <v>0</v>
      </c>
      <c r="H252" s="533">
        <f t="shared" ref="H252:H274" si="81">ROUND(F252*VLOOKUP(D252,AllocTable_Classified_Storage,$H$10,FALSE),0)</f>
        <v>0</v>
      </c>
      <c r="I252" s="534">
        <f t="shared" ref="I252:I274" si="82">ROUND(F252*VLOOKUP(D252,AllocTable_Classified_Storage,$I$10,FALSE),0)</f>
        <v>0</v>
      </c>
      <c r="J252" s="345">
        <f t="shared" ref="J252:J274" si="83">SUM(G252:I252)</f>
        <v>0</v>
      </c>
      <c r="K252" s="345">
        <f t="shared" ref="K252:K274" si="84">F252-J252</f>
        <v>0</v>
      </c>
    </row>
    <row r="253" spans="1:11" ht="13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3">
        <f>'FR-16(7)(v)-1 Functional'!H253</f>
        <v>0</v>
      </c>
      <c r="G253" s="542">
        <f t="shared" ref="G253:G274" si="85">F253-SUM(H253:I253)</f>
        <v>0</v>
      </c>
      <c r="H253" s="533">
        <f t="shared" si="81"/>
        <v>0</v>
      </c>
      <c r="I253" s="534">
        <f t="shared" si="82"/>
        <v>0</v>
      </c>
      <c r="J253" s="345">
        <f t="shared" si="83"/>
        <v>0</v>
      </c>
      <c r="K253" s="345">
        <f t="shared" si="84"/>
        <v>0</v>
      </c>
    </row>
    <row r="254" spans="1:11" ht="13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3">
        <f>'FR-16(7)(v)-1 Functional'!H254</f>
        <v>0</v>
      </c>
      <c r="G254" s="542">
        <f t="shared" si="85"/>
        <v>0</v>
      </c>
      <c r="H254" s="533">
        <f t="shared" si="81"/>
        <v>0</v>
      </c>
      <c r="I254" s="534">
        <f t="shared" si="82"/>
        <v>0</v>
      </c>
      <c r="J254" s="345">
        <f t="shared" si="83"/>
        <v>0</v>
      </c>
      <c r="K254" s="345">
        <f t="shared" si="84"/>
        <v>0</v>
      </c>
    </row>
    <row r="255" spans="1:11" ht="13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3">
        <f>'FR-16(7)(v)-1 Functional'!H255</f>
        <v>0</v>
      </c>
      <c r="G255" s="542">
        <f t="shared" si="85"/>
        <v>0</v>
      </c>
      <c r="H255" s="533">
        <f t="shared" si="81"/>
        <v>0</v>
      </c>
      <c r="I255" s="534">
        <f t="shared" si="82"/>
        <v>0</v>
      </c>
      <c r="J255" s="345">
        <f t="shared" si="83"/>
        <v>0</v>
      </c>
      <c r="K255" s="345">
        <f t="shared" si="84"/>
        <v>0</v>
      </c>
    </row>
    <row r="256" spans="1:11" ht="13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3">
        <f>'FR-16(7)(v)-1 Functional'!H256</f>
        <v>0</v>
      </c>
      <c r="G256" s="542">
        <f t="shared" si="85"/>
        <v>0</v>
      </c>
      <c r="H256" s="533">
        <f t="shared" si="81"/>
        <v>0</v>
      </c>
      <c r="I256" s="534">
        <f t="shared" si="82"/>
        <v>0</v>
      </c>
      <c r="J256" s="345">
        <f t="shared" si="83"/>
        <v>0</v>
      </c>
      <c r="K256" s="345">
        <f t="shared" si="84"/>
        <v>0</v>
      </c>
    </row>
    <row r="257" spans="1:11" ht="13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3">
        <f>'FR-16(7)(v)-1 Functional'!H257</f>
        <v>0</v>
      </c>
      <c r="G257" s="542">
        <f t="shared" si="85"/>
        <v>0</v>
      </c>
      <c r="H257" s="533">
        <f t="shared" si="81"/>
        <v>0</v>
      </c>
      <c r="I257" s="534">
        <f t="shared" si="82"/>
        <v>0</v>
      </c>
      <c r="J257" s="345">
        <f t="shared" si="83"/>
        <v>0</v>
      </c>
      <c r="K257" s="345">
        <f t="shared" si="84"/>
        <v>0</v>
      </c>
    </row>
    <row r="258" spans="1:11" ht="13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3">
        <f>'FR-16(7)(v)-1 Functional'!H258</f>
        <v>0</v>
      </c>
      <c r="G258" s="542">
        <f t="shared" si="85"/>
        <v>0</v>
      </c>
      <c r="H258" s="533">
        <f t="shared" si="81"/>
        <v>0</v>
      </c>
      <c r="I258" s="534">
        <f t="shared" si="82"/>
        <v>0</v>
      </c>
      <c r="J258" s="345">
        <f t="shared" si="83"/>
        <v>0</v>
      </c>
      <c r="K258" s="345">
        <f t="shared" si="84"/>
        <v>0</v>
      </c>
    </row>
    <row r="259" spans="1:11" ht="13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3">
        <f>'FR-16(7)(v)-1 Functional'!H259</f>
        <v>0</v>
      </c>
      <c r="G259" s="542">
        <f t="shared" si="85"/>
        <v>0</v>
      </c>
      <c r="H259" s="533">
        <f t="shared" si="81"/>
        <v>0</v>
      </c>
      <c r="I259" s="534">
        <f t="shared" si="82"/>
        <v>0</v>
      </c>
      <c r="J259" s="345">
        <f t="shared" si="83"/>
        <v>0</v>
      </c>
      <c r="K259" s="345">
        <f t="shared" si="84"/>
        <v>0</v>
      </c>
    </row>
    <row r="260" spans="1:11" ht="13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3">
        <f>'FR-16(7)(v)-1 Functional'!H260</f>
        <v>0</v>
      </c>
      <c r="G260" s="542">
        <f t="shared" si="85"/>
        <v>0</v>
      </c>
      <c r="H260" s="533">
        <f t="shared" si="81"/>
        <v>0</v>
      </c>
      <c r="I260" s="534">
        <f t="shared" si="82"/>
        <v>0</v>
      </c>
      <c r="J260" s="345">
        <f t="shared" si="83"/>
        <v>0</v>
      </c>
      <c r="K260" s="345">
        <f t="shared" si="84"/>
        <v>0</v>
      </c>
    </row>
    <row r="261" spans="1:11" ht="13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3">
        <f>'FR-16(7)(v)-1 Functional'!H261</f>
        <v>0</v>
      </c>
      <c r="G261" s="542">
        <f t="shared" si="85"/>
        <v>0</v>
      </c>
      <c r="H261" s="533">
        <f t="shared" si="81"/>
        <v>0</v>
      </c>
      <c r="I261" s="534">
        <f t="shared" si="82"/>
        <v>0</v>
      </c>
      <c r="J261" s="345">
        <f t="shared" si="83"/>
        <v>0</v>
      </c>
      <c r="K261" s="345">
        <f t="shared" si="84"/>
        <v>0</v>
      </c>
    </row>
    <row r="262" spans="1:11" ht="13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3">
        <f>'FR-16(7)(v)-1 Functional'!H262</f>
        <v>0</v>
      </c>
      <c r="G262" s="542">
        <f t="shared" si="85"/>
        <v>0</v>
      </c>
      <c r="H262" s="533">
        <f t="shared" si="81"/>
        <v>0</v>
      </c>
      <c r="I262" s="534">
        <f t="shared" si="82"/>
        <v>0</v>
      </c>
      <c r="J262" s="345">
        <f t="shared" si="83"/>
        <v>0</v>
      </c>
      <c r="K262" s="345">
        <f t="shared" si="84"/>
        <v>0</v>
      </c>
    </row>
    <row r="263" spans="1:11" ht="13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3">
        <f>'FR-16(7)(v)-1 Functional'!H263</f>
        <v>0</v>
      </c>
      <c r="G263" s="542">
        <f t="shared" si="85"/>
        <v>0</v>
      </c>
      <c r="H263" s="533">
        <f t="shared" si="81"/>
        <v>0</v>
      </c>
      <c r="I263" s="534">
        <f t="shared" si="82"/>
        <v>0</v>
      </c>
      <c r="J263" s="345">
        <f t="shared" si="83"/>
        <v>0</v>
      </c>
      <c r="K263" s="345">
        <f t="shared" si="84"/>
        <v>0</v>
      </c>
    </row>
    <row r="264" spans="1:11" ht="13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3">
        <f>'FR-16(7)(v)-1 Functional'!H264</f>
        <v>0</v>
      </c>
      <c r="G264" s="542">
        <f t="shared" si="85"/>
        <v>0</v>
      </c>
      <c r="H264" s="533">
        <f t="shared" si="81"/>
        <v>0</v>
      </c>
      <c r="I264" s="534">
        <f t="shared" si="82"/>
        <v>0</v>
      </c>
      <c r="J264" s="345">
        <f t="shared" si="83"/>
        <v>0</v>
      </c>
      <c r="K264" s="345">
        <f t="shared" si="84"/>
        <v>0</v>
      </c>
    </row>
    <row r="265" spans="1:11" ht="13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3">
        <f>'FR-16(7)(v)-1 Functional'!H265</f>
        <v>0</v>
      </c>
      <c r="G265" s="542">
        <f t="shared" si="85"/>
        <v>0</v>
      </c>
      <c r="H265" s="533">
        <f t="shared" si="81"/>
        <v>0</v>
      </c>
      <c r="I265" s="534">
        <f t="shared" si="82"/>
        <v>0</v>
      </c>
      <c r="J265" s="345">
        <f t="shared" si="83"/>
        <v>0</v>
      </c>
      <c r="K265" s="345">
        <f t="shared" si="84"/>
        <v>0</v>
      </c>
    </row>
    <row r="266" spans="1:11" ht="13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3">
        <f>'FR-16(7)(v)-1 Functional'!H266</f>
        <v>0</v>
      </c>
      <c r="G266" s="542">
        <f t="shared" si="85"/>
        <v>0</v>
      </c>
      <c r="H266" s="533">
        <f t="shared" si="81"/>
        <v>0</v>
      </c>
      <c r="I266" s="534">
        <f t="shared" si="82"/>
        <v>0</v>
      </c>
      <c r="J266" s="345">
        <f t="shared" si="83"/>
        <v>0</v>
      </c>
      <c r="K266" s="345">
        <f t="shared" si="84"/>
        <v>0</v>
      </c>
    </row>
    <row r="267" spans="1:11" ht="13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3">
        <f>'FR-16(7)(v)-1 Functional'!H267</f>
        <v>0</v>
      </c>
      <c r="G267" s="542">
        <f t="shared" si="85"/>
        <v>0</v>
      </c>
      <c r="H267" s="533">
        <f t="shared" si="81"/>
        <v>0</v>
      </c>
      <c r="I267" s="534">
        <f t="shared" si="82"/>
        <v>0</v>
      </c>
      <c r="J267" s="345">
        <f t="shared" si="83"/>
        <v>0</v>
      </c>
      <c r="K267" s="345">
        <f t="shared" si="84"/>
        <v>0</v>
      </c>
    </row>
    <row r="268" spans="1:11" ht="13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3">
        <f>'FR-16(7)(v)-1 Functional'!H268</f>
        <v>0</v>
      </c>
      <c r="G268" s="542">
        <f t="shared" si="85"/>
        <v>0</v>
      </c>
      <c r="H268" s="533">
        <f t="shared" si="81"/>
        <v>0</v>
      </c>
      <c r="I268" s="534">
        <f t="shared" si="82"/>
        <v>0</v>
      </c>
      <c r="J268" s="345">
        <f t="shared" si="83"/>
        <v>0</v>
      </c>
      <c r="K268" s="345">
        <f t="shared" si="84"/>
        <v>0</v>
      </c>
    </row>
    <row r="269" spans="1:11" ht="13">
      <c r="A269" s="331">
        <v>20</v>
      </c>
      <c r="C269" s="483" t="str">
        <f>'FR-16(7)(v)-1 Functional'!C269</f>
        <v>401K INCENTIVE PLAN</v>
      </c>
      <c r="D269" s="342" t="str">
        <f>'FR-16(7)(v)-1 Functional'!D269</f>
        <v>AG39</v>
      </c>
      <c r="F269" s="473">
        <f>'FR-16(7)(v)-1 Functional'!H269</f>
        <v>0</v>
      </c>
      <c r="G269" s="542">
        <f t="shared" si="85"/>
        <v>0</v>
      </c>
      <c r="H269" s="533">
        <f t="shared" si="81"/>
        <v>0</v>
      </c>
      <c r="I269" s="534">
        <f t="shared" si="82"/>
        <v>0</v>
      </c>
      <c r="J269" s="345">
        <f t="shared" si="83"/>
        <v>0</v>
      </c>
      <c r="K269" s="345">
        <f t="shared" si="84"/>
        <v>0</v>
      </c>
    </row>
    <row r="270" spans="1:11" ht="13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3">
        <f>'FR-16(7)(v)-1 Functional'!H270</f>
        <v>0</v>
      </c>
      <c r="G270" s="542">
        <f t="shared" si="85"/>
        <v>0</v>
      </c>
      <c r="H270" s="533">
        <f t="shared" si="81"/>
        <v>0</v>
      </c>
      <c r="I270" s="534">
        <f t="shared" si="82"/>
        <v>0</v>
      </c>
      <c r="J270" s="345">
        <f t="shared" si="83"/>
        <v>0</v>
      </c>
      <c r="K270" s="345">
        <f t="shared" si="84"/>
        <v>0</v>
      </c>
    </row>
    <row r="271" spans="1:11" ht="13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3">
        <f>'FR-16(7)(v)-1 Functional'!H271</f>
        <v>0</v>
      </c>
      <c r="G271" s="542">
        <f t="shared" si="85"/>
        <v>0</v>
      </c>
      <c r="H271" s="533">
        <f t="shared" si="81"/>
        <v>0</v>
      </c>
      <c r="I271" s="534">
        <f t="shared" si="82"/>
        <v>0</v>
      </c>
      <c r="J271" s="345">
        <f t="shared" si="83"/>
        <v>0</v>
      </c>
      <c r="K271" s="345">
        <f t="shared" si="84"/>
        <v>0</v>
      </c>
    </row>
    <row r="272" spans="1:11" ht="13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3">
        <f>'FR-16(7)(v)-1 Functional'!H272</f>
        <v>0</v>
      </c>
      <c r="G272" s="542">
        <f t="shared" si="85"/>
        <v>0</v>
      </c>
      <c r="H272" s="533">
        <f t="shared" si="81"/>
        <v>0</v>
      </c>
      <c r="I272" s="534">
        <f t="shared" si="82"/>
        <v>0</v>
      </c>
      <c r="J272" s="345">
        <f t="shared" si="83"/>
        <v>0</v>
      </c>
      <c r="K272" s="345">
        <f t="shared" si="84"/>
        <v>0</v>
      </c>
    </row>
    <row r="273" spans="1:11" ht="13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3">
        <f>'FR-16(7)(v)-1 Functional'!H273</f>
        <v>0</v>
      </c>
      <c r="G273" s="542">
        <f t="shared" si="85"/>
        <v>0</v>
      </c>
      <c r="H273" s="533">
        <f t="shared" si="81"/>
        <v>0</v>
      </c>
      <c r="I273" s="534">
        <f t="shared" si="82"/>
        <v>0</v>
      </c>
      <c r="J273" s="345">
        <f t="shared" si="83"/>
        <v>0</v>
      </c>
      <c r="K273" s="345">
        <f t="shared" si="84"/>
        <v>0</v>
      </c>
    </row>
    <row r="274" spans="1:11" ht="13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3">
        <f>'FR-16(7)(v)-1 Functional'!H274</f>
        <v>0</v>
      </c>
      <c r="G274" s="542">
        <f t="shared" si="85"/>
        <v>0</v>
      </c>
      <c r="H274" s="533">
        <f t="shared" si="81"/>
        <v>0</v>
      </c>
      <c r="I274" s="534">
        <f t="shared" si="82"/>
        <v>0</v>
      </c>
      <c r="J274" s="345">
        <f t="shared" si="83"/>
        <v>0</v>
      </c>
      <c r="K274" s="345">
        <f t="shared" si="84"/>
        <v>0</v>
      </c>
    </row>
    <row r="275" spans="1:11" ht="13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K275" si="86">SUM(F251:F274)</f>
        <v>0</v>
      </c>
      <c r="G275" s="543">
        <f t="shared" si="86"/>
        <v>0</v>
      </c>
      <c r="H275" s="535">
        <f t="shared" si="86"/>
        <v>0</v>
      </c>
      <c r="I275" s="536">
        <f t="shared" si="86"/>
        <v>0</v>
      </c>
      <c r="J275" s="346">
        <f t="shared" si="86"/>
        <v>0</v>
      </c>
      <c r="K275" s="346">
        <f t="shared" si="86"/>
        <v>0</v>
      </c>
    </row>
    <row r="276" spans="1:11" ht="13">
      <c r="A276" s="331">
        <v>27</v>
      </c>
      <c r="D276" s="342"/>
      <c r="E276" s="195"/>
      <c r="G276" s="541"/>
      <c r="H276" s="531"/>
      <c r="I276" s="532"/>
    </row>
    <row r="277" spans="1:11" ht="13">
      <c r="A277" s="331">
        <v>28</v>
      </c>
      <c r="B277" s="330" t="s">
        <v>30</v>
      </c>
      <c r="D277" s="342"/>
      <c r="E277" s="195"/>
      <c r="G277" s="541"/>
      <c r="H277" s="531"/>
      <c r="I277" s="532"/>
    </row>
    <row r="278" spans="1:11" ht="13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3">
        <f>'FR-16(7)(v)-1 Functional'!H278</f>
        <v>0</v>
      </c>
      <c r="G278" s="542">
        <f>F278-SUM(H278:I278)</f>
        <v>0</v>
      </c>
      <c r="H278" s="533">
        <f>ROUND(F278*VLOOKUP(D278,AllocTable_Classified_Storage,$H$10,FALSE),0)</f>
        <v>0</v>
      </c>
      <c r="I278" s="534">
        <f>ROUND(F278*VLOOKUP(D278,AllocTable_Classified_Storage,$I$10,FALSE),0)</f>
        <v>0</v>
      </c>
      <c r="J278" s="345">
        <f>SUM(G278:I278)</f>
        <v>0</v>
      </c>
      <c r="K278" s="345">
        <f>F278-J278</f>
        <v>0</v>
      </c>
    </row>
    <row r="279" spans="1:11" ht="13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1">
        <v>0</v>
      </c>
      <c r="G279" s="542">
        <f>ROUND(F279*VLOOKUP(D279,AllocTable_Classified_Storage,$G$10,FALSE),0)</f>
        <v>0</v>
      </c>
      <c r="H279" s="533">
        <f>ROUND(F279*VLOOKUP(D279,AllocTable_Classified_Storage,$H$10,FALSE),0)</f>
        <v>0</v>
      </c>
      <c r="I279" s="534">
        <f>ROUND(F279*VLOOKUP(D279,AllocTable_Classified_Storage,$I$10,FALSE),0)</f>
        <v>0</v>
      </c>
      <c r="J279" s="345">
        <f>SUM(G279:I279)</f>
        <v>0</v>
      </c>
      <c r="K279" s="345">
        <f>F279-J279</f>
        <v>0</v>
      </c>
    </row>
    <row r="280" spans="1:11" ht="13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1">
        <v>0</v>
      </c>
      <c r="G280" s="542">
        <f>ROUND(F280*VLOOKUP(D280,AllocTable_Classified_Storage,$G$10,FALSE),0)</f>
        <v>0</v>
      </c>
      <c r="H280" s="533">
        <f>ROUND(F280*VLOOKUP(D280,AllocTable_Classified_Storage,$H$10,FALSE),0)</f>
        <v>0</v>
      </c>
      <c r="I280" s="534">
        <f>ROUND(F280*VLOOKUP(D280,AllocTable_Classified_Storage,$I$10,FALSE),0)</f>
        <v>0</v>
      </c>
      <c r="J280" s="345">
        <f>SUM(G280:I280)</f>
        <v>0</v>
      </c>
      <c r="K280" s="345">
        <f>F280-J280</f>
        <v>0</v>
      </c>
    </row>
    <row r="281" spans="1:11" ht="13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543">
        <f>SUM(G277:G280)</f>
        <v>0</v>
      </c>
      <c r="H281" s="535">
        <f>SUM(H277:H280)</f>
        <v>0</v>
      </c>
      <c r="I281" s="536">
        <f>SUM(I277:I280)</f>
        <v>0</v>
      </c>
      <c r="J281" s="346">
        <f>SUM(J277:J280)</f>
        <v>0</v>
      </c>
      <c r="K281" s="346">
        <f>SUM(K277:K280)</f>
        <v>0</v>
      </c>
    </row>
    <row r="282" spans="1:11" ht="13">
      <c r="A282" s="331">
        <v>33</v>
      </c>
      <c r="D282" s="342"/>
      <c r="F282" s="333" t="s">
        <v>343</v>
      </c>
      <c r="G282" s="541"/>
      <c r="H282" s="531"/>
      <c r="I282" s="532"/>
    </row>
    <row r="283" spans="1:11" ht="13">
      <c r="A283" s="331">
        <v>34</v>
      </c>
      <c r="B283" s="330" t="s">
        <v>818</v>
      </c>
      <c r="D283" s="342"/>
      <c r="F283" s="345">
        <f t="shared" ref="F283:K283" si="87">F275+F281</f>
        <v>0</v>
      </c>
      <c r="G283" s="544">
        <f t="shared" si="87"/>
        <v>0</v>
      </c>
      <c r="H283" s="537">
        <f t="shared" si="87"/>
        <v>0</v>
      </c>
      <c r="I283" s="538">
        <f t="shared" si="87"/>
        <v>0</v>
      </c>
      <c r="J283" s="345">
        <f t="shared" si="87"/>
        <v>0</v>
      </c>
      <c r="K283" s="345">
        <f t="shared" si="87"/>
        <v>0</v>
      </c>
    </row>
    <row r="284" spans="1:11" ht="13">
      <c r="B284" s="341"/>
      <c r="C284" s="195"/>
      <c r="D284" s="342"/>
      <c r="E284" s="195"/>
      <c r="F284" s="195"/>
      <c r="G284" s="195"/>
      <c r="H284" s="195"/>
      <c r="I284" s="195"/>
      <c r="J284" s="195"/>
      <c r="K284" s="195"/>
    </row>
    <row r="285" spans="1:11" ht="13">
      <c r="A285" s="341" t="str">
        <f>co_name</f>
        <v>DUKE ENERGY KENTUCKY, INC.</v>
      </c>
      <c r="C285" s="195"/>
      <c r="D285" s="342"/>
      <c r="E285" s="195"/>
      <c r="F285" s="195"/>
      <c r="G285" s="195"/>
      <c r="H285" s="195"/>
      <c r="I285" s="195"/>
      <c r="J285" s="195" t="str">
        <f>$J$1</f>
        <v>FR-16(7)(v)-7</v>
      </c>
      <c r="K285" s="195"/>
    </row>
    <row r="286" spans="1:11" ht="13">
      <c r="A286" s="341" t="str">
        <f>$A$2</f>
        <v>STORAGE CLASSIFIED -  GAS COST OF SERVICE</v>
      </c>
      <c r="C286" s="195"/>
      <c r="D286" s="342"/>
      <c r="E286" s="195"/>
      <c r="F286" s="195"/>
      <c r="G286" s="195"/>
      <c r="H286" s="195"/>
      <c r="I286" s="195"/>
      <c r="J286" s="195" t="str">
        <f>$J$2</f>
        <v>WITNESS RESPONSIBLE:</v>
      </c>
      <c r="K286" s="195"/>
    </row>
    <row r="287" spans="1:11" ht="13">
      <c r="A287" s="341" t="str">
        <f>case_name</f>
        <v>CASE NO: 2021-00190</v>
      </c>
      <c r="C287" s="195"/>
      <c r="D287" s="342"/>
      <c r="E287" s="195"/>
      <c r="F287" s="195"/>
      <c r="G287" s="195"/>
      <c r="H287" s="195"/>
      <c r="I287" s="195"/>
      <c r="J287" s="195" t="str">
        <f>Witness</f>
        <v>JAMES E. ZIOLKOWSKI</v>
      </c>
      <c r="K287" s="195"/>
    </row>
    <row r="288" spans="1:11" ht="13">
      <c r="A288" s="341" t="str">
        <f>data_filing</f>
        <v>DATA: 12 MONTH FORECASTED PERIOD</v>
      </c>
      <c r="C288" s="195"/>
      <c r="D288" s="342"/>
      <c r="E288" s="195"/>
      <c r="F288" s="195"/>
      <c r="G288" s="195"/>
      <c r="H288" s="195"/>
      <c r="I288" s="195"/>
      <c r="J288" s="195" t="str">
        <f>"PAGE "&amp;Pages2-8&amp;" OF "&amp;Pages2</f>
        <v>PAGE 7 OF 15</v>
      </c>
      <c r="K288" s="195"/>
    </row>
    <row r="289" spans="1:13" ht="13">
      <c r="A289" s="341" t="str">
        <f>type</f>
        <v xml:space="preserve">TYPE OF FILING: "X" ORIGINAL   UPDATED    REVISED  </v>
      </c>
      <c r="C289" s="195"/>
      <c r="D289" s="342"/>
      <c r="E289" s="195"/>
      <c r="F289" s="195"/>
      <c r="G289" s="195"/>
      <c r="H289" s="195"/>
      <c r="I289" s="195"/>
      <c r="J289" s="195"/>
      <c r="K289" s="195"/>
    </row>
    <row r="290" spans="1:13" ht="13">
      <c r="B290" s="341"/>
      <c r="C290" s="195"/>
      <c r="D290" s="342"/>
      <c r="E290" s="195"/>
      <c r="F290" s="195"/>
      <c r="G290" s="195"/>
      <c r="H290" s="195"/>
      <c r="I290" s="195"/>
      <c r="J290" s="195"/>
      <c r="K290" s="195"/>
    </row>
    <row r="291" spans="1:13" ht="13">
      <c r="B291" s="341"/>
      <c r="C291" s="195"/>
      <c r="D291" s="342"/>
      <c r="E291" s="195"/>
      <c r="F291" s="195"/>
      <c r="G291" s="195"/>
      <c r="H291" s="195"/>
      <c r="I291" s="195"/>
      <c r="J291" s="195"/>
      <c r="K291" s="195"/>
    </row>
    <row r="292" spans="1:13" ht="13">
      <c r="A292" s="342" t="s">
        <v>907</v>
      </c>
      <c r="B292" s="195"/>
      <c r="C292" s="195"/>
      <c r="D292" s="342"/>
      <c r="E292" s="195"/>
      <c r="F292" s="342" t="str">
        <f>$F$8</f>
        <v>TOTAL</v>
      </c>
      <c r="G292" s="539" t="s">
        <v>995</v>
      </c>
      <c r="H292" s="527"/>
      <c r="I292" s="528"/>
      <c r="J292" s="342" t="s">
        <v>229</v>
      </c>
      <c r="K292" s="342" t="s">
        <v>342</v>
      </c>
    </row>
    <row r="293" spans="1:13" ht="13">
      <c r="A293" s="344" t="s">
        <v>908</v>
      </c>
      <c r="B293" s="343" t="s">
        <v>32</v>
      </c>
      <c r="C293" s="343"/>
      <c r="D293" s="344" t="s">
        <v>337</v>
      </c>
      <c r="E293" s="343"/>
      <c r="F293" s="344" t="str">
        <f>$F$9</f>
        <v>STORAGE</v>
      </c>
      <c r="G293" s="540" t="s">
        <v>840</v>
      </c>
      <c r="H293" s="529" t="s">
        <v>841</v>
      </c>
      <c r="I293" s="530" t="s">
        <v>842</v>
      </c>
      <c r="J293" s="344" t="s">
        <v>341</v>
      </c>
      <c r="K293" s="344" t="s">
        <v>340</v>
      </c>
    </row>
    <row r="294" spans="1:13" ht="13">
      <c r="C294" s="572" t="s">
        <v>556</v>
      </c>
      <c r="D294" s="342"/>
      <c r="E294" s="484"/>
      <c r="F294" s="485"/>
      <c r="G294" s="793">
        <f>$G$10</f>
        <v>3</v>
      </c>
      <c r="H294" s="794">
        <f>$H$10</f>
        <v>4</v>
      </c>
      <c r="I294" s="795">
        <f>$I$10</f>
        <v>5</v>
      </c>
      <c r="J294" s="484"/>
      <c r="K294" s="484"/>
    </row>
    <row r="295" spans="1:13" ht="13">
      <c r="C295" s="572"/>
      <c r="D295" s="342"/>
      <c r="E295" s="484"/>
      <c r="F295" s="485"/>
      <c r="G295" s="793"/>
      <c r="H295" s="794"/>
      <c r="I295" s="795"/>
      <c r="J295" s="484"/>
      <c r="K295" s="484"/>
    </row>
    <row r="296" spans="1:13" ht="13">
      <c r="A296" s="331">
        <v>1</v>
      </c>
      <c r="B296" s="330" t="s">
        <v>31</v>
      </c>
      <c r="D296" s="342"/>
      <c r="E296" s="195"/>
      <c r="F296" s="345">
        <f t="shared" ref="F296:K296" si="88">F191-F238+F283</f>
        <v>0</v>
      </c>
      <c r="G296" s="542">
        <f t="shared" si="88"/>
        <v>0</v>
      </c>
      <c r="H296" s="533">
        <f t="shared" si="88"/>
        <v>0</v>
      </c>
      <c r="I296" s="534">
        <f t="shared" si="88"/>
        <v>0</v>
      </c>
      <c r="J296" s="345">
        <f t="shared" si="88"/>
        <v>0</v>
      </c>
      <c r="K296" s="345">
        <f t="shared" si="88"/>
        <v>0</v>
      </c>
    </row>
    <row r="297" spans="1:13" ht="13">
      <c r="A297" s="331">
        <v>2</v>
      </c>
      <c r="D297" s="342"/>
      <c r="E297" s="195"/>
      <c r="G297" s="541"/>
      <c r="H297" s="531"/>
      <c r="I297" s="532"/>
    </row>
    <row r="298" spans="1:13" ht="13">
      <c r="A298" s="331">
        <v>3</v>
      </c>
      <c r="B298" s="330" t="s">
        <v>32</v>
      </c>
      <c r="D298" s="342"/>
      <c r="E298" s="195"/>
      <c r="G298" s="541"/>
      <c r="H298" s="531"/>
      <c r="I298" s="532"/>
    </row>
    <row r="299" spans="1:13" ht="13">
      <c r="A299" s="331">
        <v>4</v>
      </c>
      <c r="D299" s="342"/>
      <c r="E299" s="195"/>
      <c r="G299" s="541"/>
      <c r="H299" s="531"/>
      <c r="I299" s="532"/>
    </row>
    <row r="300" spans="1:13" ht="13">
      <c r="A300" s="331">
        <v>5</v>
      </c>
      <c r="B300" s="330" t="s">
        <v>33</v>
      </c>
      <c r="D300" s="342"/>
      <c r="E300" s="195"/>
      <c r="G300" s="541"/>
      <c r="H300" s="531"/>
      <c r="I300" s="532"/>
    </row>
    <row r="301" spans="1:13" ht="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3">
        <f>'FR-16(7)(v)-1 Functional'!H301</f>
        <v>0</v>
      </c>
      <c r="G301" s="542">
        <f>ROUND(F301*VLOOKUP(D301,AllocTable_Classified_Storage,$G$10,FALSE),0)</f>
        <v>0</v>
      </c>
      <c r="H301" s="533">
        <f>ROUND(F301*VLOOKUP(D301,AllocTable_Classified_Storage,$H$10,FALSE),0)</f>
        <v>0</v>
      </c>
      <c r="I301" s="534">
        <f>ROUND(F301*VLOOKUP(D301,AllocTable_Classified_Storage,$I$10,FALSE),0)</f>
        <v>0</v>
      </c>
      <c r="J301" s="345">
        <f>SUM(G301:I301)</f>
        <v>0</v>
      </c>
      <c r="K301" s="345">
        <f>F301-J301</f>
        <v>0</v>
      </c>
      <c r="M301" s="333"/>
    </row>
    <row r="302" spans="1:13" ht="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3">
        <f>'FR-16(7)(v)-1 Functional'!H302</f>
        <v>0</v>
      </c>
      <c r="G302" s="542">
        <f>ROUND(F302*VLOOKUP(D302,AllocTable_Classified_Storage,$G$10,FALSE),0)</f>
        <v>0</v>
      </c>
      <c r="H302" s="533">
        <f>ROUND(F302*VLOOKUP(D302,AllocTable_Classified_Storage,$H$10,FALSE),0)</f>
        <v>0</v>
      </c>
      <c r="I302" s="534">
        <f>ROUND(F302*VLOOKUP(D302,AllocTable_Classified_Storage,$I$10,FALSE),0)</f>
        <v>0</v>
      </c>
      <c r="J302" s="345">
        <f>SUM(G302:I302)</f>
        <v>0</v>
      </c>
      <c r="K302" s="345">
        <f>F302-J302</f>
        <v>0</v>
      </c>
      <c r="M302" s="333"/>
    </row>
    <row r="303" spans="1:13" ht="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K303" si="89">SUM(F300:F302)</f>
        <v>0</v>
      </c>
      <c r="G303" s="543">
        <f t="shared" si="89"/>
        <v>0</v>
      </c>
      <c r="H303" s="535">
        <f t="shared" si="89"/>
        <v>0</v>
      </c>
      <c r="I303" s="536">
        <f t="shared" si="89"/>
        <v>0</v>
      </c>
      <c r="J303" s="346">
        <f t="shared" si="89"/>
        <v>0</v>
      </c>
      <c r="K303" s="346">
        <f t="shared" si="89"/>
        <v>0</v>
      </c>
    </row>
    <row r="304" spans="1:13" ht="13">
      <c r="A304" s="331">
        <v>9</v>
      </c>
      <c r="B304" s="330" t="s">
        <v>34</v>
      </c>
      <c r="D304" s="342"/>
      <c r="E304" s="195"/>
      <c r="F304" s="345">
        <f t="shared" ref="F304:K304" si="90">F303</f>
        <v>0</v>
      </c>
      <c r="G304" s="542">
        <f t="shared" si="90"/>
        <v>0</v>
      </c>
      <c r="H304" s="533">
        <f t="shared" si="90"/>
        <v>0</v>
      </c>
      <c r="I304" s="534">
        <f t="shared" si="90"/>
        <v>0</v>
      </c>
      <c r="J304" s="345">
        <f t="shared" si="90"/>
        <v>0</v>
      </c>
      <c r="K304" s="345">
        <f t="shared" si="90"/>
        <v>0</v>
      </c>
    </row>
    <row r="305" spans="1:13" ht="13">
      <c r="A305" s="331">
        <v>10</v>
      </c>
      <c r="D305" s="342"/>
      <c r="E305" s="195"/>
      <c r="G305" s="541"/>
      <c r="H305" s="531"/>
      <c r="I305" s="532"/>
    </row>
    <row r="306" spans="1:13" ht="13">
      <c r="A306" s="331">
        <v>11</v>
      </c>
      <c r="B306" s="330" t="s">
        <v>35</v>
      </c>
      <c r="D306" s="342"/>
      <c r="E306" s="195"/>
      <c r="G306" s="541"/>
      <c r="H306" s="531"/>
      <c r="I306" s="532"/>
    </row>
    <row r="307" spans="1:13" ht="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3">
        <f>'FR-16(7)(v)-1 Functional'!H307</f>
        <v>0</v>
      </c>
      <c r="G307" s="542">
        <f>ROUND(F307*VLOOKUP(D307,AllocTable_Classified_Storage,$G$10,FALSE),0)</f>
        <v>0</v>
      </c>
      <c r="H307" s="533">
        <f>ROUND(F307*VLOOKUP(D307,AllocTable_Classified_Storage,$H$10,FALSE),0)</f>
        <v>0</v>
      </c>
      <c r="I307" s="534">
        <f>ROUND(F307*VLOOKUP(D307,AllocTable_Classified_Storage,$I$10,FALSE),0)</f>
        <v>0</v>
      </c>
      <c r="J307" s="345">
        <f>SUM(G307:I307)</f>
        <v>0</v>
      </c>
      <c r="K307" s="345">
        <f>F307-J307</f>
        <v>0</v>
      </c>
      <c r="M307" s="333"/>
    </row>
    <row r="308" spans="1:13" ht="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3">
        <f>'FR-16(7)(v)-1 Functional'!H308</f>
        <v>0</v>
      </c>
      <c r="G308" s="542">
        <f>ROUND(F308*VLOOKUP(D308,AllocTable_Classified_Storage,$G$10,FALSE),0)</f>
        <v>0</v>
      </c>
      <c r="H308" s="533">
        <f>ROUND(F308*VLOOKUP(D308,AllocTable_Classified_Storage,$H$10,FALSE),0)</f>
        <v>0</v>
      </c>
      <c r="I308" s="534">
        <f>ROUND(F308*VLOOKUP(D308,AllocTable_Classified_Storage,$I$10,FALSE),0)</f>
        <v>0</v>
      </c>
      <c r="J308" s="345">
        <f>SUM(G308:I308)</f>
        <v>0</v>
      </c>
      <c r="K308" s="345">
        <f>F308-J308</f>
        <v>0</v>
      </c>
      <c r="M308" s="333"/>
    </row>
    <row r="309" spans="1:13" ht="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3">
        <f>'FR-16(7)(v)-1 Functional'!H309</f>
        <v>0</v>
      </c>
      <c r="G309" s="542">
        <f>ROUND(F309*VLOOKUP(D309,AllocTable_Classified_Storage,$G$10,FALSE),0)</f>
        <v>0</v>
      </c>
      <c r="H309" s="533">
        <f>ROUND(F309*VLOOKUP(D309,AllocTable_Classified_Storage,$H$10,FALSE),0)</f>
        <v>0</v>
      </c>
      <c r="I309" s="534">
        <f>ROUND(F309*VLOOKUP(D309,AllocTable_Classified_Storage,$I$10,FALSE),0)</f>
        <v>0</v>
      </c>
      <c r="J309" s="345">
        <f>SUM(G309:I309)</f>
        <v>0</v>
      </c>
      <c r="K309" s="345">
        <f>F309-J309</f>
        <v>0</v>
      </c>
      <c r="M309" s="333"/>
    </row>
    <row r="310" spans="1:13" ht="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3">
        <f t="shared" ref="F310:K310" si="91">SUM(F306:F309)</f>
        <v>0</v>
      </c>
      <c r="G310" s="574">
        <f t="shared" si="91"/>
        <v>0</v>
      </c>
      <c r="H310" s="575">
        <f t="shared" si="91"/>
        <v>0</v>
      </c>
      <c r="I310" s="576">
        <f t="shared" si="91"/>
        <v>0</v>
      </c>
      <c r="J310" s="573">
        <f t="shared" si="91"/>
        <v>0</v>
      </c>
      <c r="K310" s="573">
        <f t="shared" si="91"/>
        <v>0</v>
      </c>
    </row>
    <row r="311" spans="1:13" ht="13">
      <c r="A311" s="331">
        <v>16</v>
      </c>
      <c r="D311" s="342"/>
      <c r="E311" s="195"/>
      <c r="G311" s="541"/>
      <c r="H311" s="531"/>
      <c r="I311" s="532"/>
    </row>
    <row r="312" spans="1:13" ht="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542">
        <f>IF(WorkingCap="No",0,ROUND((G433-G348-G353)/8,0))</f>
        <v>0</v>
      </c>
      <c r="H312" s="533">
        <f>IF(WorkingCap="No",0,ROUND((H433-H348-H353)/8,0))</f>
        <v>0</v>
      </c>
      <c r="I312" s="534">
        <f>IF(WorkingCap="No",0,ROUND((I433-I348-I353)/8,0))</f>
        <v>0</v>
      </c>
      <c r="J312" s="345">
        <f>SUM(G312:I312)</f>
        <v>0</v>
      </c>
      <c r="K312" s="345">
        <f>F312-J312</f>
        <v>0</v>
      </c>
    </row>
    <row r="313" spans="1:13" ht="13">
      <c r="A313" s="331">
        <v>18</v>
      </c>
      <c r="B313" s="330" t="s">
        <v>37</v>
      </c>
      <c r="D313" s="342"/>
      <c r="E313" s="195"/>
      <c r="F313" s="345">
        <f t="shared" ref="F313:K313" si="92">F312</f>
        <v>0</v>
      </c>
      <c r="G313" s="542">
        <f t="shared" si="92"/>
        <v>0</v>
      </c>
      <c r="H313" s="533">
        <f t="shared" si="92"/>
        <v>0</v>
      </c>
      <c r="I313" s="534">
        <f t="shared" si="92"/>
        <v>0</v>
      </c>
      <c r="J313" s="345">
        <f t="shared" si="92"/>
        <v>0</v>
      </c>
      <c r="K313" s="345">
        <f t="shared" si="92"/>
        <v>0</v>
      </c>
    </row>
    <row r="314" spans="1:13" ht="13">
      <c r="A314" s="331">
        <v>19</v>
      </c>
      <c r="D314" s="342"/>
      <c r="E314" s="195"/>
      <c r="G314" s="541"/>
      <c r="H314" s="531"/>
      <c r="I314" s="532"/>
    </row>
    <row r="315" spans="1:13" ht="13">
      <c r="A315" s="331">
        <v>20</v>
      </c>
      <c r="B315" s="330" t="s">
        <v>38</v>
      </c>
      <c r="D315" s="342"/>
      <c r="E315" s="195"/>
      <c r="G315" s="541"/>
      <c r="H315" s="531"/>
      <c r="I315" s="532"/>
    </row>
    <row r="316" spans="1:13" ht="13">
      <c r="A316" s="331">
        <v>21</v>
      </c>
      <c r="C316" s="612" t="str">
        <f>'FR-16(7)(v)-1 Functional'!C316</f>
        <v>GAS STORED UNDERGROUND</v>
      </c>
      <c r="D316" s="342" t="str">
        <f>'FR-16(7)(v)-1 Functional'!D316</f>
        <v>K301</v>
      </c>
      <c r="E316" s="195"/>
      <c r="F316" s="473">
        <f>'FR-16(7)(v)-1 Functional'!H316</f>
        <v>0</v>
      </c>
      <c r="G316" s="542">
        <f>ROUND(F316*VLOOKUP(D316,AllocTable_Classified_Storage,$G$10,FALSE),0)</f>
        <v>0</v>
      </c>
      <c r="H316" s="533">
        <f>ROUND(F316*VLOOKUP(D316,AllocTable_Classified_Storage,$H$10,FALSE),0)</f>
        <v>0</v>
      </c>
      <c r="I316" s="534">
        <f>ROUND(F316*VLOOKUP(D316,AllocTable_Classified_Storage,$I$10,FALSE),0)</f>
        <v>0</v>
      </c>
      <c r="J316" s="345">
        <f>SUM(G316:I316)</f>
        <v>0</v>
      </c>
      <c r="K316" s="345">
        <f>F316-J316</f>
        <v>0</v>
      </c>
      <c r="M316" s="333"/>
    </row>
    <row r="317" spans="1:13" ht="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3">
        <f>'FR-16(7)(v)-1 Functional'!H317</f>
        <v>0</v>
      </c>
      <c r="G317" s="542">
        <f>ROUND(F317*VLOOKUP(D317,AllocTable_Classified_Storage,$G$10,FALSE),0)</f>
        <v>0</v>
      </c>
      <c r="H317" s="533">
        <f>ROUND(F317*VLOOKUP(D317,AllocTable_Classified_Storage,$H$10,FALSE),0)</f>
        <v>0</v>
      </c>
      <c r="I317" s="534">
        <f>ROUND(F317*VLOOKUP(D317,AllocTable_Classified_Storage,$I$10,FALSE),0)</f>
        <v>0</v>
      </c>
      <c r="J317" s="345">
        <f>SUM(G317:I317)</f>
        <v>0</v>
      </c>
      <c r="K317" s="345">
        <f>F317-J317</f>
        <v>0</v>
      </c>
      <c r="M317" s="333"/>
    </row>
    <row r="318" spans="1:13" ht="13">
      <c r="A318" s="331">
        <v>23</v>
      </c>
      <c r="C318" s="505" t="str">
        <f>'FR-16(7)(v)-1 Functional'!C318</f>
        <v>RESERVED FOR FUTURE USE</v>
      </c>
      <c r="D318" s="342" t="str">
        <f>'FR-16(7)(v)-1 Functional'!D318</f>
        <v>D249</v>
      </c>
      <c r="E318" s="195"/>
      <c r="F318" s="473">
        <f>'FR-16(7)(v)-1 Functional'!H318</f>
        <v>0</v>
      </c>
      <c r="G318" s="542">
        <f>ROUND(F318*VLOOKUP(D318,AllocTable_Classified_Storage,$G$10,FALSE),0)</f>
        <v>0</v>
      </c>
      <c r="H318" s="533">
        <f>ROUND(F318*VLOOKUP(D318,AllocTable_Classified_Storage,$H$10,FALSE),0)</f>
        <v>0</v>
      </c>
      <c r="I318" s="534">
        <f>ROUND(F318*VLOOKUP(D318,AllocTable_Classified_Storage,$I$10,FALSE),0)</f>
        <v>0</v>
      </c>
      <c r="J318" s="345">
        <f>SUM(G318:I318)</f>
        <v>0</v>
      </c>
      <c r="K318" s="345">
        <f>F318-J318</f>
        <v>0</v>
      </c>
      <c r="M318" s="333"/>
    </row>
    <row r="319" spans="1:13" ht="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K319" si="93">SUM(F315:F318)</f>
        <v>0</v>
      </c>
      <c r="G319" s="543">
        <f t="shared" si="93"/>
        <v>0</v>
      </c>
      <c r="H319" s="535">
        <f t="shared" si="93"/>
        <v>0</v>
      </c>
      <c r="I319" s="536">
        <f t="shared" si="93"/>
        <v>0</v>
      </c>
      <c r="J319" s="346">
        <f t="shared" si="93"/>
        <v>0</v>
      </c>
      <c r="K319" s="346">
        <f t="shared" si="93"/>
        <v>0</v>
      </c>
    </row>
    <row r="320" spans="1:13" ht="13">
      <c r="A320" s="331">
        <v>25</v>
      </c>
      <c r="D320" s="342"/>
      <c r="E320" s="195"/>
      <c r="G320" s="541"/>
      <c r="H320" s="531"/>
      <c r="I320" s="532"/>
    </row>
    <row r="321" spans="1:13" ht="13">
      <c r="A321" s="331">
        <v>26</v>
      </c>
      <c r="B321" s="330" t="s">
        <v>39</v>
      </c>
      <c r="D321" s="342"/>
      <c r="E321" s="195"/>
      <c r="F321" s="345">
        <f t="shared" ref="F321:K321" si="94">F304+F310+F313+F319</f>
        <v>0</v>
      </c>
      <c r="G321" s="542">
        <f t="shared" si="94"/>
        <v>0</v>
      </c>
      <c r="H321" s="533">
        <f t="shared" si="94"/>
        <v>0</v>
      </c>
      <c r="I321" s="534">
        <f t="shared" si="94"/>
        <v>0</v>
      </c>
      <c r="J321" s="345">
        <f t="shared" si="94"/>
        <v>0</v>
      </c>
      <c r="K321" s="345">
        <f t="shared" si="94"/>
        <v>0</v>
      </c>
    </row>
    <row r="322" spans="1:13" ht="13">
      <c r="A322" s="331">
        <v>27</v>
      </c>
      <c r="B322" s="330" t="s">
        <v>40</v>
      </c>
      <c r="D322" s="342"/>
      <c r="E322" s="195"/>
      <c r="G322" s="541"/>
      <c r="H322" s="531"/>
      <c r="I322" s="532"/>
    </row>
    <row r="323" spans="1:13" ht="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K323" si="95">-F238</f>
        <v>0</v>
      </c>
      <c r="G323" s="542">
        <f t="shared" si="95"/>
        <v>0</v>
      </c>
      <c r="H323" s="533">
        <f t="shared" si="95"/>
        <v>0</v>
      </c>
      <c r="I323" s="534">
        <f t="shared" si="95"/>
        <v>0</v>
      </c>
      <c r="J323" s="345">
        <f t="shared" si="95"/>
        <v>0</v>
      </c>
      <c r="K323" s="345">
        <f t="shared" si="95"/>
        <v>0</v>
      </c>
      <c r="M323" s="333"/>
    </row>
    <row r="324" spans="1:13" ht="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K324" si="96">F283</f>
        <v>0</v>
      </c>
      <c r="G324" s="542">
        <f t="shared" si="96"/>
        <v>0</v>
      </c>
      <c r="H324" s="533">
        <f t="shared" si="96"/>
        <v>0</v>
      </c>
      <c r="I324" s="534">
        <f t="shared" si="96"/>
        <v>0</v>
      </c>
      <c r="J324" s="345">
        <f t="shared" si="96"/>
        <v>0</v>
      </c>
      <c r="K324" s="345">
        <f t="shared" si="96"/>
        <v>0</v>
      </c>
      <c r="M324" s="333"/>
    </row>
    <row r="325" spans="1:13" ht="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K325" si="97">F321</f>
        <v>0</v>
      </c>
      <c r="G325" s="542">
        <f t="shared" si="97"/>
        <v>0</v>
      </c>
      <c r="H325" s="533">
        <f t="shared" si="97"/>
        <v>0</v>
      </c>
      <c r="I325" s="534">
        <f t="shared" si="97"/>
        <v>0</v>
      </c>
      <c r="J325" s="345">
        <f t="shared" si="97"/>
        <v>0</v>
      </c>
      <c r="K325" s="345">
        <f t="shared" si="97"/>
        <v>0</v>
      </c>
      <c r="M325" s="333"/>
    </row>
    <row r="326" spans="1:13" ht="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K326" si="98">SUM(F322:F325)</f>
        <v>0</v>
      </c>
      <c r="G326" s="543">
        <f t="shared" si="98"/>
        <v>0</v>
      </c>
      <c r="H326" s="535">
        <f t="shared" si="98"/>
        <v>0</v>
      </c>
      <c r="I326" s="536">
        <f t="shared" si="98"/>
        <v>0</v>
      </c>
      <c r="J326" s="346">
        <f>SUM(J322:J325)</f>
        <v>0</v>
      </c>
      <c r="K326" s="346">
        <f t="shared" si="98"/>
        <v>0</v>
      </c>
    </row>
    <row r="327" spans="1:13" ht="13">
      <c r="A327" s="331">
        <v>32</v>
      </c>
      <c r="D327" s="342"/>
      <c r="E327" s="195"/>
      <c r="G327" s="541"/>
      <c r="H327" s="531"/>
      <c r="I327" s="532"/>
    </row>
    <row r="328" spans="1:13" ht="13">
      <c r="A328" s="331">
        <v>33</v>
      </c>
      <c r="B328" s="330" t="s">
        <v>41</v>
      </c>
      <c r="D328" s="342"/>
      <c r="E328" s="195"/>
      <c r="G328" s="541"/>
      <c r="H328" s="531"/>
      <c r="I328" s="532"/>
    </row>
    <row r="329" spans="1:13" ht="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K329" si="99">F191</f>
        <v>0</v>
      </c>
      <c r="G329" s="542">
        <f t="shared" si="99"/>
        <v>0</v>
      </c>
      <c r="H329" s="533">
        <f t="shared" si="99"/>
        <v>0</v>
      </c>
      <c r="I329" s="534">
        <f t="shared" si="99"/>
        <v>0</v>
      </c>
      <c r="J329" s="345">
        <f t="shared" si="99"/>
        <v>0</v>
      </c>
      <c r="K329" s="345">
        <f t="shared" si="99"/>
        <v>0</v>
      </c>
    </row>
    <row r="330" spans="1:13" ht="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K330" si="100">F326</f>
        <v>0</v>
      </c>
      <c r="G330" s="542">
        <f t="shared" si="100"/>
        <v>0</v>
      </c>
      <c r="H330" s="533">
        <f t="shared" si="100"/>
        <v>0</v>
      </c>
      <c r="I330" s="534">
        <f t="shared" si="100"/>
        <v>0</v>
      </c>
      <c r="J330" s="345">
        <f t="shared" si="100"/>
        <v>0</v>
      </c>
      <c r="K330" s="345">
        <f t="shared" si="100"/>
        <v>0</v>
      </c>
    </row>
    <row r="331" spans="1:13" ht="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K331" si="101">SUM(F328:F330)</f>
        <v>0</v>
      </c>
      <c r="G331" s="543">
        <f t="shared" si="101"/>
        <v>0</v>
      </c>
      <c r="H331" s="535">
        <f t="shared" si="101"/>
        <v>0</v>
      </c>
      <c r="I331" s="536">
        <f t="shared" si="101"/>
        <v>0</v>
      </c>
      <c r="J331" s="346">
        <f>SUM(J328:J330)</f>
        <v>0</v>
      </c>
      <c r="K331" s="346">
        <f t="shared" si="101"/>
        <v>0</v>
      </c>
    </row>
    <row r="332" spans="1:13" ht="13">
      <c r="A332" s="331">
        <v>37</v>
      </c>
      <c r="D332" s="342"/>
      <c r="E332" s="195"/>
      <c r="G332" s="541"/>
      <c r="H332" s="531"/>
      <c r="I332" s="532"/>
    </row>
    <row r="333" spans="1:13" ht="13">
      <c r="A333" s="331">
        <v>38</v>
      </c>
      <c r="B333" s="330" t="s">
        <v>42</v>
      </c>
      <c r="D333" s="342"/>
      <c r="E333" s="195"/>
      <c r="F333" s="348">
        <f>$F$688</f>
        <v>7.0599999999999996E-2</v>
      </c>
      <c r="G333" s="1267">
        <f>F688</f>
        <v>7.0599999999999996E-2</v>
      </c>
      <c r="H333" s="1268">
        <f>F688</f>
        <v>7.0599999999999996E-2</v>
      </c>
      <c r="I333" s="1269">
        <f>F688</f>
        <v>7.0599999999999996E-2</v>
      </c>
      <c r="J333" s="348">
        <f>F688</f>
        <v>7.0599999999999996E-2</v>
      </c>
      <c r="K333" s="348">
        <f>'FR-16(7)(v)-1 Functional'!F688</f>
        <v>7.060000000000001E-2</v>
      </c>
    </row>
    <row r="334" spans="1:13" ht="13">
      <c r="A334" s="331">
        <v>39</v>
      </c>
      <c r="B334" s="330" t="s">
        <v>43</v>
      </c>
      <c r="D334" s="342"/>
      <c r="E334" s="195"/>
      <c r="F334" s="345">
        <f>ROUND(F333*F331,0)</f>
        <v>0</v>
      </c>
      <c r="G334" s="548">
        <f>ROUND(G331*G333,0)</f>
        <v>0</v>
      </c>
      <c r="H334" s="549">
        <f>ROUND(H331*H333,0)</f>
        <v>0</v>
      </c>
      <c r="I334" s="550">
        <f>ROUND(I331*I333,0)</f>
        <v>0</v>
      </c>
      <c r="J334" s="345">
        <f>SUM(G334:I334)</f>
        <v>0</v>
      </c>
      <c r="K334" s="345">
        <f>ROUND(K331*K333,0)</f>
        <v>0</v>
      </c>
    </row>
    <row r="335" spans="1:13" ht="13">
      <c r="B335" s="341"/>
      <c r="C335" s="195"/>
      <c r="D335" s="342"/>
      <c r="E335" s="195"/>
      <c r="F335" s="195"/>
      <c r="G335" s="195"/>
      <c r="H335" s="195"/>
      <c r="I335" s="195"/>
      <c r="J335" s="195"/>
      <c r="K335" s="195"/>
    </row>
    <row r="336" spans="1:13" ht="13">
      <c r="A336" s="341" t="str">
        <f>co_name</f>
        <v>DUKE ENERGY KENTUCKY, INC.</v>
      </c>
      <c r="C336" s="195"/>
      <c r="D336" s="342"/>
      <c r="E336" s="195"/>
      <c r="F336" s="195"/>
      <c r="G336" s="195"/>
      <c r="H336" s="195"/>
      <c r="I336" s="195"/>
      <c r="J336" s="195" t="str">
        <f>$J$1</f>
        <v>FR-16(7)(v)-7</v>
      </c>
      <c r="K336" s="195"/>
    </row>
    <row r="337" spans="1:11" ht="13">
      <c r="A337" s="341" t="str">
        <f>$A$2</f>
        <v>STORAGE CLASSIFIED -  GAS COST OF SERVICE</v>
      </c>
      <c r="C337" s="195"/>
      <c r="D337" s="342"/>
      <c r="E337" s="195"/>
      <c r="F337" s="195"/>
      <c r="G337" s="195"/>
      <c r="H337" s="195"/>
      <c r="I337" s="195"/>
      <c r="J337" s="195" t="str">
        <f>$J$2</f>
        <v>WITNESS RESPONSIBLE:</v>
      </c>
      <c r="K337" s="195"/>
    </row>
    <row r="338" spans="1:11" ht="13">
      <c r="A338" s="341" t="str">
        <f>case_name</f>
        <v>CASE NO: 2021-00190</v>
      </c>
      <c r="C338" s="195"/>
      <c r="D338" s="342"/>
      <c r="E338" s="195"/>
      <c r="F338" s="195"/>
      <c r="G338" s="195"/>
      <c r="H338" s="195"/>
      <c r="I338" s="195"/>
      <c r="J338" s="195" t="str">
        <f>Witness</f>
        <v>JAMES E. ZIOLKOWSKI</v>
      </c>
      <c r="K338" s="195"/>
    </row>
    <row r="339" spans="1:11" ht="13">
      <c r="A339" s="341" t="str">
        <f>data_filing</f>
        <v>DATA: 12 MONTH FORECASTED PERIOD</v>
      </c>
      <c r="C339" s="195"/>
      <c r="D339" s="342"/>
      <c r="E339" s="195"/>
      <c r="F339" s="195"/>
      <c r="G339" s="195"/>
      <c r="H339" s="195"/>
      <c r="I339" s="195"/>
      <c r="J339" s="195" t="str">
        <f>"PAGE "&amp;Pages2-7&amp;" OF "&amp;Pages2</f>
        <v>PAGE 8 OF 15</v>
      </c>
      <c r="K339" s="195"/>
    </row>
    <row r="340" spans="1:11" ht="13">
      <c r="A340" s="341" t="str">
        <f>type</f>
        <v xml:space="preserve">TYPE OF FILING: "X" ORIGINAL   UPDATED    REVISED  </v>
      </c>
      <c r="C340" s="195"/>
      <c r="D340" s="342"/>
      <c r="E340" s="195"/>
      <c r="F340" s="195"/>
      <c r="G340" s="195"/>
      <c r="H340" s="195"/>
      <c r="I340" s="195"/>
      <c r="J340" s="195"/>
      <c r="K340" s="195"/>
    </row>
    <row r="341" spans="1:11" ht="13">
      <c r="B341" s="341"/>
      <c r="C341" s="195"/>
      <c r="D341" s="342"/>
      <c r="E341" s="195"/>
      <c r="F341" s="195"/>
      <c r="G341" s="195"/>
      <c r="H341" s="195"/>
      <c r="I341" s="195"/>
      <c r="J341" s="195"/>
      <c r="K341" s="195"/>
    </row>
    <row r="342" spans="1:11" ht="13">
      <c r="B342" s="341"/>
      <c r="C342" s="195"/>
      <c r="D342" s="342"/>
      <c r="E342" s="195"/>
      <c r="F342" s="195"/>
      <c r="G342" s="195"/>
      <c r="H342" s="195"/>
      <c r="I342" s="195"/>
      <c r="J342" s="195"/>
      <c r="K342" s="195"/>
    </row>
    <row r="343" spans="1:11" ht="13">
      <c r="A343" s="342" t="s">
        <v>907</v>
      </c>
      <c r="B343" s="195"/>
      <c r="C343" s="195"/>
      <c r="D343" s="342"/>
      <c r="E343" s="195"/>
      <c r="F343" s="342" t="str">
        <f>$F$8</f>
        <v>TOTAL</v>
      </c>
      <c r="G343" s="539" t="s">
        <v>995</v>
      </c>
      <c r="H343" s="527"/>
      <c r="I343" s="528"/>
      <c r="J343" s="342" t="s">
        <v>229</v>
      </c>
      <c r="K343" s="342" t="s">
        <v>342</v>
      </c>
    </row>
    <row r="344" spans="1:11" ht="13">
      <c r="A344" s="344" t="s">
        <v>908</v>
      </c>
      <c r="B344" s="343" t="s">
        <v>44</v>
      </c>
      <c r="C344" s="343"/>
      <c r="D344" s="344" t="s">
        <v>337</v>
      </c>
      <c r="E344" s="343"/>
      <c r="F344" s="344" t="str">
        <f>$F$9</f>
        <v>STORAGE</v>
      </c>
      <c r="G344" s="540" t="s">
        <v>840</v>
      </c>
      <c r="H344" s="529" t="s">
        <v>841</v>
      </c>
      <c r="I344" s="530" t="s">
        <v>842</v>
      </c>
      <c r="J344" s="344" t="s">
        <v>341</v>
      </c>
      <c r="K344" s="344" t="s">
        <v>340</v>
      </c>
    </row>
    <row r="345" spans="1:11" ht="13">
      <c r="C345" s="572" t="s">
        <v>348</v>
      </c>
      <c r="D345" s="342"/>
      <c r="E345" s="195"/>
      <c r="G345" s="793">
        <f>$G$10</f>
        <v>3</v>
      </c>
      <c r="H345" s="794">
        <f>$H$10</f>
        <v>4</v>
      </c>
      <c r="I345" s="795">
        <f>$I$10</f>
        <v>5</v>
      </c>
    </row>
    <row r="346" spans="1:11" ht="13">
      <c r="A346" s="331">
        <v>1</v>
      </c>
      <c r="B346" s="330" t="s">
        <v>45</v>
      </c>
      <c r="D346" s="342"/>
      <c r="E346" s="195"/>
      <c r="G346" s="541"/>
      <c r="H346" s="531"/>
      <c r="I346" s="532"/>
    </row>
    <row r="347" spans="1:11" ht="13">
      <c r="A347" s="331">
        <v>2</v>
      </c>
      <c r="B347" s="330" t="s">
        <v>46</v>
      </c>
      <c r="D347" s="342"/>
      <c r="E347" s="195"/>
      <c r="G347" s="541"/>
      <c r="H347" s="531"/>
      <c r="I347" s="532"/>
    </row>
    <row r="348" spans="1:11" ht="13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3">
        <f>'FR-16(7)(v)-1 Functional'!H348</f>
        <v>0</v>
      </c>
      <c r="G348" s="542">
        <f>F348-SUM(H348:I348)</f>
        <v>0</v>
      </c>
      <c r="H348" s="533">
        <f>ROUND(F348*VLOOKUP(D348,AllocTable_Classified_Storage,$H$10,FALSE),0)</f>
        <v>0</v>
      </c>
      <c r="I348" s="534">
        <f>ROUND(F348*VLOOKUP(D348,AllocTable_Classified_Storage,$I$10,FALSE),0)</f>
        <v>0</v>
      </c>
      <c r="J348" s="345">
        <f>SUM(G348:I348)</f>
        <v>0</v>
      </c>
      <c r="K348" s="345">
        <f>F348-J348</f>
        <v>0</v>
      </c>
    </row>
    <row r="349" spans="1:11" ht="13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3">
        <f>'FR-16(7)(v)-1 Functional'!H349</f>
        <v>0</v>
      </c>
      <c r="G349" s="542">
        <f>F349-SUM(H349:I349)</f>
        <v>0</v>
      </c>
      <c r="H349" s="533">
        <f>ROUND(F349*VLOOKUP(D349,AllocTable_Classified_Storage,$H$10,FALSE),0)</f>
        <v>0</v>
      </c>
      <c r="I349" s="534">
        <f>ROUND(F349*VLOOKUP(D349,AllocTable_Classified_Storage,$I$10,FALSE),0)</f>
        <v>0</v>
      </c>
      <c r="J349" s="345">
        <f>SUM(G349:I349)</f>
        <v>0</v>
      </c>
      <c r="K349" s="345">
        <f>F349-J349</f>
        <v>0</v>
      </c>
    </row>
    <row r="350" spans="1:11" ht="13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K350" si="102">SUM(F348:F349)</f>
        <v>0</v>
      </c>
      <c r="G350" s="543">
        <f t="shared" si="102"/>
        <v>0</v>
      </c>
      <c r="H350" s="535">
        <f t="shared" si="102"/>
        <v>0</v>
      </c>
      <c r="I350" s="536">
        <f t="shared" si="102"/>
        <v>0</v>
      </c>
      <c r="J350" s="346">
        <f t="shared" si="102"/>
        <v>0</v>
      </c>
      <c r="K350" s="346">
        <f t="shared" si="102"/>
        <v>0</v>
      </c>
    </row>
    <row r="351" spans="1:11" ht="13">
      <c r="A351" s="331">
        <v>6</v>
      </c>
      <c r="D351" s="342"/>
      <c r="E351" s="195"/>
      <c r="G351" s="541"/>
      <c r="H351" s="531"/>
      <c r="I351" s="532"/>
    </row>
    <row r="352" spans="1:11" ht="13">
      <c r="A352" s="331">
        <v>7</v>
      </c>
      <c r="B352" s="357" t="s">
        <v>47</v>
      </c>
      <c r="C352" s="357"/>
      <c r="D352" s="342"/>
      <c r="E352" s="195"/>
      <c r="F352" s="345"/>
      <c r="G352" s="542"/>
      <c r="H352" s="533"/>
      <c r="I352" s="534"/>
      <c r="J352" s="345"/>
      <c r="K352" s="345"/>
    </row>
    <row r="353" spans="1:11" ht="13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1">
        <v>0</v>
      </c>
      <c r="G353" s="542">
        <f>ROUND(F353*VLOOKUP(D353,AllocTable_Classified_Storage,$G$10,FALSE),0)</f>
        <v>0</v>
      </c>
      <c r="H353" s="533">
        <f>ROUND(F353*VLOOKUP(D353,AllocTable_Classified_Storage,$H$10,FALSE),0)</f>
        <v>0</v>
      </c>
      <c r="I353" s="534">
        <f>ROUND(F353*VLOOKUP(D353,AllocTable_Classified_Storage,$I$10,FALSE),0)</f>
        <v>0</v>
      </c>
      <c r="J353" s="345">
        <f>SUM(G353:I353)</f>
        <v>0</v>
      </c>
      <c r="K353" s="345">
        <f>F353-J353</f>
        <v>0</v>
      </c>
    </row>
    <row r="354" spans="1:11" ht="13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K354" si="103">SUM(F352:F353)</f>
        <v>0</v>
      </c>
      <c r="G354" s="543">
        <f t="shared" si="103"/>
        <v>0</v>
      </c>
      <c r="H354" s="535">
        <f t="shared" si="103"/>
        <v>0</v>
      </c>
      <c r="I354" s="536">
        <f t="shared" si="103"/>
        <v>0</v>
      </c>
      <c r="J354" s="346">
        <f t="shared" si="103"/>
        <v>0</v>
      </c>
      <c r="K354" s="346">
        <f t="shared" si="103"/>
        <v>0</v>
      </c>
    </row>
    <row r="355" spans="1:11" ht="13">
      <c r="A355" s="331">
        <v>10</v>
      </c>
      <c r="D355" s="342"/>
      <c r="E355" s="195"/>
      <c r="G355" s="541"/>
      <c r="H355" s="531"/>
      <c r="I355" s="532"/>
    </row>
    <row r="356" spans="1:11" ht="13">
      <c r="A356" s="331">
        <v>11</v>
      </c>
      <c r="B356" s="330" t="s">
        <v>1000</v>
      </c>
      <c r="D356" s="342"/>
      <c r="E356" s="195"/>
      <c r="G356" s="541"/>
      <c r="H356" s="531"/>
      <c r="I356" s="532"/>
    </row>
    <row r="357" spans="1:11" ht="13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3">
        <f>'FR-16(7)(v)-1 Functional'!H357</f>
        <v>0</v>
      </c>
      <c r="G357" s="542">
        <f>F357-SUM(H357:I357)</f>
        <v>0</v>
      </c>
      <c r="H357" s="533">
        <f>ROUND(F357*VLOOKUP(D357,AllocTable_Classified_Storage,$H$10,FALSE),0)</f>
        <v>0</v>
      </c>
      <c r="I357" s="534">
        <f>ROUND(F357*VLOOKUP(D357,AllocTable_Classified_Storage,$I$10,FALSE),0)</f>
        <v>0</v>
      </c>
      <c r="J357" s="345">
        <f>SUM(G357:I357)</f>
        <v>0</v>
      </c>
      <c r="K357" s="345">
        <f>F357-J357</f>
        <v>0</v>
      </c>
    </row>
    <row r="358" spans="1:11" ht="13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K358" si="104">SUM(F356:F357)</f>
        <v>0</v>
      </c>
      <c r="G358" s="543">
        <f t="shared" si="104"/>
        <v>0</v>
      </c>
      <c r="H358" s="535">
        <f t="shared" si="104"/>
        <v>0</v>
      </c>
      <c r="I358" s="536">
        <f t="shared" si="104"/>
        <v>0</v>
      </c>
      <c r="J358" s="346">
        <f t="shared" si="104"/>
        <v>0</v>
      </c>
      <c r="K358" s="346">
        <f t="shared" si="104"/>
        <v>0</v>
      </c>
    </row>
    <row r="359" spans="1:11" ht="13">
      <c r="A359" s="331">
        <v>14</v>
      </c>
      <c r="D359" s="342"/>
      <c r="E359" s="195"/>
      <c r="F359" s="345"/>
      <c r="G359" s="542"/>
      <c r="H359" s="533"/>
      <c r="I359" s="534"/>
      <c r="J359" s="345"/>
      <c r="K359" s="345"/>
    </row>
    <row r="360" spans="1:11" ht="13">
      <c r="A360" s="331">
        <v>15</v>
      </c>
      <c r="B360" s="330" t="s">
        <v>48</v>
      </c>
      <c r="D360" s="342"/>
      <c r="E360" s="195" t="s">
        <v>343</v>
      </c>
      <c r="F360" s="345">
        <f t="shared" ref="F360:K360" si="105">F358+F354+F350</f>
        <v>0</v>
      </c>
      <c r="G360" s="542">
        <f t="shared" si="105"/>
        <v>0</v>
      </c>
      <c r="H360" s="533">
        <f t="shared" si="105"/>
        <v>0</v>
      </c>
      <c r="I360" s="534">
        <f t="shared" si="105"/>
        <v>0</v>
      </c>
      <c r="J360" s="345">
        <f t="shared" si="105"/>
        <v>0</v>
      </c>
      <c r="K360" s="345">
        <f t="shared" si="105"/>
        <v>0</v>
      </c>
    </row>
    <row r="361" spans="1:11" ht="13">
      <c r="A361" s="331">
        <v>16</v>
      </c>
      <c r="D361" s="342"/>
      <c r="E361" s="195"/>
      <c r="G361" s="541"/>
      <c r="H361" s="531"/>
      <c r="I361" s="532"/>
    </row>
    <row r="362" spans="1:11" ht="13">
      <c r="A362" s="331">
        <v>17</v>
      </c>
      <c r="B362" s="330" t="s">
        <v>49</v>
      </c>
      <c r="D362" s="342"/>
      <c r="E362" s="195"/>
      <c r="G362" s="541"/>
      <c r="H362" s="531"/>
      <c r="I362" s="532"/>
    </row>
    <row r="363" spans="1:11" ht="13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1"/>
      <c r="G363" s="542"/>
      <c r="H363" s="533"/>
      <c r="I363" s="534"/>
      <c r="J363" s="345"/>
      <c r="K363" s="345"/>
    </row>
    <row r="364" spans="1:11" ht="13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K364" si="106">SUM(F363)</f>
        <v>0</v>
      </c>
      <c r="G364" s="543">
        <f t="shared" si="106"/>
        <v>0</v>
      </c>
      <c r="H364" s="535">
        <f t="shared" si="106"/>
        <v>0</v>
      </c>
      <c r="I364" s="536">
        <f t="shared" si="106"/>
        <v>0</v>
      </c>
      <c r="J364" s="346">
        <f t="shared" si="106"/>
        <v>0</v>
      </c>
      <c r="K364" s="346">
        <f t="shared" si="106"/>
        <v>0</v>
      </c>
    </row>
    <row r="365" spans="1:11" ht="13">
      <c r="A365" s="331">
        <v>20</v>
      </c>
      <c r="D365" s="342"/>
      <c r="E365" s="195"/>
      <c r="G365" s="541"/>
      <c r="H365" s="531"/>
      <c r="I365" s="532"/>
    </row>
    <row r="366" spans="1:11" ht="13">
      <c r="A366" s="331">
        <v>21</v>
      </c>
      <c r="B366" s="330" t="s">
        <v>50</v>
      </c>
      <c r="D366" s="342"/>
      <c r="E366" s="195"/>
      <c r="G366" s="541"/>
      <c r="H366" s="531"/>
      <c r="I366" s="532"/>
    </row>
    <row r="367" spans="1:11" ht="13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3">
        <f>'FR-16(7)(v)-1 Functional'!H367</f>
        <v>0</v>
      </c>
      <c r="G367" s="542">
        <f t="shared" ref="G367:G377" si="107">F367-SUM(H367:I367)</f>
        <v>0</v>
      </c>
      <c r="H367" s="533">
        <f t="shared" ref="H367:H377" si="108">ROUND(F367*VLOOKUP(D367,AllocTable_Classified_Storage,$H$10,FALSE),0)</f>
        <v>0</v>
      </c>
      <c r="I367" s="534">
        <f t="shared" ref="I367:I377" si="109">ROUND(F367*VLOOKUP(D367,AllocTable_Classified_Storage,$I$10,FALSE),0)</f>
        <v>0</v>
      </c>
      <c r="J367" s="345">
        <f t="shared" ref="J367:J377" si="110">SUM(G367:I367)</f>
        <v>0</v>
      </c>
      <c r="K367" s="345">
        <f t="shared" ref="K367:K377" si="111">F367-J367</f>
        <v>0</v>
      </c>
    </row>
    <row r="368" spans="1:11" ht="13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3">
        <f>'FR-16(7)(v)-1 Functional'!H368</f>
        <v>0</v>
      </c>
      <c r="G368" s="542">
        <f t="shared" si="107"/>
        <v>0</v>
      </c>
      <c r="H368" s="533">
        <f t="shared" si="108"/>
        <v>0</v>
      </c>
      <c r="I368" s="534">
        <f t="shared" si="109"/>
        <v>0</v>
      </c>
      <c r="J368" s="345">
        <f t="shared" si="110"/>
        <v>0</v>
      </c>
      <c r="K368" s="345">
        <f t="shared" si="111"/>
        <v>0</v>
      </c>
    </row>
    <row r="369" spans="1:11" ht="13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3">
        <f>'FR-16(7)(v)-1 Functional'!H369</f>
        <v>0</v>
      </c>
      <c r="G369" s="542">
        <f t="shared" si="107"/>
        <v>0</v>
      </c>
      <c r="H369" s="533">
        <f t="shared" si="108"/>
        <v>0</v>
      </c>
      <c r="I369" s="534">
        <f t="shared" si="109"/>
        <v>0</v>
      </c>
      <c r="J369" s="345">
        <f t="shared" si="110"/>
        <v>0</v>
      </c>
      <c r="K369" s="345">
        <f t="shared" si="111"/>
        <v>0</v>
      </c>
    </row>
    <row r="370" spans="1:11" ht="13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3">
        <f>'FR-16(7)(v)-1 Functional'!H370</f>
        <v>0</v>
      </c>
      <c r="G370" s="542">
        <f t="shared" si="107"/>
        <v>0</v>
      </c>
      <c r="H370" s="533">
        <f t="shared" si="108"/>
        <v>0</v>
      </c>
      <c r="I370" s="534">
        <f t="shared" si="109"/>
        <v>0</v>
      </c>
      <c r="J370" s="345">
        <f t="shared" si="110"/>
        <v>0</v>
      </c>
      <c r="K370" s="345">
        <f t="shared" si="111"/>
        <v>0</v>
      </c>
    </row>
    <row r="371" spans="1:11" ht="13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3">
        <f>'FR-16(7)(v)-1 Functional'!H371</f>
        <v>0</v>
      </c>
      <c r="G371" s="542">
        <f t="shared" si="107"/>
        <v>0</v>
      </c>
      <c r="H371" s="533">
        <f t="shared" si="108"/>
        <v>0</v>
      </c>
      <c r="I371" s="534">
        <f t="shared" si="109"/>
        <v>0</v>
      </c>
      <c r="J371" s="345">
        <f t="shared" si="110"/>
        <v>0</v>
      </c>
      <c r="K371" s="345">
        <f t="shared" si="111"/>
        <v>0</v>
      </c>
    </row>
    <row r="372" spans="1:11" ht="13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3">
        <f>'FR-16(7)(v)-1 Functional'!H372</f>
        <v>0</v>
      </c>
      <c r="G372" s="542">
        <f t="shared" si="107"/>
        <v>0</v>
      </c>
      <c r="H372" s="533">
        <f t="shared" si="108"/>
        <v>0</v>
      </c>
      <c r="I372" s="534">
        <f t="shared" si="109"/>
        <v>0</v>
      </c>
      <c r="J372" s="345">
        <f t="shared" si="110"/>
        <v>0</v>
      </c>
      <c r="K372" s="345">
        <f t="shared" si="111"/>
        <v>0</v>
      </c>
    </row>
    <row r="373" spans="1:11" ht="13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3">
        <f>'FR-16(7)(v)-1 Functional'!H373</f>
        <v>0</v>
      </c>
      <c r="G373" s="542">
        <f t="shared" si="107"/>
        <v>0</v>
      </c>
      <c r="H373" s="533">
        <f t="shared" si="108"/>
        <v>0</v>
      </c>
      <c r="I373" s="534">
        <f t="shared" si="109"/>
        <v>0</v>
      </c>
      <c r="J373" s="345">
        <f t="shared" si="110"/>
        <v>0</v>
      </c>
      <c r="K373" s="345">
        <f t="shared" si="111"/>
        <v>0</v>
      </c>
    </row>
    <row r="374" spans="1:11" ht="13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3">
        <f>'FR-16(7)(v)-1 Functional'!H374</f>
        <v>0</v>
      </c>
      <c r="G374" s="542">
        <f t="shared" si="107"/>
        <v>0</v>
      </c>
      <c r="H374" s="533">
        <f t="shared" si="108"/>
        <v>0</v>
      </c>
      <c r="I374" s="534">
        <f t="shared" si="109"/>
        <v>0</v>
      </c>
      <c r="J374" s="345">
        <f t="shared" si="110"/>
        <v>0</v>
      </c>
      <c r="K374" s="345">
        <f t="shared" si="111"/>
        <v>0</v>
      </c>
    </row>
    <row r="375" spans="1:11" ht="13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3">
        <f>'FR-16(7)(v)-1 Functional'!H375</f>
        <v>0</v>
      </c>
      <c r="G375" s="542">
        <f t="shared" si="107"/>
        <v>0</v>
      </c>
      <c r="H375" s="533">
        <f t="shared" si="108"/>
        <v>0</v>
      </c>
      <c r="I375" s="534">
        <f t="shared" si="109"/>
        <v>0</v>
      </c>
      <c r="J375" s="345">
        <f t="shared" si="110"/>
        <v>0</v>
      </c>
      <c r="K375" s="345">
        <f t="shared" si="111"/>
        <v>0</v>
      </c>
    </row>
    <row r="376" spans="1:11" ht="13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3">
        <f>'FR-16(7)(v)-1 Functional'!H376</f>
        <v>0</v>
      </c>
      <c r="G376" s="542">
        <f t="shared" si="107"/>
        <v>0</v>
      </c>
      <c r="H376" s="533">
        <f t="shared" si="108"/>
        <v>0</v>
      </c>
      <c r="I376" s="534">
        <f t="shared" si="109"/>
        <v>0</v>
      </c>
      <c r="J376" s="345">
        <f t="shared" si="110"/>
        <v>0</v>
      </c>
      <c r="K376" s="345">
        <f t="shared" si="111"/>
        <v>0</v>
      </c>
    </row>
    <row r="377" spans="1:11" ht="13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3">
        <f>'FR-16(7)(v)-1 Functional'!H377</f>
        <v>0</v>
      </c>
      <c r="G377" s="542">
        <f t="shared" si="107"/>
        <v>0</v>
      </c>
      <c r="H377" s="533">
        <f t="shared" si="108"/>
        <v>0</v>
      </c>
      <c r="I377" s="534">
        <f t="shared" si="109"/>
        <v>0</v>
      </c>
      <c r="J377" s="345">
        <f t="shared" si="110"/>
        <v>0</v>
      </c>
      <c r="K377" s="345">
        <f t="shared" si="111"/>
        <v>0</v>
      </c>
    </row>
    <row r="378" spans="1:11" ht="13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K378" si="112">SUM(F366:F377)</f>
        <v>0</v>
      </c>
      <c r="G378" s="543">
        <f t="shared" si="112"/>
        <v>0</v>
      </c>
      <c r="H378" s="535">
        <f t="shared" si="112"/>
        <v>0</v>
      </c>
      <c r="I378" s="536">
        <f t="shared" si="112"/>
        <v>0</v>
      </c>
      <c r="J378" s="346">
        <f t="shared" si="112"/>
        <v>0</v>
      </c>
      <c r="K378" s="346">
        <f t="shared" si="112"/>
        <v>0</v>
      </c>
    </row>
    <row r="379" spans="1:11" ht="13">
      <c r="A379" s="331">
        <v>34</v>
      </c>
      <c r="C379" s="330" t="s">
        <v>343</v>
      </c>
      <c r="D379" s="342"/>
      <c r="E379" s="195"/>
      <c r="G379" s="541"/>
      <c r="H379" s="531"/>
      <c r="I379" s="532"/>
    </row>
    <row r="380" spans="1:11" ht="13">
      <c r="A380" s="331">
        <v>35</v>
      </c>
      <c r="B380" s="330" t="s">
        <v>51</v>
      </c>
      <c r="D380" s="342"/>
      <c r="E380" s="195"/>
      <c r="F380" s="330" t="s">
        <v>343</v>
      </c>
      <c r="G380" s="541"/>
      <c r="H380" s="531"/>
      <c r="I380" s="532"/>
    </row>
    <row r="381" spans="1:11" ht="13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3">
        <f>'FR-16(7)(v)-1 Functional'!H381</f>
        <v>0</v>
      </c>
      <c r="G381" s="542">
        <f t="shared" ref="G381:G388" si="113">F381-SUM(H381:I381)</f>
        <v>0</v>
      </c>
      <c r="H381" s="533">
        <f t="shared" ref="H381:H388" si="114">ROUND(F381*VLOOKUP(D381,AllocTable_Classified_Storage,$H$10,FALSE),0)</f>
        <v>0</v>
      </c>
      <c r="I381" s="534">
        <f t="shared" ref="I381:I388" si="115">ROUND(F381*VLOOKUP(D381,AllocTable_Classified_Storage,$I$10,FALSE),0)</f>
        <v>0</v>
      </c>
      <c r="J381" s="345">
        <f t="shared" ref="J381:J388" si="116">SUM(G381:I381)</f>
        <v>0</v>
      </c>
      <c r="K381" s="345">
        <f t="shared" ref="K381:K388" si="117">F381-J381</f>
        <v>0</v>
      </c>
    </row>
    <row r="382" spans="1:11" ht="13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3">
        <f>'FR-16(7)(v)-1 Functional'!H382</f>
        <v>0</v>
      </c>
      <c r="G382" s="542">
        <f t="shared" si="113"/>
        <v>0</v>
      </c>
      <c r="H382" s="533">
        <f t="shared" si="114"/>
        <v>0</v>
      </c>
      <c r="I382" s="534">
        <f t="shared" si="115"/>
        <v>0</v>
      </c>
      <c r="J382" s="345">
        <f t="shared" si="116"/>
        <v>0</v>
      </c>
      <c r="K382" s="345">
        <f t="shared" si="117"/>
        <v>0</v>
      </c>
    </row>
    <row r="383" spans="1:11" ht="13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3">
        <f>'FR-16(7)(v)-1 Functional'!H383</f>
        <v>0</v>
      </c>
      <c r="G383" s="542">
        <f t="shared" si="113"/>
        <v>0</v>
      </c>
      <c r="H383" s="533">
        <f t="shared" si="114"/>
        <v>0</v>
      </c>
      <c r="I383" s="534">
        <f t="shared" si="115"/>
        <v>0</v>
      </c>
      <c r="J383" s="345">
        <f t="shared" si="116"/>
        <v>0</v>
      </c>
      <c r="K383" s="345">
        <f t="shared" si="117"/>
        <v>0</v>
      </c>
    </row>
    <row r="384" spans="1:11" ht="13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3">
        <f>'FR-16(7)(v)-1 Functional'!H384</f>
        <v>0</v>
      </c>
      <c r="G384" s="542">
        <f t="shared" si="113"/>
        <v>0</v>
      </c>
      <c r="H384" s="533">
        <f t="shared" si="114"/>
        <v>0</v>
      </c>
      <c r="I384" s="534">
        <f t="shared" si="115"/>
        <v>0</v>
      </c>
      <c r="J384" s="345">
        <f t="shared" si="116"/>
        <v>0</v>
      </c>
      <c r="K384" s="345">
        <f t="shared" si="117"/>
        <v>0</v>
      </c>
    </row>
    <row r="385" spans="1:11" ht="13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3">
        <f>'FR-16(7)(v)-1 Functional'!H385</f>
        <v>0</v>
      </c>
      <c r="G385" s="542">
        <f t="shared" si="113"/>
        <v>0</v>
      </c>
      <c r="H385" s="533">
        <f t="shared" si="114"/>
        <v>0</v>
      </c>
      <c r="I385" s="534">
        <f t="shared" si="115"/>
        <v>0</v>
      </c>
      <c r="J385" s="345">
        <f t="shared" si="116"/>
        <v>0</v>
      </c>
      <c r="K385" s="345">
        <f t="shared" si="117"/>
        <v>0</v>
      </c>
    </row>
    <row r="386" spans="1:11" ht="13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3">
        <f>'FR-16(7)(v)-1 Functional'!H386</f>
        <v>0</v>
      </c>
      <c r="G386" s="542">
        <f t="shared" si="113"/>
        <v>0</v>
      </c>
      <c r="H386" s="533">
        <f t="shared" si="114"/>
        <v>0</v>
      </c>
      <c r="I386" s="534">
        <f t="shared" si="115"/>
        <v>0</v>
      </c>
      <c r="J386" s="345">
        <f t="shared" si="116"/>
        <v>0</v>
      </c>
      <c r="K386" s="345">
        <f t="shared" si="117"/>
        <v>0</v>
      </c>
    </row>
    <row r="387" spans="1:11" ht="13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3">
        <f>'FR-16(7)(v)-1 Functional'!H387</f>
        <v>0</v>
      </c>
      <c r="G387" s="542">
        <f t="shared" si="113"/>
        <v>0</v>
      </c>
      <c r="H387" s="533">
        <f t="shared" si="114"/>
        <v>0</v>
      </c>
      <c r="I387" s="534">
        <f t="shared" si="115"/>
        <v>0</v>
      </c>
      <c r="J387" s="345">
        <f t="shared" si="116"/>
        <v>0</v>
      </c>
      <c r="K387" s="345">
        <f t="shared" si="117"/>
        <v>0</v>
      </c>
    </row>
    <row r="388" spans="1:11" ht="13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3">
        <f>'FR-16(7)(v)-1 Functional'!H388</f>
        <v>0</v>
      </c>
      <c r="G388" s="542">
        <f t="shared" si="113"/>
        <v>0</v>
      </c>
      <c r="H388" s="533">
        <f t="shared" si="114"/>
        <v>0</v>
      </c>
      <c r="I388" s="534">
        <f t="shared" si="115"/>
        <v>0</v>
      </c>
      <c r="J388" s="345">
        <f t="shared" si="116"/>
        <v>0</v>
      </c>
      <c r="K388" s="345">
        <f t="shared" si="117"/>
        <v>0</v>
      </c>
    </row>
    <row r="389" spans="1:11" ht="13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K389" si="118">SUM(F380:F388)</f>
        <v>0</v>
      </c>
      <c r="G389" s="551">
        <f t="shared" si="118"/>
        <v>0</v>
      </c>
      <c r="H389" s="552">
        <f t="shared" si="118"/>
        <v>0</v>
      </c>
      <c r="I389" s="553">
        <f t="shared" si="118"/>
        <v>0</v>
      </c>
      <c r="J389" s="346">
        <f t="shared" si="118"/>
        <v>0</v>
      </c>
      <c r="K389" s="346">
        <f t="shared" si="118"/>
        <v>0</v>
      </c>
    </row>
    <row r="390" spans="1:11" ht="13">
      <c r="B390" s="341"/>
      <c r="C390" s="195"/>
      <c r="D390" s="342"/>
      <c r="E390" s="195"/>
      <c r="F390" s="195"/>
      <c r="G390" s="195"/>
      <c r="H390" s="195"/>
      <c r="I390" s="195"/>
      <c r="J390" s="195"/>
      <c r="K390" s="195"/>
    </row>
    <row r="391" spans="1:11" ht="13">
      <c r="A391" s="341" t="str">
        <f>co_name</f>
        <v>DUKE ENERGY KENTUCKY, INC.</v>
      </c>
      <c r="C391" s="195"/>
      <c r="D391" s="342"/>
      <c r="E391" s="195"/>
      <c r="F391" s="195"/>
      <c r="G391" s="195"/>
      <c r="H391" s="195"/>
      <c r="I391" s="195"/>
      <c r="J391" s="195" t="str">
        <f>$J$1</f>
        <v>FR-16(7)(v)-7</v>
      </c>
      <c r="K391" s="195"/>
    </row>
    <row r="392" spans="1:11" ht="13">
      <c r="A392" s="341" t="str">
        <f>$A$2</f>
        <v>STORAGE CLASSIFIED -  GAS COST OF SERVICE</v>
      </c>
      <c r="C392" s="195"/>
      <c r="D392" s="342"/>
      <c r="E392" s="195"/>
      <c r="F392" s="195"/>
      <c r="G392" s="195"/>
      <c r="H392" s="195"/>
      <c r="I392" s="195"/>
      <c r="J392" s="195" t="str">
        <f>$J$2</f>
        <v>WITNESS RESPONSIBLE:</v>
      </c>
      <c r="K392" s="195"/>
    </row>
    <row r="393" spans="1:11" ht="13">
      <c r="A393" s="341" t="str">
        <f>case_name</f>
        <v>CASE NO: 2021-00190</v>
      </c>
      <c r="C393" s="195"/>
      <c r="D393" s="342"/>
      <c r="E393" s="195"/>
      <c r="F393" s="195"/>
      <c r="G393" s="195"/>
      <c r="H393" s="195"/>
      <c r="I393" s="195"/>
      <c r="J393" s="195" t="str">
        <f>Witness</f>
        <v>JAMES E. ZIOLKOWSKI</v>
      </c>
      <c r="K393" s="195"/>
    </row>
    <row r="394" spans="1:11" ht="13">
      <c r="A394" s="341" t="str">
        <f>data_filing</f>
        <v>DATA: 12 MONTH FORECASTED PERIOD</v>
      </c>
      <c r="C394" s="195"/>
      <c r="D394" s="342"/>
      <c r="E394" s="195"/>
      <c r="F394" s="195"/>
      <c r="G394" s="195"/>
      <c r="H394" s="195"/>
      <c r="I394" s="195"/>
      <c r="J394" s="195" t="str">
        <f>"PAGE "&amp;Pages2-6&amp;" OF "&amp;Pages2</f>
        <v>PAGE 9 OF 15</v>
      </c>
      <c r="K394" s="195"/>
    </row>
    <row r="395" spans="1:11" ht="13">
      <c r="A395" s="341" t="str">
        <f>type</f>
        <v xml:space="preserve">TYPE OF FILING: "X" ORIGINAL   UPDATED    REVISED  </v>
      </c>
      <c r="C395" s="195"/>
      <c r="D395" s="342"/>
      <c r="E395" s="195"/>
      <c r="F395" s="195"/>
      <c r="G395" s="195"/>
      <c r="H395" s="195"/>
      <c r="I395" s="195"/>
      <c r="J395" s="195"/>
      <c r="K395" s="195"/>
    </row>
    <row r="396" spans="1:11" ht="13">
      <c r="B396" s="341"/>
      <c r="C396" s="195"/>
      <c r="D396" s="342"/>
      <c r="E396" s="195"/>
      <c r="F396" s="195"/>
      <c r="G396" s="195"/>
      <c r="H396" s="195"/>
      <c r="I396" s="195"/>
      <c r="J396" s="195"/>
      <c r="K396" s="195"/>
    </row>
    <row r="397" spans="1:11" ht="13">
      <c r="B397" s="341"/>
      <c r="C397" s="195"/>
      <c r="D397" s="342"/>
      <c r="E397" s="195"/>
      <c r="F397" s="195"/>
      <c r="G397" s="195"/>
      <c r="H397" s="195"/>
      <c r="I397" s="195"/>
      <c r="J397" s="195"/>
      <c r="K397" s="195"/>
    </row>
    <row r="398" spans="1:11" ht="13">
      <c r="A398" s="342" t="s">
        <v>907</v>
      </c>
      <c r="B398" s="195"/>
      <c r="C398" s="195"/>
      <c r="D398" s="342"/>
      <c r="E398" s="195"/>
      <c r="F398" s="342" t="str">
        <f>$F$8</f>
        <v>TOTAL</v>
      </c>
      <c r="G398" s="539" t="s">
        <v>995</v>
      </c>
      <c r="H398" s="527"/>
      <c r="I398" s="528"/>
      <c r="J398" s="342" t="s">
        <v>229</v>
      </c>
      <c r="K398" s="342" t="s">
        <v>342</v>
      </c>
    </row>
    <row r="399" spans="1:11" ht="13">
      <c r="A399" s="344" t="s">
        <v>908</v>
      </c>
      <c r="B399" s="343" t="s">
        <v>44</v>
      </c>
      <c r="C399" s="343"/>
      <c r="D399" s="344" t="s">
        <v>337</v>
      </c>
      <c r="E399" s="343"/>
      <c r="F399" s="344" t="str">
        <f>$F$9</f>
        <v>STORAGE</v>
      </c>
      <c r="G399" s="540" t="s">
        <v>840</v>
      </c>
      <c r="H399" s="529" t="s">
        <v>841</v>
      </c>
      <c r="I399" s="530" t="s">
        <v>842</v>
      </c>
      <c r="J399" s="344" t="s">
        <v>341</v>
      </c>
      <c r="K399" s="344" t="s">
        <v>340</v>
      </c>
    </row>
    <row r="400" spans="1:11" ht="13">
      <c r="C400" s="572" t="s">
        <v>557</v>
      </c>
      <c r="D400" s="342"/>
      <c r="E400" s="195"/>
      <c r="G400" s="793">
        <f>$G$10</f>
        <v>3</v>
      </c>
      <c r="H400" s="794">
        <f>$H$10</f>
        <v>4</v>
      </c>
      <c r="I400" s="795">
        <f>$I$10</f>
        <v>5</v>
      </c>
    </row>
    <row r="401" spans="1:11" ht="13">
      <c r="A401" s="331">
        <v>1</v>
      </c>
      <c r="B401" s="330" t="s">
        <v>52</v>
      </c>
      <c r="D401" s="342"/>
      <c r="E401" s="195"/>
      <c r="G401" s="541"/>
      <c r="H401" s="531"/>
      <c r="I401" s="532"/>
    </row>
    <row r="402" spans="1:11" ht="13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3">
        <f>'FR-16(7)(v)-1 Functional'!H402</f>
        <v>0</v>
      </c>
      <c r="G402" s="542">
        <f>F402-SUM(H402:I402)</f>
        <v>0</v>
      </c>
      <c r="H402" s="533">
        <f>ROUND(F402*VLOOKUP(D402,AllocTable_Classified_Storage,$H$10,FALSE),0)</f>
        <v>0</v>
      </c>
      <c r="I402" s="534">
        <f>ROUND(F402*VLOOKUP(D402,AllocTable_Classified_Storage,$I$10,FALSE),0)</f>
        <v>0</v>
      </c>
      <c r="J402" s="345">
        <f>SUM(G402:I402)</f>
        <v>0</v>
      </c>
      <c r="K402" s="345">
        <f>F402-J402</f>
        <v>0</v>
      </c>
    </row>
    <row r="403" spans="1:11" ht="13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K403" si="119">SUM(F402:F402)</f>
        <v>0</v>
      </c>
      <c r="G403" s="543">
        <f t="shared" si="119"/>
        <v>0</v>
      </c>
      <c r="H403" s="535">
        <f t="shared" si="119"/>
        <v>0</v>
      </c>
      <c r="I403" s="536">
        <f t="shared" si="119"/>
        <v>0</v>
      </c>
      <c r="J403" s="346">
        <f t="shared" si="119"/>
        <v>0</v>
      </c>
      <c r="K403" s="346">
        <f t="shared" si="119"/>
        <v>0</v>
      </c>
    </row>
    <row r="404" spans="1:11" ht="13">
      <c r="A404" s="331">
        <v>4</v>
      </c>
      <c r="D404" s="342"/>
      <c r="E404" s="195"/>
      <c r="F404" s="345"/>
      <c r="G404" s="542"/>
      <c r="H404" s="533"/>
      <c r="I404" s="534"/>
      <c r="J404" s="345"/>
      <c r="K404" s="345"/>
    </row>
    <row r="405" spans="1:11" ht="13">
      <c r="A405" s="331">
        <v>5</v>
      </c>
      <c r="B405" s="330" t="s">
        <v>53</v>
      </c>
      <c r="D405" s="342"/>
      <c r="E405" s="195"/>
      <c r="F405" s="345"/>
      <c r="G405" s="542"/>
      <c r="H405" s="533"/>
      <c r="I405" s="534"/>
      <c r="J405" s="345"/>
      <c r="K405" s="345"/>
    </row>
    <row r="406" spans="1:11" ht="13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3">
        <f>'FR-16(7)(v)-1 Functional'!H406</f>
        <v>0</v>
      </c>
      <c r="G406" s="542">
        <f>F406-SUM(H406:I406)</f>
        <v>0</v>
      </c>
      <c r="H406" s="533">
        <f>ROUND(F406*VLOOKUP(D406,AllocTable_Classified_Storage,$H$10,FALSE),0)</f>
        <v>0</v>
      </c>
      <c r="I406" s="534">
        <f>ROUND(F406*VLOOKUP(D406,AllocTable_Classified_Storage,$I$10,FALSE),0)</f>
        <v>0</v>
      </c>
      <c r="J406" s="345">
        <f>SUM(G406:I406)</f>
        <v>0</v>
      </c>
      <c r="K406" s="345">
        <f>F406-J406</f>
        <v>0</v>
      </c>
    </row>
    <row r="407" spans="1:11" ht="13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K407" si="120">SUM(F405:F406)</f>
        <v>0</v>
      </c>
      <c r="G407" s="543">
        <f t="shared" si="120"/>
        <v>0</v>
      </c>
      <c r="H407" s="535">
        <f t="shared" si="120"/>
        <v>0</v>
      </c>
      <c r="I407" s="536">
        <f t="shared" si="120"/>
        <v>0</v>
      </c>
      <c r="J407" s="346">
        <f t="shared" si="120"/>
        <v>0</v>
      </c>
      <c r="K407" s="346">
        <f t="shared" si="120"/>
        <v>0</v>
      </c>
    </row>
    <row r="408" spans="1:11" ht="13">
      <c r="A408" s="331">
        <v>8</v>
      </c>
      <c r="D408" s="342"/>
      <c r="E408" s="195"/>
      <c r="G408" s="541"/>
      <c r="H408" s="531"/>
      <c r="I408" s="532"/>
    </row>
    <row r="409" spans="1:11" ht="13">
      <c r="A409" s="331">
        <v>9</v>
      </c>
      <c r="B409" s="330" t="s">
        <v>54</v>
      </c>
      <c r="D409" s="342"/>
      <c r="E409" s="195"/>
      <c r="G409" s="541"/>
      <c r="H409" s="531"/>
      <c r="I409" s="532"/>
    </row>
    <row r="410" spans="1:11" ht="13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3">
        <f>'FR-16(7)(v)-1 Functional'!H410</f>
        <v>0</v>
      </c>
      <c r="G410" s="542">
        <f t="shared" ref="G410:G415" si="121">F410-SUM(H410:I410)</f>
        <v>0</v>
      </c>
      <c r="H410" s="533">
        <f t="shared" ref="H410:H415" si="122">ROUND(F410*VLOOKUP(D410,AllocTable_Classified_Storage,$H$10,FALSE),0)</f>
        <v>0</v>
      </c>
      <c r="I410" s="534">
        <f t="shared" ref="I410:I415" si="123">ROUND(F410*VLOOKUP(D410,AllocTable_Classified_Storage,$I$10,FALSE),0)</f>
        <v>0</v>
      </c>
      <c r="J410" s="345">
        <f t="shared" ref="J410:J415" si="124">SUM(G410:I410)</f>
        <v>0</v>
      </c>
      <c r="K410" s="345">
        <f t="shared" ref="K410:K415" si="125">F410-J410</f>
        <v>0</v>
      </c>
    </row>
    <row r="411" spans="1:11" ht="13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3">
        <f>'FR-16(7)(v)-1 Functional'!H411</f>
        <v>0</v>
      </c>
      <c r="G411" s="542">
        <f t="shared" si="121"/>
        <v>0</v>
      </c>
      <c r="H411" s="533">
        <f t="shared" si="122"/>
        <v>0</v>
      </c>
      <c r="I411" s="534">
        <f t="shared" si="123"/>
        <v>0</v>
      </c>
      <c r="J411" s="345">
        <f t="shared" si="124"/>
        <v>0</v>
      </c>
      <c r="K411" s="345">
        <f t="shared" si="125"/>
        <v>0</v>
      </c>
    </row>
    <row r="412" spans="1:11" ht="13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3">
        <f>'FR-16(7)(v)-1 Functional'!H412</f>
        <v>0</v>
      </c>
      <c r="G412" s="542">
        <f t="shared" si="121"/>
        <v>0</v>
      </c>
      <c r="H412" s="533">
        <f t="shared" si="122"/>
        <v>0</v>
      </c>
      <c r="I412" s="534">
        <f t="shared" si="123"/>
        <v>0</v>
      </c>
      <c r="J412" s="345">
        <f t="shared" si="124"/>
        <v>0</v>
      </c>
      <c r="K412" s="345">
        <f t="shared" si="125"/>
        <v>0</v>
      </c>
    </row>
    <row r="413" spans="1:11" ht="13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3">
        <f>'FR-16(7)(v)-1 Functional'!H413</f>
        <v>0</v>
      </c>
      <c r="G413" s="542">
        <f t="shared" si="121"/>
        <v>0</v>
      </c>
      <c r="H413" s="533">
        <f t="shared" si="122"/>
        <v>0</v>
      </c>
      <c r="I413" s="534">
        <f t="shared" si="123"/>
        <v>0</v>
      </c>
      <c r="J413" s="345">
        <f t="shared" si="124"/>
        <v>0</v>
      </c>
      <c r="K413" s="345">
        <f t="shared" si="125"/>
        <v>0</v>
      </c>
    </row>
    <row r="414" spans="1:11" ht="13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3">
        <f>'FR-16(7)(v)-1 Functional'!H414</f>
        <v>0</v>
      </c>
      <c r="G414" s="542">
        <f t="shared" si="121"/>
        <v>0</v>
      </c>
      <c r="H414" s="533">
        <f t="shared" si="122"/>
        <v>0</v>
      </c>
      <c r="I414" s="534">
        <f t="shared" si="123"/>
        <v>0</v>
      </c>
      <c r="J414" s="345">
        <f t="shared" si="124"/>
        <v>0</v>
      </c>
      <c r="K414" s="345">
        <f t="shared" si="125"/>
        <v>0</v>
      </c>
    </row>
    <row r="415" spans="1:11" ht="13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3">
        <f>'FR-16(7)(v)-1 Functional'!H415</f>
        <v>0</v>
      </c>
      <c r="G415" s="542">
        <f t="shared" si="121"/>
        <v>0</v>
      </c>
      <c r="H415" s="533">
        <f t="shared" si="122"/>
        <v>0</v>
      </c>
      <c r="I415" s="534">
        <f t="shared" si="123"/>
        <v>0</v>
      </c>
      <c r="J415" s="496">
        <f t="shared" si="124"/>
        <v>0</v>
      </c>
      <c r="K415" s="496">
        <f t="shared" si="125"/>
        <v>0</v>
      </c>
    </row>
    <row r="416" spans="1:11" ht="13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7">
        <f t="shared" ref="F416:K416" si="126">SUM(F410:F415)</f>
        <v>0</v>
      </c>
      <c r="G416" s="557">
        <f t="shared" si="126"/>
        <v>0</v>
      </c>
      <c r="H416" s="558">
        <f t="shared" si="126"/>
        <v>0</v>
      </c>
      <c r="I416" s="559">
        <f t="shared" si="126"/>
        <v>0</v>
      </c>
      <c r="J416" s="471">
        <f t="shared" si="126"/>
        <v>0</v>
      </c>
      <c r="K416" s="471">
        <f t="shared" si="126"/>
        <v>0</v>
      </c>
    </row>
    <row r="417" spans="1:11" ht="13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3">
        <f>'FR-16(7)(v)-1 Functional'!H417</f>
        <v>0</v>
      </c>
      <c r="G417" s="542">
        <f t="shared" ref="G417:G430" si="127">F417-SUM(H417:I417)</f>
        <v>0</v>
      </c>
      <c r="H417" s="533">
        <f t="shared" ref="H417:H430" si="128">ROUND(F417*VLOOKUP(D417,AllocTable_Classified_Storage,$H$10,FALSE),0)</f>
        <v>0</v>
      </c>
      <c r="I417" s="534">
        <f t="shared" ref="I417:I430" si="129">ROUND(F417*VLOOKUP(D417,AllocTable_Classified_Storage,$I$10,FALSE),0)</f>
        <v>0</v>
      </c>
      <c r="J417" s="345">
        <f t="shared" ref="J417:J430" si="130">SUM(G417:I417)</f>
        <v>0</v>
      </c>
      <c r="K417" s="345">
        <f t="shared" ref="K417:K430" si="131">F417-J417</f>
        <v>0</v>
      </c>
    </row>
    <row r="418" spans="1:11" ht="13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3">
        <f>'FR-16(7)(v)-1 Functional'!H418</f>
        <v>0</v>
      </c>
      <c r="G418" s="542">
        <f t="shared" si="127"/>
        <v>0</v>
      </c>
      <c r="H418" s="533">
        <f t="shared" si="128"/>
        <v>0</v>
      </c>
      <c r="I418" s="534">
        <f t="shared" si="129"/>
        <v>0</v>
      </c>
      <c r="J418" s="345">
        <f t="shared" si="130"/>
        <v>0</v>
      </c>
      <c r="K418" s="345">
        <f t="shared" si="131"/>
        <v>0</v>
      </c>
    </row>
    <row r="419" spans="1:11" ht="13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3">
        <f>'FR-16(7)(v)-1 Functional'!H419</f>
        <v>0</v>
      </c>
      <c r="G419" s="542">
        <f t="shared" si="127"/>
        <v>0</v>
      </c>
      <c r="H419" s="533">
        <f t="shared" si="128"/>
        <v>0</v>
      </c>
      <c r="I419" s="534">
        <f t="shared" si="129"/>
        <v>0</v>
      </c>
      <c r="J419" s="345">
        <f t="shared" si="130"/>
        <v>0</v>
      </c>
      <c r="K419" s="345">
        <f t="shared" si="131"/>
        <v>0</v>
      </c>
    </row>
    <row r="420" spans="1:11" ht="13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3">
        <f>'FR-16(7)(v)-1 Functional'!H420</f>
        <v>0</v>
      </c>
      <c r="G420" s="542">
        <f t="shared" si="127"/>
        <v>0</v>
      </c>
      <c r="H420" s="533">
        <f t="shared" si="128"/>
        <v>0</v>
      </c>
      <c r="I420" s="534">
        <f t="shared" si="129"/>
        <v>0</v>
      </c>
      <c r="J420" s="345">
        <f t="shared" si="130"/>
        <v>0</v>
      </c>
      <c r="K420" s="345">
        <f t="shared" si="131"/>
        <v>0</v>
      </c>
    </row>
    <row r="421" spans="1:11" ht="13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3">
        <f>'FR-16(7)(v)-1 Functional'!H421</f>
        <v>0</v>
      </c>
      <c r="G421" s="542">
        <f t="shared" si="127"/>
        <v>0</v>
      </c>
      <c r="H421" s="533">
        <f t="shared" si="128"/>
        <v>0</v>
      </c>
      <c r="I421" s="534">
        <f t="shared" si="129"/>
        <v>0</v>
      </c>
      <c r="J421" s="345">
        <f t="shared" si="130"/>
        <v>0</v>
      </c>
      <c r="K421" s="345">
        <f t="shared" si="131"/>
        <v>0</v>
      </c>
    </row>
    <row r="422" spans="1:11" ht="13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3">
        <f>'FR-16(7)(v)-1 Functional'!H422</f>
        <v>0</v>
      </c>
      <c r="G422" s="542">
        <f t="shared" si="127"/>
        <v>0</v>
      </c>
      <c r="H422" s="533">
        <f t="shared" si="128"/>
        <v>0</v>
      </c>
      <c r="I422" s="534">
        <f t="shared" si="129"/>
        <v>0</v>
      </c>
      <c r="J422" s="345">
        <f t="shared" si="130"/>
        <v>0</v>
      </c>
      <c r="K422" s="345">
        <f t="shared" si="131"/>
        <v>0</v>
      </c>
    </row>
    <row r="423" spans="1:11" ht="13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3">
        <f>'FR-16(7)(v)-1 Functional'!H423</f>
        <v>0</v>
      </c>
      <c r="G423" s="542">
        <f t="shared" si="127"/>
        <v>0</v>
      </c>
      <c r="H423" s="533">
        <f t="shared" si="128"/>
        <v>0</v>
      </c>
      <c r="I423" s="534">
        <f t="shared" si="129"/>
        <v>0</v>
      </c>
      <c r="J423" s="345">
        <f t="shared" si="130"/>
        <v>0</v>
      </c>
      <c r="K423" s="345">
        <f t="shared" si="131"/>
        <v>0</v>
      </c>
    </row>
    <row r="424" spans="1:11" ht="13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3">
        <f>'FR-16(7)(v)-1 Functional'!H424</f>
        <v>0</v>
      </c>
      <c r="G424" s="542">
        <f t="shared" ref="G424:G429" si="132">F424-SUM(H424:I424)</f>
        <v>0</v>
      </c>
      <c r="H424" s="533">
        <f t="shared" si="128"/>
        <v>0</v>
      </c>
      <c r="I424" s="534">
        <f t="shared" si="129"/>
        <v>0</v>
      </c>
      <c r="J424" s="345">
        <f t="shared" ref="J424:J429" si="133">SUM(G424:I424)</f>
        <v>0</v>
      </c>
      <c r="K424" s="345">
        <f t="shared" ref="K424:K429" si="134">F424-J424</f>
        <v>0</v>
      </c>
    </row>
    <row r="425" spans="1:11" ht="13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3">
        <f>'FR-16(7)(v)-1 Functional'!H425</f>
        <v>0</v>
      </c>
      <c r="G425" s="542">
        <f t="shared" si="132"/>
        <v>0</v>
      </c>
      <c r="H425" s="533">
        <f t="shared" si="128"/>
        <v>0</v>
      </c>
      <c r="I425" s="534">
        <f t="shared" si="129"/>
        <v>0</v>
      </c>
      <c r="J425" s="345">
        <f t="shared" si="133"/>
        <v>0</v>
      </c>
      <c r="K425" s="345">
        <f t="shared" si="134"/>
        <v>0</v>
      </c>
    </row>
    <row r="426" spans="1:11" ht="13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3">
        <f>'FR-16(7)(v)-1 Functional'!H426</f>
        <v>0</v>
      </c>
      <c r="G426" s="542">
        <f t="shared" si="132"/>
        <v>0</v>
      </c>
      <c r="H426" s="533">
        <f t="shared" si="128"/>
        <v>0</v>
      </c>
      <c r="I426" s="534">
        <f t="shared" si="129"/>
        <v>0</v>
      </c>
      <c r="J426" s="345">
        <f t="shared" si="133"/>
        <v>0</v>
      </c>
      <c r="K426" s="345">
        <f t="shared" si="134"/>
        <v>0</v>
      </c>
    </row>
    <row r="427" spans="1:11" ht="13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3">
        <f>'FR-16(7)(v)-1 Functional'!H427</f>
        <v>0</v>
      </c>
      <c r="G427" s="542">
        <f t="shared" si="132"/>
        <v>0</v>
      </c>
      <c r="H427" s="533">
        <f t="shared" si="128"/>
        <v>0</v>
      </c>
      <c r="I427" s="534">
        <f t="shared" si="129"/>
        <v>0</v>
      </c>
      <c r="J427" s="345">
        <f t="shared" si="133"/>
        <v>0</v>
      </c>
      <c r="K427" s="345">
        <f t="shared" si="134"/>
        <v>0</v>
      </c>
    </row>
    <row r="428" spans="1:11" ht="13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3">
        <f>'FR-16(7)(v)-1 Functional'!H428</f>
        <v>0</v>
      </c>
      <c r="G428" s="542">
        <f t="shared" si="132"/>
        <v>0</v>
      </c>
      <c r="H428" s="533">
        <f t="shared" si="128"/>
        <v>0</v>
      </c>
      <c r="I428" s="534">
        <f t="shared" si="129"/>
        <v>0</v>
      </c>
      <c r="J428" s="345">
        <f t="shared" si="133"/>
        <v>0</v>
      </c>
      <c r="K428" s="345">
        <f t="shared" si="134"/>
        <v>0</v>
      </c>
    </row>
    <row r="429" spans="1:11" ht="13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3">
        <f>'FR-16(7)(v)-1 Functional'!H429</f>
        <v>0</v>
      </c>
      <c r="G429" s="542">
        <f t="shared" si="132"/>
        <v>0</v>
      </c>
      <c r="H429" s="533">
        <f t="shared" si="128"/>
        <v>0</v>
      </c>
      <c r="I429" s="534">
        <f t="shared" si="129"/>
        <v>0</v>
      </c>
      <c r="J429" s="345">
        <f t="shared" si="133"/>
        <v>0</v>
      </c>
      <c r="K429" s="345">
        <f t="shared" si="134"/>
        <v>0</v>
      </c>
    </row>
    <row r="430" spans="1:11" ht="13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3">
        <f>'FR-16(7)(v)-1 Functional'!H430</f>
        <v>0</v>
      </c>
      <c r="G430" s="542">
        <f t="shared" si="127"/>
        <v>0</v>
      </c>
      <c r="H430" s="533">
        <f t="shared" si="128"/>
        <v>0</v>
      </c>
      <c r="I430" s="534">
        <f t="shared" si="129"/>
        <v>0</v>
      </c>
      <c r="J430" s="345">
        <f t="shared" si="130"/>
        <v>0</v>
      </c>
      <c r="K430" s="345">
        <f t="shared" si="131"/>
        <v>0</v>
      </c>
    </row>
    <row r="431" spans="1:11" ht="13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K431" si="135">SUM(F416:F430)</f>
        <v>0</v>
      </c>
      <c r="G431" s="543">
        <f t="shared" si="135"/>
        <v>0</v>
      </c>
      <c r="H431" s="535">
        <f t="shared" si="135"/>
        <v>0</v>
      </c>
      <c r="I431" s="536">
        <f t="shared" si="135"/>
        <v>0</v>
      </c>
      <c r="J431" s="346">
        <f t="shared" si="135"/>
        <v>0</v>
      </c>
      <c r="K431" s="346">
        <f t="shared" si="135"/>
        <v>0</v>
      </c>
    </row>
    <row r="432" spans="1:11" ht="13">
      <c r="A432" s="331">
        <v>32</v>
      </c>
      <c r="D432" s="342"/>
      <c r="E432" s="195"/>
      <c r="F432" s="333"/>
      <c r="G432" s="542"/>
      <c r="H432" s="533"/>
      <c r="I432" s="534"/>
      <c r="J432" s="345"/>
      <c r="K432" s="345"/>
    </row>
    <row r="433" spans="1:11" ht="13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K433" si="136">F431+F407+F403+F389+F378+F364+F360</f>
        <v>0</v>
      </c>
      <c r="G433" s="544">
        <f t="shared" si="136"/>
        <v>0</v>
      </c>
      <c r="H433" s="537">
        <f t="shared" si="136"/>
        <v>0</v>
      </c>
      <c r="I433" s="538">
        <f t="shared" si="136"/>
        <v>0</v>
      </c>
      <c r="J433" s="345">
        <f t="shared" si="136"/>
        <v>0</v>
      </c>
      <c r="K433" s="345">
        <f t="shared" si="136"/>
        <v>0</v>
      </c>
    </row>
    <row r="434" spans="1:11" ht="13">
      <c r="B434" s="341"/>
      <c r="C434" s="195"/>
      <c r="D434" s="342"/>
      <c r="E434" s="195"/>
      <c r="F434" s="195"/>
      <c r="G434" s="195"/>
      <c r="H434" s="195"/>
      <c r="I434" s="195"/>
      <c r="J434" s="195"/>
      <c r="K434" s="195"/>
    </row>
    <row r="435" spans="1:11" ht="13">
      <c r="A435" s="341" t="str">
        <f>co_name</f>
        <v>DUKE ENERGY KENTUCKY, INC.</v>
      </c>
      <c r="C435" s="195"/>
      <c r="D435" s="342"/>
      <c r="E435" s="195"/>
      <c r="F435" s="195"/>
      <c r="G435" s="195"/>
      <c r="H435" s="195"/>
      <c r="I435" s="195"/>
      <c r="J435" s="195" t="str">
        <f>$J$1</f>
        <v>FR-16(7)(v)-7</v>
      </c>
      <c r="K435" s="195"/>
    </row>
    <row r="436" spans="1:11" ht="13">
      <c r="A436" s="341" t="str">
        <f>$A$2</f>
        <v>STORAGE CLASSIFIED -  GAS COST OF SERVICE</v>
      </c>
      <c r="C436" s="195"/>
      <c r="D436" s="342"/>
      <c r="E436" s="195"/>
      <c r="F436" s="195"/>
      <c r="G436" s="195"/>
      <c r="H436" s="195"/>
      <c r="I436" s="195"/>
      <c r="J436" s="195" t="str">
        <f>$J$2</f>
        <v>WITNESS RESPONSIBLE:</v>
      </c>
      <c r="K436" s="195"/>
    </row>
    <row r="437" spans="1:11" ht="13">
      <c r="A437" s="341" t="str">
        <f>case_name</f>
        <v>CASE NO: 2021-00190</v>
      </c>
      <c r="C437" s="195"/>
      <c r="D437" s="342"/>
      <c r="E437" s="195"/>
      <c r="F437" s="195"/>
      <c r="G437" s="195"/>
      <c r="H437" s="195"/>
      <c r="I437" s="195"/>
      <c r="J437" s="195" t="str">
        <f>Witness</f>
        <v>JAMES E. ZIOLKOWSKI</v>
      </c>
      <c r="K437" s="195"/>
    </row>
    <row r="438" spans="1:11" ht="13">
      <c r="A438" s="341" t="str">
        <f>data_filing</f>
        <v>DATA: 12 MONTH FORECASTED PERIOD</v>
      </c>
      <c r="C438" s="195"/>
      <c r="D438" s="342"/>
      <c r="E438" s="195"/>
      <c r="F438" s="195"/>
      <c r="G438" s="195"/>
      <c r="H438" s="195"/>
      <c r="I438" s="195"/>
      <c r="J438" s="195" t="str">
        <f>"PAGE "&amp;Pages2-5&amp;" OF "&amp;Pages2</f>
        <v>PAGE 10 OF 15</v>
      </c>
      <c r="K438" s="195"/>
    </row>
    <row r="439" spans="1:11" ht="13">
      <c r="A439" s="341" t="str">
        <f>type</f>
        <v xml:space="preserve">TYPE OF FILING: "X" ORIGINAL   UPDATED    REVISED  </v>
      </c>
      <c r="C439" s="195"/>
      <c r="D439" s="342"/>
      <c r="E439" s="195"/>
      <c r="F439" s="195"/>
      <c r="G439" s="195"/>
      <c r="H439" s="195"/>
      <c r="I439" s="195"/>
      <c r="J439" s="195"/>
      <c r="K439" s="195"/>
    </row>
    <row r="440" spans="1:11" ht="13">
      <c r="B440" s="341"/>
      <c r="C440" s="195"/>
      <c r="D440" s="342"/>
      <c r="E440" s="195"/>
      <c r="F440" s="195"/>
      <c r="G440" s="195"/>
      <c r="H440" s="195"/>
      <c r="I440" s="195"/>
      <c r="J440" s="195"/>
      <c r="K440" s="195"/>
    </row>
    <row r="441" spans="1:11" ht="13">
      <c r="B441" s="341"/>
      <c r="C441" s="195"/>
      <c r="D441" s="342"/>
      <c r="E441" s="195"/>
      <c r="F441" s="195"/>
      <c r="G441" s="195"/>
      <c r="H441" s="195"/>
      <c r="I441" s="195"/>
      <c r="J441" s="195"/>
      <c r="K441" s="195"/>
    </row>
    <row r="442" spans="1:11" ht="13">
      <c r="A442" s="342" t="s">
        <v>907</v>
      </c>
      <c r="B442" s="195"/>
      <c r="C442" s="195"/>
      <c r="D442" s="342"/>
      <c r="E442" s="195"/>
      <c r="F442" s="342" t="str">
        <f>$F$8</f>
        <v>TOTAL</v>
      </c>
      <c r="G442" s="539" t="s">
        <v>995</v>
      </c>
      <c r="H442" s="527"/>
      <c r="I442" s="528"/>
      <c r="J442" s="342" t="s">
        <v>229</v>
      </c>
      <c r="K442" s="342" t="s">
        <v>342</v>
      </c>
    </row>
    <row r="443" spans="1:11" ht="13">
      <c r="A443" s="344" t="s">
        <v>908</v>
      </c>
      <c r="B443" s="343" t="s">
        <v>55</v>
      </c>
      <c r="C443" s="343"/>
      <c r="D443" s="344" t="s">
        <v>337</v>
      </c>
      <c r="E443" s="343"/>
      <c r="F443" s="344" t="str">
        <f>$F$9</f>
        <v>STORAGE</v>
      </c>
      <c r="G443" s="540" t="s">
        <v>840</v>
      </c>
      <c r="H443" s="529" t="s">
        <v>841</v>
      </c>
      <c r="I443" s="530" t="s">
        <v>842</v>
      </c>
      <c r="J443" s="344" t="s">
        <v>341</v>
      </c>
      <c r="K443" s="344" t="s">
        <v>340</v>
      </c>
    </row>
    <row r="444" spans="1:11" ht="13">
      <c r="C444" s="572" t="s">
        <v>349</v>
      </c>
      <c r="D444" s="342"/>
      <c r="E444" s="195"/>
      <c r="F444" s="504"/>
      <c r="G444" s="793">
        <f>$G$10</f>
        <v>3</v>
      </c>
      <c r="H444" s="794">
        <f>$H$10</f>
        <v>4</v>
      </c>
      <c r="I444" s="795">
        <f>$I$10</f>
        <v>5</v>
      </c>
      <c r="J444" s="504"/>
      <c r="K444" s="504"/>
    </row>
    <row r="445" spans="1:11" ht="13">
      <c r="A445" s="331">
        <v>1</v>
      </c>
      <c r="B445" s="351" t="s">
        <v>56</v>
      </c>
      <c r="C445" s="351"/>
      <c r="D445" s="342"/>
      <c r="E445" s="195"/>
      <c r="G445" s="541"/>
      <c r="H445" s="531"/>
      <c r="I445" s="532"/>
    </row>
    <row r="446" spans="1:11" ht="13">
      <c r="A446" s="331">
        <v>2</v>
      </c>
      <c r="B446" s="351"/>
      <c r="C446" s="505" t="str">
        <f>'FR-16(7)(v)-1 Functional'!C446</f>
        <v>PRODUCTION DEPRECIATION</v>
      </c>
      <c r="D446" s="342" t="str">
        <f>'FR-16(7)(v)-1 Functional'!D446</f>
        <v>P229</v>
      </c>
      <c r="E446" s="195"/>
      <c r="F446" s="473">
        <f>'FR-16(7)(v)-1 Functional'!H446</f>
        <v>0</v>
      </c>
      <c r="G446" s="542">
        <f>F446-SUM(H446:I446)</f>
        <v>0</v>
      </c>
      <c r="H446" s="533">
        <f>ROUND(F446*VLOOKUP(D446,AllocTable_Classified_Storage,$H$10,FALSE),0)</f>
        <v>0</v>
      </c>
      <c r="I446" s="534">
        <f>ROUND(F446*VLOOKUP(D446,AllocTable_Classified_Storage,$I$10,FALSE),0)</f>
        <v>0</v>
      </c>
      <c r="J446" s="345">
        <f>SUM(G446:I446)</f>
        <v>0</v>
      </c>
      <c r="K446" s="345">
        <f>F446-J446</f>
        <v>0</v>
      </c>
    </row>
    <row r="447" spans="1:11" ht="13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K447" si="137">SUM(F446:F446)</f>
        <v>0</v>
      </c>
      <c r="G447" s="543">
        <f t="shared" si="137"/>
        <v>0</v>
      </c>
      <c r="H447" s="535">
        <f t="shared" si="137"/>
        <v>0</v>
      </c>
      <c r="I447" s="536">
        <f t="shared" si="137"/>
        <v>0</v>
      </c>
      <c r="J447" s="346">
        <f t="shared" si="137"/>
        <v>0</v>
      </c>
      <c r="K447" s="346">
        <f t="shared" si="137"/>
        <v>0</v>
      </c>
    </row>
    <row r="448" spans="1:11" ht="13">
      <c r="A448" s="331">
        <v>4</v>
      </c>
      <c r="B448" s="351"/>
      <c r="C448" s="351"/>
      <c r="D448" s="342"/>
      <c r="E448" s="195"/>
      <c r="F448" s="351"/>
      <c r="G448" s="541"/>
      <c r="H448" s="531"/>
      <c r="I448" s="532"/>
    </row>
    <row r="449" spans="1:11" ht="13">
      <c r="A449" s="331">
        <v>5</v>
      </c>
      <c r="B449" s="505" t="s">
        <v>57</v>
      </c>
      <c r="C449" s="505"/>
      <c r="D449" s="342"/>
      <c r="E449" s="195"/>
      <c r="F449" s="347"/>
      <c r="G449" s="542"/>
      <c r="H449" s="533"/>
      <c r="I449" s="534"/>
      <c r="J449" s="345"/>
      <c r="K449" s="345"/>
    </row>
    <row r="450" spans="1:11" ht="13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K450" si="138">SUM(F449)</f>
        <v>0</v>
      </c>
      <c r="G450" s="543">
        <f t="shared" si="138"/>
        <v>0</v>
      </c>
      <c r="H450" s="535">
        <f t="shared" si="138"/>
        <v>0</v>
      </c>
      <c r="I450" s="536">
        <f t="shared" si="138"/>
        <v>0</v>
      </c>
      <c r="J450" s="346">
        <f t="shared" si="138"/>
        <v>0</v>
      </c>
      <c r="K450" s="346">
        <f t="shared" si="138"/>
        <v>0</v>
      </c>
    </row>
    <row r="451" spans="1:11" ht="13">
      <c r="A451" s="331">
        <v>7</v>
      </c>
      <c r="B451" s="351"/>
      <c r="C451" s="351"/>
      <c r="D451" s="342"/>
      <c r="E451" s="195"/>
      <c r="F451" s="351"/>
      <c r="G451" s="541"/>
      <c r="H451" s="531"/>
      <c r="I451" s="532"/>
    </row>
    <row r="452" spans="1:11" ht="13">
      <c r="A452" s="331">
        <v>8</v>
      </c>
      <c r="B452" s="351" t="s">
        <v>58</v>
      </c>
      <c r="C452" s="351"/>
      <c r="D452" s="342"/>
      <c r="E452" s="195"/>
      <c r="F452" s="351"/>
      <c r="G452" s="541"/>
      <c r="H452" s="531"/>
      <c r="I452" s="532"/>
    </row>
    <row r="453" spans="1:11" ht="13">
      <c r="A453" s="331">
        <v>9</v>
      </c>
      <c r="B453" s="351"/>
      <c r="C453" s="505" t="str">
        <f>'FR-16(7)(v)-1 Functional'!C453</f>
        <v>DISTRIBUTION DEPRECIATION</v>
      </c>
      <c r="D453" s="342" t="str">
        <f>'FR-16(7)(v)-1 Functional'!D453</f>
        <v>D249</v>
      </c>
      <c r="E453" s="195"/>
      <c r="F453" s="473">
        <f>'FR-16(7)(v)-1 Functional'!H453</f>
        <v>0</v>
      </c>
      <c r="G453" s="542">
        <f>F453-SUM(H453:I453)</f>
        <v>0</v>
      </c>
      <c r="H453" s="533">
        <f>ROUND(F453*VLOOKUP(D453,AllocTable_Classified_Storage,$H$10,FALSE),0)</f>
        <v>0</v>
      </c>
      <c r="I453" s="534">
        <f>ROUND(F453*VLOOKUP(D453,AllocTable_Classified_Storage,$I$10,FALSE),0)</f>
        <v>0</v>
      </c>
      <c r="J453" s="345">
        <f>SUM(G453:I453)</f>
        <v>0</v>
      </c>
      <c r="K453" s="345">
        <f>F453-J453</f>
        <v>0</v>
      </c>
    </row>
    <row r="454" spans="1:11" ht="13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K454" si="139">SUM(F453:F453)</f>
        <v>0</v>
      </c>
      <c r="G454" s="543">
        <f t="shared" si="139"/>
        <v>0</v>
      </c>
      <c r="H454" s="535">
        <f t="shared" si="139"/>
        <v>0</v>
      </c>
      <c r="I454" s="536">
        <f t="shared" si="139"/>
        <v>0</v>
      </c>
      <c r="J454" s="346">
        <f t="shared" si="139"/>
        <v>0</v>
      </c>
      <c r="K454" s="346">
        <f t="shared" si="139"/>
        <v>0</v>
      </c>
    </row>
    <row r="455" spans="1:11" ht="13">
      <c r="A455" s="331">
        <v>11</v>
      </c>
      <c r="B455" s="351"/>
      <c r="C455" s="351"/>
      <c r="D455" s="342"/>
      <c r="E455" s="195"/>
      <c r="F455" s="351" t="s">
        <v>343</v>
      </c>
      <c r="G455" s="541"/>
      <c r="H455" s="531"/>
      <c r="I455" s="532"/>
    </row>
    <row r="456" spans="1:11" ht="13">
      <c r="A456" s="331">
        <v>12</v>
      </c>
      <c r="B456" s="351" t="s">
        <v>59</v>
      </c>
      <c r="C456" s="351"/>
      <c r="D456" s="342"/>
      <c r="E456" s="195"/>
      <c r="F456" s="351"/>
      <c r="G456" s="541"/>
      <c r="H456" s="531"/>
      <c r="I456" s="532"/>
    </row>
    <row r="457" spans="1:11" ht="13">
      <c r="A457" s="331">
        <v>13</v>
      </c>
      <c r="B457" s="351"/>
      <c r="C457" s="505" t="str">
        <f>'FR-16(7)(v)-1 Functional'!C457</f>
        <v>GENERAL DEPRECIATION</v>
      </c>
      <c r="D457" s="342" t="str">
        <f>'FR-16(7)(v)-1 Functional'!D457</f>
        <v>G229</v>
      </c>
      <c r="E457" s="195"/>
      <c r="F457" s="473">
        <f>'FR-16(7)(v)-1 Functional'!H457</f>
        <v>0</v>
      </c>
      <c r="G457" s="542">
        <f>F457-SUM(H457:I457)</f>
        <v>0</v>
      </c>
      <c r="H457" s="533">
        <f>ROUND(F457*VLOOKUP(D457,AllocTable_Classified_Storage,$H$10,FALSE),0)</f>
        <v>0</v>
      </c>
      <c r="I457" s="534">
        <f>ROUND(F457*VLOOKUP(D457,AllocTable_Classified_Storage,$I$10,FALSE),0)</f>
        <v>0</v>
      </c>
      <c r="J457" s="345">
        <f>SUM(G457:I457)</f>
        <v>0</v>
      </c>
      <c r="K457" s="345">
        <f>F457-J457</f>
        <v>0</v>
      </c>
    </row>
    <row r="458" spans="1:11" ht="13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K458" si="140">SUM(F457:F457)</f>
        <v>0</v>
      </c>
      <c r="G458" s="543">
        <f t="shared" si="140"/>
        <v>0</v>
      </c>
      <c r="H458" s="535">
        <f t="shared" si="140"/>
        <v>0</v>
      </c>
      <c r="I458" s="536">
        <f t="shared" si="140"/>
        <v>0</v>
      </c>
      <c r="J458" s="346">
        <f t="shared" si="140"/>
        <v>0</v>
      </c>
      <c r="K458" s="346">
        <f t="shared" si="140"/>
        <v>0</v>
      </c>
    </row>
    <row r="459" spans="1:11" ht="13">
      <c r="A459" s="331">
        <v>15</v>
      </c>
      <c r="B459" s="351"/>
      <c r="C459" s="351"/>
      <c r="D459" s="342"/>
      <c r="E459" s="195"/>
      <c r="F459" s="351"/>
      <c r="G459" s="541"/>
      <c r="H459" s="531"/>
      <c r="I459" s="532"/>
    </row>
    <row r="460" spans="1:11" ht="13">
      <c r="A460" s="331">
        <v>16</v>
      </c>
      <c r="B460" s="351" t="s">
        <v>60</v>
      </c>
      <c r="C460" s="351"/>
      <c r="D460" s="342"/>
      <c r="E460" s="195"/>
      <c r="F460" s="470"/>
      <c r="G460" s="542"/>
      <c r="H460" s="533"/>
      <c r="I460" s="534"/>
      <c r="J460" s="345"/>
      <c r="K460" s="345"/>
    </row>
    <row r="461" spans="1:11" ht="13">
      <c r="A461" s="331">
        <v>17</v>
      </c>
      <c r="B461" s="351"/>
      <c r="C461" s="505" t="str">
        <f>'FR-16(7)(v)-1 Functional'!C461</f>
        <v>COMMON DEPRECIATION</v>
      </c>
      <c r="D461" s="342" t="str">
        <f>'FR-16(7)(v)-1 Functional'!D461</f>
        <v>C229</v>
      </c>
      <c r="E461" s="195"/>
      <c r="F461" s="473">
        <f>'FR-16(7)(v)-1 Functional'!H461</f>
        <v>0</v>
      </c>
      <c r="G461" s="542">
        <f>F461-SUM(H461:I461)</f>
        <v>0</v>
      </c>
      <c r="H461" s="533">
        <f>ROUND(F461*VLOOKUP(D461,AllocTable_Classified_Storage,$H$10,FALSE),0)</f>
        <v>0</v>
      </c>
      <c r="I461" s="534">
        <f>ROUND(F461*VLOOKUP(D461,AllocTable_Classified_Storage,$I$10,FALSE),0)</f>
        <v>0</v>
      </c>
      <c r="J461" s="345">
        <f>SUM(G461:I461)</f>
        <v>0</v>
      </c>
      <c r="K461" s="345">
        <f>F461-J461</f>
        <v>0</v>
      </c>
    </row>
    <row r="462" spans="1:11" ht="13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K462" si="141">SUM(F461:F461)</f>
        <v>0</v>
      </c>
      <c r="G462" s="543">
        <f t="shared" si="141"/>
        <v>0</v>
      </c>
      <c r="H462" s="535">
        <f t="shared" si="141"/>
        <v>0</v>
      </c>
      <c r="I462" s="536">
        <f t="shared" si="141"/>
        <v>0</v>
      </c>
      <c r="J462" s="346">
        <f t="shared" si="141"/>
        <v>0</v>
      </c>
      <c r="K462" s="346">
        <f t="shared" si="141"/>
        <v>0</v>
      </c>
    </row>
    <row r="463" spans="1:11" ht="13">
      <c r="A463" s="331">
        <v>19</v>
      </c>
      <c r="B463" s="351"/>
      <c r="C463" s="351"/>
      <c r="D463" s="342"/>
      <c r="E463" s="195"/>
      <c r="G463" s="541"/>
      <c r="H463" s="531"/>
      <c r="I463" s="532"/>
    </row>
    <row r="464" spans="1:11" ht="13">
      <c r="A464" s="331">
        <v>20</v>
      </c>
      <c r="B464" s="351"/>
      <c r="C464" s="351"/>
      <c r="D464" s="342"/>
      <c r="E464" s="195"/>
      <c r="G464" s="541"/>
      <c r="H464" s="531"/>
      <c r="I464" s="532"/>
    </row>
    <row r="465" spans="1:12" ht="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K465" si="142">F462+F458+F454+F450+F447</f>
        <v>0</v>
      </c>
      <c r="G465" s="544">
        <f t="shared" si="142"/>
        <v>0</v>
      </c>
      <c r="H465" s="537">
        <f t="shared" si="142"/>
        <v>0</v>
      </c>
      <c r="I465" s="538">
        <f t="shared" si="142"/>
        <v>0</v>
      </c>
      <c r="J465" s="345">
        <f t="shared" si="142"/>
        <v>0</v>
      </c>
      <c r="K465" s="345">
        <f t="shared" si="142"/>
        <v>0</v>
      </c>
    </row>
    <row r="466" spans="1:12" ht="13">
      <c r="B466" s="341"/>
      <c r="C466" s="195"/>
      <c r="D466" s="342"/>
      <c r="E466" s="195"/>
      <c r="F466" s="195"/>
      <c r="G466" s="195"/>
      <c r="H466" s="195"/>
      <c r="I466" s="195"/>
      <c r="J466" s="195"/>
      <c r="K466" s="195"/>
    </row>
    <row r="467" spans="1:12" ht="13">
      <c r="A467" s="341" t="str">
        <f>co_name</f>
        <v>DUKE ENERGY KENTUCKY, INC.</v>
      </c>
      <c r="C467" s="195"/>
      <c r="D467" s="342"/>
      <c r="E467" s="195"/>
      <c r="F467" s="195"/>
      <c r="G467" s="195"/>
      <c r="H467" s="195"/>
      <c r="I467" s="195"/>
      <c r="J467" s="195" t="str">
        <f>$J$1</f>
        <v>FR-16(7)(v)-7</v>
      </c>
      <c r="K467" s="195"/>
    </row>
    <row r="468" spans="1:12" ht="13">
      <c r="A468" s="341" t="str">
        <f>$A$2</f>
        <v>STORAGE CLASSIFIED -  GAS COST OF SERVICE</v>
      </c>
      <c r="C468" s="195"/>
      <c r="D468" s="342"/>
      <c r="E468" s="195"/>
      <c r="F468" s="195"/>
      <c r="G468" s="195"/>
      <c r="H468" s="195"/>
      <c r="I468" s="195"/>
      <c r="J468" s="195" t="str">
        <f>$J$2</f>
        <v>WITNESS RESPONSIBLE:</v>
      </c>
      <c r="K468" s="195"/>
    </row>
    <row r="469" spans="1:12" ht="13">
      <c r="A469" s="341" t="str">
        <f>case_name</f>
        <v>CASE NO: 2021-00190</v>
      </c>
      <c r="C469" s="195"/>
      <c r="D469" s="342"/>
      <c r="E469" s="195"/>
      <c r="F469" s="195"/>
      <c r="G469" s="195"/>
      <c r="H469" s="195"/>
      <c r="I469" s="195"/>
      <c r="J469" s="195" t="str">
        <f>Witness</f>
        <v>JAMES E. ZIOLKOWSKI</v>
      </c>
      <c r="K469" s="195"/>
    </row>
    <row r="470" spans="1:12" ht="13">
      <c r="A470" s="341" t="str">
        <f>data_filing</f>
        <v>DATA: 12 MONTH FORECASTED PERIOD</v>
      </c>
      <c r="C470" s="195"/>
      <c r="D470" s="342"/>
      <c r="E470" s="195"/>
      <c r="F470" s="195"/>
      <c r="G470" s="195"/>
      <c r="H470" s="195"/>
      <c r="I470" s="195"/>
      <c r="J470" s="195" t="str">
        <f>"PAGE "&amp;Pages2-4&amp;" OF "&amp;Pages2</f>
        <v>PAGE 11 OF 15</v>
      </c>
      <c r="K470" s="195"/>
    </row>
    <row r="471" spans="1:12" ht="13">
      <c r="A471" s="341" t="str">
        <f>type</f>
        <v xml:space="preserve">TYPE OF FILING: "X" ORIGINAL   UPDATED    REVISED  </v>
      </c>
      <c r="C471" s="195"/>
      <c r="D471" s="342"/>
      <c r="E471" s="195"/>
      <c r="F471" s="195"/>
      <c r="G471" s="195"/>
      <c r="H471" s="195"/>
      <c r="I471" s="195"/>
      <c r="J471" s="195"/>
      <c r="K471" s="195"/>
    </row>
    <row r="472" spans="1:12" ht="13">
      <c r="B472" s="341"/>
      <c r="C472" s="195"/>
      <c r="D472" s="342"/>
      <c r="E472" s="195"/>
      <c r="F472" s="195"/>
      <c r="G472" s="195"/>
      <c r="H472" s="195"/>
      <c r="I472" s="195"/>
      <c r="J472" s="195"/>
      <c r="K472" s="195"/>
    </row>
    <row r="473" spans="1:12" ht="13">
      <c r="B473" s="341"/>
      <c r="C473" s="195"/>
      <c r="D473" s="342"/>
      <c r="E473" s="195"/>
      <c r="F473" s="195"/>
      <c r="G473" s="195"/>
      <c r="H473" s="195"/>
      <c r="I473" s="195"/>
      <c r="J473" s="195"/>
      <c r="K473" s="195"/>
    </row>
    <row r="474" spans="1:12" ht="13">
      <c r="A474" s="342" t="s">
        <v>907</v>
      </c>
      <c r="B474" s="195"/>
      <c r="C474" s="195"/>
      <c r="D474" s="342"/>
      <c r="E474" s="195"/>
      <c r="F474" s="342" t="str">
        <f>$F$8</f>
        <v>TOTAL</v>
      </c>
      <c r="G474" s="539" t="s">
        <v>995</v>
      </c>
      <c r="H474" s="527"/>
      <c r="I474" s="528"/>
      <c r="J474" s="342" t="s">
        <v>229</v>
      </c>
      <c r="K474" s="342" t="s">
        <v>342</v>
      </c>
    </row>
    <row r="475" spans="1:12" ht="13">
      <c r="A475" s="344" t="s">
        <v>908</v>
      </c>
      <c r="B475" s="343" t="s">
        <v>62</v>
      </c>
      <c r="C475" s="343"/>
      <c r="D475" s="344" t="s">
        <v>337</v>
      </c>
      <c r="E475" s="343"/>
      <c r="F475" s="344" t="str">
        <f>$F$9</f>
        <v>STORAGE</v>
      </c>
      <c r="G475" s="540" t="s">
        <v>840</v>
      </c>
      <c r="H475" s="529" t="s">
        <v>841</v>
      </c>
      <c r="I475" s="530" t="s">
        <v>842</v>
      </c>
      <c r="J475" s="344" t="s">
        <v>341</v>
      </c>
      <c r="K475" s="344" t="s">
        <v>340</v>
      </c>
      <c r="L475" s="363"/>
    </row>
    <row r="476" spans="1:12" ht="13">
      <c r="C476" s="572" t="s">
        <v>350</v>
      </c>
      <c r="D476" s="342"/>
      <c r="E476" s="195"/>
      <c r="F476" s="504"/>
      <c r="G476" s="793">
        <f>$G$10</f>
        <v>3</v>
      </c>
      <c r="H476" s="794">
        <f>$H$10</f>
        <v>4</v>
      </c>
      <c r="I476" s="795">
        <f>$I$10</f>
        <v>5</v>
      </c>
      <c r="J476" s="504"/>
      <c r="K476" s="504"/>
    </row>
    <row r="477" spans="1:12" ht="13">
      <c r="A477" s="331">
        <v>1</v>
      </c>
      <c r="B477" s="330" t="s">
        <v>63</v>
      </c>
      <c r="D477" s="342"/>
      <c r="E477" s="195"/>
      <c r="G477" s="541"/>
      <c r="H477" s="531"/>
      <c r="I477" s="532"/>
    </row>
    <row r="478" spans="1:12" ht="13">
      <c r="A478" s="331">
        <v>2</v>
      </c>
      <c r="B478" s="330" t="s">
        <v>64</v>
      </c>
      <c r="D478" s="342"/>
      <c r="E478" s="195"/>
      <c r="G478" s="541"/>
      <c r="H478" s="531"/>
      <c r="I478" s="532"/>
    </row>
    <row r="479" spans="1:12" ht="13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3">
        <f>'FR-16(7)(v)-1 Functional'!H479</f>
        <v>0</v>
      </c>
      <c r="G479" s="542">
        <f>F479-SUM($H$479:$I$479)</f>
        <v>0</v>
      </c>
      <c r="H479" s="533">
        <f>ROUND(F479*VLOOKUP(D479,AllocTable_Classified_Storage,$H$10,FALSE),0)</f>
        <v>0</v>
      </c>
      <c r="I479" s="534">
        <f>ROUND(F479*VLOOKUP(D479,AllocTable_Classified_Storage,$I$10,FALSE),0)</f>
        <v>0</v>
      </c>
      <c r="J479" s="345">
        <f>SUM($G$479:$I$479)</f>
        <v>0</v>
      </c>
      <c r="K479" s="345">
        <f>F479-$J$479</f>
        <v>0</v>
      </c>
    </row>
    <row r="480" spans="1:12" ht="13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3">
        <f>'FR-16(7)(v)-1 Functional'!H480</f>
        <v>0</v>
      </c>
      <c r="G480" s="542">
        <f>F480-SUM($H$480:$I$480)</f>
        <v>0</v>
      </c>
      <c r="H480" s="533">
        <f>ROUND(F480*VLOOKUP(D480,AllocTable_Classified_Storage,$H$10,FALSE),0)</f>
        <v>0</v>
      </c>
      <c r="I480" s="534">
        <f>ROUND(F480*VLOOKUP(D480,AllocTable_Classified_Storage,$I$10,FALSE),0)</f>
        <v>0</v>
      </c>
      <c r="J480" s="345">
        <f>SUM($G$480:$I$480)</f>
        <v>0</v>
      </c>
      <c r="K480" s="345">
        <f>F480-$J$480</f>
        <v>0</v>
      </c>
    </row>
    <row r="481" spans="1:11" ht="13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0</v>
      </c>
      <c r="G481" s="543">
        <f>SUM($G$479:$G$480)</f>
        <v>0</v>
      </c>
      <c r="H481" s="535">
        <f>SUM($H$479:$H$480)</f>
        <v>0</v>
      </c>
      <c r="I481" s="536">
        <f>SUM($I$479:$I$480)</f>
        <v>0</v>
      </c>
      <c r="J481" s="346">
        <f>SUM($J$479:$J$480)</f>
        <v>0</v>
      </c>
      <c r="K481" s="346">
        <f>SUM($K$479:$K$480)</f>
        <v>0</v>
      </c>
    </row>
    <row r="482" spans="1:11" ht="13">
      <c r="A482" s="331">
        <v>6</v>
      </c>
      <c r="D482" s="342"/>
      <c r="E482" s="195"/>
      <c r="F482" s="351"/>
      <c r="G482" s="541"/>
      <c r="H482" s="531"/>
      <c r="I482" s="532"/>
    </row>
    <row r="483" spans="1:11" ht="13">
      <c r="A483" s="331">
        <v>7</v>
      </c>
      <c r="B483" s="330" t="s">
        <v>65</v>
      </c>
      <c r="D483" s="342"/>
      <c r="E483" s="195"/>
      <c r="F483" s="351"/>
      <c r="G483" s="541"/>
      <c r="H483" s="531"/>
      <c r="I483" s="532"/>
    </row>
    <row r="484" spans="1:11" ht="13">
      <c r="A484" s="331">
        <v>8</v>
      </c>
      <c r="C484" s="330" t="str">
        <f>'FR-16(7)(v)-1 Functional'!C484</f>
        <v>PAYROLL &amp; HIGHWAY</v>
      </c>
      <c r="D484" s="352" t="str">
        <f>'FR-16(7)(v)-1 Functional'!D484</f>
        <v>AG39</v>
      </c>
      <c r="E484" s="195"/>
      <c r="F484" s="473">
        <f>'FR-16(7)(v)-1 Functional'!H484</f>
        <v>0</v>
      </c>
      <c r="G484" s="542">
        <f>F484-SUM($H$484:$I$484)</f>
        <v>0</v>
      </c>
      <c r="H484" s="533">
        <f>ROUND(F484*VLOOKUP(D484,AllocTable_Classified_Storage,$H$10,FALSE),0)</f>
        <v>0</v>
      </c>
      <c r="I484" s="534">
        <f>ROUND(F484*VLOOKUP(D484,AllocTable_Classified_Storage,$I$10,FALSE),0)</f>
        <v>0</v>
      </c>
      <c r="J484" s="345">
        <f>SUM($G$484:$I$484)</f>
        <v>0</v>
      </c>
      <c r="K484" s="345">
        <f>F484-$J$484</f>
        <v>0</v>
      </c>
    </row>
    <row r="485" spans="1:11" ht="13">
      <c r="A485" s="331">
        <v>9</v>
      </c>
      <c r="C485" s="330" t="str">
        <f>'FR-16(7)(v)-1 Functional'!C485</f>
        <v>UNEMPLOYMENT COMPENSATION</v>
      </c>
      <c r="D485" s="352" t="str">
        <f>'FR-16(7)(v)-1 Functional'!D485</f>
        <v>AG39</v>
      </c>
      <c r="E485" s="195"/>
      <c r="F485" s="473">
        <f>'FR-16(7)(v)-1 Functional'!H485</f>
        <v>0</v>
      </c>
      <c r="G485" s="542">
        <f>F485-SUM($H$485:$I$485)</f>
        <v>0</v>
      </c>
      <c r="H485" s="533">
        <f>ROUND(F485*VLOOKUP(D485,AllocTable_Classified_Storage,$H$10,FALSE),0)</f>
        <v>0</v>
      </c>
      <c r="I485" s="534">
        <f>ROUND(F485*VLOOKUP(D485,AllocTable_Classified_Storage,$I$10,FALSE),0)</f>
        <v>0</v>
      </c>
      <c r="J485" s="345">
        <f>SUM($G$485:$I$485)</f>
        <v>0</v>
      </c>
      <c r="K485" s="345">
        <f>F485-$J$485</f>
        <v>0</v>
      </c>
    </row>
    <row r="486" spans="1:11" ht="13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3">
        <f>'FR-16(7)(v)-1 Functional'!H486</f>
        <v>0</v>
      </c>
      <c r="G486" s="542">
        <f>F486-SUM($H$486:$I$486)</f>
        <v>0</v>
      </c>
      <c r="H486" s="533">
        <f>ROUND(F486*VLOOKUP(D486,AllocTable_Classified_Storage,$H$10,FALSE),0)</f>
        <v>0</v>
      </c>
      <c r="I486" s="534">
        <f>ROUND(F486*VLOOKUP(D486,AllocTable_Classified_Storage,$I$10,FALSE),0)</f>
        <v>0</v>
      </c>
      <c r="J486" s="345">
        <f>SUM($G$486:$I$486)</f>
        <v>0</v>
      </c>
      <c r="K486" s="345">
        <f>F486-$J$486</f>
        <v>0</v>
      </c>
    </row>
    <row r="487" spans="1:11" ht="13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3">
        <f>'FR-16(7)(v)-1 Functional'!H487</f>
        <v>0</v>
      </c>
      <c r="G487" s="542">
        <f>F487-SUM($H$487:$I$487)</f>
        <v>0</v>
      </c>
      <c r="H487" s="533">
        <f>ROUND(F487*VLOOKUP(D487,AllocTable_Classified_Storage,$H$10,FALSE),0)</f>
        <v>0</v>
      </c>
      <c r="I487" s="534">
        <f>ROUND(F487*VLOOKUP(D487,AllocTable_Classified_Storage,$I$10,FALSE),0)</f>
        <v>0</v>
      </c>
      <c r="J487" s="345">
        <f>SUM($G$487:$I$487)</f>
        <v>0</v>
      </c>
      <c r="K487" s="345">
        <f>F487-$J$487</f>
        <v>0</v>
      </c>
    </row>
    <row r="488" spans="1:11" ht="13">
      <c r="A488" s="331">
        <v>12</v>
      </c>
      <c r="C488" s="330" t="str">
        <f>'FR-16(7)(v)-1 Functional'!C488</f>
        <v xml:space="preserve">  TOTAL MISCELLANEOUS TAXES</v>
      </c>
      <c r="D488" s="352"/>
      <c r="E488" s="195"/>
      <c r="F488" s="346">
        <f>SUM(F484:F487)</f>
        <v>0</v>
      </c>
      <c r="G488" s="543">
        <f>SUM($G$484:$G$487)</f>
        <v>0</v>
      </c>
      <c r="H488" s="535">
        <f>SUM($H$484:$H$487)</f>
        <v>0</v>
      </c>
      <c r="I488" s="536">
        <f>SUM($I$484:$I$487)</f>
        <v>0</v>
      </c>
      <c r="J488" s="346">
        <f>SUM($J$484:$J$487)</f>
        <v>0</v>
      </c>
      <c r="K488" s="346">
        <f>SUM($K$484:$K$487)</f>
        <v>0</v>
      </c>
    </row>
    <row r="489" spans="1:11" ht="13">
      <c r="A489" s="331">
        <v>13</v>
      </c>
      <c r="D489" s="342"/>
      <c r="E489" s="195"/>
      <c r="F489" s="351"/>
      <c r="G489" s="541"/>
      <c r="H489" s="531"/>
      <c r="I489" s="532"/>
    </row>
    <row r="490" spans="1:11" ht="13">
      <c r="A490" s="331">
        <v>14</v>
      </c>
      <c r="B490" s="330" t="s">
        <v>66</v>
      </c>
      <c r="D490" s="342"/>
      <c r="E490" s="195"/>
      <c r="F490" s="351"/>
      <c r="G490" s="541"/>
      <c r="H490" s="531"/>
      <c r="I490" s="532"/>
    </row>
    <row r="491" spans="1:11" ht="13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3">
        <f>'FR-16(7)(v)-1 Functional'!H491</f>
        <v>0</v>
      </c>
      <c r="G491" s="542">
        <f>F491-SUM($H$491:$I$491)</f>
        <v>0</v>
      </c>
      <c r="H491" s="533">
        <f>ROUND(F491*VLOOKUP(D491,AllocTable_Classified_Storage,$H$10,FALSE),0)</f>
        <v>0</v>
      </c>
      <c r="I491" s="534">
        <f>ROUND(F491*VLOOKUP(D491,AllocTable_Classified_Storage,$I$10,FALSE),0)</f>
        <v>0</v>
      </c>
      <c r="J491" s="345">
        <f>SUM($G$491:$I$491)</f>
        <v>0</v>
      </c>
      <c r="K491" s="345">
        <f>F491-$J$491</f>
        <v>0</v>
      </c>
    </row>
    <row r="492" spans="1:11" ht="13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3">
        <f>'FR-16(7)(v)-1 Functional'!H492</f>
        <v>0</v>
      </c>
      <c r="G492" s="542">
        <f>F492-SUM($H$492:$I$492)</f>
        <v>0</v>
      </c>
      <c r="H492" s="533">
        <f>ROUND(F492*VLOOKUP(D492,AllocTable_Classified_Storage,$H$10,FALSE),0)</f>
        <v>0</v>
      </c>
      <c r="I492" s="534">
        <f>ROUND(F492*VLOOKUP(D492,AllocTable_Classified_Storage,$I$10,FALSE),0)</f>
        <v>0</v>
      </c>
      <c r="J492" s="345">
        <f>SUM($G$492:$I$492)</f>
        <v>0</v>
      </c>
      <c r="K492" s="345">
        <f>F492-$J$492</f>
        <v>0</v>
      </c>
    </row>
    <row r="493" spans="1:11" ht="13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4">
        <f>SUM(F491:F492)</f>
        <v>0</v>
      </c>
      <c r="G493" s="543">
        <f>SUM($G$491:$G$492)</f>
        <v>0</v>
      </c>
      <c r="H493" s="535">
        <f>SUM($H$491:$H$492)</f>
        <v>0</v>
      </c>
      <c r="I493" s="536">
        <f>SUM($I$491:$I$492)</f>
        <v>0</v>
      </c>
      <c r="J493" s="346">
        <f>SUM($J$491:$J$492)</f>
        <v>0</v>
      </c>
      <c r="K493" s="346">
        <f>SUM($K$491:$K$492)</f>
        <v>0</v>
      </c>
    </row>
    <row r="494" spans="1:11" ht="13">
      <c r="A494" s="331">
        <v>18</v>
      </c>
      <c r="D494" s="342"/>
      <c r="E494" s="195"/>
      <c r="G494" s="541"/>
      <c r="H494" s="531"/>
      <c r="I494" s="532"/>
    </row>
    <row r="495" spans="1:11" ht="13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0</v>
      </c>
      <c r="G495" s="542">
        <f>$G$488+$G$481+$G$493</f>
        <v>0</v>
      </c>
      <c r="H495" s="533">
        <f>$H$488+$H$481+$H$493</f>
        <v>0</v>
      </c>
      <c r="I495" s="534">
        <f>$I$488+$I$481+$I$493</f>
        <v>0</v>
      </c>
      <c r="J495" s="345">
        <f>$J$488+$J$481+$J$493</f>
        <v>0</v>
      </c>
      <c r="K495" s="345">
        <f>$K$488+$K$481+$K$493</f>
        <v>0</v>
      </c>
    </row>
    <row r="496" spans="1:11" ht="13">
      <c r="A496" s="331">
        <v>20</v>
      </c>
      <c r="D496" s="342"/>
      <c r="E496" s="195"/>
      <c r="G496" s="541"/>
      <c r="H496" s="531"/>
      <c r="I496" s="532"/>
    </row>
    <row r="497" spans="1:11" ht="13">
      <c r="A497" s="331">
        <v>21</v>
      </c>
      <c r="B497" s="330" t="s">
        <v>40</v>
      </c>
      <c r="D497" s="342"/>
      <c r="E497" s="195"/>
      <c r="G497" s="541"/>
      <c r="H497" s="531"/>
      <c r="I497" s="532"/>
    </row>
    <row r="498" spans="1:11" ht="13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K498" si="143">F433</f>
        <v>0</v>
      </c>
      <c r="G498" s="542">
        <f t="shared" si="143"/>
        <v>0</v>
      </c>
      <c r="H498" s="533">
        <f t="shared" si="143"/>
        <v>0</v>
      </c>
      <c r="I498" s="534">
        <f t="shared" si="143"/>
        <v>0</v>
      </c>
      <c r="J498" s="345">
        <f t="shared" si="143"/>
        <v>0</v>
      </c>
      <c r="K498" s="345">
        <f t="shared" si="143"/>
        <v>0</v>
      </c>
    </row>
    <row r="499" spans="1:11" ht="13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K499" si="144">F465</f>
        <v>0</v>
      </c>
      <c r="G499" s="542">
        <f t="shared" si="144"/>
        <v>0</v>
      </c>
      <c r="H499" s="533">
        <f t="shared" si="144"/>
        <v>0</v>
      </c>
      <c r="I499" s="534">
        <f t="shared" si="144"/>
        <v>0</v>
      </c>
      <c r="J499" s="345">
        <f t="shared" si="144"/>
        <v>0</v>
      </c>
      <c r="K499" s="345">
        <f t="shared" si="144"/>
        <v>0</v>
      </c>
    </row>
    <row r="500" spans="1:11" ht="13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0</v>
      </c>
      <c r="G500" s="542">
        <f>$G$495</f>
        <v>0</v>
      </c>
      <c r="H500" s="533">
        <f>$H$495</f>
        <v>0</v>
      </c>
      <c r="I500" s="534">
        <f>$I$495</f>
        <v>0</v>
      </c>
      <c r="J500" s="345">
        <f>$J$495</f>
        <v>0</v>
      </c>
      <c r="K500" s="345">
        <f>$K$495</f>
        <v>0</v>
      </c>
    </row>
    <row r="501" spans="1:11" ht="13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0</v>
      </c>
      <c r="G501" s="551">
        <f>SUM($G$498:$G$500)</f>
        <v>0</v>
      </c>
      <c r="H501" s="552">
        <f>SUM($H$498:$H$500)</f>
        <v>0</v>
      </c>
      <c r="I501" s="553">
        <f>SUM($I$498:$I$500)</f>
        <v>0</v>
      </c>
      <c r="J501" s="346">
        <f>SUM($J$498:$J$500)</f>
        <v>0</v>
      </c>
      <c r="K501" s="346">
        <f>SUM($K$498:$K$500)</f>
        <v>0</v>
      </c>
    </row>
    <row r="502" spans="1:11" ht="13">
      <c r="B502" s="341"/>
      <c r="C502" s="195"/>
      <c r="D502" s="342"/>
      <c r="E502" s="195"/>
      <c r="F502" s="195"/>
      <c r="G502" s="195"/>
      <c r="H502" s="195"/>
      <c r="I502" s="195"/>
      <c r="J502" s="195"/>
      <c r="K502" s="195"/>
    </row>
    <row r="503" spans="1:11" ht="13">
      <c r="A503" s="341" t="str">
        <f>co_name</f>
        <v>DUKE ENERGY KENTUCKY, INC.</v>
      </c>
      <c r="C503" s="195"/>
      <c r="D503" s="342"/>
      <c r="E503" s="195"/>
      <c r="F503" s="195"/>
      <c r="G503" s="195"/>
      <c r="H503" s="195"/>
      <c r="I503" s="195"/>
      <c r="J503" s="195" t="str">
        <f>$J$1</f>
        <v>FR-16(7)(v)-7</v>
      </c>
      <c r="K503" s="195"/>
    </row>
    <row r="504" spans="1:11" ht="13">
      <c r="A504" s="341" t="str">
        <f>$A$2</f>
        <v>STORAGE CLASSIFIED -  GAS COST OF SERVICE</v>
      </c>
      <c r="C504" s="195"/>
      <c r="D504" s="342"/>
      <c r="E504" s="195"/>
      <c r="F504" s="195"/>
      <c r="G504" s="195"/>
      <c r="H504" s="195"/>
      <c r="I504" s="195"/>
      <c r="J504" s="195" t="str">
        <f>$J$2</f>
        <v>WITNESS RESPONSIBLE:</v>
      </c>
      <c r="K504" s="195"/>
    </row>
    <row r="505" spans="1:11" ht="13">
      <c r="A505" s="341" t="str">
        <f>case_name</f>
        <v>CASE NO: 2021-00190</v>
      </c>
      <c r="C505" s="195"/>
      <c r="D505" s="342"/>
      <c r="E505" s="195"/>
      <c r="F505" s="195"/>
      <c r="G505" s="195"/>
      <c r="H505" s="195"/>
      <c r="I505" s="195"/>
      <c r="J505" s="195" t="str">
        <f>Witness</f>
        <v>JAMES E. ZIOLKOWSKI</v>
      </c>
      <c r="K505" s="195"/>
    </row>
    <row r="506" spans="1:11" ht="13">
      <c r="A506" s="341" t="str">
        <f>data_filing</f>
        <v>DATA: 12 MONTH FORECASTED PERIOD</v>
      </c>
      <c r="C506" s="195"/>
      <c r="D506" s="342"/>
      <c r="E506" s="195"/>
      <c r="F506" s="195"/>
      <c r="G506" s="195"/>
      <c r="H506" s="195"/>
      <c r="I506" s="195"/>
      <c r="J506" s="195" t="str">
        <f>"PAGE "&amp;Pages2-3&amp;" OF "&amp;Pages2</f>
        <v>PAGE 12 OF 15</v>
      </c>
      <c r="K506" s="195"/>
    </row>
    <row r="507" spans="1:11" ht="13">
      <c r="A507" s="341" t="str">
        <f>type</f>
        <v xml:space="preserve">TYPE OF FILING: "X" ORIGINAL   UPDATED    REVISED  </v>
      </c>
      <c r="C507" s="195"/>
      <c r="D507" s="342"/>
      <c r="E507" s="195"/>
      <c r="F507" s="195"/>
      <c r="G507" s="195"/>
      <c r="H507" s="195"/>
      <c r="I507" s="195"/>
      <c r="J507" s="195"/>
      <c r="K507" s="195"/>
    </row>
    <row r="508" spans="1:11" ht="13">
      <c r="B508" s="341"/>
      <c r="C508" s="195"/>
      <c r="D508" s="342"/>
      <c r="E508" s="195"/>
      <c r="F508" s="195"/>
      <c r="G508" s="195"/>
      <c r="H508" s="195"/>
      <c r="I508" s="195"/>
      <c r="J508" s="195"/>
      <c r="K508" s="195"/>
    </row>
    <row r="509" spans="1:11" ht="13">
      <c r="B509" s="341"/>
      <c r="C509" s="195"/>
      <c r="D509" s="342"/>
      <c r="E509" s="195"/>
      <c r="F509" s="195"/>
      <c r="G509" s="195"/>
      <c r="H509" s="195"/>
      <c r="I509" s="195"/>
      <c r="J509" s="195"/>
      <c r="K509" s="195"/>
    </row>
    <row r="510" spans="1:11" ht="13">
      <c r="A510" s="342" t="s">
        <v>907</v>
      </c>
      <c r="B510" s="195"/>
      <c r="C510" s="195"/>
      <c r="D510" s="342"/>
      <c r="E510" s="195"/>
      <c r="F510" s="342" t="str">
        <f>$F$8</f>
        <v>TOTAL</v>
      </c>
      <c r="G510" s="539" t="s">
        <v>995</v>
      </c>
      <c r="H510" s="527"/>
      <c r="I510" s="528"/>
      <c r="J510" s="342" t="s">
        <v>229</v>
      </c>
      <c r="K510" s="342" t="s">
        <v>342</v>
      </c>
    </row>
    <row r="511" spans="1:11" ht="13">
      <c r="A511" s="344" t="s">
        <v>908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4" t="str">
        <f>$F$9</f>
        <v>STORAGE</v>
      </c>
      <c r="G511" s="540" t="s">
        <v>840</v>
      </c>
      <c r="H511" s="529" t="s">
        <v>841</v>
      </c>
      <c r="I511" s="530" t="s">
        <v>842</v>
      </c>
      <c r="J511" s="344" t="s">
        <v>341</v>
      </c>
      <c r="K511" s="344" t="s">
        <v>340</v>
      </c>
    </row>
    <row r="512" spans="1:11" ht="13">
      <c r="C512" s="572" t="s">
        <v>351</v>
      </c>
      <c r="D512" s="342"/>
      <c r="E512" s="195"/>
      <c r="G512" s="793">
        <f>$G$10</f>
        <v>3</v>
      </c>
      <c r="H512" s="794">
        <f>$H$10</f>
        <v>4</v>
      </c>
      <c r="I512" s="795">
        <f>$I$10</f>
        <v>5</v>
      </c>
    </row>
    <row r="513" spans="1:11" ht="13">
      <c r="A513" s="331">
        <v>1</v>
      </c>
      <c r="B513" s="330" t="s">
        <v>69</v>
      </c>
      <c r="D513" s="342"/>
      <c r="E513" s="195"/>
      <c r="G513" s="541"/>
      <c r="H513" s="531"/>
      <c r="I513" s="532"/>
    </row>
    <row r="514" spans="1:11" ht="13">
      <c r="A514" s="331">
        <v>2</v>
      </c>
      <c r="B514" s="330" t="s">
        <v>70</v>
      </c>
      <c r="D514" s="342"/>
      <c r="E514" s="195"/>
      <c r="F514" s="330" t="s">
        <v>343</v>
      </c>
      <c r="G514" s="541"/>
      <c r="H514" s="531"/>
      <c r="I514" s="532"/>
    </row>
    <row r="515" spans="1:11" ht="13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3">
        <f>'FR-16(7)(v)-1 Functional'!H515</f>
        <v>0</v>
      </c>
      <c r="G515" s="542">
        <f>F515-SUM($H$515:$I$515)</f>
        <v>0</v>
      </c>
      <c r="H515" s="533">
        <f>ROUND(F515*VLOOKUP(D515,AllocTable_Classified_Storage,$H$10,FALSE),0)</f>
        <v>0</v>
      </c>
      <c r="I515" s="534">
        <f>ROUND(F515*VLOOKUP(D515,AllocTable_Classified_Storage,$I$10,FALSE),0)</f>
        <v>0</v>
      </c>
      <c r="J515" s="345">
        <f>SUM($G$515:$I$515)</f>
        <v>0</v>
      </c>
      <c r="K515" s="345">
        <f>F515-$J$515</f>
        <v>0</v>
      </c>
    </row>
    <row r="516" spans="1:11" ht="13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0</v>
      </c>
      <c r="G516" s="543">
        <f>$G$515</f>
        <v>0</v>
      </c>
      <c r="H516" s="535">
        <f>$H$515</f>
        <v>0</v>
      </c>
      <c r="I516" s="536">
        <f>$I$515</f>
        <v>0</v>
      </c>
      <c r="J516" s="346">
        <f>$J$515</f>
        <v>0</v>
      </c>
      <c r="K516" s="346">
        <f>$K$515</f>
        <v>0</v>
      </c>
    </row>
    <row r="517" spans="1:11" ht="13">
      <c r="A517" s="331">
        <v>5</v>
      </c>
      <c r="D517" s="342"/>
      <c r="E517" s="195"/>
      <c r="F517" s="351"/>
      <c r="G517" s="541"/>
      <c r="H517" s="531"/>
      <c r="I517" s="532"/>
    </row>
    <row r="518" spans="1:11" ht="13">
      <c r="A518" s="331">
        <v>6</v>
      </c>
      <c r="B518" s="330" t="s">
        <v>71</v>
      </c>
      <c r="D518" s="342"/>
      <c r="E518" s="195"/>
      <c r="F518" s="351"/>
      <c r="G518" s="541"/>
      <c r="H518" s="531"/>
      <c r="I518" s="532"/>
    </row>
    <row r="519" spans="1:11" ht="13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3">
        <f>'FR-16(7)(v)-1 Functional'!H519</f>
        <v>0</v>
      </c>
      <c r="G519" s="542">
        <f>F519-SUM($H$519:$I$519)</f>
        <v>0</v>
      </c>
      <c r="H519" s="533">
        <f>ROUND(F519*VLOOKUP(D519,AllocTable_Classified_Storage,$H$10,FALSE),0)</f>
        <v>0</v>
      </c>
      <c r="I519" s="534">
        <f>ROUND(F519*VLOOKUP(D519,AllocTable_Classified_Storage,$I$10,FALSE),0)</f>
        <v>0</v>
      </c>
      <c r="J519" s="345">
        <f>SUM($G$519:$I$519)</f>
        <v>0</v>
      </c>
      <c r="K519" s="345">
        <f>F519-$J$519</f>
        <v>0</v>
      </c>
    </row>
    <row r="520" spans="1:11" ht="13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3">
        <f>'FR-16(7)(v)-1 Functional'!H520</f>
        <v>0</v>
      </c>
      <c r="G520" s="542">
        <f>F520-SUM($H$520:$I$520)</f>
        <v>0</v>
      </c>
      <c r="H520" s="533">
        <f>ROUND(F520*VLOOKUP(D520,AllocTable_Classified_Storage,$H$10,FALSE),0)</f>
        <v>0</v>
      </c>
      <c r="I520" s="534">
        <f>ROUND(F520*VLOOKUP(D520,AllocTable_Classified_Storage,$I$10,FALSE),0)</f>
        <v>0</v>
      </c>
      <c r="J520" s="345">
        <f>SUM($G$520:$I$520)</f>
        <v>0</v>
      </c>
      <c r="K520" s="345">
        <f>F520-$J$520</f>
        <v>0</v>
      </c>
    </row>
    <row r="521" spans="1:11" ht="13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3">
        <f>'FR-16(7)(v)-1 Functional'!H521</f>
        <v>0</v>
      </c>
      <c r="G521" s="542">
        <f>F521-SUM($H$521:$I$521)</f>
        <v>0</v>
      </c>
      <c r="H521" s="533">
        <f>ROUND(F521*VLOOKUP(D521,AllocTable_Classified_Storage,$H$10,FALSE),0)</f>
        <v>0</v>
      </c>
      <c r="I521" s="534">
        <f>ROUND(F521*VLOOKUP(D521,AllocTable_Classified_Storage,$I$10,FALSE),0)</f>
        <v>0</v>
      </c>
      <c r="J521" s="345">
        <f>SUM($G$521:$I$521)</f>
        <v>0</v>
      </c>
      <c r="K521" s="345">
        <f>F521-$J$521</f>
        <v>0</v>
      </c>
    </row>
    <row r="522" spans="1:11" ht="13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0</v>
      </c>
      <c r="G522" s="543">
        <f>SUM($G$519:$G$521)</f>
        <v>0</v>
      </c>
      <c r="H522" s="535">
        <f>SUM($H$519:$H$521)</f>
        <v>0</v>
      </c>
      <c r="I522" s="536">
        <f>SUM($I$519:$I$521)</f>
        <v>0</v>
      </c>
      <c r="J522" s="346">
        <f>SUM($J$519:$J$521)</f>
        <v>0</v>
      </c>
      <c r="K522" s="346">
        <f>SUM($K$519:$K$521)</f>
        <v>0</v>
      </c>
    </row>
    <row r="523" spans="1:11" ht="13">
      <c r="A523" s="331">
        <v>11</v>
      </c>
      <c r="D523" s="342"/>
      <c r="E523" s="195"/>
      <c r="F523" s="351"/>
      <c r="G523" s="541"/>
      <c r="H523" s="531"/>
      <c r="I523" s="532"/>
    </row>
    <row r="524" spans="1:11" ht="13">
      <c r="A524" s="331">
        <v>12</v>
      </c>
      <c r="B524" s="330" t="s">
        <v>72</v>
      </c>
      <c r="D524" s="342"/>
      <c r="E524" s="195"/>
      <c r="F524" s="347">
        <f>F522+F516</f>
        <v>0</v>
      </c>
      <c r="G524" s="542">
        <f>$G$522+$G$516</f>
        <v>0</v>
      </c>
      <c r="H524" s="533">
        <f>$H$522+$H$516</f>
        <v>0</v>
      </c>
      <c r="I524" s="534">
        <f>$I$522+$I$516</f>
        <v>0</v>
      </c>
      <c r="J524" s="345">
        <f>$J$522+$J$516</f>
        <v>0</v>
      </c>
      <c r="K524" s="345">
        <f>$K$522+$K$516</f>
        <v>0</v>
      </c>
    </row>
    <row r="525" spans="1:11" ht="13">
      <c r="A525" s="331">
        <v>13</v>
      </c>
      <c r="D525" s="342"/>
      <c r="E525" s="195"/>
      <c r="F525" s="351"/>
      <c r="G525" s="541"/>
      <c r="H525" s="531"/>
      <c r="I525" s="532"/>
    </row>
    <row r="526" spans="1:11" ht="13">
      <c r="A526" s="331">
        <v>14</v>
      </c>
      <c r="B526" s="338" t="s">
        <v>541</v>
      </c>
      <c r="D526" s="342"/>
      <c r="E526" s="195"/>
      <c r="F526" s="351"/>
      <c r="G526" s="541"/>
      <c r="H526" s="531"/>
      <c r="I526" s="532"/>
    </row>
    <row r="527" spans="1:11" ht="13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3">
        <f>'FR-16(7)(v)-1 Functional'!H527</f>
        <v>0</v>
      </c>
      <c r="G527" s="542">
        <f>F527-SUM($H$527:$I$527)</f>
        <v>0</v>
      </c>
      <c r="H527" s="533">
        <f>ROUND(F527*VLOOKUP(D527,AllocTable_Classified_Storage,$H$10,FALSE),0)</f>
        <v>0</v>
      </c>
      <c r="I527" s="534">
        <f>ROUND(F527*VLOOKUP(D527,AllocTable_Classified_Storage,$I$10,FALSE),0)</f>
        <v>0</v>
      </c>
      <c r="J527" s="345">
        <f>SUM($G$527:$I$527)</f>
        <v>0</v>
      </c>
      <c r="K527" s="345">
        <f>F527-$J$527</f>
        <v>0</v>
      </c>
    </row>
    <row r="528" spans="1:11" ht="13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3">
        <f>'FR-16(7)(v)-1 Functional'!H528</f>
        <v>0</v>
      </c>
      <c r="G528" s="542">
        <f>F528-SUM($H$528:$I$528)</f>
        <v>0</v>
      </c>
      <c r="H528" s="533">
        <f>ROUND(F528*VLOOKUP(D528,AllocTable_Classified_Storage,$H$10,FALSE),0)</f>
        <v>0</v>
      </c>
      <c r="I528" s="534">
        <f>ROUND(F528*VLOOKUP(D528,AllocTable_Classified_Storage,$I$10,FALSE),0)</f>
        <v>0</v>
      </c>
      <c r="J528" s="345">
        <f>SUM($G$528:$I$528)</f>
        <v>0</v>
      </c>
      <c r="K528" s="345">
        <f>F528-$J$528</f>
        <v>0</v>
      </c>
    </row>
    <row r="529" spans="1:11" ht="13">
      <c r="A529" s="331">
        <v>17</v>
      </c>
      <c r="C529" s="612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3">
        <f>'FR-16(7)(v)-1 Functional'!H529</f>
        <v>0</v>
      </c>
      <c r="G529" s="542">
        <f>F529-SUM($H$529:$I$529)</f>
        <v>0</v>
      </c>
      <c r="H529" s="533">
        <f>ROUND(F529*VLOOKUP(D529,AllocTable_Classified_Storage,$H$10,FALSE),0)</f>
        <v>0</v>
      </c>
      <c r="I529" s="534">
        <f>ROUND(F529*VLOOKUP(D529,AllocTable_Classified_Storage,$I$10,FALSE),0)</f>
        <v>0</v>
      </c>
      <c r="J529" s="345">
        <f>SUM($G$529:$I$529)</f>
        <v>0</v>
      </c>
      <c r="K529" s="345">
        <f>F529-$J$529</f>
        <v>0</v>
      </c>
    </row>
    <row r="530" spans="1:11" ht="13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3">
        <f>'FR-16(7)(v)-1 Functional'!H530</f>
        <v>0</v>
      </c>
      <c r="G530" s="542">
        <f>F530-SUM($H$530:$I$530)</f>
        <v>0</v>
      </c>
      <c r="H530" s="533">
        <f>ROUND(F530*VLOOKUP(D530,AllocTable_Classified_Storage,$H$10,FALSE),0)</f>
        <v>0</v>
      </c>
      <c r="I530" s="534">
        <f>ROUND(F530*VLOOKUP(D530,AllocTable_Classified_Storage,$I$10,FALSE),0)</f>
        <v>0</v>
      </c>
      <c r="J530" s="345">
        <f>SUM($G$530:$I$530)</f>
        <v>0</v>
      </c>
      <c r="K530" s="345">
        <f>F530-$J$530</f>
        <v>0</v>
      </c>
    </row>
    <row r="531" spans="1:11" ht="13">
      <c r="A531" s="331">
        <v>19</v>
      </c>
      <c r="C531" s="357" t="s">
        <v>1418</v>
      </c>
      <c r="D531" s="342" t="str">
        <f>'FR-16(7)(v)-1 Functional'!D531</f>
        <v>AG39</v>
      </c>
      <c r="E531" s="195"/>
      <c r="F531" s="473">
        <f>'FR-16(7)(v)-1 Functional'!H531</f>
        <v>0</v>
      </c>
      <c r="G531" s="542">
        <f>F531-SUM($H$531:$I$531)</f>
        <v>0</v>
      </c>
      <c r="H531" s="533">
        <f>ROUND(F531*VLOOKUP(D531,AllocTable_Classified_Storage,$H$10,FALSE),0)</f>
        <v>0</v>
      </c>
      <c r="I531" s="534">
        <f>ROUND(F531*VLOOKUP(D531,AllocTable_Classified_Storage,$I$10,FALSE),0)</f>
        <v>0</v>
      </c>
      <c r="J531" s="345">
        <f>SUM($G$531:$I$531)</f>
        <v>0</v>
      </c>
      <c r="K531" s="345">
        <f>F531-$J$531</f>
        <v>0</v>
      </c>
    </row>
    <row r="532" spans="1:11" ht="13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0</v>
      </c>
      <c r="G532" s="543">
        <f>SUM($G$527:$G$531)</f>
        <v>0</v>
      </c>
      <c r="H532" s="535">
        <f>SUM($H$527:$H$531)</f>
        <v>0</v>
      </c>
      <c r="I532" s="536">
        <f>SUM($I$527:$I$531)</f>
        <v>0</v>
      </c>
      <c r="J532" s="346">
        <f>SUM($J$527:$J$531)</f>
        <v>0</v>
      </c>
      <c r="K532" s="346">
        <f>SUM($K$527:$K$531)</f>
        <v>0</v>
      </c>
    </row>
    <row r="533" spans="1:11" ht="13">
      <c r="A533" s="331">
        <v>21</v>
      </c>
      <c r="D533" s="342"/>
      <c r="E533" s="195"/>
      <c r="F533" s="351"/>
      <c r="G533" s="541"/>
      <c r="H533" s="531"/>
      <c r="I533" s="532"/>
    </row>
    <row r="534" spans="1:11" ht="13">
      <c r="A534" s="331">
        <v>22</v>
      </c>
      <c r="B534" s="330" t="s">
        <v>418</v>
      </c>
      <c r="D534" s="342"/>
      <c r="E534" s="195"/>
      <c r="F534" s="351"/>
      <c r="G534" s="541"/>
      <c r="H534" s="531"/>
      <c r="I534" s="532"/>
    </row>
    <row r="535" spans="1:11" ht="13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3">
        <f>'FR-16(7)(v)-1 Functional'!H535</f>
        <v>0</v>
      </c>
      <c r="G535" s="542">
        <f>F535-SUM($H$535:$I$535)</f>
        <v>0</v>
      </c>
      <c r="H535" s="533">
        <f>ROUND(F535*VLOOKUP(D535,AllocTable_Classified_Storage,$H$10,FALSE),0)</f>
        <v>0</v>
      </c>
      <c r="I535" s="534">
        <f>ROUND(F535*VLOOKUP(D535,AllocTable_Classified_Storage,$I$10,FALSE),0)</f>
        <v>0</v>
      </c>
      <c r="J535" s="506">
        <f>SUM($G$535:$I$535)</f>
        <v>0</v>
      </c>
      <c r="K535" s="507">
        <f>F535-$J$535</f>
        <v>0</v>
      </c>
    </row>
    <row r="536" spans="1:11" ht="13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0</v>
      </c>
      <c r="G536" s="543">
        <f>SUM($G$535:$G$535)</f>
        <v>0</v>
      </c>
      <c r="H536" s="535">
        <f>SUM($H$535:$H$535)</f>
        <v>0</v>
      </c>
      <c r="I536" s="536">
        <f>SUM($I$535:$I$535)</f>
        <v>0</v>
      </c>
      <c r="J536" s="346">
        <f>SUM($J$535:$J$535)</f>
        <v>0</v>
      </c>
      <c r="K536" s="346">
        <f>SUM($K$535:$K$535)</f>
        <v>0</v>
      </c>
    </row>
    <row r="537" spans="1:11" ht="13">
      <c r="A537" s="331">
        <v>25</v>
      </c>
      <c r="D537" s="342"/>
      <c r="E537" s="195"/>
      <c r="F537" s="504"/>
      <c r="G537" s="566"/>
      <c r="H537" s="567"/>
      <c r="I537" s="568"/>
      <c r="J537" s="504"/>
      <c r="K537" s="504"/>
    </row>
    <row r="538" spans="1:11" ht="15.5">
      <c r="A538" s="331">
        <v>26</v>
      </c>
      <c r="B538" s="330" t="s">
        <v>73</v>
      </c>
      <c r="D538" s="729"/>
      <c r="E538" s="1"/>
      <c r="F538" s="504"/>
      <c r="G538" s="566"/>
      <c r="H538" s="567"/>
      <c r="I538" s="568"/>
      <c r="J538" s="504"/>
      <c r="K538" s="504"/>
    </row>
    <row r="539" spans="1:11" ht="13">
      <c r="A539" s="331">
        <v>27</v>
      </c>
      <c r="C539" s="330" t="str">
        <f>'FR-16(7)(v)-1 Functional'!C539</f>
        <v>PROV INVEST TAX CREDIT</v>
      </c>
      <c r="D539" s="342" t="s">
        <v>315</v>
      </c>
      <c r="F539" s="473">
        <v>0</v>
      </c>
      <c r="G539" s="542">
        <f>ROUND(F539*VLOOKUP(D539,AllocTable_Classified_Storage,$G$10,FALSE),0)</f>
        <v>0</v>
      </c>
      <c r="H539" s="533">
        <f>ROUND(F539*VLOOKUP(D539,AllocTable_Classified_Storage,$H$10,FALSE),0)</f>
        <v>0</v>
      </c>
      <c r="I539" s="534">
        <f>ROUND(F539*VLOOKUP(D539,AllocTable_Classified_Storage,$I$10,FALSE),0)</f>
        <v>0</v>
      </c>
      <c r="J539" s="345">
        <f>SUM($G$539:$I$539)</f>
        <v>0</v>
      </c>
      <c r="K539" s="345">
        <f>F539-$J$539</f>
        <v>0</v>
      </c>
    </row>
    <row r="540" spans="1:11" ht="15.5">
      <c r="A540" s="331">
        <v>28</v>
      </c>
      <c r="C540" s="337" t="str">
        <f>'FR-16(7)(v)-1 Functional'!C540</f>
        <v xml:space="preserve">  TEST YEAR INV TAX CREDIT</v>
      </c>
      <c r="D540" s="729"/>
      <c r="E540" s="1"/>
      <c r="F540" s="346">
        <f>SUM(F539:F539)</f>
        <v>0</v>
      </c>
      <c r="G540" s="543">
        <f>SUM($G$539:$G$539)</f>
        <v>0</v>
      </c>
      <c r="H540" s="535">
        <f>SUM($H$539:$H$539)</f>
        <v>0</v>
      </c>
      <c r="I540" s="536">
        <f>SUM($I$539:$I$539)</f>
        <v>0</v>
      </c>
      <c r="J540" s="346">
        <f>SUM($J$539:$J$539)</f>
        <v>0</v>
      </c>
      <c r="K540" s="346">
        <f>SUM($K$539:$K$539)</f>
        <v>0</v>
      </c>
    </row>
    <row r="541" spans="1:11" ht="15.5">
      <c r="A541" s="331">
        <v>29</v>
      </c>
      <c r="B541" s="192"/>
      <c r="C541" s="192"/>
      <c r="D541" s="729"/>
      <c r="E541" s="1"/>
      <c r="F541" s="504"/>
      <c r="G541" s="566"/>
      <c r="H541" s="567"/>
      <c r="I541" s="568"/>
      <c r="J541" s="504"/>
      <c r="K541" s="504"/>
    </row>
    <row r="542" spans="1:11" ht="15.5">
      <c r="A542" s="331">
        <v>30</v>
      </c>
      <c r="B542" s="330" t="s">
        <v>40</v>
      </c>
      <c r="C542" s="192"/>
      <c r="D542" s="729"/>
      <c r="E542" s="1"/>
      <c r="F542" s="504"/>
      <c r="G542" s="566"/>
      <c r="H542" s="567"/>
      <c r="I542" s="568"/>
      <c r="J542" s="504"/>
      <c r="K542" s="504"/>
    </row>
    <row r="543" spans="1:11" ht="13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0</v>
      </c>
      <c r="G543" s="542">
        <f>$G$532</f>
        <v>0</v>
      </c>
      <c r="H543" s="533">
        <f>$H$532</f>
        <v>0</v>
      </c>
      <c r="I543" s="534">
        <f>$I$532</f>
        <v>0</v>
      </c>
      <c r="J543" s="345">
        <f>$J$532</f>
        <v>0</v>
      </c>
      <c r="K543" s="345">
        <f>$K$532</f>
        <v>0</v>
      </c>
    </row>
    <row r="544" spans="1:11" ht="13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0</v>
      </c>
      <c r="G544" s="542">
        <f>-$G$536</f>
        <v>0</v>
      </c>
      <c r="H544" s="533">
        <f>-$H$536</f>
        <v>0</v>
      </c>
      <c r="I544" s="534">
        <f>-$I$536</f>
        <v>0</v>
      </c>
      <c r="J544" s="345">
        <f>-$J$536</f>
        <v>0</v>
      </c>
      <c r="K544" s="345">
        <f>-$K$536</f>
        <v>0</v>
      </c>
    </row>
    <row r="545" spans="1:11" ht="13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0</v>
      </c>
      <c r="G545" s="543">
        <f>SUM($G$543:$G$544)</f>
        <v>0</v>
      </c>
      <c r="H545" s="535">
        <f>SUM($H$543:$H$544)</f>
        <v>0</v>
      </c>
      <c r="I545" s="536">
        <f>SUM($I$543:$I$544)</f>
        <v>0</v>
      </c>
      <c r="J545" s="346">
        <f>SUM($J$543:$J$544)</f>
        <v>0</v>
      </c>
      <c r="K545" s="346">
        <f>SUM($K$543:$K$544)</f>
        <v>0</v>
      </c>
    </row>
    <row r="546" spans="1:11" ht="13">
      <c r="A546" s="331">
        <v>34</v>
      </c>
      <c r="D546" s="342"/>
      <c r="E546" s="195"/>
      <c r="F546" s="351"/>
      <c r="G546" s="541"/>
      <c r="H546" s="531"/>
      <c r="I546" s="532"/>
    </row>
    <row r="547" spans="1:11" ht="13">
      <c r="A547" s="331">
        <v>35</v>
      </c>
      <c r="B547" s="330" t="s">
        <v>74</v>
      </c>
      <c r="D547" s="342"/>
      <c r="E547" s="195"/>
      <c r="F547" s="351"/>
      <c r="G547" s="541"/>
      <c r="H547" s="531"/>
      <c r="I547" s="532"/>
    </row>
    <row r="548" spans="1:11" ht="13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K548" si="145">F334</f>
        <v>0</v>
      </c>
      <c r="G548" s="542">
        <f t="shared" si="145"/>
        <v>0</v>
      </c>
      <c r="H548" s="533">
        <f t="shared" si="145"/>
        <v>0</v>
      </c>
      <c r="I548" s="534">
        <f t="shared" si="145"/>
        <v>0</v>
      </c>
      <c r="J548" s="345">
        <f t="shared" si="145"/>
        <v>0</v>
      </c>
      <c r="K548" s="345">
        <f t="shared" si="145"/>
        <v>0</v>
      </c>
    </row>
    <row r="549" spans="1:11" ht="13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0</v>
      </c>
      <c r="G549" s="542">
        <f>-$G$524</f>
        <v>0</v>
      </c>
      <c r="H549" s="533">
        <f>-$H$524</f>
        <v>0</v>
      </c>
      <c r="I549" s="534">
        <f>-$I$524</f>
        <v>0</v>
      </c>
      <c r="J549" s="345">
        <f>-$J$524</f>
        <v>0</v>
      </c>
      <c r="K549" s="345">
        <f>-$K$524</f>
        <v>0</v>
      </c>
    </row>
    <row r="550" spans="1:11" ht="13">
      <c r="A550" s="331">
        <v>38</v>
      </c>
      <c r="C550" s="330" t="s">
        <v>1419</v>
      </c>
      <c r="D550" s="342"/>
      <c r="E550" s="195"/>
      <c r="F550" s="347">
        <f t="shared" ref="F550:K550" si="146">F591</f>
        <v>632684</v>
      </c>
      <c r="G550" s="542" t="e">
        <f t="shared" si="146"/>
        <v>#N/A</v>
      </c>
      <c r="H550" s="533" t="e">
        <f t="shared" si="146"/>
        <v>#N/A</v>
      </c>
      <c r="I550" s="534" t="e">
        <f t="shared" si="146"/>
        <v>#N/A</v>
      </c>
      <c r="J550" s="345" t="e">
        <f t="shared" si="146"/>
        <v>#N/A</v>
      </c>
      <c r="K550" s="345" t="e">
        <f t="shared" si="146"/>
        <v>#N/A</v>
      </c>
    </row>
    <row r="551" spans="1:11" ht="13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0</v>
      </c>
      <c r="G551" s="542">
        <f>$G$545</f>
        <v>0</v>
      </c>
      <c r="H551" s="533">
        <f>$H$545</f>
        <v>0</v>
      </c>
      <c r="I551" s="534">
        <f>$I$545</f>
        <v>0</v>
      </c>
      <c r="J551" s="345">
        <f>$J$545</f>
        <v>0</v>
      </c>
      <c r="K551" s="345">
        <f>$K$545</f>
        <v>0</v>
      </c>
    </row>
    <row r="552" spans="1:11" ht="13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>SUM(F548:F551)</f>
        <v>632684</v>
      </c>
      <c r="G552" s="543" t="e">
        <f>SUM($G$548:$G$551)</f>
        <v>#N/A</v>
      </c>
      <c r="H552" s="535" t="e">
        <f>SUM($H$548:$H$551)</f>
        <v>#N/A</v>
      </c>
      <c r="I552" s="536" t="e">
        <f>SUM($I$548:$I$551)</f>
        <v>#N/A</v>
      </c>
      <c r="J552" s="346" t="e">
        <f>SUM($J$548:$J$551)</f>
        <v>#N/A</v>
      </c>
      <c r="K552" s="346" t="e">
        <f>SUM($K$548:$K$551)</f>
        <v>#N/A</v>
      </c>
    </row>
    <row r="553" spans="1:11" ht="13">
      <c r="A553" s="331">
        <v>41</v>
      </c>
      <c r="D553" s="342"/>
      <c r="E553" s="195"/>
      <c r="F553" s="351"/>
      <c r="G553" s="541"/>
      <c r="H553" s="531"/>
      <c r="I553" s="532"/>
    </row>
    <row r="554" spans="1:11" ht="13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0.53846153799999996</v>
      </c>
      <c r="G554" s="560">
        <f>ROUND(G692/(1-G692),9)</f>
        <v>0.26582278500000001</v>
      </c>
      <c r="H554" s="561">
        <f>ROUND(H692/(1-H692),9)</f>
        <v>0.26582278500000001</v>
      </c>
      <c r="I554" s="562">
        <f>ROUND(I692/(1-I692),9)</f>
        <v>0.26582278500000001</v>
      </c>
      <c r="J554" s="348"/>
      <c r="K554" s="348">
        <f>ROUND(K692/(1-K692),9)</f>
        <v>0.26582278500000001</v>
      </c>
    </row>
    <row r="555" spans="1:11" ht="13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>ROUND(F554*F552,0)</f>
        <v>340676</v>
      </c>
      <c r="G555" s="554" t="e">
        <f>ROUND($G$552*$G$554,0)</f>
        <v>#N/A</v>
      </c>
      <c r="H555" s="555" t="e">
        <f>ROUND($H$552*$H$554,0)</f>
        <v>#N/A</v>
      </c>
      <c r="I555" s="556" t="e">
        <f>ROUND($I$552*$I$554,0)</f>
        <v>#N/A</v>
      </c>
      <c r="J555" s="345" t="e">
        <f>SUM($G$555:$I$555)</f>
        <v>#N/A</v>
      </c>
      <c r="K555" s="345" t="e">
        <f>ROUND($K$552*$K$554,0)</f>
        <v>#N/A</v>
      </c>
    </row>
    <row r="556" spans="1:11" ht="13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0</v>
      </c>
      <c r="G556" s="542">
        <f>$G$545</f>
        <v>0</v>
      </c>
      <c r="H556" s="533">
        <f>$H$545</f>
        <v>0</v>
      </c>
      <c r="I556" s="534">
        <f>$I$545</f>
        <v>0</v>
      </c>
      <c r="J556" s="345">
        <f>$J$545</f>
        <v>0</v>
      </c>
      <c r="K556" s="345">
        <f>$K$545</f>
        <v>0</v>
      </c>
    </row>
    <row r="557" spans="1:11" ht="13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>SUM(F555:F556)</f>
        <v>340676</v>
      </c>
      <c r="G557" s="543" t="e">
        <f>SUM($G$555:$G$556)</f>
        <v>#N/A</v>
      </c>
      <c r="H557" s="535" t="e">
        <f>SUM($H$555:$H$556)</f>
        <v>#N/A</v>
      </c>
      <c r="I557" s="536" t="e">
        <f>SUM($I$555:$I$556)</f>
        <v>#N/A</v>
      </c>
      <c r="J557" s="346" t="e">
        <f>SUM($J$555:$J$556)</f>
        <v>#N/A</v>
      </c>
      <c r="K557" s="346" t="e">
        <f>SUM($K$555:$K$556)</f>
        <v>#N/A</v>
      </c>
    </row>
    <row r="558" spans="1:11" ht="13">
      <c r="A558" s="331">
        <v>46</v>
      </c>
      <c r="D558" s="342"/>
      <c r="E558" s="195"/>
      <c r="F558" s="351"/>
      <c r="G558" s="541"/>
      <c r="H558" s="531"/>
      <c r="I558" s="532"/>
    </row>
    <row r="559" spans="1:11" ht="13">
      <c r="A559" s="331">
        <v>47</v>
      </c>
      <c r="B559" s="330" t="s">
        <v>68</v>
      </c>
      <c r="D559" s="342"/>
      <c r="E559" s="195"/>
      <c r="F559" s="351"/>
      <c r="G559" s="541"/>
      <c r="H559" s="531"/>
      <c r="I559" s="532"/>
    </row>
    <row r="560" spans="1:11" ht="13">
      <c r="A560" s="331">
        <v>48</v>
      </c>
      <c r="B560" s="330" t="s">
        <v>75</v>
      </c>
      <c r="D560" s="342"/>
      <c r="E560" s="195"/>
      <c r="F560" s="351"/>
      <c r="G560" s="541"/>
      <c r="H560" s="531"/>
      <c r="I560" s="532"/>
    </row>
    <row r="561" spans="1:11" ht="13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>F555</f>
        <v>340676</v>
      </c>
      <c r="G561" s="542" t="e">
        <f>$G$555</f>
        <v>#N/A</v>
      </c>
      <c r="H561" s="533" t="e">
        <f>$H$555</f>
        <v>#N/A</v>
      </c>
      <c r="I561" s="534" t="e">
        <f>$I$555</f>
        <v>#N/A</v>
      </c>
      <c r="J561" s="345" t="e">
        <f>$J$555</f>
        <v>#N/A</v>
      </c>
      <c r="K561" s="345" t="e">
        <f>$K$555</f>
        <v>#N/A</v>
      </c>
    </row>
    <row r="562" spans="1:11" ht="13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544">
        <f>-$G$540</f>
        <v>0</v>
      </c>
      <c r="H562" s="537">
        <f>-$H$540</f>
        <v>0</v>
      </c>
      <c r="I562" s="538">
        <f>-$I$540</f>
        <v>0</v>
      </c>
      <c r="J562" s="345">
        <f>-$J$540</f>
        <v>0</v>
      </c>
      <c r="K562" s="345">
        <f>-$K$540</f>
        <v>0</v>
      </c>
    </row>
    <row r="563" spans="1:11" ht="13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>SUM(F560:F562)</f>
        <v>340676</v>
      </c>
      <c r="G563" s="543" t="e">
        <f>SUM($G$560:$G$562)</f>
        <v>#N/A</v>
      </c>
      <c r="H563" s="535" t="e">
        <f>SUM($H$560:$H$562)</f>
        <v>#N/A</v>
      </c>
      <c r="I563" s="536" t="e">
        <f>SUM($I$560:$I$562)</f>
        <v>#N/A</v>
      </c>
      <c r="J563" s="346" t="e">
        <f>SUM($J$560:$J$562)</f>
        <v>#N/A</v>
      </c>
      <c r="K563" s="346" t="e">
        <f>SUM($K$560:$K$562)</f>
        <v>#N/A</v>
      </c>
    </row>
    <row r="564" spans="1:11" ht="13">
      <c r="A564" s="331">
        <v>52</v>
      </c>
      <c r="D564" s="342"/>
      <c r="E564" s="195"/>
      <c r="G564" s="541"/>
      <c r="H564" s="531"/>
      <c r="I564" s="532"/>
    </row>
    <row r="565" spans="1:11" ht="13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0.35</v>
      </c>
      <c r="G565" s="563">
        <f>ROUND((G693*(1-G692))+((1-G693)*(1-G692)*G694)+G692,5)</f>
        <v>0.24925</v>
      </c>
      <c r="H565" s="564">
        <f>ROUND((H693*(1-H692))+((1-H693)*(1-H692)*H694)+H692,5)</f>
        <v>0.24925</v>
      </c>
      <c r="I565" s="565">
        <f>ROUND((I693*(1-I692))+((1-I693)*(1-I692)*I694)+I692,5)</f>
        <v>0.24925</v>
      </c>
      <c r="K565" s="330">
        <f>ROUND((K693*(1-K692))+((1-K693)*(1-K692)*K694)+K692,5)</f>
        <v>0.24925</v>
      </c>
    </row>
    <row r="566" spans="1:11" ht="13">
      <c r="B566" s="341"/>
      <c r="C566" s="195"/>
      <c r="D566" s="342"/>
      <c r="E566" s="195"/>
      <c r="F566" s="195"/>
      <c r="G566" s="195"/>
      <c r="H566" s="195"/>
      <c r="I566" s="195"/>
      <c r="J566" s="195"/>
      <c r="K566" s="195"/>
    </row>
    <row r="567" spans="1:11" ht="13">
      <c r="A567" s="341" t="str">
        <f>co_name</f>
        <v>DUKE ENERGY KENTUCKY, INC.</v>
      </c>
      <c r="C567" s="195"/>
      <c r="D567" s="342"/>
      <c r="E567" s="195"/>
      <c r="F567" s="195"/>
      <c r="G567" s="195"/>
      <c r="H567" s="195"/>
      <c r="I567" s="195"/>
      <c r="J567" s="195" t="str">
        <f>$J$1</f>
        <v>FR-16(7)(v)-7</v>
      </c>
      <c r="K567" s="195"/>
    </row>
    <row r="568" spans="1:11" ht="13">
      <c r="A568" s="341" t="str">
        <f>$A$2</f>
        <v>STORAGE CLASSIFIED -  GAS COST OF SERVICE</v>
      </c>
      <c r="C568" s="195"/>
      <c r="D568" s="342"/>
      <c r="E568" s="195"/>
      <c r="F568" s="195"/>
      <c r="G568" s="195"/>
      <c r="H568" s="195"/>
      <c r="I568" s="195"/>
      <c r="J568" s="195" t="str">
        <f>$J$2</f>
        <v>WITNESS RESPONSIBLE:</v>
      </c>
      <c r="K568" s="195"/>
    </row>
    <row r="569" spans="1:11" ht="13">
      <c r="A569" s="341" t="str">
        <f>case_name</f>
        <v>CASE NO: 2021-00190</v>
      </c>
      <c r="C569" s="195"/>
      <c r="D569" s="342"/>
      <c r="E569" s="195"/>
      <c r="F569" s="195"/>
      <c r="G569" s="195"/>
      <c r="H569" s="195"/>
      <c r="I569" s="195"/>
      <c r="J569" s="195" t="str">
        <f>Witness</f>
        <v>JAMES E. ZIOLKOWSKI</v>
      </c>
      <c r="K569" s="195"/>
    </row>
    <row r="570" spans="1:11" ht="13">
      <c r="A570" s="341" t="str">
        <f>data_filing</f>
        <v>DATA: 12 MONTH FORECASTED PERIOD</v>
      </c>
      <c r="C570" s="195"/>
      <c r="D570" s="342"/>
      <c r="E570" s="195"/>
      <c r="F570" s="195"/>
      <c r="G570" s="195"/>
      <c r="H570" s="195"/>
      <c r="I570" s="195"/>
      <c r="J570" s="195" t="str">
        <f>"PAGE "&amp;Pages2-2&amp;" OF "&amp;Pages2</f>
        <v>PAGE 13 OF 15</v>
      </c>
      <c r="K570" s="195"/>
    </row>
    <row r="571" spans="1:11" ht="13">
      <c r="A571" s="341" t="str">
        <f>type</f>
        <v xml:space="preserve">TYPE OF FILING: "X" ORIGINAL   UPDATED    REVISED  </v>
      </c>
      <c r="C571" s="195"/>
      <c r="D571" s="342"/>
      <c r="E571" s="195"/>
      <c r="F571" s="195"/>
      <c r="G571" s="195"/>
      <c r="H571" s="195"/>
      <c r="I571" s="195"/>
      <c r="J571" s="195"/>
      <c r="K571" s="195"/>
    </row>
    <row r="574" spans="1:11" ht="13">
      <c r="A574" s="342" t="s">
        <v>907</v>
      </c>
      <c r="B574" s="1352"/>
      <c r="C574" s="1083"/>
      <c r="D574" s="1083"/>
      <c r="E574" s="340"/>
      <c r="F574" s="352" t="s">
        <v>229</v>
      </c>
      <c r="G574" s="539" t="s">
        <v>995</v>
      </c>
      <c r="H574" s="527"/>
      <c r="I574" s="528"/>
      <c r="J574" s="342" t="s">
        <v>229</v>
      </c>
      <c r="K574" s="342" t="s">
        <v>342</v>
      </c>
    </row>
    <row r="575" spans="1:11" ht="13">
      <c r="A575" s="344" t="s">
        <v>908</v>
      </c>
      <c r="B575" s="1354" t="s">
        <v>1376</v>
      </c>
      <c r="C575" s="1355"/>
      <c r="D575" s="1356" t="s">
        <v>1377</v>
      </c>
      <c r="E575" s="1357"/>
      <c r="F575" s="353" t="str">
        <f>$F$9</f>
        <v>STORAGE</v>
      </c>
      <c r="G575" s="540" t="s">
        <v>840</v>
      </c>
      <c r="H575" s="529" t="s">
        <v>841</v>
      </c>
      <c r="I575" s="530" t="s">
        <v>842</v>
      </c>
      <c r="J575" s="344" t="s">
        <v>341</v>
      </c>
      <c r="K575" s="344" t="s">
        <v>340</v>
      </c>
    </row>
    <row r="576" spans="1:11" ht="15.5">
      <c r="A576" s="1358"/>
      <c r="B576" s="1359"/>
      <c r="C576" s="1360" t="s">
        <v>1378</v>
      </c>
      <c r="D576" s="1361"/>
      <c r="E576" s="340"/>
      <c r="F576" s="351"/>
      <c r="G576" s="1407">
        <f>$G$10</f>
        <v>3</v>
      </c>
      <c r="H576" s="1408">
        <f>$H$10</f>
        <v>4</v>
      </c>
      <c r="I576" s="1409">
        <f>$I$10</f>
        <v>5</v>
      </c>
    </row>
    <row r="577" spans="1:11" ht="13">
      <c r="A577" s="961">
        <v>1</v>
      </c>
      <c r="B577" s="1365" t="s">
        <v>1379</v>
      </c>
      <c r="C577" s="1352"/>
      <c r="D577" s="1352"/>
      <c r="E577" s="340"/>
      <c r="F577" s="340"/>
      <c r="G577" s="1410"/>
      <c r="H577" s="1411"/>
      <c r="I577" s="1412"/>
      <c r="J577" s="195"/>
      <c r="K577" s="195"/>
    </row>
    <row r="578" spans="1:11" ht="13">
      <c r="A578" s="961">
        <v>2</v>
      </c>
      <c r="B578" s="1369" t="s">
        <v>1380</v>
      </c>
      <c r="C578" s="1352"/>
      <c r="D578" s="1370" t="s">
        <v>315</v>
      </c>
      <c r="E578" s="340"/>
      <c r="F578" s="473">
        <f>'FR-16(7)(v)-1 Functional'!F578</f>
        <v>6777000</v>
      </c>
      <c r="G578" s="542">
        <f>ROUND(F578*VLOOKUP(D578,AllocTable_Functional,$G$10,FALSE),0)</f>
        <v>60857</v>
      </c>
      <c r="H578" s="533">
        <f>ROUND(F578*VLOOKUP(D578,AllocTable_Functional,$H$10,FALSE),0)</f>
        <v>0</v>
      </c>
      <c r="I578" s="534">
        <f>ROUND(F578*VLOOKUP(D578,AllocTable_Functional,$I$10,FALSE),0)</f>
        <v>6716143</v>
      </c>
      <c r="J578" s="345">
        <f>SUM(G578:I578)</f>
        <v>6777000</v>
      </c>
      <c r="K578" s="345">
        <f>F578-J578</f>
        <v>0</v>
      </c>
    </row>
    <row r="579" spans="1:11" ht="13">
      <c r="A579" s="961">
        <v>3</v>
      </c>
      <c r="B579" s="1369" t="s">
        <v>1152</v>
      </c>
      <c r="C579" s="1371"/>
      <c r="D579" s="1370" t="s">
        <v>315</v>
      </c>
      <c r="E579" s="340"/>
      <c r="F579" s="1372"/>
      <c r="G579" s="544">
        <f>ROUND(F579*VLOOKUP(D579,AllocTable_Functional,$G$10,FALSE),0)</f>
        <v>0</v>
      </c>
      <c r="H579" s="537">
        <f>ROUND(F579*VLOOKUP(D579,AllocTable_Functional,$H$10,FALSE),0)</f>
        <v>0</v>
      </c>
      <c r="I579" s="538">
        <f>ROUND(F579*VLOOKUP(D579,AllocTable_Functional,$I$10,FALSE),0)</f>
        <v>0</v>
      </c>
      <c r="J579" s="496">
        <f>SUM(G579:I579)</f>
        <v>0</v>
      </c>
      <c r="K579" s="496">
        <f>F579-J579</f>
        <v>0</v>
      </c>
    </row>
    <row r="580" spans="1:11" ht="13">
      <c r="A580" s="961">
        <v>4</v>
      </c>
      <c r="B580" s="1373" t="s">
        <v>1381</v>
      </c>
      <c r="C580" s="1352"/>
      <c r="D580" s="1374"/>
      <c r="E580" s="340"/>
      <c r="F580" s="1280">
        <f t="shared" ref="F580:K580" si="147">SUM(F578:F579)</f>
        <v>6777000</v>
      </c>
      <c r="G580" s="1413">
        <f t="shared" si="147"/>
        <v>60857</v>
      </c>
      <c r="H580" s="1414">
        <f t="shared" si="147"/>
        <v>0</v>
      </c>
      <c r="I580" s="1415">
        <f t="shared" si="147"/>
        <v>6716143</v>
      </c>
      <c r="J580" s="333">
        <f t="shared" si="147"/>
        <v>6777000</v>
      </c>
      <c r="K580" s="333">
        <f t="shared" si="147"/>
        <v>0</v>
      </c>
    </row>
    <row r="581" spans="1:11" ht="15.5">
      <c r="A581" s="961">
        <v>5</v>
      </c>
      <c r="B581" s="1358"/>
      <c r="C581" s="1361"/>
      <c r="D581" s="1375"/>
      <c r="E581" s="340"/>
      <c r="F581" s="351"/>
      <c r="G581" s="541"/>
      <c r="H581" s="531"/>
      <c r="I581" s="532"/>
    </row>
    <row r="582" spans="1:11" ht="13">
      <c r="A582" s="961">
        <v>6</v>
      </c>
      <c r="B582" s="1376" t="s">
        <v>1382</v>
      </c>
      <c r="C582" s="1352"/>
      <c r="D582" s="1374"/>
      <c r="E582" s="340"/>
      <c r="F582" s="351"/>
      <c r="G582" s="541"/>
      <c r="H582" s="531"/>
      <c r="I582" s="532"/>
    </row>
    <row r="583" spans="1:11" ht="13">
      <c r="A583" s="961">
        <v>7</v>
      </c>
      <c r="B583" s="1377" t="s">
        <v>1383</v>
      </c>
      <c r="C583" s="1352"/>
      <c r="D583" s="1374"/>
      <c r="E583" s="340"/>
      <c r="F583" s="351"/>
      <c r="G583" s="541"/>
      <c r="H583" s="531"/>
      <c r="I583" s="532"/>
    </row>
    <row r="584" spans="1:11" ht="13">
      <c r="A584" s="961">
        <v>8</v>
      </c>
      <c r="B584" s="1378" t="s">
        <v>1384</v>
      </c>
      <c r="C584" s="1371"/>
      <c r="D584" s="1370" t="s">
        <v>1385</v>
      </c>
      <c r="E584" s="340"/>
      <c r="F584" s="1431">
        <f>'FR-16(7)(v)-1 Functional'!F584</f>
        <v>632684</v>
      </c>
      <c r="G584" s="544" t="e">
        <f>F584-SUM(H584:I584)</f>
        <v>#N/A</v>
      </c>
      <c r="H584" s="537" t="e">
        <f>ROUND(F584*VLOOKUP(D584,AllocTable_Functional,$H$10,FALSE),0)</f>
        <v>#N/A</v>
      </c>
      <c r="I584" s="538" t="e">
        <f>ROUND(F584*VLOOKUP(D584,AllocTable_Functional,$I$10,FALSE),0)</f>
        <v>#N/A</v>
      </c>
      <c r="J584" s="496" t="e">
        <f>SUM(G584:I584)</f>
        <v>#N/A</v>
      </c>
      <c r="K584" s="496" t="e">
        <f>F584-J584</f>
        <v>#N/A</v>
      </c>
    </row>
    <row r="585" spans="1:11" ht="13">
      <c r="A585" s="961">
        <v>9</v>
      </c>
      <c r="B585" s="1373" t="s">
        <v>1386</v>
      </c>
      <c r="C585" s="1352"/>
      <c r="D585" s="1374"/>
      <c r="E585" s="340"/>
      <c r="F585" s="1280">
        <f t="shared" ref="F585:K585" si="148">SUM(F584)</f>
        <v>632684</v>
      </c>
      <c r="G585" s="1413" t="e">
        <f t="shared" si="148"/>
        <v>#N/A</v>
      </c>
      <c r="H585" s="1414" t="e">
        <f t="shared" si="148"/>
        <v>#N/A</v>
      </c>
      <c r="I585" s="1415" t="e">
        <f t="shared" si="148"/>
        <v>#N/A</v>
      </c>
      <c r="J585" s="333" t="e">
        <f t="shared" si="148"/>
        <v>#N/A</v>
      </c>
      <c r="K585" s="333" t="e">
        <f t="shared" si="148"/>
        <v>#N/A</v>
      </c>
    </row>
    <row r="586" spans="1:11" ht="13">
      <c r="A586" s="961">
        <v>10</v>
      </c>
      <c r="B586" s="1082"/>
      <c r="C586" s="1352"/>
      <c r="D586" s="1374"/>
      <c r="E586" s="340"/>
      <c r="F586" s="351"/>
      <c r="G586" s="541"/>
      <c r="H586" s="531"/>
      <c r="I586" s="532"/>
    </row>
    <row r="587" spans="1:11" ht="13">
      <c r="A587" s="961">
        <v>11</v>
      </c>
      <c r="B587" s="1379" t="s">
        <v>1387</v>
      </c>
      <c r="C587" s="1380"/>
      <c r="D587" s="1381"/>
      <c r="E587" s="340"/>
      <c r="F587" s="351"/>
      <c r="G587" s="541"/>
      <c r="H587" s="531"/>
      <c r="I587" s="532"/>
    </row>
    <row r="588" spans="1:11" ht="13">
      <c r="A588" s="961">
        <v>12</v>
      </c>
      <c r="B588" s="1369" t="s">
        <v>1388</v>
      </c>
      <c r="C588" s="1371"/>
      <c r="D588" s="1370" t="s">
        <v>315</v>
      </c>
      <c r="E588" s="340"/>
      <c r="F588" s="1431">
        <f>'FR-16(7)(v)-1 Functional'!F588</f>
        <v>0</v>
      </c>
      <c r="G588" s="544">
        <f>ROUND(F588*VLOOKUP(D588,AllocTable_Functional,$G$10,FALSE),0)</f>
        <v>0</v>
      </c>
      <c r="H588" s="537">
        <f>ROUND(F588*VLOOKUP(D588,AllocTable_Functional,$H$10,FALSE),0)</f>
        <v>0</v>
      </c>
      <c r="I588" s="538">
        <f>ROUND(F588*VLOOKUP(D588,AllocTable_Functional,$I$10,FALSE),0)</f>
        <v>0</v>
      </c>
      <c r="J588" s="496">
        <f>SUM(G588:I588)</f>
        <v>0</v>
      </c>
      <c r="K588" s="496">
        <f>F588-J588</f>
        <v>0</v>
      </c>
    </row>
    <row r="589" spans="1:11" ht="13">
      <c r="A589" s="961">
        <v>13</v>
      </c>
      <c r="B589" s="1373" t="s">
        <v>1389</v>
      </c>
      <c r="C589" s="1352"/>
      <c r="D589" s="1374"/>
      <c r="E589" s="340"/>
      <c r="F589" s="1280">
        <f t="shared" ref="F589:K589" si="149">SUM(F588)</f>
        <v>0</v>
      </c>
      <c r="G589" s="1413">
        <f t="shared" si="149"/>
        <v>0</v>
      </c>
      <c r="H589" s="1414">
        <f t="shared" si="149"/>
        <v>0</v>
      </c>
      <c r="I589" s="1415">
        <f t="shared" si="149"/>
        <v>0</v>
      </c>
      <c r="J589" s="333">
        <f t="shared" si="149"/>
        <v>0</v>
      </c>
      <c r="K589" s="333">
        <f t="shared" si="149"/>
        <v>0</v>
      </c>
    </row>
    <row r="590" spans="1:11" ht="13">
      <c r="A590" s="961">
        <v>14</v>
      </c>
      <c r="B590" s="1352"/>
      <c r="C590" s="1352"/>
      <c r="D590" s="1374"/>
      <c r="E590" s="340"/>
      <c r="F590" s="351"/>
      <c r="G590" s="541"/>
      <c r="H590" s="531"/>
      <c r="I590" s="532"/>
    </row>
    <row r="591" spans="1:11" ht="13">
      <c r="A591" s="961">
        <v>15</v>
      </c>
      <c r="B591" s="1352" t="s">
        <v>1390</v>
      </c>
      <c r="C591" s="1352"/>
      <c r="D591" s="1374"/>
      <c r="E591" s="340"/>
      <c r="F591" s="1280">
        <f>F589+F585</f>
        <v>632684</v>
      </c>
      <c r="G591" s="1413" t="e">
        <f t="shared" ref="G591:K591" si="150">G589+G585</f>
        <v>#N/A</v>
      </c>
      <c r="H591" s="1414" t="e">
        <f t="shared" si="150"/>
        <v>#N/A</v>
      </c>
      <c r="I591" s="1415" t="e">
        <f t="shared" si="150"/>
        <v>#N/A</v>
      </c>
      <c r="J591" s="333" t="e">
        <f t="shared" si="150"/>
        <v>#N/A</v>
      </c>
      <c r="K591" s="333" t="e">
        <f t="shared" si="150"/>
        <v>#N/A</v>
      </c>
    </row>
    <row r="592" spans="1:11" ht="13">
      <c r="A592" s="961">
        <v>16</v>
      </c>
      <c r="B592" s="1352"/>
      <c r="C592" s="1352"/>
      <c r="D592" s="1374"/>
      <c r="E592" s="340"/>
      <c r="F592" s="351"/>
      <c r="G592" s="541"/>
      <c r="H592" s="531"/>
      <c r="I592" s="532"/>
    </row>
    <row r="593" spans="1:11" ht="13">
      <c r="A593" s="961">
        <v>17</v>
      </c>
      <c r="B593" s="1382" t="s">
        <v>68</v>
      </c>
      <c r="C593" s="1383"/>
      <c r="D593" s="961"/>
      <c r="E593" s="340"/>
      <c r="F593" s="351"/>
      <c r="G593" s="541"/>
      <c r="H593" s="531"/>
      <c r="I593" s="532"/>
    </row>
    <row r="594" spans="1:11" ht="13">
      <c r="A594" s="961">
        <v>18</v>
      </c>
      <c r="B594" s="1377" t="s">
        <v>1391</v>
      </c>
      <c r="C594" s="1352"/>
      <c r="D594" s="1374"/>
      <c r="E594" s="340"/>
      <c r="F594" s="351"/>
      <c r="G594" s="541"/>
      <c r="H594" s="531"/>
      <c r="I594" s="532"/>
    </row>
    <row r="595" spans="1:11" ht="13">
      <c r="A595" s="961">
        <v>19</v>
      </c>
      <c r="B595" s="1352" t="s">
        <v>43</v>
      </c>
      <c r="C595" s="1352"/>
      <c r="D595" s="1374"/>
      <c r="E595" s="340"/>
      <c r="F595" s="1280">
        <f t="shared" ref="F595:K595" si="151">F316</f>
        <v>0</v>
      </c>
      <c r="G595" s="1413">
        <f t="shared" si="151"/>
        <v>0</v>
      </c>
      <c r="H595" s="1414">
        <f t="shared" si="151"/>
        <v>0</v>
      </c>
      <c r="I595" s="1415">
        <f t="shared" si="151"/>
        <v>0</v>
      </c>
      <c r="J595" s="1280">
        <f t="shared" si="151"/>
        <v>0</v>
      </c>
      <c r="K595" s="1280">
        <f t="shared" si="151"/>
        <v>0</v>
      </c>
    </row>
    <row r="596" spans="1:11" ht="13">
      <c r="A596" s="961">
        <v>20</v>
      </c>
      <c r="B596" s="1352" t="s">
        <v>199</v>
      </c>
      <c r="C596" s="1352"/>
      <c r="D596" s="1374"/>
      <c r="E596" s="340"/>
      <c r="F596" s="1280">
        <f t="shared" ref="F596:K596" si="152">F557</f>
        <v>340676</v>
      </c>
      <c r="G596" s="1413" t="e">
        <f t="shared" si="152"/>
        <v>#N/A</v>
      </c>
      <c r="H596" s="1414" t="e">
        <f t="shared" si="152"/>
        <v>#N/A</v>
      </c>
      <c r="I596" s="1415" t="e">
        <f t="shared" si="152"/>
        <v>#N/A</v>
      </c>
      <c r="J596" s="333" t="e">
        <f t="shared" si="152"/>
        <v>#N/A</v>
      </c>
      <c r="K596" s="333" t="e">
        <f t="shared" si="152"/>
        <v>#N/A</v>
      </c>
    </row>
    <row r="597" spans="1:11" ht="13">
      <c r="A597" s="961">
        <v>21</v>
      </c>
      <c r="B597" s="1352" t="s">
        <v>1392</v>
      </c>
      <c r="C597" s="1352"/>
      <c r="D597" s="1374"/>
      <c r="E597" s="340"/>
      <c r="F597" s="1280">
        <f>-F524</f>
        <v>0</v>
      </c>
      <c r="G597" s="1413">
        <f t="shared" ref="G597:K597" si="153">-G524</f>
        <v>0</v>
      </c>
      <c r="H597" s="1414">
        <f t="shared" si="153"/>
        <v>0</v>
      </c>
      <c r="I597" s="1415">
        <f t="shared" si="153"/>
        <v>0</v>
      </c>
      <c r="J597" s="333">
        <f t="shared" si="153"/>
        <v>0</v>
      </c>
      <c r="K597" s="333">
        <f t="shared" si="153"/>
        <v>0</v>
      </c>
    </row>
    <row r="598" spans="1:11" ht="13">
      <c r="A598" s="961">
        <v>22</v>
      </c>
      <c r="B598" s="1352" t="s">
        <v>1393</v>
      </c>
      <c r="C598" s="1352"/>
      <c r="D598" s="1374"/>
      <c r="E598" s="340"/>
      <c r="F598" s="1280">
        <f t="shared" ref="F598:K598" si="154">-F580</f>
        <v>-6777000</v>
      </c>
      <c r="G598" s="1413">
        <f t="shared" si="154"/>
        <v>-60857</v>
      </c>
      <c r="H598" s="1414">
        <f t="shared" si="154"/>
        <v>0</v>
      </c>
      <c r="I598" s="1415">
        <f t="shared" si="154"/>
        <v>-6716143</v>
      </c>
      <c r="J598" s="333">
        <f t="shared" si="154"/>
        <v>-6777000</v>
      </c>
      <c r="K598" s="333">
        <f t="shared" si="154"/>
        <v>0</v>
      </c>
    </row>
    <row r="599" spans="1:11" ht="13">
      <c r="A599" s="961">
        <v>23</v>
      </c>
      <c r="B599" s="1371" t="s">
        <v>1394</v>
      </c>
      <c r="C599" s="1371"/>
      <c r="D599" s="1374"/>
      <c r="E599" s="340"/>
      <c r="F599" s="1384">
        <f t="shared" ref="F599:K599" si="155">F591</f>
        <v>632684</v>
      </c>
      <c r="G599" s="1416" t="e">
        <f t="shared" si="155"/>
        <v>#N/A</v>
      </c>
      <c r="H599" s="1417" t="e">
        <f t="shared" si="155"/>
        <v>#N/A</v>
      </c>
      <c r="I599" s="1418" t="e">
        <f t="shared" si="155"/>
        <v>#N/A</v>
      </c>
      <c r="J599" s="1388" t="e">
        <f t="shared" si="155"/>
        <v>#N/A</v>
      </c>
      <c r="K599" s="1388" t="e">
        <f t="shared" si="155"/>
        <v>#N/A</v>
      </c>
    </row>
    <row r="600" spans="1:11" ht="13">
      <c r="A600" s="961">
        <v>24</v>
      </c>
      <c r="B600" s="1082" t="s">
        <v>1395</v>
      </c>
      <c r="C600" s="1352"/>
      <c r="D600" s="1374"/>
      <c r="E600" s="340"/>
      <c r="F600" s="1280">
        <f t="shared" ref="F600:K600" si="156">SUM(F595:F599)</f>
        <v>-5803640</v>
      </c>
      <c r="G600" s="1413" t="e">
        <f t="shared" si="156"/>
        <v>#N/A</v>
      </c>
      <c r="H600" s="1414" t="e">
        <f t="shared" si="156"/>
        <v>#N/A</v>
      </c>
      <c r="I600" s="1415" t="e">
        <f t="shared" si="156"/>
        <v>#N/A</v>
      </c>
      <c r="J600" s="333" t="e">
        <f t="shared" si="156"/>
        <v>#N/A</v>
      </c>
      <c r="K600" s="333" t="e">
        <f t="shared" si="156"/>
        <v>#N/A</v>
      </c>
    </row>
    <row r="601" spans="1:11" ht="13">
      <c r="A601" s="961">
        <v>25</v>
      </c>
      <c r="B601" s="1352"/>
      <c r="C601" s="1352"/>
      <c r="D601" s="1374"/>
      <c r="E601" s="340"/>
      <c r="F601" s="351"/>
      <c r="G601" s="541"/>
      <c r="H601" s="531"/>
      <c r="I601" s="532"/>
    </row>
    <row r="602" spans="1:11" ht="13">
      <c r="A602" s="961">
        <v>26</v>
      </c>
      <c r="B602" s="1352" t="s">
        <v>1396</v>
      </c>
      <c r="C602" s="1352"/>
      <c r="D602" s="1374"/>
      <c r="E602" s="340"/>
      <c r="F602" s="1389">
        <f>ROUND(SIT/(1-SIT),8)</f>
        <v>5.2282660000000002E-2</v>
      </c>
      <c r="G602" s="1419">
        <f t="shared" ref="G602:K602" si="157">ROUND(SIT/(1-SIT),8)</f>
        <v>5.2282660000000002E-2</v>
      </c>
      <c r="H602" s="1420">
        <f t="shared" si="157"/>
        <v>5.2282660000000002E-2</v>
      </c>
      <c r="I602" s="1421">
        <f t="shared" si="157"/>
        <v>5.2282660000000002E-2</v>
      </c>
      <c r="J602" s="1389">
        <f t="shared" si="157"/>
        <v>5.2282660000000002E-2</v>
      </c>
      <c r="K602" s="1389">
        <f t="shared" si="157"/>
        <v>5.2282660000000002E-2</v>
      </c>
    </row>
    <row r="603" spans="1:11" ht="13">
      <c r="A603" s="961">
        <v>27</v>
      </c>
      <c r="B603" s="1352" t="s">
        <v>1397</v>
      </c>
      <c r="C603" s="1352"/>
      <c r="D603" s="1393" t="s">
        <v>1398</v>
      </c>
      <c r="E603" s="340"/>
      <c r="F603" s="1394">
        <f>ROUND(F600*F602,0)</f>
        <v>-303430</v>
      </c>
      <c r="G603" s="1414" t="e">
        <f>ROUND(G600*G602,0)</f>
        <v>#N/A</v>
      </c>
      <c r="H603" s="1414" t="e">
        <f>ROUND(H600*H602,0)</f>
        <v>#N/A</v>
      </c>
      <c r="I603" s="1415" t="e">
        <f>ROUND(I600*I602,0)</f>
        <v>#N/A</v>
      </c>
      <c r="J603" s="345" t="e">
        <f>SUM(G603:I603)</f>
        <v>#N/A</v>
      </c>
      <c r="K603" s="345" t="e">
        <f>F603-J603</f>
        <v>#N/A</v>
      </c>
    </row>
    <row r="604" spans="1:11" ht="13">
      <c r="A604" s="961">
        <v>28</v>
      </c>
      <c r="B604" s="1371" t="s">
        <v>1399</v>
      </c>
      <c r="C604" s="1371"/>
      <c r="D604" s="1374"/>
      <c r="E604" s="1395"/>
      <c r="F604" s="1394">
        <f>F591</f>
        <v>632684</v>
      </c>
      <c r="G604" s="1422" t="e">
        <f>G591</f>
        <v>#N/A</v>
      </c>
      <c r="H604" s="1423" t="e">
        <f>H591</f>
        <v>#N/A</v>
      </c>
      <c r="I604" s="1424" t="e">
        <f>I591</f>
        <v>#N/A</v>
      </c>
      <c r="J604" s="345" t="e">
        <f>SUM(G604:I604)</f>
        <v>#N/A</v>
      </c>
      <c r="K604" s="345" t="e">
        <f>F604-J604</f>
        <v>#N/A</v>
      </c>
    </row>
    <row r="605" spans="1:11" ht="13">
      <c r="A605" s="961">
        <v>29</v>
      </c>
      <c r="B605" s="1082" t="s">
        <v>1400</v>
      </c>
      <c r="C605" s="1352"/>
      <c r="D605" s="1374"/>
      <c r="E605" s="340"/>
      <c r="F605" s="1399">
        <f t="shared" ref="F605:K605" si="158">F604+F603</f>
        <v>329254</v>
      </c>
      <c r="G605" s="1425" t="e">
        <f t="shared" si="158"/>
        <v>#N/A</v>
      </c>
      <c r="H605" s="1426" t="e">
        <f t="shared" si="158"/>
        <v>#N/A</v>
      </c>
      <c r="I605" s="1427" t="e">
        <f t="shared" si="158"/>
        <v>#N/A</v>
      </c>
      <c r="J605" s="1399" t="e">
        <f t="shared" si="158"/>
        <v>#N/A</v>
      </c>
      <c r="K605" s="1399" t="e">
        <f t="shared" si="158"/>
        <v>#N/A</v>
      </c>
    </row>
    <row r="606" spans="1:11" ht="13">
      <c r="A606" s="961">
        <v>30</v>
      </c>
      <c r="B606" s="1352"/>
      <c r="C606" s="1352"/>
      <c r="D606" s="1374"/>
      <c r="E606" s="340"/>
      <c r="F606" s="351"/>
      <c r="G606" s="541"/>
      <c r="H606" s="531"/>
      <c r="I606" s="532"/>
    </row>
    <row r="607" spans="1:11" ht="13">
      <c r="A607" s="961">
        <v>31</v>
      </c>
      <c r="B607" s="1352" t="s">
        <v>1401</v>
      </c>
      <c r="C607" s="1352"/>
      <c r="D607" s="1374"/>
      <c r="E607" s="340"/>
      <c r="F607" s="351"/>
      <c r="G607" s="541"/>
      <c r="H607" s="531"/>
      <c r="I607" s="532"/>
    </row>
    <row r="608" spans="1:11" ht="13">
      <c r="A608" s="961">
        <v>32</v>
      </c>
      <c r="B608" s="1352" t="s">
        <v>1397</v>
      </c>
      <c r="C608" s="1352"/>
      <c r="D608" s="1374"/>
      <c r="E608" s="340"/>
      <c r="F608" s="1394">
        <f t="shared" ref="F608:K608" si="159">F603</f>
        <v>-303430</v>
      </c>
      <c r="G608" s="1422" t="e">
        <f t="shared" si="159"/>
        <v>#N/A</v>
      </c>
      <c r="H608" s="1423" t="e">
        <f t="shared" si="159"/>
        <v>#N/A</v>
      </c>
      <c r="I608" s="1424" t="e">
        <f t="shared" si="159"/>
        <v>#N/A</v>
      </c>
      <c r="J608" s="1394" t="e">
        <f t="shared" si="159"/>
        <v>#N/A</v>
      </c>
      <c r="K608" s="1394" t="e">
        <f t="shared" si="159"/>
        <v>#N/A</v>
      </c>
    </row>
    <row r="609" spans="1:11" ht="13">
      <c r="A609" s="961">
        <v>33</v>
      </c>
      <c r="B609" s="1371" t="s">
        <v>1387</v>
      </c>
      <c r="C609" s="1371"/>
      <c r="D609" s="1374"/>
      <c r="E609" s="340"/>
      <c r="F609" s="1394">
        <f t="shared" ref="F609:K609" si="160">F589</f>
        <v>0</v>
      </c>
      <c r="G609" s="1422">
        <f t="shared" si="160"/>
        <v>0</v>
      </c>
      <c r="H609" s="1423">
        <f t="shared" si="160"/>
        <v>0</v>
      </c>
      <c r="I609" s="1424">
        <f t="shared" si="160"/>
        <v>0</v>
      </c>
      <c r="J609" s="1394">
        <f t="shared" si="160"/>
        <v>0</v>
      </c>
      <c r="K609" s="1394">
        <f t="shared" si="160"/>
        <v>0</v>
      </c>
    </row>
    <row r="610" spans="1:11" ht="13">
      <c r="A610" s="961">
        <v>34</v>
      </c>
      <c r="B610" s="1082" t="s">
        <v>1402</v>
      </c>
      <c r="C610" s="1352"/>
      <c r="D610" s="1374"/>
      <c r="E610" s="340"/>
      <c r="F610" s="1399">
        <f t="shared" ref="F610:K610" si="161">F608+F609</f>
        <v>-303430</v>
      </c>
      <c r="G610" s="1425" t="e">
        <f t="shared" si="161"/>
        <v>#N/A</v>
      </c>
      <c r="H610" s="1426" t="e">
        <f t="shared" si="161"/>
        <v>#N/A</v>
      </c>
      <c r="I610" s="1427" t="e">
        <f t="shared" si="161"/>
        <v>#N/A</v>
      </c>
      <c r="J610" s="1399" t="e">
        <f t="shared" si="161"/>
        <v>#N/A</v>
      </c>
      <c r="K610" s="1399" t="e">
        <f t="shared" si="161"/>
        <v>#N/A</v>
      </c>
    </row>
    <row r="611" spans="1:11" ht="13">
      <c r="A611" s="961">
        <v>35</v>
      </c>
      <c r="B611" s="1352"/>
      <c r="C611" s="1352"/>
      <c r="D611" s="1352"/>
      <c r="E611" s="340"/>
      <c r="F611" s="1394"/>
      <c r="G611" s="1422"/>
      <c r="H611" s="1423"/>
      <c r="I611" s="1424"/>
      <c r="J611" s="1394"/>
      <c r="K611" s="1394"/>
    </row>
    <row r="612" spans="1:11" ht="13">
      <c r="A612" s="961">
        <v>36</v>
      </c>
      <c r="B612" s="1352" t="s">
        <v>76</v>
      </c>
      <c r="C612" s="1352"/>
      <c r="D612" s="1352"/>
      <c r="E612" s="340"/>
      <c r="F612" s="1403">
        <f t="shared" ref="F612:K612" si="162">(SIT*(1-FIT))+((1-SIT)*(1-FIT)*RevTax)+FIT</f>
        <v>0.24925115</v>
      </c>
      <c r="G612" s="1428">
        <f t="shared" si="162"/>
        <v>0.24925115</v>
      </c>
      <c r="H612" s="1429">
        <f t="shared" si="162"/>
        <v>0.24925115</v>
      </c>
      <c r="I612" s="1430">
        <f t="shared" si="162"/>
        <v>0.24925115</v>
      </c>
      <c r="J612" s="1403">
        <f t="shared" si="162"/>
        <v>0.24925115</v>
      </c>
      <c r="K612" s="1403">
        <f t="shared" si="162"/>
        <v>0.24925115</v>
      </c>
    </row>
    <row r="614" spans="1:11" ht="13">
      <c r="A614" s="341" t="str">
        <f>co_name</f>
        <v>DUKE ENERGY KENTUCKY, INC.</v>
      </c>
      <c r="C614" s="195"/>
      <c r="D614" s="342"/>
      <c r="E614" s="195"/>
      <c r="F614" s="195"/>
      <c r="G614" s="195"/>
      <c r="H614" s="195"/>
      <c r="I614" s="195"/>
      <c r="J614" s="195" t="str">
        <f>$J$1</f>
        <v>FR-16(7)(v)-7</v>
      </c>
      <c r="K614" s="195"/>
    </row>
    <row r="615" spans="1:11" ht="13">
      <c r="A615" s="341" t="str">
        <f>$A$2</f>
        <v>STORAGE CLASSIFIED -  GAS COST OF SERVICE</v>
      </c>
      <c r="C615" s="195"/>
      <c r="D615" s="342"/>
      <c r="E615" s="195"/>
      <c r="F615" s="195"/>
      <c r="G615" s="195"/>
      <c r="H615" s="195"/>
      <c r="I615" s="195"/>
      <c r="J615" s="195" t="str">
        <f>$J$2</f>
        <v>WITNESS RESPONSIBLE:</v>
      </c>
      <c r="K615" s="195"/>
    </row>
    <row r="616" spans="1:11" ht="13">
      <c r="A616" s="341" t="str">
        <f>case_name</f>
        <v>CASE NO: 2021-00190</v>
      </c>
      <c r="C616" s="195"/>
      <c r="D616" s="342"/>
      <c r="E616" s="195"/>
      <c r="F616" s="195"/>
      <c r="G616" s="195"/>
      <c r="H616" s="195"/>
      <c r="I616" s="195"/>
      <c r="J616" s="195" t="str">
        <f>Witness</f>
        <v>JAMES E. ZIOLKOWSKI</v>
      </c>
      <c r="K616" s="195"/>
    </row>
    <row r="617" spans="1:11" ht="13">
      <c r="A617" s="341" t="str">
        <f>data_filing</f>
        <v>DATA: 12 MONTH FORECASTED PERIOD</v>
      </c>
      <c r="C617" s="195"/>
      <c r="D617" s="342"/>
      <c r="E617" s="195"/>
      <c r="F617" s="195"/>
      <c r="G617" s="195"/>
      <c r="H617" s="195"/>
      <c r="I617" s="195"/>
      <c r="J617" s="195" t="str">
        <f>"PAGE "&amp;Pages-4&amp;" OF "&amp;Pages</f>
        <v>PAGE 14 OF 18</v>
      </c>
      <c r="K617" s="195"/>
    </row>
    <row r="618" spans="1:11" ht="13">
      <c r="A618" s="341" t="str">
        <f>type</f>
        <v xml:space="preserve">TYPE OF FILING: "X" ORIGINAL   UPDATED    REVISED  </v>
      </c>
      <c r="C618" s="195"/>
      <c r="D618" s="342"/>
      <c r="E618" s="195"/>
      <c r="F618" s="195"/>
      <c r="G618" s="195"/>
      <c r="H618" s="195"/>
      <c r="I618" s="195"/>
      <c r="J618" s="195"/>
      <c r="K618" s="195"/>
    </row>
    <row r="619" spans="1:11" ht="13">
      <c r="B619" s="341"/>
      <c r="C619" s="195"/>
      <c r="D619" s="342"/>
      <c r="E619" s="195"/>
      <c r="F619" s="195"/>
      <c r="G619" s="195"/>
      <c r="H619" s="195"/>
      <c r="I619" s="195"/>
      <c r="J619" s="195"/>
      <c r="K619" s="195"/>
    </row>
    <row r="620" spans="1:11" ht="13">
      <c r="B620" s="341"/>
      <c r="C620" s="195"/>
      <c r="D620" s="342"/>
      <c r="E620" s="195"/>
      <c r="F620" s="195"/>
      <c r="G620" s="195"/>
      <c r="H620" s="195"/>
      <c r="I620" s="195"/>
      <c r="J620" s="195"/>
      <c r="K620" s="195"/>
    </row>
    <row r="621" spans="1:11" ht="13">
      <c r="A621" s="342" t="s">
        <v>907</v>
      </c>
      <c r="B621" s="195"/>
      <c r="C621" s="195"/>
      <c r="D621" s="342"/>
      <c r="E621" s="195"/>
      <c r="F621" s="342" t="str">
        <f>$F$8</f>
        <v>TOTAL</v>
      </c>
      <c r="G621" s="539" t="s">
        <v>995</v>
      </c>
      <c r="H621" s="527"/>
      <c r="I621" s="528"/>
      <c r="J621" s="342" t="s">
        <v>229</v>
      </c>
      <c r="K621" s="342" t="s">
        <v>342</v>
      </c>
    </row>
    <row r="622" spans="1:11" ht="13">
      <c r="A622" s="344" t="s">
        <v>908</v>
      </c>
      <c r="B622" s="343" t="s">
        <v>77</v>
      </c>
      <c r="C622" s="343"/>
      <c r="D622" s="344" t="s">
        <v>337</v>
      </c>
      <c r="E622" s="343"/>
      <c r="F622" s="344" t="str">
        <f>$F$9</f>
        <v>STORAGE</v>
      </c>
      <c r="G622" s="540" t="s">
        <v>840</v>
      </c>
      <c r="H622" s="529" t="s">
        <v>841</v>
      </c>
      <c r="I622" s="530" t="s">
        <v>842</v>
      </c>
      <c r="J622" s="344" t="s">
        <v>341</v>
      </c>
      <c r="K622" s="344" t="s">
        <v>340</v>
      </c>
    </row>
    <row r="623" spans="1:11" ht="13">
      <c r="C623" s="572" t="s">
        <v>352</v>
      </c>
      <c r="D623" s="342"/>
      <c r="E623" s="195"/>
      <c r="G623" s="793">
        <f>$G$10</f>
        <v>3</v>
      </c>
      <c r="H623" s="794">
        <f>$H$10</f>
        <v>4</v>
      </c>
      <c r="I623" s="795">
        <f>$I$10</f>
        <v>5</v>
      </c>
    </row>
    <row r="624" spans="1:11" ht="13">
      <c r="A624" s="331">
        <v>1</v>
      </c>
      <c r="B624" s="330" t="s">
        <v>78</v>
      </c>
      <c r="D624" s="342"/>
      <c r="E624" s="195"/>
      <c r="G624" s="541"/>
      <c r="H624" s="531"/>
      <c r="I624" s="532"/>
    </row>
    <row r="625" spans="1:11" ht="13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3">
        <f>'FR-16(7)(v)-1 Functional'!H625</f>
        <v>0</v>
      </c>
      <c r="G625" s="542">
        <f>ROUND(F625*VLOOKUP(D625,AllocTable_Classified_Storage,$G$10,FALSE),0)</f>
        <v>0</v>
      </c>
      <c r="H625" s="533">
        <f>ROUND(F625*VLOOKUP(D625,AllocTable_Classified_Storage,$H$10,FALSE),0)</f>
        <v>0</v>
      </c>
      <c r="I625" s="534">
        <f>ROUND(F625*VLOOKUP(D625,AllocTable_Classified_Storage,$I$10,FALSE),0)</f>
        <v>0</v>
      </c>
      <c r="J625" s="345">
        <f>SUM($G$625:$I$625)</f>
        <v>0</v>
      </c>
      <c r="K625" s="345">
        <f>F625-$J$625</f>
        <v>0</v>
      </c>
    </row>
    <row r="626" spans="1:11" ht="13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3">
        <f>'FR-16(7)(v)-1 Functional'!H626</f>
        <v>0</v>
      </c>
      <c r="G626" s="542">
        <f>ROUND(F626*VLOOKUP(D626,AllocTable_Classified_Storage,$G$10,FALSE),0)</f>
        <v>0</v>
      </c>
      <c r="H626" s="533">
        <f>ROUND(F626*VLOOKUP(D626,AllocTable_Classified_Storage,$H$10,FALSE),0)</f>
        <v>0</v>
      </c>
      <c r="I626" s="534">
        <f>ROUND(F626*VLOOKUP(D626,AllocTable_Classified_Storage,$I$10,FALSE),0)</f>
        <v>0</v>
      </c>
      <c r="J626" s="345">
        <f>SUM($G$626:$I$626)</f>
        <v>0</v>
      </c>
      <c r="K626" s="345">
        <f>F626-$J$626</f>
        <v>0</v>
      </c>
    </row>
    <row r="627" spans="1:11" ht="13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3">
        <f>'FR-16(7)(v)-1 Functional'!H627</f>
        <v>0</v>
      </c>
      <c r="G627" s="542">
        <f>ROUND(F627*VLOOKUP(D627,AllocTable_Classified_Storage,$G$10,FALSE),0)</f>
        <v>0</v>
      </c>
      <c r="H627" s="533">
        <f>ROUND(F627*VLOOKUP(D627,AllocTable_Classified_Storage,$H$10,FALSE),0)</f>
        <v>0</v>
      </c>
      <c r="I627" s="534">
        <f>ROUND(F627*VLOOKUP(D627,AllocTable_Classified_Storage,$I$10,FALSE),0)</f>
        <v>0</v>
      </c>
      <c r="J627" s="345">
        <f>SUM($G$627:$I$627)</f>
        <v>0</v>
      </c>
      <c r="K627" s="345">
        <f>F627-$J$627</f>
        <v>0</v>
      </c>
    </row>
    <row r="628" spans="1:11" ht="13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3">
        <f>'FR-16(7)(v)-1 Functional'!H628</f>
        <v>0</v>
      </c>
      <c r="G628" s="542">
        <f>ROUND(F628*VLOOKUP(D628,AllocTable_Classified_Storage,$G$10,FALSE),0)</f>
        <v>0</v>
      </c>
      <c r="H628" s="533">
        <f>ROUND(F628*VLOOKUP(D628,AllocTable_Classified_Storage,$H$10,FALSE),0)</f>
        <v>0</v>
      </c>
      <c r="I628" s="534">
        <f>ROUND(F628*VLOOKUP(D628,AllocTable_Classified_Storage,$I$10,FALSE),0)</f>
        <v>0</v>
      </c>
      <c r="J628" s="345">
        <f>SUM($G$628:$I$628)</f>
        <v>0</v>
      </c>
      <c r="K628" s="345">
        <f>F628-$J$628</f>
        <v>0</v>
      </c>
    </row>
    <row r="629" spans="1:11" ht="13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3">
        <f>'FR-16(7)(v)-1 Functional'!H629</f>
        <v>0</v>
      </c>
      <c r="G629" s="542">
        <f>ROUND(F629*VLOOKUP(D629,AllocTable_Classified_Storage,$G$10,FALSE),0)</f>
        <v>0</v>
      </c>
      <c r="H629" s="533">
        <f>ROUND(F629*VLOOKUP(D629,AllocTable_Classified_Storage,$H$10,FALSE),0)</f>
        <v>0</v>
      </c>
      <c r="I629" s="534">
        <f>ROUND(F629*VLOOKUP(D629,AllocTable_Classified_Storage,$I$10,FALSE),0)</f>
        <v>0</v>
      </c>
      <c r="J629" s="345">
        <f>SUM($G$629:$I$629)</f>
        <v>0</v>
      </c>
      <c r="K629" s="345">
        <f>F629-$J$629</f>
        <v>0</v>
      </c>
    </row>
    <row r="630" spans="1:11" ht="13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0</v>
      </c>
      <c r="G630" s="543">
        <f>SUM($G$625:$G$629)</f>
        <v>0</v>
      </c>
      <c r="H630" s="535">
        <f>SUM($H$625:$H$629)</f>
        <v>0</v>
      </c>
      <c r="I630" s="536">
        <f>SUM($I$625:$I$629)</f>
        <v>0</v>
      </c>
      <c r="J630" s="346">
        <f>SUM($J$625:$J$629)</f>
        <v>0</v>
      </c>
      <c r="K630" s="346">
        <f>SUM($K$625:$K$629)</f>
        <v>0</v>
      </c>
    </row>
    <row r="631" spans="1:11" ht="13">
      <c r="A631" s="331">
        <v>8</v>
      </c>
      <c r="D631" s="342"/>
      <c r="E631" s="195"/>
      <c r="G631" s="541"/>
      <c r="H631" s="531"/>
      <c r="I631" s="532"/>
    </row>
    <row r="632" spans="1:11" ht="13">
      <c r="A632" s="331">
        <v>9</v>
      </c>
      <c r="B632" s="330" t="s">
        <v>77</v>
      </c>
      <c r="D632" s="342"/>
      <c r="E632" s="195"/>
      <c r="G632" s="541"/>
      <c r="H632" s="531"/>
      <c r="I632" s="532"/>
    </row>
    <row r="633" spans="1:11" ht="13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0</v>
      </c>
      <c r="G633" s="542">
        <f>$G$501</f>
        <v>0</v>
      </c>
      <c r="H633" s="533">
        <f>$H$501</f>
        <v>0</v>
      </c>
      <c r="I633" s="534">
        <f>$I$501</f>
        <v>0</v>
      </c>
      <c r="J633" s="345">
        <f>$J$501</f>
        <v>0</v>
      </c>
      <c r="K633" s="345">
        <f>$K$501</f>
        <v>0</v>
      </c>
    </row>
    <row r="634" spans="1:11" ht="13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 t="shared" ref="F634:K634" si="163">F334</f>
        <v>0</v>
      </c>
      <c r="G634" s="542">
        <f t="shared" si="163"/>
        <v>0</v>
      </c>
      <c r="H634" s="533">
        <f t="shared" si="163"/>
        <v>0</v>
      </c>
      <c r="I634" s="534">
        <f t="shared" si="163"/>
        <v>0</v>
      </c>
      <c r="J634" s="345">
        <f t="shared" si="163"/>
        <v>0</v>
      </c>
      <c r="K634" s="345">
        <f t="shared" si="163"/>
        <v>0</v>
      </c>
    </row>
    <row r="635" spans="1:11" ht="13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>F557</f>
        <v>340676</v>
      </c>
      <c r="G635" s="542" t="e">
        <f>$G$557</f>
        <v>#N/A</v>
      </c>
      <c r="H635" s="533" t="e">
        <f>$H$557</f>
        <v>#N/A</v>
      </c>
      <c r="I635" s="534" t="e">
        <f>$I$557</f>
        <v>#N/A</v>
      </c>
      <c r="J635" s="345" t="e">
        <f>$J$557</f>
        <v>#N/A</v>
      </c>
      <c r="K635" s="345" t="e">
        <f>$K$557</f>
        <v>#N/A</v>
      </c>
    </row>
    <row r="636" spans="1:11" ht="13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0</v>
      </c>
      <c r="G636" s="542">
        <f>-$G$630</f>
        <v>0</v>
      </c>
      <c r="H636" s="533">
        <f>-$H$630</f>
        <v>0</v>
      </c>
      <c r="I636" s="534">
        <f>-$I$630</f>
        <v>0</v>
      </c>
      <c r="J636" s="345">
        <f>-$J$630</f>
        <v>0</v>
      </c>
      <c r="K636" s="345">
        <f>-$K$630</f>
        <v>0</v>
      </c>
    </row>
    <row r="637" spans="1:11" ht="13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>SUM(F632:F636)</f>
        <v>340676</v>
      </c>
      <c r="G637" s="543" t="e">
        <f>SUM($G$632:$G$636)</f>
        <v>#N/A</v>
      </c>
      <c r="H637" s="535" t="e">
        <f>SUM($H$632:$H$636)</f>
        <v>#N/A</v>
      </c>
      <c r="I637" s="536" t="e">
        <f>SUM($I$632:$I$636)</f>
        <v>#N/A</v>
      </c>
      <c r="J637" s="346" t="e">
        <f>SUM($J$632:$J$636)</f>
        <v>#N/A</v>
      </c>
      <c r="K637" s="346" t="e">
        <f>$J$637-F637</f>
        <v>#N/A</v>
      </c>
    </row>
    <row r="638" spans="1:11" ht="13">
      <c r="A638" s="331">
        <v>15</v>
      </c>
      <c r="D638" s="342"/>
      <c r="E638" s="195"/>
      <c r="G638" s="541"/>
      <c r="H638" s="531"/>
      <c r="I638" s="532"/>
    </row>
    <row r="639" spans="1:11" ht="13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0</v>
      </c>
      <c r="G639" s="542">
        <f>-$G$636</f>
        <v>0</v>
      </c>
      <c r="H639" s="533">
        <f>-$H$636</f>
        <v>0</v>
      </c>
      <c r="I639" s="534">
        <f>-$I$636</f>
        <v>0</v>
      </c>
      <c r="J639" s="345">
        <f>-$J$636</f>
        <v>0</v>
      </c>
      <c r="K639" s="345">
        <f>-$K$636</f>
        <v>0</v>
      </c>
    </row>
    <row r="640" spans="1:11" ht="13">
      <c r="A640" s="331">
        <v>17</v>
      </c>
      <c r="C640" s="357" t="str">
        <f>'FR-16(7)(v)-1 Functional'!C640</f>
        <v>LESS: REVS EXCL FROM REV TAX CALC</v>
      </c>
      <c r="D640" s="342"/>
      <c r="E640" s="195"/>
      <c r="F640" s="347">
        <f>'FR-16(7)(v)-3 PROD Comm Alloc'!F855</f>
        <v>0</v>
      </c>
      <c r="G640" s="542" t="e">
        <f ca="1">G855</f>
        <v>#N/A</v>
      </c>
      <c r="H640" s="533" t="e">
        <f ca="1">H855</f>
        <v>#N/A</v>
      </c>
      <c r="I640" s="534" t="e">
        <f ca="1">I855</f>
        <v>#N/A</v>
      </c>
      <c r="J640" s="345" t="e">
        <f ca="1">SUM(G640:I640)</f>
        <v>#N/A</v>
      </c>
      <c r="K640" s="345">
        <f>'FR-16(7)(v)-3 PROD Comm Alloc'!L855</f>
        <v>0</v>
      </c>
    </row>
    <row r="641" spans="1:11" ht="13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0</v>
      </c>
      <c r="G641" s="543" t="e">
        <f ca="1">$G$639-G640</f>
        <v>#N/A</v>
      </c>
      <c r="H641" s="535" t="e">
        <f ca="1">$H$639-H640</f>
        <v>#N/A</v>
      </c>
      <c r="I641" s="536" t="e">
        <f ca="1">$I$639-I640</f>
        <v>#N/A</v>
      </c>
      <c r="J641" s="346" t="e">
        <f ca="1">$J$639-J640</f>
        <v>#N/A</v>
      </c>
      <c r="K641" s="346">
        <f>$K$639-K640</f>
        <v>0</v>
      </c>
    </row>
    <row r="642" spans="1:11" ht="13">
      <c r="A642" s="331">
        <v>19</v>
      </c>
      <c r="D642" s="342"/>
      <c r="E642" s="195"/>
      <c r="G642" s="541"/>
      <c r="H642" s="531"/>
      <c r="I642" s="532"/>
    </row>
    <row r="643" spans="1:11" ht="13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K643" si="164">ROUND(F694/(1-F694),8)</f>
        <v>0</v>
      </c>
      <c r="G643" s="560">
        <f t="shared" si="164"/>
        <v>0</v>
      </c>
      <c r="H643" s="561">
        <f t="shared" si="164"/>
        <v>0</v>
      </c>
      <c r="I643" s="562">
        <f t="shared" si="164"/>
        <v>0</v>
      </c>
      <c r="J643" s="348">
        <f t="shared" si="164"/>
        <v>0</v>
      </c>
      <c r="K643" s="348">
        <f t="shared" si="164"/>
        <v>0</v>
      </c>
    </row>
    <row r="644" spans="1:11" ht="13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542" t="e">
        <f ca="1">ROUND(G643*G641,0)</f>
        <v>#N/A</v>
      </c>
      <c r="H644" s="533" t="e">
        <f ca="1">ROUND(H643*H641,0)</f>
        <v>#N/A</v>
      </c>
      <c r="I644" s="534" t="e">
        <f ca="1">ROUND(I643*I641,0)</f>
        <v>#N/A</v>
      </c>
      <c r="J644" s="345" t="e">
        <f ca="1">SUM(G644:I644)</f>
        <v>#N/A</v>
      </c>
      <c r="K644" s="345">
        <f>ROUND(K643*K641,0)</f>
        <v>0</v>
      </c>
    </row>
    <row r="645" spans="1:11" ht="13">
      <c r="A645" s="331">
        <v>22</v>
      </c>
      <c r="C645" s="330" t="str">
        <f>'FR-16(7)(v)-1 Functional'!C645</f>
        <v>REVENUE TAX ON COST OF SERVICE</v>
      </c>
      <c r="D645" s="342"/>
      <c r="E645" s="195"/>
      <c r="F645" s="506">
        <f>ROUND(F643*F637,0)</f>
        <v>0</v>
      </c>
      <c r="G645" s="542" t="e">
        <f>ROUND(G643*$G$637,0)</f>
        <v>#N/A</v>
      </c>
      <c r="H645" s="533" t="e">
        <f>ROUND(H643*$H$637,0)</f>
        <v>#N/A</v>
      </c>
      <c r="I645" s="534" t="e">
        <f>ROUND(I643*$I$637,0)</f>
        <v>#N/A</v>
      </c>
      <c r="J645" s="506" t="e">
        <f>SUM(G645:I645)</f>
        <v>#N/A</v>
      </c>
      <c r="K645" s="506" t="e">
        <f>ROUND(K643*$K$637,0)</f>
        <v>#N/A</v>
      </c>
    </row>
    <row r="646" spans="1:11" ht="13">
      <c r="A646" s="331">
        <v>23</v>
      </c>
      <c r="C646" s="357" t="str">
        <f>'FR-16(7)(v)-1 Functional'!C646</f>
        <v>TOTAL REVENUE TAX</v>
      </c>
      <c r="D646" s="342"/>
      <c r="E646" s="195"/>
      <c r="F646" s="504">
        <f t="shared" ref="F646:K646" si="165">F645+F644</f>
        <v>0</v>
      </c>
      <c r="G646" s="566" t="e">
        <f t="shared" ca="1" si="165"/>
        <v>#N/A</v>
      </c>
      <c r="H646" s="567" t="e">
        <f t="shared" ca="1" si="165"/>
        <v>#N/A</v>
      </c>
      <c r="I646" s="568" t="e">
        <f t="shared" ca="1" si="165"/>
        <v>#N/A</v>
      </c>
      <c r="J646" s="504" t="e">
        <f t="shared" ca="1" si="165"/>
        <v>#N/A</v>
      </c>
      <c r="K646" s="504" t="e">
        <f t="shared" si="165"/>
        <v>#N/A</v>
      </c>
    </row>
    <row r="647" spans="1:11" ht="13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>F646+F637</f>
        <v>340676</v>
      </c>
      <c r="G647" s="543" t="e">
        <f ca="1">G646+$G$637</f>
        <v>#N/A</v>
      </c>
      <c r="H647" s="535" t="e">
        <f ca="1">H646+$H$637</f>
        <v>#N/A</v>
      </c>
      <c r="I647" s="536" t="e">
        <f ca="1">I646+$I$637</f>
        <v>#N/A</v>
      </c>
      <c r="J647" s="346" t="e">
        <f ca="1">J646+$J$637</f>
        <v>#N/A</v>
      </c>
      <c r="K647" s="346" t="e">
        <f>K646+$K$637</f>
        <v>#N/A</v>
      </c>
    </row>
    <row r="648" spans="1:11" ht="13">
      <c r="A648" s="331">
        <v>25</v>
      </c>
      <c r="D648" s="342"/>
      <c r="E648" s="195"/>
      <c r="G648" s="541"/>
      <c r="H648" s="531"/>
      <c r="I648" s="532"/>
    </row>
    <row r="649" spans="1:11" ht="13">
      <c r="A649" s="331">
        <v>26</v>
      </c>
      <c r="B649" s="330" t="s">
        <v>843</v>
      </c>
      <c r="D649" s="342"/>
      <c r="E649" s="195"/>
      <c r="F649" s="347">
        <f>F745</f>
        <v>0</v>
      </c>
      <c r="G649" s="542" t="e">
        <f ca="1">G745</f>
        <v>#N/A</v>
      </c>
      <c r="H649" s="533" t="e">
        <f ca="1">H745</f>
        <v>#N/A</v>
      </c>
      <c r="I649" s="534" t="e">
        <f ca="1">I745</f>
        <v>#N/A</v>
      </c>
      <c r="J649" s="345" t="e">
        <f ca="1">K745</f>
        <v>#N/A</v>
      </c>
      <c r="K649" s="345">
        <f>L745</f>
        <v>0</v>
      </c>
    </row>
    <row r="650" spans="1:11" ht="13">
      <c r="A650" s="331">
        <v>27</v>
      </c>
      <c r="B650" s="330" t="s">
        <v>79</v>
      </c>
      <c r="D650" s="342"/>
      <c r="E650" s="195"/>
      <c r="F650" s="345">
        <f t="shared" ref="F650:K650" si="166">-F647</f>
        <v>-340676</v>
      </c>
      <c r="G650" s="542" t="e">
        <f t="shared" ca="1" si="166"/>
        <v>#N/A</v>
      </c>
      <c r="H650" s="533" t="e">
        <f t="shared" ca="1" si="166"/>
        <v>#N/A</v>
      </c>
      <c r="I650" s="534" t="e">
        <f t="shared" ca="1" si="166"/>
        <v>#N/A</v>
      </c>
      <c r="J650" s="345" t="e">
        <f t="shared" ca="1" si="166"/>
        <v>#N/A</v>
      </c>
      <c r="K650" s="345" t="e">
        <f t="shared" si="166"/>
        <v>#N/A</v>
      </c>
    </row>
    <row r="651" spans="1:11" ht="13">
      <c r="A651" s="331">
        <v>28</v>
      </c>
      <c r="B651" s="330" t="s">
        <v>80</v>
      </c>
      <c r="D651" s="342"/>
      <c r="E651" s="195"/>
      <c r="F651" s="345">
        <f>F650+F649</f>
        <v>-340676</v>
      </c>
      <c r="G651" s="542" t="e">
        <f ca="1">G650+G649</f>
        <v>#N/A</v>
      </c>
      <c r="H651" s="533" t="e">
        <f ca="1">H650+H649</f>
        <v>#N/A</v>
      </c>
      <c r="I651" s="534" t="e">
        <f ca="1">I650+I649</f>
        <v>#N/A</v>
      </c>
      <c r="J651" s="345" t="e">
        <f ca="1">SUM(G651:I651)</f>
        <v>#N/A</v>
      </c>
      <c r="K651" s="345" t="e">
        <f>K650+K649</f>
        <v>#N/A</v>
      </c>
    </row>
    <row r="652" spans="1:11" ht="13">
      <c r="A652" s="331">
        <v>29</v>
      </c>
      <c r="B652" s="330" t="s">
        <v>76</v>
      </c>
      <c r="D652" s="342"/>
      <c r="E652" s="195"/>
      <c r="F652" s="348">
        <f>F565</f>
        <v>0.35</v>
      </c>
      <c r="G652" s="560">
        <f>$G$565</f>
        <v>0.24925</v>
      </c>
      <c r="H652" s="561">
        <f>$H$565</f>
        <v>0.24925</v>
      </c>
      <c r="I652" s="562">
        <f>$I$565</f>
        <v>0.24925</v>
      </c>
      <c r="J652" s="348">
        <f>$K$565</f>
        <v>0.24925</v>
      </c>
      <c r="K652" s="348">
        <f>$K$565</f>
        <v>0.24925</v>
      </c>
    </row>
    <row r="653" spans="1:11" ht="13">
      <c r="A653" s="331">
        <v>30</v>
      </c>
      <c r="B653" s="330" t="s">
        <v>81</v>
      </c>
      <c r="D653" s="342"/>
      <c r="E653" s="195"/>
      <c r="F653" s="345">
        <f>ROUND(F652*F651,0)</f>
        <v>-119237</v>
      </c>
      <c r="G653" s="542" t="e">
        <f ca="1">ROUND(G652*G651,0)</f>
        <v>#N/A</v>
      </c>
      <c r="H653" s="533" t="e">
        <f ca="1">ROUND(H652*H651,0)</f>
        <v>#N/A</v>
      </c>
      <c r="I653" s="534" t="e">
        <f ca="1">ROUND(I652*I651,0)</f>
        <v>#N/A</v>
      </c>
      <c r="J653" s="345" t="e">
        <f ca="1">SUM(G653:I653)</f>
        <v>#N/A</v>
      </c>
      <c r="K653" s="345" t="e">
        <f>ROUND(K652*K651,0)</f>
        <v>#N/A</v>
      </c>
    </row>
    <row r="654" spans="1:11" ht="13">
      <c r="A654" s="331">
        <v>31</v>
      </c>
      <c r="B654" s="330" t="s">
        <v>82</v>
      </c>
      <c r="D654" s="342"/>
      <c r="E654" s="195"/>
      <c r="F654" s="345">
        <f>F651-F653</f>
        <v>-221439</v>
      </c>
      <c r="G654" s="544" t="e">
        <f ca="1">G651-G653</f>
        <v>#N/A</v>
      </c>
      <c r="H654" s="537" t="e">
        <f ca="1">H651-H653</f>
        <v>#N/A</v>
      </c>
      <c r="I654" s="538" t="e">
        <f ca="1">I651-I653</f>
        <v>#N/A</v>
      </c>
      <c r="J654" s="345" t="e">
        <f ca="1">SUM(G654:I654)</f>
        <v>#N/A</v>
      </c>
      <c r="K654" s="345" t="e">
        <f>K651-K653</f>
        <v>#N/A</v>
      </c>
    </row>
    <row r="655" spans="1:11" ht="13">
      <c r="A655" s="526"/>
      <c r="B655" s="578"/>
      <c r="C655" s="578"/>
      <c r="D655" s="730"/>
      <c r="E655" s="578"/>
      <c r="F655" s="526"/>
      <c r="G655" s="526"/>
      <c r="H655" s="526"/>
      <c r="I655" s="526"/>
      <c r="J655" s="526"/>
      <c r="K655" s="526"/>
    </row>
    <row r="656" spans="1:11" ht="13">
      <c r="A656" s="341" t="str">
        <f>co_name</f>
        <v>DUKE ENERGY KENTUCKY, INC.</v>
      </c>
      <c r="C656" s="195"/>
      <c r="D656" s="342"/>
      <c r="E656" s="195"/>
      <c r="F656" s="195"/>
      <c r="G656" s="195"/>
      <c r="H656" s="195"/>
      <c r="I656" s="195"/>
      <c r="J656" s="195" t="str">
        <f>$J$1</f>
        <v>FR-16(7)(v)-7</v>
      </c>
      <c r="K656" s="195"/>
    </row>
    <row r="657" spans="1:11" ht="13">
      <c r="A657" s="341" t="str">
        <f>$A$2</f>
        <v>STORAGE CLASSIFIED -  GAS COST OF SERVICE</v>
      </c>
      <c r="C657" s="195"/>
      <c r="D657" s="342"/>
      <c r="E657" s="195"/>
      <c r="F657" s="195"/>
      <c r="G657" s="195"/>
      <c r="H657" s="195"/>
      <c r="I657" s="195"/>
      <c r="J657" s="195" t="str">
        <f>$J$2</f>
        <v>WITNESS RESPONSIBLE:</v>
      </c>
      <c r="K657" s="195"/>
    </row>
    <row r="658" spans="1:11" ht="13">
      <c r="A658" s="341" t="str">
        <f>case_name</f>
        <v>CASE NO: 2021-00190</v>
      </c>
      <c r="C658" s="195"/>
      <c r="D658" s="342"/>
      <c r="E658" s="195"/>
      <c r="F658" s="195"/>
      <c r="G658" s="195"/>
      <c r="H658" s="195"/>
      <c r="I658" s="195"/>
      <c r="J658" s="195" t="str">
        <f>Witness</f>
        <v>JAMES E. ZIOLKOWSKI</v>
      </c>
      <c r="K658" s="195"/>
    </row>
    <row r="659" spans="1:11" ht="13">
      <c r="A659" s="341" t="str">
        <f>data_filing</f>
        <v>DATA: 12 MONTH FORECASTED PERIOD</v>
      </c>
      <c r="C659" s="195"/>
      <c r="D659" s="342"/>
      <c r="E659" s="195"/>
      <c r="F659" s="195"/>
      <c r="G659" s="195"/>
      <c r="H659" s="195"/>
      <c r="I659" s="195"/>
      <c r="J659" s="195" t="str">
        <f>"PAGE "&amp;Pages-3&amp;" OF "&amp;Pages</f>
        <v>PAGE 15 OF 18</v>
      </c>
      <c r="K659" s="195"/>
    </row>
    <row r="660" spans="1:11" ht="13">
      <c r="A660" s="341" t="str">
        <f>type</f>
        <v xml:space="preserve">TYPE OF FILING: "X" ORIGINAL   UPDATED    REVISED  </v>
      </c>
      <c r="C660" s="195"/>
      <c r="D660" s="342"/>
      <c r="E660" s="195"/>
      <c r="F660" s="195"/>
      <c r="G660" s="195"/>
      <c r="H660" s="195"/>
      <c r="I660" s="195"/>
      <c r="J660" s="195"/>
      <c r="K660" s="195"/>
    </row>
    <row r="661" spans="1:11" ht="13">
      <c r="B661" s="341"/>
      <c r="C661" s="195"/>
      <c r="D661" s="342"/>
      <c r="E661" s="195"/>
      <c r="F661" s="195"/>
      <c r="G661" s="195"/>
      <c r="H661" s="195"/>
      <c r="I661" s="195"/>
      <c r="J661" s="195"/>
      <c r="K661" s="195"/>
    </row>
    <row r="662" spans="1:11" ht="13">
      <c r="B662" s="341"/>
      <c r="C662" s="195"/>
      <c r="D662" s="342"/>
      <c r="E662" s="195"/>
      <c r="F662" s="195"/>
      <c r="G662" s="195"/>
      <c r="H662" s="195"/>
      <c r="I662" s="195"/>
      <c r="J662" s="195"/>
      <c r="K662" s="195"/>
    </row>
    <row r="663" spans="1:11" ht="13">
      <c r="A663" s="342" t="s">
        <v>907</v>
      </c>
      <c r="B663" s="195"/>
      <c r="C663" s="195"/>
      <c r="D663" s="342"/>
      <c r="E663" s="195"/>
      <c r="F663" s="342" t="str">
        <f>$F$8</f>
        <v>TOTAL</v>
      </c>
      <c r="G663" s="539" t="s">
        <v>995</v>
      </c>
      <c r="H663" s="527"/>
      <c r="I663" s="528"/>
      <c r="J663" s="342" t="s">
        <v>229</v>
      </c>
      <c r="K663" s="342" t="s">
        <v>342</v>
      </c>
    </row>
    <row r="664" spans="1:11" ht="13">
      <c r="A664" s="344" t="s">
        <v>908</v>
      </c>
      <c r="B664" s="343" t="s">
        <v>83</v>
      </c>
      <c r="C664" s="343"/>
      <c r="D664" s="344" t="s">
        <v>337</v>
      </c>
      <c r="E664" s="343"/>
      <c r="F664" s="344" t="str">
        <f>$F$9</f>
        <v>STORAGE</v>
      </c>
      <c r="G664" s="540" t="s">
        <v>840</v>
      </c>
      <c r="H664" s="529" t="s">
        <v>841</v>
      </c>
      <c r="I664" s="530" t="s">
        <v>842</v>
      </c>
      <c r="J664" s="344" t="s">
        <v>341</v>
      </c>
      <c r="K664" s="344" t="s">
        <v>340</v>
      </c>
    </row>
    <row r="665" spans="1:11" ht="13">
      <c r="C665" s="572" t="s">
        <v>353</v>
      </c>
      <c r="D665" s="342"/>
      <c r="E665" s="195"/>
      <c r="G665" s="817">
        <f>$G$10</f>
        <v>3</v>
      </c>
      <c r="H665" s="817">
        <f>$H$10</f>
        <v>4</v>
      </c>
      <c r="I665" s="817">
        <f>$I$10</f>
        <v>5</v>
      </c>
    </row>
    <row r="666" spans="1:11" ht="13">
      <c r="A666" s="331">
        <v>1</v>
      </c>
      <c r="B666" s="330" t="s">
        <v>84</v>
      </c>
      <c r="D666" s="342"/>
      <c r="E666" s="195"/>
    </row>
    <row r="667" spans="1:11" ht="13">
      <c r="A667" s="331">
        <v>2</v>
      </c>
      <c r="B667" s="330" t="s">
        <v>85</v>
      </c>
      <c r="D667" s="342"/>
      <c r="E667" s="195"/>
      <c r="G667" s="513" t="s">
        <v>339</v>
      </c>
    </row>
    <row r="668" spans="1:11" ht="13">
      <c r="A668" s="331">
        <v>3</v>
      </c>
      <c r="C668" s="330" t="str">
        <f>'FR-16(7)(v)-1 Functional'!C668</f>
        <v>LONG TERM DEBT</v>
      </c>
      <c r="D668" s="342"/>
      <c r="E668" s="195"/>
      <c r="F668" s="473">
        <f>'FR-16(7)(v)-1 Functional'!$F$668</f>
        <v>794320510</v>
      </c>
      <c r="G668" s="514">
        <f>IF($F$673=0,0,ROUND(F668/$F$673,4))</f>
        <v>0.4672</v>
      </c>
    </row>
    <row r="669" spans="1:11" ht="13">
      <c r="A669" s="331">
        <v>4</v>
      </c>
      <c r="C669" s="330" t="str">
        <f>'FR-16(7)(v)-1 Functional'!C669</f>
        <v>PREFERRED STOCK</v>
      </c>
      <c r="D669" s="342"/>
      <c r="E669" s="195"/>
      <c r="F669" s="473">
        <f>'FR-16(7)(v)-1 Functional'!$F$669</f>
        <v>0</v>
      </c>
      <c r="G669" s="514">
        <f>IF($F$673=0,0,ROUND(F669/$F$673,4))</f>
        <v>0</v>
      </c>
    </row>
    <row r="670" spans="1:11" ht="13">
      <c r="A670" s="331">
        <v>5</v>
      </c>
      <c r="C670" s="330" t="str">
        <f>'FR-16(7)(v)-1 Functional'!C670</f>
        <v>COMMON STOCK</v>
      </c>
      <c r="D670" s="342"/>
      <c r="E670" s="195"/>
      <c r="F670" s="473">
        <f>'FR-16(7)(v)-1 Functional'!$F$670</f>
        <v>861861344</v>
      </c>
      <c r="G670" s="514">
        <f>1-G668-G669-G671-G672</f>
        <v>0.5069999999999999</v>
      </c>
    </row>
    <row r="671" spans="1:11" ht="13">
      <c r="A671" s="331">
        <v>6</v>
      </c>
      <c r="C671" s="330" t="str">
        <f>'FR-16(7)(v)-1 Functional'!C671</f>
        <v>SHORT TERM DEBT</v>
      </c>
      <c r="D671" s="342"/>
      <c r="E671" s="195"/>
      <c r="F671" s="473">
        <f>'FR-16(7)(v)-1 Functional'!$F$671</f>
        <v>43936209</v>
      </c>
      <c r="G671" s="514">
        <f>IF($F$673=0,0,ROUND(F671/$F$673,4))</f>
        <v>2.58E-2</v>
      </c>
    </row>
    <row r="672" spans="1:11" ht="13">
      <c r="A672" s="331">
        <v>7</v>
      </c>
      <c r="C672" s="330" t="str">
        <f>'FR-16(7)(v)-1 Functional'!C672</f>
        <v>UNAMORTIZED DISCOUNT</v>
      </c>
      <c r="D672" s="342"/>
      <c r="E672" s="195"/>
      <c r="F672" s="473">
        <f>'FR-16(7)(v)-1 Functional'!$F$672</f>
        <v>0</v>
      </c>
      <c r="G672" s="514">
        <f>IF($F$673=0,0,ROUND(F672/$F$673,4))</f>
        <v>0</v>
      </c>
    </row>
    <row r="673" spans="1:9" ht="13">
      <c r="A673" s="331">
        <v>8</v>
      </c>
      <c r="C673" s="330" t="str">
        <f>'FR-16(7)(v)-1 Functional'!C673</f>
        <v xml:space="preserve">  TOTAL</v>
      </c>
      <c r="D673" s="342"/>
      <c r="E673" s="195"/>
      <c r="F673" s="474">
        <f>SUM(F667:F672)</f>
        <v>1700118063</v>
      </c>
      <c r="G673" s="515">
        <f>SUM(G668:G672)</f>
        <v>1</v>
      </c>
    </row>
    <row r="674" spans="1:9" ht="13">
      <c r="A674" s="331">
        <v>9</v>
      </c>
      <c r="D674" s="342"/>
      <c r="E674" s="195"/>
    </row>
    <row r="675" spans="1:9" ht="13">
      <c r="A675" s="331">
        <v>10</v>
      </c>
      <c r="B675" s="330" t="s">
        <v>86</v>
      </c>
      <c r="D675" s="342"/>
      <c r="E675" s="195"/>
    </row>
    <row r="676" spans="1:9" ht="13">
      <c r="A676" s="331">
        <v>11</v>
      </c>
      <c r="C676" s="330" t="str">
        <f>'FR-16(7)(v)-1 Functional'!C676</f>
        <v>LONG TERM DEBT</v>
      </c>
      <c r="D676" s="342"/>
      <c r="E676" s="195"/>
      <c r="F676" s="580">
        <f>'FR-16(7)(v)-1 Functional'!$F$676</f>
        <v>3.8429999999999999E-2</v>
      </c>
      <c r="G676" s="516"/>
      <c r="H676" s="516"/>
      <c r="I676" s="516"/>
    </row>
    <row r="677" spans="1:9" ht="13">
      <c r="A677" s="331">
        <v>12</v>
      </c>
      <c r="C677" s="330" t="str">
        <f>'FR-16(7)(v)-1 Functional'!C677</f>
        <v>PREFERRED STOCK</v>
      </c>
      <c r="D677" s="342"/>
      <c r="E677" s="195"/>
      <c r="F677" s="580">
        <f>'FR-16(7)(v)-1 Functional'!$F$677</f>
        <v>0</v>
      </c>
      <c r="G677" s="516"/>
      <c r="H677" s="516"/>
      <c r="I677" s="516"/>
    </row>
    <row r="678" spans="1:9" ht="13">
      <c r="A678" s="331">
        <v>13</v>
      </c>
      <c r="C678" s="330" t="str">
        <f>'FR-16(7)(v)-1 Functional'!C678</f>
        <v>COMMON STOCK</v>
      </c>
      <c r="D678" s="342"/>
      <c r="E678" s="195"/>
      <c r="F678" s="580">
        <f>'FR-16(7)(v)-1 Functional'!$F$678</f>
        <v>0.10299999999999999</v>
      </c>
      <c r="G678" s="516"/>
      <c r="H678" s="516"/>
      <c r="I678" s="516"/>
    </row>
    <row r="679" spans="1:9" ht="13">
      <c r="A679" s="331">
        <v>14</v>
      </c>
      <c r="C679" s="330" t="str">
        <f>'FR-16(7)(v)-1 Functional'!C679</f>
        <v>SHORT TERM DEBT</v>
      </c>
      <c r="D679" s="342"/>
      <c r="E679" s="195"/>
      <c r="F679" s="580">
        <f>'FR-16(7)(v)-1 Functional'!$F$679</f>
        <v>1.6670000000000001E-2</v>
      </c>
      <c r="G679" s="516"/>
      <c r="H679" s="516"/>
      <c r="I679" s="516"/>
    </row>
    <row r="680" spans="1:9" ht="13">
      <c r="A680" s="331">
        <v>15</v>
      </c>
      <c r="C680" s="330" t="str">
        <f>'FR-16(7)(v)-1 Functional'!C680</f>
        <v>UNAMORTIZED DISCOUNT</v>
      </c>
      <c r="D680" s="342"/>
      <c r="E680" s="195"/>
      <c r="F680" s="580">
        <f>'FR-16(7)(v)-1 Functional'!$F$680</f>
        <v>0</v>
      </c>
      <c r="G680" s="516"/>
      <c r="H680" s="516"/>
      <c r="I680" s="516"/>
    </row>
    <row r="681" spans="1:9" ht="13">
      <c r="A681" s="331">
        <v>16</v>
      </c>
      <c r="D681" s="342"/>
      <c r="E681" s="195"/>
    </row>
    <row r="682" spans="1:9" ht="13">
      <c r="A682" s="331">
        <v>17</v>
      </c>
      <c r="B682" s="330" t="s">
        <v>87</v>
      </c>
      <c r="D682" s="342"/>
      <c r="E682" s="195"/>
    </row>
    <row r="683" spans="1:9" ht="13">
      <c r="A683" s="331">
        <v>18</v>
      </c>
      <c r="C683" s="330" t="str">
        <f>'FR-16(7)(v)-1 Functional'!C683</f>
        <v>LONG TERM DEBT</v>
      </c>
      <c r="D683" s="342"/>
      <c r="E683" s="195"/>
      <c r="F683" s="514">
        <f>ROUND(G668*F676,4)</f>
        <v>1.7999999999999999E-2</v>
      </c>
      <c r="G683" s="514"/>
      <c r="H683" s="514"/>
      <c r="I683" s="514"/>
    </row>
    <row r="684" spans="1:9" ht="13">
      <c r="A684" s="331">
        <v>19</v>
      </c>
      <c r="C684" s="330" t="str">
        <f>'FR-16(7)(v)-1 Functional'!C684</f>
        <v>PREFERRED STOCK</v>
      </c>
      <c r="D684" s="342"/>
      <c r="E684" s="195"/>
      <c r="F684" s="514">
        <f>ROUND(G669*F677,4)</f>
        <v>0</v>
      </c>
      <c r="G684" s="514"/>
      <c r="H684" s="514"/>
      <c r="I684" s="514"/>
    </row>
    <row r="685" spans="1:9" ht="13">
      <c r="A685" s="331">
        <v>20</v>
      </c>
      <c r="C685" s="330" t="str">
        <f>'FR-16(7)(v)-1 Functional'!C685</f>
        <v>COMMON STOCK</v>
      </c>
      <c r="D685" s="342"/>
      <c r="E685" s="195"/>
      <c r="F685" s="514">
        <f>ROUND(G670*F678,4)</f>
        <v>5.2200000000000003E-2</v>
      </c>
      <c r="G685" s="514"/>
      <c r="H685" s="514"/>
      <c r="I685" s="514"/>
    </row>
    <row r="686" spans="1:9" ht="13">
      <c r="A686" s="331">
        <v>21</v>
      </c>
      <c r="C686" s="330" t="str">
        <f>'FR-16(7)(v)-1 Functional'!C686</f>
        <v>SHORT TERM DEBT</v>
      </c>
      <c r="D686" s="342"/>
      <c r="E686" s="195"/>
      <c r="F686" s="514">
        <f>ROUND(G671*F679,4)</f>
        <v>4.0000000000000002E-4</v>
      </c>
      <c r="G686" s="514"/>
      <c r="H686" s="514"/>
      <c r="I686" s="514"/>
    </row>
    <row r="687" spans="1:9" ht="13">
      <c r="A687" s="331">
        <v>22</v>
      </c>
      <c r="C687" s="330" t="str">
        <f>'FR-16(7)(v)-1 Functional'!C687</f>
        <v>UNAMORTIZED DISCOUNT</v>
      </c>
      <c r="D687" s="342"/>
      <c r="E687" s="195"/>
      <c r="F687" s="514">
        <f>ROUND(G672*F680,4)</f>
        <v>0</v>
      </c>
      <c r="G687" s="514"/>
      <c r="H687" s="514"/>
      <c r="I687" s="514"/>
    </row>
    <row r="688" spans="1:9" ht="13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517">
        <f>SUM(F683:F687)</f>
        <v>7.0599999999999996E-2</v>
      </c>
      <c r="G688" s="518"/>
      <c r="H688" s="518"/>
      <c r="I688" s="518"/>
    </row>
    <row r="689" spans="1:15" ht="13">
      <c r="A689" s="331">
        <v>24</v>
      </c>
      <c r="D689" s="342"/>
      <c r="E689" s="195"/>
    </row>
    <row r="690" spans="1:15" ht="13">
      <c r="A690" s="331">
        <v>25</v>
      </c>
      <c r="B690" s="330" t="s">
        <v>88</v>
      </c>
      <c r="D690" s="342"/>
      <c r="E690" s="195"/>
    </row>
    <row r="691" spans="1:15" ht="13">
      <c r="A691" s="331">
        <v>26</v>
      </c>
      <c r="C691" s="330" t="str">
        <f>'FR-16(7)(v)-1 Functional'!C691</f>
        <v>SHORT TERM DEBT COST</v>
      </c>
      <c r="D691" s="342"/>
      <c r="E691" s="195"/>
      <c r="F691" s="760">
        <v>0</v>
      </c>
      <c r="G691" s="519">
        <f>$F$691</f>
        <v>0</v>
      </c>
      <c r="H691" s="519">
        <f>$F$691</f>
        <v>0</v>
      </c>
      <c r="I691" s="519">
        <f>$F$691</f>
        <v>0</v>
      </c>
      <c r="J691" s="519">
        <f>$F$691</f>
        <v>0</v>
      </c>
      <c r="K691" s="519">
        <f>$F$691</f>
        <v>0</v>
      </c>
    </row>
    <row r="692" spans="1:15" ht="13">
      <c r="A692" s="331">
        <v>27</v>
      </c>
      <c r="C692" s="330" t="str">
        <f>'FR-16(7)(v)-1 Functional'!C692</f>
        <v>FEDERAL INCOME TAX RATE</v>
      </c>
      <c r="D692" s="342"/>
      <c r="E692" s="195"/>
      <c r="F692" s="516">
        <v>0.35</v>
      </c>
      <c r="G692" s="519">
        <f>FIT</f>
        <v>0.21</v>
      </c>
      <c r="H692" s="519">
        <f>FIT</f>
        <v>0.21</v>
      </c>
      <c r="I692" s="519">
        <f>FIT</f>
        <v>0.21</v>
      </c>
      <c r="J692" s="519">
        <f>FIT</f>
        <v>0.21</v>
      </c>
      <c r="K692" s="519">
        <f>FIT</f>
        <v>0.21</v>
      </c>
    </row>
    <row r="693" spans="1:15" ht="13">
      <c r="A693" s="331">
        <v>28</v>
      </c>
      <c r="C693" s="330" t="str">
        <f>'FR-16(7)(v)-1 Functional'!C693</f>
        <v>STATE INCOME TAX RATE</v>
      </c>
      <c r="D693" s="342"/>
      <c r="E693" s="195"/>
      <c r="F693" s="516">
        <v>0</v>
      </c>
      <c r="G693" s="519">
        <f>SIT</f>
        <v>4.9685000000000007E-2</v>
      </c>
      <c r="H693" s="519">
        <f>SIT</f>
        <v>4.9685000000000007E-2</v>
      </c>
      <c r="I693" s="519">
        <f>SIT</f>
        <v>4.9685000000000007E-2</v>
      </c>
      <c r="J693" s="519">
        <f>SIT</f>
        <v>4.9685000000000007E-2</v>
      </c>
      <c r="K693" s="519">
        <f>SIT</f>
        <v>4.9685000000000007E-2</v>
      </c>
    </row>
    <row r="694" spans="1:15" ht="13">
      <c r="A694" s="331">
        <v>29</v>
      </c>
      <c r="C694" s="330" t="str">
        <f>'FR-16(7)(v)-1 Functional'!C694</f>
        <v>REVENUE TAX RATE</v>
      </c>
      <c r="D694" s="342"/>
      <c r="E694" s="195"/>
      <c r="F694" s="516">
        <v>0</v>
      </c>
      <c r="G694" s="519">
        <f>RevTax</f>
        <v>0</v>
      </c>
      <c r="H694" s="519">
        <f>RevTax</f>
        <v>0</v>
      </c>
      <c r="I694" s="519">
        <f>RevTax</f>
        <v>0</v>
      </c>
      <c r="J694" s="519">
        <f>RevTax</f>
        <v>0</v>
      </c>
      <c r="K694" s="519">
        <f>RevTax</f>
        <v>0</v>
      </c>
    </row>
    <row r="696" spans="1:15" ht="13">
      <c r="A696" s="341" t="str">
        <f>co_name</f>
        <v>DUKE ENERGY KENTUCKY, INC.</v>
      </c>
      <c r="C696" s="195"/>
      <c r="D696" s="342"/>
      <c r="E696" s="195"/>
      <c r="F696" s="195"/>
      <c r="G696" s="195"/>
      <c r="H696" s="195"/>
      <c r="I696" s="195"/>
      <c r="J696" s="195" t="str">
        <f>$J$1</f>
        <v>FR-16(7)(v)-7</v>
      </c>
      <c r="K696" s="195"/>
    </row>
    <row r="697" spans="1:15" ht="13">
      <c r="A697" s="341" t="str">
        <f>$A$2</f>
        <v>STORAGE CLASSIFIED -  GAS COST OF SERVICE</v>
      </c>
      <c r="C697" s="195"/>
      <c r="D697" s="342"/>
      <c r="E697" s="195"/>
      <c r="F697" s="195"/>
      <c r="G697" s="195"/>
      <c r="H697" s="195"/>
      <c r="I697" s="195"/>
      <c r="J697" s="195" t="str">
        <f>$J$2</f>
        <v>WITNESS RESPONSIBLE:</v>
      </c>
      <c r="K697" s="195"/>
    </row>
    <row r="698" spans="1:15" ht="13">
      <c r="A698" s="341" t="str">
        <f>case_name</f>
        <v>CASE NO: 2021-00190</v>
      </c>
      <c r="C698" s="195"/>
      <c r="D698" s="342"/>
      <c r="E698" s="195"/>
      <c r="F698" s="195"/>
      <c r="G698" s="195"/>
      <c r="H698" s="195"/>
      <c r="I698" s="195"/>
      <c r="J698" s="195" t="str">
        <f>Witness</f>
        <v>JAMES E. ZIOLKOWSKI</v>
      </c>
      <c r="K698" s="195"/>
    </row>
    <row r="699" spans="1:15" ht="13">
      <c r="A699" s="341" t="str">
        <f>data_filing</f>
        <v>DATA: 12 MONTH FORECASTED PERIOD</v>
      </c>
      <c r="C699" s="195"/>
      <c r="D699" s="342"/>
      <c r="E699" s="195"/>
      <c r="F699" s="195"/>
      <c r="G699" s="195"/>
      <c r="H699" s="195"/>
      <c r="I699" s="195"/>
      <c r="J699" s="195" t="str">
        <f>"PAGE "&amp;Pages-2&amp;" OF "&amp;Pages</f>
        <v>PAGE 16 OF 18</v>
      </c>
      <c r="K699" s="195"/>
    </row>
    <row r="700" spans="1:15" ht="13">
      <c r="A700" s="341" t="str">
        <f>type</f>
        <v xml:space="preserve">TYPE OF FILING: "X" ORIGINAL   UPDATED    REVISED  </v>
      </c>
      <c r="C700" s="195"/>
      <c r="D700" s="342"/>
      <c r="E700" s="195"/>
      <c r="F700" s="195"/>
      <c r="G700" s="195"/>
      <c r="H700" s="195"/>
      <c r="I700" s="195"/>
      <c r="J700" s="195"/>
      <c r="K700" s="195"/>
    </row>
    <row r="702" spans="1:15" ht="13" thickBot="1"/>
    <row r="703" spans="1:15" ht="13">
      <c r="A703" s="342" t="s">
        <v>907</v>
      </c>
      <c r="B703" s="195"/>
      <c r="C703" s="195"/>
      <c r="D703" s="342"/>
      <c r="E703" s="342"/>
      <c r="F703" s="342" t="str">
        <f>$F$8</f>
        <v>TOTAL</v>
      </c>
      <c r="G703" s="665" t="s">
        <v>995</v>
      </c>
      <c r="H703" s="666"/>
      <c r="I703" s="667"/>
      <c r="J703" s="342" t="s">
        <v>229</v>
      </c>
      <c r="K703" s="342" t="s">
        <v>342</v>
      </c>
      <c r="O703" s="745" t="s">
        <v>995</v>
      </c>
    </row>
    <row r="704" spans="1:15" ht="13">
      <c r="A704" s="344" t="s">
        <v>908</v>
      </c>
      <c r="B704" s="584" t="s">
        <v>89</v>
      </c>
      <c r="C704" s="343"/>
      <c r="D704" s="585" t="s">
        <v>1001</v>
      </c>
      <c r="E704" s="585" t="s">
        <v>337</v>
      </c>
      <c r="F704" s="344" t="str">
        <f>$F$9</f>
        <v>STORAGE</v>
      </c>
      <c r="G704" s="668" t="s">
        <v>840</v>
      </c>
      <c r="H704" s="669" t="s">
        <v>841</v>
      </c>
      <c r="I704" s="670" t="s">
        <v>842</v>
      </c>
      <c r="J704" s="344" t="s">
        <v>341</v>
      </c>
      <c r="K704" s="344" t="s">
        <v>340</v>
      </c>
      <c r="O704" s="746" t="s">
        <v>998</v>
      </c>
    </row>
    <row r="705" spans="1:15" ht="13">
      <c r="A705" s="195"/>
      <c r="B705" s="588"/>
      <c r="C705" s="838" t="s">
        <v>558</v>
      </c>
      <c r="D705" s="712"/>
      <c r="E705" s="780">
        <v>1</v>
      </c>
      <c r="F705" s="780">
        <v>2</v>
      </c>
      <c r="G705" s="793">
        <f>$G$10</f>
        <v>3</v>
      </c>
      <c r="H705" s="794">
        <f>$H$10</f>
        <v>4</v>
      </c>
      <c r="I705" s="795">
        <f>$I$10</f>
        <v>5</v>
      </c>
      <c r="O705" s="747"/>
    </row>
    <row r="706" spans="1:15" ht="13">
      <c r="A706" s="342">
        <v>1</v>
      </c>
      <c r="B706" s="591" t="s">
        <v>90</v>
      </c>
      <c r="C706" s="484"/>
      <c r="D706" s="706"/>
      <c r="E706" s="706"/>
      <c r="F706" s="504"/>
      <c r="G706" s="671"/>
      <c r="H706" s="672"/>
      <c r="I706" s="673"/>
      <c r="O706" s="748"/>
    </row>
    <row r="707" spans="1:15" ht="13">
      <c r="A707" s="342">
        <v>2</v>
      </c>
      <c r="C707" s="592" t="s">
        <v>221</v>
      </c>
      <c r="D707" s="717" t="s">
        <v>1002</v>
      </c>
      <c r="E707" s="707"/>
      <c r="F707" s="473">
        <f>'Alloc Factors Summary'!$D$16</f>
        <v>11107573</v>
      </c>
      <c r="G707" s="674">
        <f>F707</f>
        <v>11107573</v>
      </c>
      <c r="H707" s="675">
        <v>0</v>
      </c>
      <c r="I707" s="676">
        <v>0</v>
      </c>
      <c r="J707" s="732">
        <f>SUM(G707:I707)</f>
        <v>11107573</v>
      </c>
      <c r="K707" s="495">
        <f>F707-J707</f>
        <v>0</v>
      </c>
      <c r="O707" s="747"/>
    </row>
    <row r="708" spans="1:15" ht="13">
      <c r="A708" s="342">
        <v>3</v>
      </c>
      <c r="B708" s="195"/>
      <c r="C708" s="491" t="s">
        <v>355</v>
      </c>
      <c r="D708" s="583"/>
      <c r="E708" s="708" t="str">
        <f>'FR-16(7)(v)-1 Functional'!E708</f>
        <v>K201</v>
      </c>
      <c r="F708" s="643">
        <v>1</v>
      </c>
      <c r="G708" s="677">
        <f>ROUND(G707/(G707+H707+I707),5)</f>
        <v>1</v>
      </c>
      <c r="H708" s="678">
        <f>ROUND(H707/(G707+H707+I707),5)</f>
        <v>0</v>
      </c>
      <c r="I708" s="679">
        <f>ROUND(I707/(G707+H707+I707),5)</f>
        <v>0</v>
      </c>
      <c r="J708" s="733">
        <f t="shared" ref="J708:J742" si="167">SUM(G708:I708)</f>
        <v>1</v>
      </c>
      <c r="K708" s="731">
        <f t="shared" ref="K708:K742" si="168">F708-J708</f>
        <v>0</v>
      </c>
      <c r="O708" s="749">
        <f>SUM(G708:I708)</f>
        <v>1</v>
      </c>
    </row>
    <row r="709" spans="1:15" ht="13">
      <c r="A709" s="342">
        <v>4</v>
      </c>
      <c r="C709" s="592" t="s">
        <v>855</v>
      </c>
      <c r="D709" s="717" t="s">
        <v>1002</v>
      </c>
      <c r="E709" s="723"/>
      <c r="F709" s="598">
        <v>100</v>
      </c>
      <c r="G709" s="677">
        <f>ROUND('Alloc Factors Summary'!$D$21*100,3)</f>
        <v>51.036000000000001</v>
      </c>
      <c r="H709" s="675">
        <v>0</v>
      </c>
      <c r="I709" s="676">
        <v>0</v>
      </c>
      <c r="J709" s="734">
        <f t="shared" si="167"/>
        <v>51.036000000000001</v>
      </c>
      <c r="K709" s="737">
        <f t="shared" si="168"/>
        <v>48.963999999999999</v>
      </c>
      <c r="O709" s="748"/>
    </row>
    <row r="710" spans="1:15" ht="13">
      <c r="A710" s="342">
        <v>5</v>
      </c>
      <c r="B710" s="195"/>
      <c r="C710" s="491" t="s">
        <v>355</v>
      </c>
      <c r="D710" s="583"/>
      <c r="E710" s="708" t="str">
        <f>'FR-16(7)(v)-1 Functional'!E710</f>
        <v>K203</v>
      </c>
      <c r="F710" s="643">
        <v>1</v>
      </c>
      <c r="G710" s="677">
        <f>ROUND(G709/(G709+H709+I709),5)</f>
        <v>1</v>
      </c>
      <c r="H710" s="678">
        <f>ROUND(H709/(G709+H709+I709),5)</f>
        <v>0</v>
      </c>
      <c r="I710" s="679">
        <f>ROUND(I709/(G709+H709+I709),5)</f>
        <v>0</v>
      </c>
      <c r="J710" s="733">
        <f t="shared" si="167"/>
        <v>1</v>
      </c>
      <c r="K710" s="731">
        <f t="shared" si="168"/>
        <v>0</v>
      </c>
      <c r="O710" s="749">
        <f>SUM(G710:I710)</f>
        <v>1</v>
      </c>
    </row>
    <row r="711" spans="1:15" ht="13">
      <c r="A711" s="342">
        <v>6</v>
      </c>
      <c r="C711" s="592" t="s">
        <v>856</v>
      </c>
      <c r="D711" s="717" t="s">
        <v>1002</v>
      </c>
      <c r="E711" s="723"/>
      <c r="F711" s="598">
        <v>100</v>
      </c>
      <c r="G711" s="677">
        <f>ROUND('Alloc Factors Summary'!$E21*100,3)</f>
        <v>53.421999999999997</v>
      </c>
      <c r="H711" s="675">
        <v>0</v>
      </c>
      <c r="I711" s="676">
        <v>0</v>
      </c>
      <c r="J711" s="734">
        <f t="shared" si="167"/>
        <v>53.421999999999997</v>
      </c>
      <c r="K711" s="737">
        <f t="shared" si="168"/>
        <v>46.578000000000003</v>
      </c>
      <c r="O711" s="748"/>
    </row>
    <row r="712" spans="1:15" ht="13">
      <c r="A712" s="342">
        <v>7</v>
      </c>
      <c r="B712" s="195"/>
      <c r="C712" s="491" t="s">
        <v>355</v>
      </c>
      <c r="D712" s="583"/>
      <c r="E712" s="708" t="str">
        <f>'FR-16(7)(v)-1 Functional'!E712</f>
        <v>K205</v>
      </c>
      <c r="F712" s="643">
        <v>1</v>
      </c>
      <c r="G712" s="677">
        <f>ROUND(G711/(G711+H711+I711),5)</f>
        <v>1</v>
      </c>
      <c r="H712" s="678">
        <f>ROUND(H711/(G711+H711+I711),5)</f>
        <v>0</v>
      </c>
      <c r="I712" s="679">
        <f>ROUND(I711/(G711+H711+I711),5)</f>
        <v>0</v>
      </c>
      <c r="J712" s="733">
        <f t="shared" si="167"/>
        <v>1</v>
      </c>
      <c r="K712" s="731">
        <f t="shared" si="168"/>
        <v>0</v>
      </c>
      <c r="O712" s="749">
        <f>SUM(G712:I712)</f>
        <v>1</v>
      </c>
    </row>
    <row r="713" spans="1:15" ht="13">
      <c r="A713" s="342">
        <v>8</v>
      </c>
      <c r="B713" s="195"/>
      <c r="C713" s="592" t="s">
        <v>405</v>
      </c>
      <c r="D713" s="717" t="s">
        <v>1002</v>
      </c>
      <c r="E713" s="723"/>
      <c r="F713" s="473">
        <f>'Alloc Factors Summary'!$D$34</f>
        <v>12746023</v>
      </c>
      <c r="G713" s="674">
        <f>'Alloc Factors Summary'!$D34</f>
        <v>12746023</v>
      </c>
      <c r="H713" s="675">
        <v>0</v>
      </c>
      <c r="I713" s="676">
        <v>0</v>
      </c>
      <c r="J713" s="732">
        <f t="shared" si="167"/>
        <v>12746023</v>
      </c>
      <c r="K713" s="495">
        <f t="shared" si="168"/>
        <v>0</v>
      </c>
      <c r="O713" s="747"/>
    </row>
    <row r="714" spans="1:15" ht="13">
      <c r="A714" s="342">
        <v>9</v>
      </c>
      <c r="B714" s="195"/>
      <c r="C714" s="491" t="s">
        <v>355</v>
      </c>
      <c r="D714" s="583"/>
      <c r="E714" s="708" t="str">
        <f>'FR-16(7)(v)-1 Functional'!E714</f>
        <v>K300</v>
      </c>
      <c r="F714" s="643">
        <v>1</v>
      </c>
      <c r="G714" s="677">
        <f>ROUND(G713/(G713+H713+I713),5)</f>
        <v>1</v>
      </c>
      <c r="H714" s="678">
        <f>ROUND(H713/(G713+H713+I713),5)</f>
        <v>0</v>
      </c>
      <c r="I714" s="679">
        <f>ROUND(I713/(G713+H713+I713),5)</f>
        <v>0</v>
      </c>
      <c r="J714" s="733">
        <f t="shared" si="167"/>
        <v>1</v>
      </c>
      <c r="K714" s="731">
        <f t="shared" si="168"/>
        <v>0</v>
      </c>
      <c r="O714" s="749">
        <f>SUM(G714:I714)</f>
        <v>1</v>
      </c>
    </row>
    <row r="715" spans="1:15" ht="13">
      <c r="A715" s="342">
        <v>10</v>
      </c>
      <c r="C715" s="592" t="s">
        <v>375</v>
      </c>
      <c r="D715" s="717" t="s">
        <v>1002</v>
      </c>
      <c r="E715" s="723"/>
      <c r="F715" s="473">
        <f>'Alloc Factors Summary'!$D$43</f>
        <v>8817610</v>
      </c>
      <c r="G715" s="674">
        <f>'Alloc Factors Summary'!$D$43</f>
        <v>8817610</v>
      </c>
      <c r="H715" s="675">
        <v>0</v>
      </c>
      <c r="I715" s="676">
        <v>0</v>
      </c>
      <c r="J715" s="732">
        <f t="shared" si="167"/>
        <v>8817610</v>
      </c>
      <c r="K715" s="495">
        <f t="shared" si="168"/>
        <v>0</v>
      </c>
      <c r="O715" s="748"/>
    </row>
    <row r="716" spans="1:15" ht="13">
      <c r="A716" s="342">
        <v>11</v>
      </c>
      <c r="B716" s="195"/>
      <c r="C716" s="491" t="s">
        <v>355</v>
      </c>
      <c r="D716" s="583"/>
      <c r="E716" s="708" t="str">
        <f>'FR-16(7)(v)-1 Functional'!E716</f>
        <v>K301</v>
      </c>
      <c r="F716" s="643">
        <v>1</v>
      </c>
      <c r="G716" s="677">
        <f>ROUND(G715/(G715+H715+I715),5)</f>
        <v>1</v>
      </c>
      <c r="H716" s="678">
        <f>ROUND(H715/(G715+H715+I715),5)</f>
        <v>0</v>
      </c>
      <c r="I716" s="679">
        <f>ROUND(I715/(G715+H715+I715),5)</f>
        <v>0</v>
      </c>
      <c r="J716" s="733">
        <f t="shared" si="167"/>
        <v>1</v>
      </c>
      <c r="K716" s="731">
        <f t="shared" si="168"/>
        <v>0</v>
      </c>
      <c r="O716" s="749">
        <f>SUM(G716:I716)</f>
        <v>1</v>
      </c>
    </row>
    <row r="717" spans="1:15" ht="13">
      <c r="A717" s="342">
        <v>12</v>
      </c>
      <c r="C717" s="592" t="s">
        <v>222</v>
      </c>
      <c r="D717" s="717" t="s">
        <v>1002</v>
      </c>
      <c r="E717" s="723"/>
      <c r="F717" s="473">
        <f>'Alloc Factors Summary'!$D$64</f>
        <v>101373</v>
      </c>
      <c r="G717" s="674">
        <f>'Alloc Factors Summary'!$D$64</f>
        <v>101373</v>
      </c>
      <c r="H717" s="675">
        <v>0</v>
      </c>
      <c r="I717" s="676">
        <v>0</v>
      </c>
      <c r="J717" s="734">
        <f t="shared" si="167"/>
        <v>101373</v>
      </c>
      <c r="K717" s="737">
        <f t="shared" si="168"/>
        <v>0</v>
      </c>
      <c r="O717" s="748"/>
    </row>
    <row r="718" spans="1:15" ht="13">
      <c r="A718" s="342">
        <v>13</v>
      </c>
      <c r="B718" s="195"/>
      <c r="C718" s="491" t="s">
        <v>355</v>
      </c>
      <c r="D718" s="583"/>
      <c r="E718" s="708" t="str">
        <f>'FR-16(7)(v)-1 Functional'!E718</f>
        <v>K401</v>
      </c>
      <c r="F718" s="643">
        <v>1</v>
      </c>
      <c r="G718" s="677">
        <f>ROUND(G717/(G717+H717+I717),5)</f>
        <v>1</v>
      </c>
      <c r="H718" s="678">
        <f>ROUND(H717/(G717+H717+I717),5)</f>
        <v>0</v>
      </c>
      <c r="I718" s="679">
        <f>ROUND(I717/(G717+H717+I717),5)</f>
        <v>0</v>
      </c>
      <c r="J718" s="733">
        <f t="shared" si="167"/>
        <v>1</v>
      </c>
      <c r="K718" s="731">
        <f t="shared" si="168"/>
        <v>0</v>
      </c>
      <c r="O718" s="749">
        <f>SUM(G718:I718)</f>
        <v>1</v>
      </c>
    </row>
    <row r="719" spans="1:15" ht="13">
      <c r="A719" s="342">
        <v>14</v>
      </c>
      <c r="C719" s="592" t="s">
        <v>223</v>
      </c>
      <c r="D719" s="717" t="s">
        <v>1002</v>
      </c>
      <c r="E719" s="723"/>
      <c r="F719" s="473">
        <f>'Alloc Factors Summary'!$F$76</f>
        <v>106848</v>
      </c>
      <c r="G719" s="674">
        <f>'Alloc Factors Summary'!$F$76</f>
        <v>106848</v>
      </c>
      <c r="H719" s="675">
        <v>0</v>
      </c>
      <c r="I719" s="676">
        <v>0</v>
      </c>
      <c r="J719" s="734">
        <f t="shared" si="167"/>
        <v>106848</v>
      </c>
      <c r="K719" s="737">
        <f t="shared" si="168"/>
        <v>0</v>
      </c>
      <c r="O719" s="748"/>
    </row>
    <row r="720" spans="1:15" ht="13">
      <c r="A720" s="342">
        <v>15</v>
      </c>
      <c r="B720" s="195"/>
      <c r="C720" s="491" t="s">
        <v>355</v>
      </c>
      <c r="D720" s="583"/>
      <c r="E720" s="708" t="str">
        <f>'FR-16(7)(v)-1 Functional'!E720</f>
        <v>K403</v>
      </c>
      <c r="F720" s="643">
        <v>1</v>
      </c>
      <c r="G720" s="677">
        <f>ROUND(G719/(G719+H719+I719),5)</f>
        <v>1</v>
      </c>
      <c r="H720" s="678">
        <f>ROUND(H719/(G719+H719+I719),5)</f>
        <v>0</v>
      </c>
      <c r="I720" s="679">
        <f>ROUND(I719/(G719+H719+I719),5)</f>
        <v>0</v>
      </c>
      <c r="J720" s="733">
        <f t="shared" si="167"/>
        <v>1</v>
      </c>
      <c r="K720" s="731">
        <f t="shared" si="168"/>
        <v>0</v>
      </c>
      <c r="O720" s="749">
        <f>SUM(G720:I720)</f>
        <v>1</v>
      </c>
    </row>
    <row r="721" spans="1:15" ht="13">
      <c r="A721" s="342">
        <v>16</v>
      </c>
      <c r="C721" s="592" t="s">
        <v>385</v>
      </c>
      <c r="D721" s="717" t="s">
        <v>1002</v>
      </c>
      <c r="E721" s="723"/>
      <c r="F721" s="473">
        <f>'Alloc Factors Summary'!$G$88</f>
        <v>2925179.9999999995</v>
      </c>
      <c r="G721" s="674">
        <f>'Alloc Factors Summary'!$G$88</f>
        <v>2925179.9999999995</v>
      </c>
      <c r="H721" s="675">
        <v>0</v>
      </c>
      <c r="I721" s="676">
        <v>0</v>
      </c>
      <c r="J721" s="734">
        <f t="shared" si="167"/>
        <v>2925179.9999999995</v>
      </c>
      <c r="K721" s="737">
        <f t="shared" si="168"/>
        <v>0</v>
      </c>
      <c r="O721" s="748"/>
    </row>
    <row r="722" spans="1:15" ht="13">
      <c r="A722" s="342">
        <v>17</v>
      </c>
      <c r="B722" s="195"/>
      <c r="C722" s="491" t="s">
        <v>355</v>
      </c>
      <c r="D722" s="583"/>
      <c r="E722" s="708" t="str">
        <f>'FR-16(7)(v)-1 Functional'!E722</f>
        <v>K405</v>
      </c>
      <c r="F722" s="643">
        <v>1</v>
      </c>
      <c r="G722" s="677">
        <f>ROUND(G721/(G721+H721+I721),5)</f>
        <v>1</v>
      </c>
      <c r="H722" s="678">
        <f>ROUND(H721/(G721+H721+I721),5)</f>
        <v>0</v>
      </c>
      <c r="I722" s="679">
        <f>ROUND(I721/(G721+H721+I721),5)</f>
        <v>0</v>
      </c>
      <c r="J722" s="733">
        <f t="shared" si="167"/>
        <v>1</v>
      </c>
      <c r="K722" s="731">
        <f t="shared" si="168"/>
        <v>0</v>
      </c>
      <c r="O722" s="749">
        <f>SUM(G722:I722)</f>
        <v>1</v>
      </c>
    </row>
    <row r="723" spans="1:15" ht="13">
      <c r="A723" s="342">
        <v>18</v>
      </c>
      <c r="C723" s="592" t="s">
        <v>373</v>
      </c>
      <c r="D723" s="717" t="s">
        <v>1002</v>
      </c>
      <c r="E723" s="723"/>
      <c r="F723" s="473">
        <f>'Alloc Factors Summary'!$D$98</f>
        <v>6856</v>
      </c>
      <c r="G723" s="674">
        <f>'Alloc Factors Summary'!$D$98</f>
        <v>6856</v>
      </c>
      <c r="H723" s="675">
        <v>0</v>
      </c>
      <c r="I723" s="676">
        <v>0</v>
      </c>
      <c r="J723" s="734">
        <f t="shared" si="167"/>
        <v>6856</v>
      </c>
      <c r="K723" s="737">
        <f t="shared" si="168"/>
        <v>0</v>
      </c>
      <c r="O723" s="748"/>
    </row>
    <row r="724" spans="1:15" ht="13">
      <c r="A724" s="342">
        <v>19</v>
      </c>
      <c r="B724" s="195"/>
      <c r="C724" s="491" t="s">
        <v>355</v>
      </c>
      <c r="D724" s="583"/>
      <c r="E724" s="708" t="str">
        <f>'FR-16(7)(v)-1 Functional'!E724</f>
        <v>K406</v>
      </c>
      <c r="F724" s="643">
        <v>1</v>
      </c>
      <c r="G724" s="677">
        <f>ROUND(G723/(G723+H723+I723),5)</f>
        <v>1</v>
      </c>
      <c r="H724" s="678">
        <f>ROUND(H723/(G723+H723+I723),5)</f>
        <v>0</v>
      </c>
      <c r="I724" s="679">
        <f>ROUND(I723/(G723+H723+I723),5)</f>
        <v>0</v>
      </c>
      <c r="J724" s="733">
        <f t="shared" si="167"/>
        <v>1</v>
      </c>
      <c r="K724" s="731">
        <f t="shared" si="168"/>
        <v>0</v>
      </c>
      <c r="O724" s="749">
        <f>SUM(G724:I724)</f>
        <v>1</v>
      </c>
    </row>
    <row r="725" spans="1:15" ht="13">
      <c r="A725" s="342">
        <v>20</v>
      </c>
      <c r="C725" s="592" t="s">
        <v>1025</v>
      </c>
      <c r="D725" s="717" t="s">
        <v>1002</v>
      </c>
      <c r="E725" s="723"/>
      <c r="F725" s="473">
        <f>'Alloc Factors Summary'!$G$108</f>
        <v>108184.00000000001</v>
      </c>
      <c r="G725" s="674">
        <f>'Alloc Factors Summary'!$G$108</f>
        <v>108184.00000000001</v>
      </c>
      <c r="H725" s="675">
        <v>0</v>
      </c>
      <c r="I725" s="676">
        <v>0</v>
      </c>
      <c r="J725" s="734">
        <f t="shared" si="167"/>
        <v>108184.00000000001</v>
      </c>
      <c r="K725" s="737">
        <f t="shared" si="168"/>
        <v>0</v>
      </c>
      <c r="O725" s="748"/>
    </row>
    <row r="726" spans="1:15" ht="13">
      <c r="A726" s="342">
        <v>21</v>
      </c>
      <c r="B726" s="195"/>
      <c r="C726" s="491" t="s">
        <v>355</v>
      </c>
      <c r="D726" s="583"/>
      <c r="E726" s="708" t="str">
        <f>'FR-16(7)(v)-1 Functional'!E726</f>
        <v>K407</v>
      </c>
      <c r="F726" s="643">
        <v>1</v>
      </c>
      <c r="G726" s="677">
        <f>ROUND(G725/(G725+H725+I725),5)</f>
        <v>1</v>
      </c>
      <c r="H726" s="678">
        <f>ROUND(H725/(G725+H725+I725),5)</f>
        <v>0</v>
      </c>
      <c r="I726" s="679">
        <f>ROUND(I725/(G725+H725+I725),5)</f>
        <v>0</v>
      </c>
      <c r="J726" s="733">
        <f t="shared" si="167"/>
        <v>1</v>
      </c>
      <c r="K726" s="731">
        <f t="shared" si="168"/>
        <v>0</v>
      </c>
      <c r="O726" s="749">
        <f>SUM(G726:I726)</f>
        <v>1</v>
      </c>
    </row>
    <row r="727" spans="1:15" ht="13">
      <c r="A727" s="342">
        <v>22</v>
      </c>
      <c r="C727" s="592" t="s">
        <v>1026</v>
      </c>
      <c r="D727" s="717" t="s">
        <v>1002</v>
      </c>
      <c r="E727" s="723"/>
      <c r="F727" s="473">
        <f>'Alloc Factors Summary'!$F$118</f>
        <v>2602</v>
      </c>
      <c r="G727" s="674">
        <f>'Alloc Factors Summary'!$F$118</f>
        <v>2602</v>
      </c>
      <c r="H727" s="675">
        <v>0</v>
      </c>
      <c r="I727" s="676">
        <v>0</v>
      </c>
      <c r="J727" s="734">
        <f t="shared" si="167"/>
        <v>2602</v>
      </c>
      <c r="K727" s="737">
        <f t="shared" si="168"/>
        <v>0</v>
      </c>
      <c r="O727" s="748"/>
    </row>
    <row r="728" spans="1:15" ht="13">
      <c r="A728" s="342">
        <v>23</v>
      </c>
      <c r="B728" s="195"/>
      <c r="C728" s="491" t="s">
        <v>355</v>
      </c>
      <c r="D728" s="583"/>
      <c r="E728" s="708" t="str">
        <f>'FR-16(7)(v)-1 Functional'!E728</f>
        <v>K408</v>
      </c>
      <c r="F728" s="643">
        <v>1</v>
      </c>
      <c r="G728" s="677">
        <f>ROUND(G727/(G727+H727+I727),5)</f>
        <v>1</v>
      </c>
      <c r="H728" s="678">
        <f>ROUND(H727/(G727+H727+I727),5)</f>
        <v>0</v>
      </c>
      <c r="I728" s="679">
        <f>ROUND(I727/(G727+H727+I727),5)</f>
        <v>0</v>
      </c>
      <c r="J728" s="733">
        <f t="shared" si="167"/>
        <v>1</v>
      </c>
      <c r="K728" s="731">
        <f t="shared" si="168"/>
        <v>0</v>
      </c>
      <c r="O728" s="749">
        <f>SUM(G728:I728)</f>
        <v>1</v>
      </c>
    </row>
    <row r="729" spans="1:15" ht="13">
      <c r="A729" s="342">
        <v>24</v>
      </c>
      <c r="C729" s="592" t="s">
        <v>224</v>
      </c>
      <c r="D729" s="717" t="s">
        <v>1002</v>
      </c>
      <c r="E729" s="723"/>
      <c r="F729" s="473">
        <f>'Alloc Factors Summary'!$D$141</f>
        <v>8662854</v>
      </c>
      <c r="G729" s="674">
        <f>'Alloc Factors Summary'!$D$141</f>
        <v>8662854</v>
      </c>
      <c r="H729" s="675">
        <v>0</v>
      </c>
      <c r="I729" s="676">
        <v>0</v>
      </c>
      <c r="J729" s="734">
        <f t="shared" si="167"/>
        <v>8662854</v>
      </c>
      <c r="K729" s="737">
        <f t="shared" si="168"/>
        <v>0</v>
      </c>
      <c r="O729" s="748"/>
    </row>
    <row r="730" spans="1:15" ht="13">
      <c r="A730" s="342">
        <v>25</v>
      </c>
      <c r="B730" s="195"/>
      <c r="C730" s="491" t="s">
        <v>355</v>
      </c>
      <c r="D730" s="583"/>
      <c r="E730" s="708" t="str">
        <f>'FR-16(7)(v)-1 Functional'!E730</f>
        <v>K413</v>
      </c>
      <c r="F730" s="643">
        <v>1</v>
      </c>
      <c r="G730" s="677">
        <f>ROUND(G729/(G729+H729+I729),5)</f>
        <v>1</v>
      </c>
      <c r="H730" s="678">
        <f>ROUND(H729/(G729+H729+I729),5)</f>
        <v>0</v>
      </c>
      <c r="I730" s="679">
        <f>ROUND(I729/(G729+H729+I729),5)</f>
        <v>0</v>
      </c>
      <c r="J730" s="733">
        <f t="shared" si="167"/>
        <v>1</v>
      </c>
      <c r="K730" s="731">
        <f t="shared" si="168"/>
        <v>0</v>
      </c>
      <c r="O730" s="749">
        <f>SUM(G730:I730)</f>
        <v>1</v>
      </c>
    </row>
    <row r="731" spans="1:15" ht="13">
      <c r="A731" s="342">
        <v>26</v>
      </c>
      <c r="C731" s="663" t="s">
        <v>1004</v>
      </c>
      <c r="D731" s="717" t="s">
        <v>1002</v>
      </c>
      <c r="E731" s="723"/>
      <c r="F731" s="473">
        <f>ROUND('Alloc Factors Summary'!$H$171*100,0)</f>
        <v>100</v>
      </c>
      <c r="G731" s="674">
        <f>ROUND('Alloc Factors Summary'!$H$171*100,0)</f>
        <v>100</v>
      </c>
      <c r="H731" s="675">
        <v>0</v>
      </c>
      <c r="I731" s="676">
        <v>0</v>
      </c>
      <c r="J731" s="734">
        <f t="shared" si="167"/>
        <v>100</v>
      </c>
      <c r="K731" s="737">
        <f t="shared" si="168"/>
        <v>0</v>
      </c>
      <c r="O731" s="748"/>
    </row>
    <row r="732" spans="1:15" ht="13">
      <c r="A732" s="342">
        <v>27</v>
      </c>
      <c r="B732" s="195"/>
      <c r="C732" s="491" t="s">
        <v>355</v>
      </c>
      <c r="D732" s="583"/>
      <c r="E732" s="708" t="str">
        <f>'FR-16(7)(v)-1 Functional'!E732</f>
        <v>K415</v>
      </c>
      <c r="F732" s="643">
        <v>1</v>
      </c>
      <c r="G732" s="677">
        <f>ROUND(G731/(G731+H731+I731),5)</f>
        <v>1</v>
      </c>
      <c r="H732" s="678">
        <f>ROUND(H731/(G731+H731+I731),5)</f>
        <v>0</v>
      </c>
      <c r="I732" s="679">
        <f>ROUND(I731/(G731+H731+I731),5)</f>
        <v>0</v>
      </c>
      <c r="J732" s="733">
        <f t="shared" si="167"/>
        <v>1</v>
      </c>
      <c r="K732" s="731">
        <f t="shared" si="168"/>
        <v>0</v>
      </c>
      <c r="O732" s="749">
        <f>SUM(G732:I732)</f>
        <v>1</v>
      </c>
    </row>
    <row r="733" spans="1:15" ht="13">
      <c r="A733" s="342">
        <v>28</v>
      </c>
      <c r="C733" s="592" t="s">
        <v>376</v>
      </c>
      <c r="D733" s="717" t="s">
        <v>1002</v>
      </c>
      <c r="E733" s="723"/>
      <c r="F733" s="473">
        <f>'Alloc Factors Summary'!$D$151</f>
        <v>151324</v>
      </c>
      <c r="G733" s="674">
        <f>'Alloc Factors Summary'!$D$151</f>
        <v>151324</v>
      </c>
      <c r="H733" s="675">
        <v>0</v>
      </c>
      <c r="I733" s="676">
        <v>0</v>
      </c>
      <c r="J733" s="734">
        <f t="shared" si="167"/>
        <v>151324</v>
      </c>
      <c r="K733" s="737">
        <f t="shared" si="168"/>
        <v>0</v>
      </c>
      <c r="O733" s="748"/>
    </row>
    <row r="734" spans="1:15" ht="13">
      <c r="A734" s="342">
        <v>29</v>
      </c>
      <c r="B734" s="195"/>
      <c r="C734" s="491" t="s">
        <v>355</v>
      </c>
      <c r="D734" s="583"/>
      <c r="E734" s="708" t="str">
        <f>'FR-16(7)(v)-1 Functional'!E734</f>
        <v>K417</v>
      </c>
      <c r="F734" s="643">
        <v>1</v>
      </c>
      <c r="G734" s="677">
        <f>ROUND(G733/(G733+H733+I733),5)</f>
        <v>1</v>
      </c>
      <c r="H734" s="678">
        <f>ROUND(H733/(G733+H733+I733),5)</f>
        <v>0</v>
      </c>
      <c r="I734" s="679">
        <f>ROUND(I733/(G733+H733+I733),5)</f>
        <v>0</v>
      </c>
      <c r="J734" s="733">
        <f t="shared" si="167"/>
        <v>1</v>
      </c>
      <c r="K734" s="731">
        <f t="shared" si="168"/>
        <v>0</v>
      </c>
      <c r="O734" s="749">
        <f>SUM(G734:I734)</f>
        <v>1</v>
      </c>
    </row>
    <row r="735" spans="1:15" ht="13">
      <c r="A735" s="342">
        <v>30</v>
      </c>
      <c r="B735" s="485"/>
      <c r="C735" s="592" t="s">
        <v>226</v>
      </c>
      <c r="D735" s="717" t="s">
        <v>1002</v>
      </c>
      <c r="E735" s="739"/>
      <c r="F735" s="347">
        <f>'Alloc Factors Summary'!$D$62+'Alloc Factors Summary'!$D$63</f>
        <v>128</v>
      </c>
      <c r="G735" s="680">
        <f>F735</f>
        <v>128</v>
      </c>
      <c r="H735" s="675">
        <v>0</v>
      </c>
      <c r="I735" s="676">
        <v>0</v>
      </c>
      <c r="J735" s="734">
        <f t="shared" si="167"/>
        <v>128</v>
      </c>
      <c r="K735" s="737">
        <f t="shared" si="168"/>
        <v>0</v>
      </c>
      <c r="O735" s="750"/>
    </row>
    <row r="736" spans="1:15" ht="13">
      <c r="A736" s="342">
        <v>31</v>
      </c>
      <c r="B736" s="195"/>
      <c r="C736" s="491" t="str">
        <f>C734</f>
        <v>RATIO TO TOTAL GAS</v>
      </c>
      <c r="D736" s="583"/>
      <c r="E736" s="708" t="str">
        <f>'FR-16(7)(v)-1 Functional'!E736</f>
        <v>K431</v>
      </c>
      <c r="F736" s="348">
        <v>1</v>
      </c>
      <c r="G736" s="677">
        <f>ROUND(G735/(G735+H735+I735),5)</f>
        <v>1</v>
      </c>
      <c r="H736" s="678">
        <f>ROUND(H735/(G735+H735+I735),5)</f>
        <v>0</v>
      </c>
      <c r="I736" s="679">
        <f>ROUND(I735/(G735+H735+I735),5)</f>
        <v>0</v>
      </c>
      <c r="J736" s="733">
        <f t="shared" si="167"/>
        <v>1</v>
      </c>
      <c r="K736" s="731">
        <f t="shared" si="168"/>
        <v>0</v>
      </c>
      <c r="O736" s="749">
        <f>SUM(G736:I736)</f>
        <v>1</v>
      </c>
    </row>
    <row r="737" spans="1:15" ht="13">
      <c r="A737" s="342">
        <v>32</v>
      </c>
      <c r="C737" s="602" t="s">
        <v>406</v>
      </c>
      <c r="D737" s="717" t="s">
        <v>1002</v>
      </c>
      <c r="E737" s="723"/>
      <c r="F737" s="473">
        <f>'Alloc Factors Summary'!$D$159</f>
        <v>3928413</v>
      </c>
      <c r="G737" s="680">
        <v>0</v>
      </c>
      <c r="H737" s="681">
        <f>'Alloc Factors Summary'!$D$159</f>
        <v>3928413</v>
      </c>
      <c r="I737" s="676">
        <v>0</v>
      </c>
      <c r="J737" s="734">
        <f t="shared" si="167"/>
        <v>3928413</v>
      </c>
      <c r="K737" s="737">
        <f t="shared" si="168"/>
        <v>0</v>
      </c>
      <c r="O737" s="751"/>
    </row>
    <row r="738" spans="1:15" ht="13">
      <c r="A738" s="342">
        <v>33</v>
      </c>
      <c r="B738" s="195"/>
      <c r="C738" s="491" t="s">
        <v>355</v>
      </c>
      <c r="D738" s="583"/>
      <c r="E738" s="708" t="str">
        <f>'FR-16(7)(v)-1 Functional'!E738</f>
        <v>K595</v>
      </c>
      <c r="F738" s="643">
        <v>1</v>
      </c>
      <c r="G738" s="677">
        <f>ROUND(G737/(G737+H737+I737),5)</f>
        <v>0</v>
      </c>
      <c r="H738" s="678">
        <f>ROUND(H737/(G737+H737+I737),5)</f>
        <v>1</v>
      </c>
      <c r="I738" s="679">
        <f>ROUND(I737/(G737+H737+I737),5)</f>
        <v>0</v>
      </c>
      <c r="J738" s="733">
        <f t="shared" si="167"/>
        <v>1</v>
      </c>
      <c r="K738" s="731">
        <f t="shared" si="168"/>
        <v>0</v>
      </c>
      <c r="O738" s="749">
        <f>SUM(G738:I738)</f>
        <v>1</v>
      </c>
    </row>
    <row r="739" spans="1:15" ht="13">
      <c r="A739" s="342">
        <v>34</v>
      </c>
      <c r="B739" s="593"/>
      <c r="C739" s="592" t="s">
        <v>225</v>
      </c>
      <c r="D739" s="717" t="s">
        <v>1002</v>
      </c>
      <c r="E739" s="723"/>
      <c r="F739" s="470">
        <v>1</v>
      </c>
      <c r="G739" s="683">
        <v>1</v>
      </c>
      <c r="H739" s="675">
        <v>0</v>
      </c>
      <c r="I739" s="676">
        <v>0</v>
      </c>
      <c r="J739" s="734">
        <f t="shared" si="167"/>
        <v>1</v>
      </c>
      <c r="K739" s="737">
        <f t="shared" si="168"/>
        <v>0</v>
      </c>
      <c r="O739" s="751"/>
    </row>
    <row r="740" spans="1:15" ht="13">
      <c r="A740" s="342">
        <v>35</v>
      </c>
      <c r="B740" s="195"/>
      <c r="C740" s="491" t="s">
        <v>355</v>
      </c>
      <c r="D740" s="583"/>
      <c r="E740" s="708" t="str">
        <f>'FR-16(7)(v)-1 Functional'!E740</f>
        <v>K597</v>
      </c>
      <c r="F740" s="643">
        <v>1</v>
      </c>
      <c r="G740" s="677">
        <f>ROUND(G739/(G739+H739+I739),5)</f>
        <v>1</v>
      </c>
      <c r="H740" s="678">
        <f>ROUND(H739/(G739+H739+I739),5)</f>
        <v>0</v>
      </c>
      <c r="I740" s="679">
        <f>ROUND(I739/(G739+H739+I739),5)</f>
        <v>0</v>
      </c>
      <c r="J740" s="733">
        <f t="shared" si="167"/>
        <v>1</v>
      </c>
      <c r="K740" s="731">
        <f t="shared" si="168"/>
        <v>0</v>
      </c>
      <c r="O740" s="749">
        <f>SUM(G740:I740)</f>
        <v>1</v>
      </c>
    </row>
    <row r="741" spans="1:15" ht="13">
      <c r="A741" s="342">
        <v>36</v>
      </c>
      <c r="C741" s="592" t="s">
        <v>431</v>
      </c>
      <c r="D741" s="621"/>
      <c r="E741" s="740"/>
      <c r="F741" s="488">
        <v>1</v>
      </c>
      <c r="G741" s="683">
        <v>1</v>
      </c>
      <c r="H741" s="675">
        <v>0</v>
      </c>
      <c r="I741" s="676">
        <v>0</v>
      </c>
      <c r="J741" s="734">
        <f t="shared" si="167"/>
        <v>1</v>
      </c>
      <c r="K741" s="737">
        <f t="shared" si="168"/>
        <v>0</v>
      </c>
      <c r="O741" s="748"/>
    </row>
    <row r="742" spans="1:15" ht="13">
      <c r="A742" s="342">
        <v>37</v>
      </c>
      <c r="C742" s="491" t="s">
        <v>355</v>
      </c>
      <c r="D742" s="583"/>
      <c r="E742" s="708" t="str">
        <f>'FR-16(7)(v)-1 Functional'!E742</f>
        <v>K903</v>
      </c>
      <c r="F742" s="642">
        <v>1</v>
      </c>
      <c r="G742" s="677">
        <f>ROUND(G741/(G741+H741+I741),5)</f>
        <v>1</v>
      </c>
      <c r="H742" s="678">
        <f>ROUND(H741/(G741+H741+I741),5)</f>
        <v>0</v>
      </c>
      <c r="I742" s="679">
        <f>ROUND(I741/(G741+H741+I741),5)</f>
        <v>0</v>
      </c>
      <c r="J742" s="733">
        <f t="shared" si="167"/>
        <v>1</v>
      </c>
      <c r="K742" s="731">
        <f t="shared" si="168"/>
        <v>0</v>
      </c>
      <c r="O742" s="749">
        <f>SUM(G742:I742)</f>
        <v>1</v>
      </c>
    </row>
    <row r="743" spans="1:15" ht="13">
      <c r="A743" s="342">
        <v>38</v>
      </c>
      <c r="B743" s="363"/>
      <c r="C743" s="363"/>
      <c r="D743" s="718"/>
      <c r="E743" s="331"/>
      <c r="G743" s="684"/>
      <c r="H743" s="685"/>
      <c r="I743" s="686"/>
      <c r="J743" s="735"/>
      <c r="K743" s="526"/>
      <c r="O743" s="752"/>
    </row>
    <row r="744" spans="1:15" ht="13">
      <c r="A744" s="342">
        <v>39</v>
      </c>
      <c r="C744" s="592" t="s">
        <v>996</v>
      </c>
      <c r="D744" s="342" t="str">
        <f>'FR-16(7)(v)-1 Functional'!D744</f>
        <v>CS09</v>
      </c>
      <c r="E744" s="708" t="str">
        <f>'FR-16(7)(v)-1 Functional'!E744</f>
        <v>R600</v>
      </c>
      <c r="F744" s="473">
        <f>'FR-16(7)(v)-1 Functional'!H744</f>
        <v>0</v>
      </c>
      <c r="G744" s="690" t="e">
        <f ca="1">ROUND(F744*VLOOKUP(D744,AllocTable_Classified_Storage,$G$10,FALSE),0)</f>
        <v>#N/A</v>
      </c>
      <c r="H744" s="691" t="e">
        <f ca="1">ROUND(F744*VLOOKUP(D744,AllocTable_Classified_Storage,$H$10,FALSE),0)</f>
        <v>#N/A</v>
      </c>
      <c r="I744" s="692" t="e">
        <f ca="1">ROUND(F744*VLOOKUP(D744,AllocTable_Classified_Storage,$I$10,FALSE),0)</f>
        <v>#N/A</v>
      </c>
      <c r="J744" s="736" t="e">
        <f ca="1">SUM(G744:I744)</f>
        <v>#N/A</v>
      </c>
      <c r="K744" s="664" t="e">
        <f ca="1">F744-J744</f>
        <v>#N/A</v>
      </c>
      <c r="M744" s="653" t="s">
        <v>1182</v>
      </c>
      <c r="O744" s="748"/>
    </row>
    <row r="745" spans="1:15" ht="13">
      <c r="A745" s="342">
        <v>40</v>
      </c>
      <c r="C745" s="592" t="s">
        <v>997</v>
      </c>
      <c r="D745" s="342" t="str">
        <f>'FR-16(7)(v)-1 Functional'!D745</f>
        <v>CS09</v>
      </c>
      <c r="E745" s="708" t="str">
        <f>'FR-16(7)(v)-1 Functional'!E745</f>
        <v>R602</v>
      </c>
      <c r="F745" s="473">
        <f>'FR-16(7)(v)-1 Functional'!H745</f>
        <v>0</v>
      </c>
      <c r="G745" s="693" t="e">
        <f ca="1">ROUND(F745*VLOOKUP(D745,AllocTable_Classified_Storage,$G$10,FALSE),0)</f>
        <v>#N/A</v>
      </c>
      <c r="H745" s="694" t="e">
        <f ca="1">ROUND(F745*VLOOKUP(D745,AllocTable_Classified_Storage,$H$10,FALSE),0)</f>
        <v>#N/A</v>
      </c>
      <c r="I745" s="695" t="e">
        <f ca="1">ROUND(F745*VLOOKUP(D745,AllocTable_Classified_Storage,$I$10,FALSE),0)</f>
        <v>#N/A</v>
      </c>
      <c r="J745" s="736" t="e">
        <f ca="1">SUM(G745:I745)</f>
        <v>#N/A</v>
      </c>
      <c r="K745" s="664" t="e">
        <f ca="1">F745-J745</f>
        <v>#N/A</v>
      </c>
      <c r="M745" s="653" t="s">
        <v>1183</v>
      </c>
      <c r="O745" s="749"/>
    </row>
    <row r="746" spans="1:15" ht="13">
      <c r="E746" s="331"/>
      <c r="O746" s="749"/>
    </row>
    <row r="747" spans="1:15" ht="13">
      <c r="A747" s="341" t="str">
        <f>co_name</f>
        <v>DUKE ENERGY KENTUCKY, INC.</v>
      </c>
      <c r="C747" s="195"/>
      <c r="D747" s="342"/>
      <c r="E747" s="195"/>
      <c r="F747" s="195"/>
      <c r="G747" s="195"/>
      <c r="H747" s="195"/>
      <c r="I747" s="195"/>
      <c r="J747" s="195" t="str">
        <f>$J$1</f>
        <v>FR-16(7)(v)-7</v>
      </c>
      <c r="K747" s="195"/>
      <c r="O747" s="748"/>
    </row>
    <row r="748" spans="1:15" ht="13">
      <c r="A748" s="341" t="str">
        <f>$A$2</f>
        <v>STORAGE CLASSIFIED -  GAS COST OF SERVICE</v>
      </c>
      <c r="C748" s="195"/>
      <c r="D748" s="342"/>
      <c r="E748" s="195"/>
      <c r="F748" s="195"/>
      <c r="G748" s="195"/>
      <c r="H748" s="195"/>
      <c r="I748" s="195"/>
      <c r="J748" s="195" t="str">
        <f>$J$2</f>
        <v>WITNESS RESPONSIBLE:</v>
      </c>
      <c r="K748" s="195"/>
      <c r="O748" s="748"/>
    </row>
    <row r="749" spans="1:15" ht="13">
      <c r="A749" s="341" t="str">
        <f>case_name</f>
        <v>CASE NO: 2021-00190</v>
      </c>
      <c r="C749" s="195"/>
      <c r="D749" s="342"/>
      <c r="E749" s="195"/>
      <c r="F749" s="195"/>
      <c r="G749" s="195"/>
      <c r="H749" s="195"/>
      <c r="I749" s="195"/>
      <c r="J749" s="195" t="str">
        <f>Witness</f>
        <v>JAMES E. ZIOLKOWSKI</v>
      </c>
      <c r="K749" s="195"/>
      <c r="O749" s="748"/>
    </row>
    <row r="750" spans="1:15" ht="13">
      <c r="A750" s="341" t="str">
        <f>data_filing</f>
        <v>DATA: 12 MONTH FORECASTED PERIOD</v>
      </c>
      <c r="C750" s="195"/>
      <c r="D750" s="342"/>
      <c r="E750" s="195"/>
      <c r="F750" s="195"/>
      <c r="G750" s="195"/>
      <c r="H750" s="195"/>
      <c r="I750" s="195"/>
      <c r="J750" s="195" t="str">
        <f>"PAGE "&amp;Pages-1&amp;" OF "&amp;Pages</f>
        <v>PAGE 17 OF 18</v>
      </c>
      <c r="K750" s="195"/>
      <c r="O750" s="748"/>
    </row>
    <row r="751" spans="1:15" ht="13">
      <c r="A751" s="341" t="str">
        <f>type</f>
        <v xml:space="preserve">TYPE OF FILING: "X" ORIGINAL   UPDATED    REVISED  </v>
      </c>
      <c r="C751" s="195"/>
      <c r="D751" s="342"/>
      <c r="E751" s="195"/>
      <c r="F751" s="195"/>
      <c r="G751" s="195"/>
      <c r="H751" s="195"/>
      <c r="I751" s="195"/>
      <c r="J751" s="195"/>
      <c r="K751" s="195"/>
      <c r="O751" s="748"/>
    </row>
    <row r="752" spans="1:15" ht="13">
      <c r="B752" s="195"/>
      <c r="E752" s="331"/>
      <c r="G752" s="541"/>
      <c r="H752" s="531"/>
      <c r="I752" s="532"/>
      <c r="O752" s="748"/>
    </row>
    <row r="753" spans="1:15" ht="13">
      <c r="B753" s="195"/>
      <c r="E753" s="331"/>
      <c r="G753" s="541"/>
      <c r="H753" s="531"/>
      <c r="I753" s="532"/>
      <c r="O753" s="748"/>
    </row>
    <row r="754" spans="1:15" ht="13">
      <c r="A754" s="342" t="s">
        <v>907</v>
      </c>
      <c r="B754" s="195"/>
      <c r="C754" s="195"/>
      <c r="D754" s="342"/>
      <c r="E754" s="342"/>
      <c r="F754" s="342" t="str">
        <f>$F$8</f>
        <v>TOTAL</v>
      </c>
      <c r="G754" s="651" t="s">
        <v>995</v>
      </c>
      <c r="H754" s="647"/>
      <c r="I754" s="648"/>
      <c r="J754" s="342" t="s">
        <v>229</v>
      </c>
      <c r="K754" s="342" t="s">
        <v>342</v>
      </c>
      <c r="O754" s="747"/>
    </row>
    <row r="755" spans="1:15" ht="13">
      <c r="A755" s="344" t="s">
        <v>908</v>
      </c>
      <c r="B755" s="584" t="s">
        <v>89</v>
      </c>
      <c r="C755" s="343"/>
      <c r="D755" s="585" t="s">
        <v>1001</v>
      </c>
      <c r="E755" s="585" t="s">
        <v>337</v>
      </c>
      <c r="F755" s="344" t="str">
        <f>$F$9</f>
        <v>STORAGE</v>
      </c>
      <c r="G755" s="652" t="s">
        <v>840</v>
      </c>
      <c r="H755" s="649" t="s">
        <v>841</v>
      </c>
      <c r="I755" s="650" t="s">
        <v>842</v>
      </c>
      <c r="J755" s="344" t="s">
        <v>341</v>
      </c>
      <c r="K755" s="344" t="s">
        <v>340</v>
      </c>
      <c r="O755" s="747"/>
    </row>
    <row r="756" spans="1:15" ht="13">
      <c r="C756" s="839" t="s">
        <v>559</v>
      </c>
      <c r="E756" s="627">
        <v>1</v>
      </c>
      <c r="F756" s="627">
        <v>2</v>
      </c>
      <c r="G756" s="793">
        <f>$G$10</f>
        <v>3</v>
      </c>
      <c r="H756" s="794">
        <f>$H$10</f>
        <v>4</v>
      </c>
      <c r="I756" s="795">
        <f>$I$10</f>
        <v>5</v>
      </c>
      <c r="O756" s="748"/>
    </row>
    <row r="757" spans="1:15" ht="13">
      <c r="A757" s="342">
        <v>1</v>
      </c>
      <c r="B757" s="599"/>
      <c r="C757" s="654" t="s">
        <v>1012</v>
      </c>
      <c r="D757" s="719" t="s">
        <v>1003</v>
      </c>
      <c r="E757" s="710"/>
      <c r="F757" s="345">
        <f>F771</f>
        <v>448302289</v>
      </c>
      <c r="G757" s="690">
        <f>G771</f>
        <v>0</v>
      </c>
      <c r="H757" s="691">
        <f>H771</f>
        <v>0</v>
      </c>
      <c r="I757" s="692">
        <f>I771</f>
        <v>0</v>
      </c>
      <c r="J757" s="736">
        <f t="shared" ref="J757:J762" si="169">SUM(G757:I757)</f>
        <v>0</v>
      </c>
      <c r="K757" s="664">
        <f t="shared" ref="K757:K762" si="170">F757-J757</f>
        <v>448302289</v>
      </c>
      <c r="O757" s="751"/>
    </row>
    <row r="758" spans="1:15" ht="13">
      <c r="A758" s="342">
        <v>2</v>
      </c>
      <c r="B758" s="195"/>
      <c r="C758" s="491" t="s">
        <v>355</v>
      </c>
      <c r="D758" s="583"/>
      <c r="E758" s="708" t="str">
        <f>'FR-16(7)(v)-1 Functional'!E758</f>
        <v>K667</v>
      </c>
      <c r="F758" s="642">
        <v>1</v>
      </c>
      <c r="G758" s="677">
        <f>IF(G757=0,0,ROUND(G757/(G757+H757+I757),5))</f>
        <v>0</v>
      </c>
      <c r="H758" s="678">
        <f>IF(H757=0,0,ROUND(H757/(H757+I757+J757),5))</f>
        <v>0</v>
      </c>
      <c r="I758" s="679">
        <f>IF(I757=0,0,ROUND(I757/(I757+J757+K757),5))</f>
        <v>0</v>
      </c>
      <c r="J758" s="731">
        <f t="shared" si="169"/>
        <v>0</v>
      </c>
      <c r="K758" s="731">
        <f t="shared" si="170"/>
        <v>1</v>
      </c>
      <c r="O758" s="749">
        <f>SUM(G758:I758)</f>
        <v>0</v>
      </c>
    </row>
    <row r="759" spans="1:15" ht="13">
      <c r="A759" s="342">
        <v>3</v>
      </c>
      <c r="B759" s="599"/>
      <c r="C759" s="654" t="s">
        <v>1021</v>
      </c>
      <c r="D759" s="719" t="s">
        <v>1003</v>
      </c>
      <c r="E759" s="723"/>
      <c r="F759" s="345">
        <f>F778</f>
        <v>40444763</v>
      </c>
      <c r="G759" s="690">
        <f>G778</f>
        <v>0</v>
      </c>
      <c r="H759" s="691">
        <f>H778</f>
        <v>0</v>
      </c>
      <c r="I759" s="692">
        <f>I778</f>
        <v>0</v>
      </c>
      <c r="J759" s="664">
        <f t="shared" si="169"/>
        <v>0</v>
      </c>
      <c r="K759" s="664">
        <f t="shared" si="170"/>
        <v>40444763</v>
      </c>
      <c r="O759" s="748"/>
    </row>
    <row r="760" spans="1:15" ht="13">
      <c r="A760" s="342">
        <v>4</v>
      </c>
      <c r="B760" s="195"/>
      <c r="C760" s="491" t="s">
        <v>355</v>
      </c>
      <c r="D760" s="583"/>
      <c r="E760" s="708" t="str">
        <f>'FR-16(7)(v)-1 Functional'!E760</f>
        <v>K697</v>
      </c>
      <c r="F760" s="642">
        <v>1</v>
      </c>
      <c r="G760" s="677">
        <f>IF(G759=0,0,ROUND(G759/(G759+H759+I759),5))</f>
        <v>0</v>
      </c>
      <c r="H760" s="678">
        <f>IF(H759=0,0,ROUND(H759/(H759+I759+J759),5))</f>
        <v>0</v>
      </c>
      <c r="I760" s="679">
        <f>IF(I759=0,0,ROUND(I759/(I759+J759+K759),5))</f>
        <v>0</v>
      </c>
      <c r="J760" s="731">
        <f t="shared" si="169"/>
        <v>0</v>
      </c>
      <c r="K760" s="731">
        <f t="shared" si="170"/>
        <v>1</v>
      </c>
      <c r="O760" s="749">
        <f>SUM(G760:I760)</f>
        <v>0</v>
      </c>
    </row>
    <row r="761" spans="1:15" ht="13">
      <c r="A761" s="342">
        <v>5</v>
      </c>
      <c r="B761" s="600"/>
      <c r="C761" s="654" t="s">
        <v>108</v>
      </c>
      <c r="D761" s="719" t="s">
        <v>1003</v>
      </c>
      <c r="E761" s="723"/>
      <c r="F761" s="345">
        <f>F744</f>
        <v>0</v>
      </c>
      <c r="G761" s="690" t="e">
        <f ca="1">G744</f>
        <v>#N/A</v>
      </c>
      <c r="H761" s="691" t="e">
        <f ca="1">H744</f>
        <v>#N/A</v>
      </c>
      <c r="I761" s="692" t="e">
        <f ca="1">I744</f>
        <v>#N/A</v>
      </c>
      <c r="J761" s="664" t="e">
        <f t="shared" ca="1" si="169"/>
        <v>#N/A</v>
      </c>
      <c r="K761" s="664" t="e">
        <f t="shared" ca="1" si="170"/>
        <v>#N/A</v>
      </c>
      <c r="O761" s="748"/>
    </row>
    <row r="762" spans="1:15" ht="13">
      <c r="A762" s="342">
        <v>6</v>
      </c>
      <c r="B762" s="195"/>
      <c r="C762" s="491" t="s">
        <v>355</v>
      </c>
      <c r="D762" s="583"/>
      <c r="E762" s="708" t="str">
        <f>'FR-16(7)(v)-1 Functional'!E762</f>
        <v>K901</v>
      </c>
      <c r="F762" s="642">
        <v>1</v>
      </c>
      <c r="G762" s="677" t="e">
        <f ca="1">IF(G761=0,0,ROUND(G761/(G761+H761+I761),5))</f>
        <v>#N/A</v>
      </c>
      <c r="H762" s="678" t="e">
        <f ca="1">IF(H761=0,0,ROUND(H761/(H761+I761+J761),5))</f>
        <v>#N/A</v>
      </c>
      <c r="I762" s="679" t="e">
        <f ca="1">IF(I761=0,0,ROUND(I761/(I761+J761+K761),5))</f>
        <v>#N/A</v>
      </c>
      <c r="J762" s="731" t="e">
        <f t="shared" ca="1" si="169"/>
        <v>#N/A</v>
      </c>
      <c r="K762" s="731" t="e">
        <f t="shared" ca="1" si="170"/>
        <v>#N/A</v>
      </c>
      <c r="O762" s="749" t="e">
        <f ca="1">SUM(G762:I762)</f>
        <v>#N/A</v>
      </c>
    </row>
    <row r="763" spans="1:15" ht="13">
      <c r="A763" s="342">
        <v>7</v>
      </c>
      <c r="C763" s="654" t="s">
        <v>843</v>
      </c>
      <c r="D763" s="719" t="s">
        <v>1003</v>
      </c>
      <c r="E763" s="723"/>
      <c r="F763" s="345">
        <f>F745</f>
        <v>0</v>
      </c>
      <c r="G763" s="690" t="e">
        <f ca="1">G745</f>
        <v>#N/A</v>
      </c>
      <c r="H763" s="691" t="e">
        <f ca="1">H745</f>
        <v>#N/A</v>
      </c>
      <c r="I763" s="692" t="e">
        <f ca="1">I745</f>
        <v>#N/A</v>
      </c>
      <c r="J763" s="664" t="e">
        <f ca="1">SUM(G763:I763)</f>
        <v>#N/A</v>
      </c>
      <c r="K763" s="664" t="e">
        <f ca="1">F763-J763</f>
        <v>#N/A</v>
      </c>
      <c r="O763" s="752"/>
    </row>
    <row r="764" spans="1:15" ht="13">
      <c r="A764" s="342">
        <v>8</v>
      </c>
      <c r="C764" s="491" t="s">
        <v>355</v>
      </c>
      <c r="D764" s="583"/>
      <c r="E764" s="708" t="s">
        <v>1179</v>
      </c>
      <c r="F764" s="642">
        <v>1</v>
      </c>
      <c r="G764" s="677" t="e">
        <f ca="1">IF(G763=0,0,ROUND(G763/(G763+H763+I763),5))</f>
        <v>#N/A</v>
      </c>
      <c r="H764" s="678" t="e">
        <f ca="1">IF(H763=0,0,ROUND(H763/(H763+I763+J763),5))</f>
        <v>#N/A</v>
      </c>
      <c r="I764" s="679" t="e">
        <f ca="1">IF(I763=0,0,ROUND(I763/(I763+J763+K763),5))</f>
        <v>#N/A</v>
      </c>
      <c r="J764" s="731" t="e">
        <f ca="1">SUM(G764:I764)</f>
        <v>#N/A</v>
      </c>
      <c r="K764" s="731" t="e">
        <f ca="1">F764-J764</f>
        <v>#N/A</v>
      </c>
      <c r="O764" s="752"/>
    </row>
    <row r="765" spans="1:15" ht="13">
      <c r="A765" s="342">
        <v>9</v>
      </c>
      <c r="E765" s="740"/>
      <c r="G765" s="684"/>
      <c r="H765" s="685"/>
      <c r="I765" s="686"/>
      <c r="J765" s="526"/>
      <c r="K765" s="526"/>
      <c r="O765" s="752"/>
    </row>
    <row r="766" spans="1:15" ht="13">
      <c r="A766" s="342">
        <v>10</v>
      </c>
      <c r="B766" s="702" t="s">
        <v>92</v>
      </c>
      <c r="C766" s="703"/>
      <c r="D766" s="720"/>
      <c r="E766" s="723"/>
      <c r="F766" s="615"/>
      <c r="G766" s="687"/>
      <c r="H766" s="688"/>
      <c r="I766" s="689"/>
      <c r="J766" s="738"/>
      <c r="K766" s="738"/>
      <c r="O766" s="753"/>
    </row>
    <row r="767" spans="1:15" ht="13">
      <c r="A767" s="342">
        <v>11</v>
      </c>
      <c r="B767" s="653"/>
      <c r="C767" s="654" t="s">
        <v>1015</v>
      </c>
      <c r="D767" s="719"/>
      <c r="E767" s="723"/>
      <c r="F767" s="345">
        <f>'FR-16(7)(v)-1 Functional'!$F$71</f>
        <v>396995775</v>
      </c>
      <c r="G767" s="690">
        <f t="shared" ref="G767:I768" si="171">G71</f>
        <v>0</v>
      </c>
      <c r="H767" s="691">
        <f t="shared" si="171"/>
        <v>0</v>
      </c>
      <c r="I767" s="692">
        <f t="shared" si="171"/>
        <v>0</v>
      </c>
      <c r="J767" s="664">
        <f>SUM(G767:I767)</f>
        <v>0</v>
      </c>
      <c r="K767" s="664">
        <f>F767-J767</f>
        <v>396995775</v>
      </c>
      <c r="O767" s="753"/>
    </row>
    <row r="768" spans="1:15" ht="13">
      <c r="A768" s="342">
        <v>12</v>
      </c>
      <c r="B768" s="653"/>
      <c r="C768" s="654" t="s">
        <v>1016</v>
      </c>
      <c r="D768" s="719"/>
      <c r="E768" s="707"/>
      <c r="F768" s="345">
        <f>'FR-16(7)(v)-1 Functional'!$F$72</f>
        <v>226116720</v>
      </c>
      <c r="G768" s="690">
        <f t="shared" si="171"/>
        <v>0</v>
      </c>
      <c r="H768" s="691">
        <f t="shared" si="171"/>
        <v>0</v>
      </c>
      <c r="I768" s="692">
        <f t="shared" si="171"/>
        <v>0</v>
      </c>
      <c r="J768" s="664">
        <f>SUM(G768:I768)</f>
        <v>0</v>
      </c>
      <c r="K768" s="664">
        <f>F768-J768</f>
        <v>226116720</v>
      </c>
      <c r="O768" s="753"/>
    </row>
    <row r="769" spans="1:15" ht="13">
      <c r="A769" s="342">
        <v>13</v>
      </c>
      <c r="B769" s="653"/>
      <c r="C769" s="654" t="s">
        <v>1013</v>
      </c>
      <c r="D769" s="719"/>
      <c r="E769" s="707"/>
      <c r="F769" s="345">
        <f>-'FR-16(7)(v)-1 Functional'!$F$125</f>
        <v>-113499887</v>
      </c>
      <c r="G769" s="690">
        <f t="shared" ref="G769:I770" si="172">-G125</f>
        <v>0</v>
      </c>
      <c r="H769" s="691">
        <f t="shared" si="172"/>
        <v>0</v>
      </c>
      <c r="I769" s="692">
        <f t="shared" si="172"/>
        <v>0</v>
      </c>
      <c r="J769" s="664">
        <f>SUM(G769:I769)</f>
        <v>0</v>
      </c>
      <c r="K769" s="664">
        <f>F769-J769</f>
        <v>-113499887</v>
      </c>
      <c r="O769" s="753"/>
    </row>
    <row r="770" spans="1:15" ht="13">
      <c r="A770" s="342">
        <v>14</v>
      </c>
      <c r="B770" s="653"/>
      <c r="C770" s="654" t="s">
        <v>1014</v>
      </c>
      <c r="D770" s="719"/>
      <c r="E770" s="711"/>
      <c r="F770" s="496">
        <f>-'FR-16(7)(v)-1 Functional'!$F$126</f>
        <v>-61310319</v>
      </c>
      <c r="G770" s="693">
        <f t="shared" si="172"/>
        <v>0</v>
      </c>
      <c r="H770" s="694">
        <f t="shared" si="172"/>
        <v>0</v>
      </c>
      <c r="I770" s="695">
        <f t="shared" si="172"/>
        <v>0</v>
      </c>
      <c r="J770" s="620">
        <f>SUM(G770:I770)</f>
        <v>0</v>
      </c>
      <c r="K770" s="620">
        <f>F770-J770</f>
        <v>-61310319</v>
      </c>
      <c r="O770" s="753"/>
    </row>
    <row r="771" spans="1:15" ht="13">
      <c r="A771" s="342">
        <v>15</v>
      </c>
      <c r="B771" s="653"/>
      <c r="C771" s="704" t="s">
        <v>1023</v>
      </c>
      <c r="D771" s="719"/>
      <c r="E771" s="707"/>
      <c r="F771" s="345">
        <f>SUM(F767:F770)</f>
        <v>448302289</v>
      </c>
      <c r="G771" s="690">
        <f>SUM(G767:G770)</f>
        <v>0</v>
      </c>
      <c r="H771" s="691">
        <f>SUM(H767:H770)</f>
        <v>0</v>
      </c>
      <c r="I771" s="692">
        <f>SUM(I767:I770)</f>
        <v>0</v>
      </c>
      <c r="J771" s="664">
        <f>SUM(G771:I771)</f>
        <v>0</v>
      </c>
      <c r="K771" s="664">
        <f>F771-J771</f>
        <v>448302289</v>
      </c>
      <c r="O771" s="753"/>
    </row>
    <row r="772" spans="1:15" ht="13">
      <c r="A772" s="342">
        <v>16</v>
      </c>
      <c r="B772" s="653"/>
      <c r="C772" s="653"/>
      <c r="D772" s="707"/>
      <c r="E772" s="707"/>
      <c r="G772" s="684"/>
      <c r="H772" s="685"/>
      <c r="I772" s="686"/>
      <c r="J772" s="526"/>
      <c r="K772" s="526"/>
      <c r="O772" s="753"/>
    </row>
    <row r="773" spans="1:15" ht="13">
      <c r="A773" s="342">
        <v>17</v>
      </c>
      <c r="B773" s="705" t="s">
        <v>93</v>
      </c>
      <c r="C773" s="610"/>
      <c r="D773" s="707"/>
      <c r="E773" s="707"/>
      <c r="G773" s="684"/>
      <c r="H773" s="685"/>
      <c r="I773" s="686"/>
      <c r="J773" s="526"/>
      <c r="K773" s="526"/>
      <c r="O773" s="753"/>
    </row>
    <row r="774" spans="1:15" ht="13">
      <c r="A774" s="342">
        <v>18</v>
      </c>
      <c r="B774" s="653"/>
      <c r="C774" s="654" t="s">
        <v>1017</v>
      </c>
      <c r="D774" s="707"/>
      <c r="E774" s="707"/>
      <c r="F774" s="345">
        <f>'FR-16(7)(v)-1 Functional'!$F$73</f>
        <v>30766213</v>
      </c>
      <c r="G774" s="690">
        <f>G73</f>
        <v>0</v>
      </c>
      <c r="H774" s="691">
        <f>H73</f>
        <v>0</v>
      </c>
      <c r="I774" s="692">
        <f>I73</f>
        <v>0</v>
      </c>
      <c r="J774" s="664">
        <f>SUM(G774:I774)</f>
        <v>0</v>
      </c>
      <c r="K774" s="664">
        <f>F774-J774</f>
        <v>30766213</v>
      </c>
      <c r="O774" s="753"/>
    </row>
    <row r="775" spans="1:15" ht="13">
      <c r="A775" s="342">
        <v>19</v>
      </c>
      <c r="B775" s="653"/>
      <c r="C775" s="654" t="s">
        <v>1018</v>
      </c>
      <c r="D775" s="707"/>
      <c r="E775" s="707"/>
      <c r="F775" s="345">
        <f>'FR-16(7)(v)-1 Functional'!$F$75</f>
        <v>14731367</v>
      </c>
      <c r="G775" s="690">
        <f>G75</f>
        <v>0</v>
      </c>
      <c r="H775" s="691">
        <f>H75</f>
        <v>0</v>
      </c>
      <c r="I775" s="692">
        <f>I75</f>
        <v>0</v>
      </c>
      <c r="J775" s="664">
        <f>SUM(G775:I775)</f>
        <v>0</v>
      </c>
      <c r="K775" s="664">
        <f>F775-J775</f>
        <v>14731367</v>
      </c>
      <c r="O775" s="753"/>
    </row>
    <row r="776" spans="1:15" ht="13">
      <c r="A776" s="342">
        <v>20</v>
      </c>
      <c r="B776" s="653"/>
      <c r="C776" s="654" t="s">
        <v>1019</v>
      </c>
      <c r="D776" s="707"/>
      <c r="E776" s="707"/>
      <c r="F776" s="345">
        <f>-'FR-16(7)(v)-1 Functional'!$F$127</f>
        <v>895430</v>
      </c>
      <c r="G776" s="690">
        <f>-G127</f>
        <v>0</v>
      </c>
      <c r="H776" s="691">
        <f>-H127</f>
        <v>0</v>
      </c>
      <c r="I776" s="692">
        <f>-I127</f>
        <v>0</v>
      </c>
      <c r="J776" s="664">
        <f>SUM(G776:I776)</f>
        <v>0</v>
      </c>
      <c r="K776" s="664">
        <f>F776-J776</f>
        <v>895430</v>
      </c>
      <c r="O776" s="753"/>
    </row>
    <row r="777" spans="1:15" ht="13">
      <c r="A777" s="342">
        <v>21</v>
      </c>
      <c r="B777" s="653"/>
      <c r="C777" s="654" t="s">
        <v>1020</v>
      </c>
      <c r="D777" s="707"/>
      <c r="E777" s="707"/>
      <c r="F777" s="496">
        <f>-'FR-16(7)(v)-1 Functional'!$F$129</f>
        <v>-5948247</v>
      </c>
      <c r="G777" s="693">
        <f>-G129</f>
        <v>0</v>
      </c>
      <c r="H777" s="694">
        <f>-H129</f>
        <v>0</v>
      </c>
      <c r="I777" s="695">
        <f>-I129</f>
        <v>0</v>
      </c>
      <c r="J777" s="620">
        <f>SUM(G777:I777)</f>
        <v>0</v>
      </c>
      <c r="K777" s="620">
        <f>F777-J777</f>
        <v>-5948247</v>
      </c>
      <c r="O777" s="753"/>
    </row>
    <row r="778" spans="1:15" ht="13">
      <c r="A778" s="342">
        <v>22</v>
      </c>
      <c r="B778" s="653"/>
      <c r="C778" s="704" t="s">
        <v>1024</v>
      </c>
      <c r="D778" s="707"/>
      <c r="E778" s="707"/>
      <c r="F778" s="345">
        <f>SUM(F774:F777)</f>
        <v>40444763</v>
      </c>
      <c r="G778" s="690">
        <f>SUM(G774:G777)</f>
        <v>0</v>
      </c>
      <c r="H778" s="691">
        <f>SUM(H774:H777)</f>
        <v>0</v>
      </c>
      <c r="I778" s="692">
        <f>SUM(I774:I777)</f>
        <v>0</v>
      </c>
      <c r="J778" s="664">
        <f>SUM(G778:I778)</f>
        <v>0</v>
      </c>
      <c r="K778" s="664">
        <f>F778-J778</f>
        <v>40444763</v>
      </c>
      <c r="O778" s="753"/>
    </row>
    <row r="779" spans="1:15" ht="13">
      <c r="A779" s="342">
        <v>23</v>
      </c>
      <c r="E779" s="331"/>
      <c r="G779" s="684"/>
      <c r="H779" s="685"/>
      <c r="I779" s="686"/>
      <c r="O779" s="752"/>
    </row>
    <row r="780" spans="1:15" ht="13">
      <c r="A780" s="342">
        <v>24</v>
      </c>
      <c r="B780" s="625" t="s">
        <v>94</v>
      </c>
      <c r="C780" s="195"/>
      <c r="D780" s="712"/>
      <c r="E780" s="712"/>
      <c r="F780" s="626"/>
      <c r="G780" s="700"/>
      <c r="H780" s="696"/>
      <c r="I780" s="697"/>
      <c r="O780" s="747"/>
    </row>
    <row r="781" spans="1:15" ht="13">
      <c r="A781" s="342">
        <v>25</v>
      </c>
      <c r="B781" s="591" t="s">
        <v>95</v>
      </c>
      <c r="C781" s="628"/>
      <c r="D781" s="713"/>
      <c r="E781" s="713"/>
      <c r="F781" s="504"/>
      <c r="G781" s="671"/>
      <c r="H781" s="672"/>
      <c r="I781" s="673"/>
      <c r="O781" s="747"/>
    </row>
    <row r="782" spans="1:15" ht="13">
      <c r="A782" s="342">
        <v>26</v>
      </c>
      <c r="B782" s="195"/>
      <c r="C782" s="581" t="s">
        <v>230</v>
      </c>
      <c r="D782" s="719" t="s">
        <v>1003</v>
      </c>
      <c r="E782" s="708" t="str">
        <f>'FR-16(7)(v)-1 Functional'!E782</f>
        <v>P129</v>
      </c>
      <c r="F782" s="642">
        <v>1</v>
      </c>
      <c r="G782" s="677">
        <f>ROUND(IF($F$59=0,0,$G$59/$F$59),5)</f>
        <v>0</v>
      </c>
      <c r="H782" s="678">
        <f>ROUND(IF($F$59=0,0,$H$59/$F$59),5)</f>
        <v>0</v>
      </c>
      <c r="I782" s="679">
        <f>ROUND(IF($F$59=0,0,$I$59/$F$59),5)</f>
        <v>0</v>
      </c>
      <c r="J782" s="731">
        <f t="shared" ref="J782:J789" si="173">SUM(G782:I782)</f>
        <v>0</v>
      </c>
      <c r="K782" s="731">
        <f t="shared" ref="K782:K789" si="174">F782-J782</f>
        <v>1</v>
      </c>
      <c r="O782" s="749">
        <f t="shared" ref="O782:O789" si="175">SUM(G782:I782)</f>
        <v>0</v>
      </c>
    </row>
    <row r="783" spans="1:15" ht="13">
      <c r="A783" s="342">
        <v>27</v>
      </c>
      <c r="B783" s="195"/>
      <c r="C783" s="581" t="s">
        <v>231</v>
      </c>
      <c r="D783" s="719" t="s">
        <v>1003</v>
      </c>
      <c r="E783" s="708" t="str">
        <f>'FR-16(7)(v)-1 Functional'!E783</f>
        <v>D149</v>
      </c>
      <c r="F783" s="642">
        <v>1</v>
      </c>
      <c r="G783" s="677">
        <f>ROUND(IF($F$78=0,0,G78/$F$78),5)</f>
        <v>0</v>
      </c>
      <c r="H783" s="678">
        <f>ROUND(IF($F$78=0,0,H78/$F$78),5)</f>
        <v>0</v>
      </c>
      <c r="I783" s="679">
        <f t="shared" ref="I783:I789" si="176">1-SUM(G783:H783)</f>
        <v>1</v>
      </c>
      <c r="J783" s="731">
        <f t="shared" si="173"/>
        <v>1</v>
      </c>
      <c r="K783" s="731">
        <f t="shared" si="174"/>
        <v>0</v>
      </c>
      <c r="O783" s="749">
        <f t="shared" si="175"/>
        <v>1</v>
      </c>
    </row>
    <row r="784" spans="1:15" ht="13">
      <c r="A784" s="342">
        <v>28</v>
      </c>
      <c r="B784" s="195"/>
      <c r="C784" s="581" t="s">
        <v>232</v>
      </c>
      <c r="D784" s="719" t="s">
        <v>1003</v>
      </c>
      <c r="E784" s="708" t="str">
        <f>'FR-16(7)(v)-1 Functional'!E784</f>
        <v>PD29</v>
      </c>
      <c r="F784" s="642">
        <v>1</v>
      </c>
      <c r="G784" s="677">
        <f>ROUND(IF($F$81=0,0,G81/$F$81),5)</f>
        <v>0</v>
      </c>
      <c r="H784" s="678">
        <f>ROUND(IF($F$81=0,0,H81/$F$81),5)</f>
        <v>0</v>
      </c>
      <c r="I784" s="679">
        <f t="shared" si="176"/>
        <v>1</v>
      </c>
      <c r="J784" s="731">
        <f t="shared" si="173"/>
        <v>1</v>
      </c>
      <c r="K784" s="731">
        <f t="shared" si="174"/>
        <v>0</v>
      </c>
      <c r="O784" s="749">
        <f t="shared" si="175"/>
        <v>1</v>
      </c>
    </row>
    <row r="785" spans="1:15" ht="13">
      <c r="A785" s="342">
        <v>29</v>
      </c>
      <c r="B785" s="195"/>
      <c r="C785" s="581" t="s">
        <v>233</v>
      </c>
      <c r="D785" s="719" t="s">
        <v>1003</v>
      </c>
      <c r="E785" s="708" t="str">
        <f>'FR-16(7)(v)-1 Functional'!E785</f>
        <v>G129</v>
      </c>
      <c r="F785" s="642">
        <v>1</v>
      </c>
      <c r="G785" s="677">
        <f>ROUND(IF($F$90=0,0,G90/$F$90),5)</f>
        <v>0</v>
      </c>
      <c r="H785" s="678">
        <f>ROUND(IF($F$90=0,0,H90/$F$90),5)</f>
        <v>0</v>
      </c>
      <c r="I785" s="679">
        <f t="shared" si="176"/>
        <v>1</v>
      </c>
      <c r="J785" s="731">
        <f t="shared" si="173"/>
        <v>1</v>
      </c>
      <c r="K785" s="731">
        <f t="shared" si="174"/>
        <v>0</v>
      </c>
      <c r="O785" s="749">
        <f t="shared" si="175"/>
        <v>1</v>
      </c>
    </row>
    <row r="786" spans="1:15" ht="13">
      <c r="A786" s="342">
        <v>30</v>
      </c>
      <c r="B786" s="195"/>
      <c r="C786" s="581" t="s">
        <v>234</v>
      </c>
      <c r="D786" s="719" t="s">
        <v>1003</v>
      </c>
      <c r="E786" s="708" t="str">
        <f>'FR-16(7)(v)-1 Functional'!E786</f>
        <v>C129</v>
      </c>
      <c r="F786" s="642">
        <v>1</v>
      </c>
      <c r="G786" s="677">
        <f>ROUND(IF($F$99=0,0,G99/$F$99),5)</f>
        <v>0</v>
      </c>
      <c r="H786" s="678">
        <f>ROUND(IF($F$99=0,0,H99/$F$99),5)</f>
        <v>0</v>
      </c>
      <c r="I786" s="679">
        <f t="shared" si="176"/>
        <v>1</v>
      </c>
      <c r="J786" s="731">
        <f t="shared" si="173"/>
        <v>1</v>
      </c>
      <c r="K786" s="731">
        <f t="shared" si="174"/>
        <v>0</v>
      </c>
      <c r="O786" s="749">
        <f t="shared" si="175"/>
        <v>1</v>
      </c>
    </row>
    <row r="787" spans="1:15" ht="13">
      <c r="A787" s="342">
        <v>31</v>
      </c>
      <c r="B787" s="195"/>
      <c r="C787" s="581" t="s">
        <v>235</v>
      </c>
      <c r="D787" s="719" t="s">
        <v>1003</v>
      </c>
      <c r="E787" s="708" t="str">
        <f>'FR-16(7)(v)-1 Functional'!E787</f>
        <v>GP19</v>
      </c>
      <c r="F787" s="642">
        <v>1</v>
      </c>
      <c r="G787" s="677">
        <f>ROUND(IF($F$101=0,0,G101/$F$101),5)</f>
        <v>0</v>
      </c>
      <c r="H787" s="678">
        <f>ROUND(IF($F$101=0,0,H101/$F$101),5)</f>
        <v>0</v>
      </c>
      <c r="I787" s="679">
        <f t="shared" si="176"/>
        <v>1</v>
      </c>
      <c r="J787" s="731">
        <f t="shared" si="173"/>
        <v>1</v>
      </c>
      <c r="K787" s="731">
        <f t="shared" si="174"/>
        <v>0</v>
      </c>
      <c r="O787" s="749">
        <f t="shared" si="175"/>
        <v>1</v>
      </c>
    </row>
    <row r="788" spans="1:15" ht="13">
      <c r="A788" s="342">
        <v>32</v>
      </c>
      <c r="B788" s="195"/>
      <c r="C788" s="581" t="s">
        <v>236</v>
      </c>
      <c r="D788" s="719" t="s">
        <v>1003</v>
      </c>
      <c r="E788" s="708" t="str">
        <f>'FR-16(7)(v)-1 Functional'!E788</f>
        <v>D199</v>
      </c>
      <c r="F788" s="642">
        <v>1</v>
      </c>
      <c r="G788" s="677">
        <f>ROUND(IF($F$131=0,0,G131/$F$131),5)</f>
        <v>0</v>
      </c>
      <c r="H788" s="678">
        <f>ROUND(IF($F$131=0,0,H131/$F$131),5)</f>
        <v>0</v>
      </c>
      <c r="I788" s="679">
        <f t="shared" si="176"/>
        <v>1</v>
      </c>
      <c r="J788" s="731">
        <f t="shared" si="173"/>
        <v>1</v>
      </c>
      <c r="K788" s="731">
        <f t="shared" si="174"/>
        <v>0</v>
      </c>
      <c r="O788" s="749">
        <f t="shared" si="175"/>
        <v>1</v>
      </c>
    </row>
    <row r="789" spans="1:15" ht="13">
      <c r="A789" s="342">
        <v>33</v>
      </c>
      <c r="B789" s="195"/>
      <c r="C789" s="581" t="s">
        <v>237</v>
      </c>
      <c r="D789" s="719" t="s">
        <v>1003</v>
      </c>
      <c r="E789" s="708" t="str">
        <f>'FR-16(7)(v)-1 Functional'!E789</f>
        <v>DR19</v>
      </c>
      <c r="F789" s="642">
        <v>1</v>
      </c>
      <c r="G789" s="677">
        <f>ROUND(IF($F$151=0,0,G151/$F$151),5)</f>
        <v>0</v>
      </c>
      <c r="H789" s="678">
        <f>ROUND(IF($F$151=0,0,H151/$F$151),5)</f>
        <v>0</v>
      </c>
      <c r="I789" s="679">
        <f t="shared" si="176"/>
        <v>1</v>
      </c>
      <c r="J789" s="731">
        <f t="shared" si="173"/>
        <v>1</v>
      </c>
      <c r="K789" s="731">
        <f t="shared" si="174"/>
        <v>0</v>
      </c>
      <c r="O789" s="749">
        <f t="shared" si="175"/>
        <v>1</v>
      </c>
    </row>
    <row r="790" spans="1:15" ht="13">
      <c r="A790" s="342">
        <v>34</v>
      </c>
      <c r="B790" s="195"/>
      <c r="C790" s="195"/>
      <c r="D790" s="342"/>
      <c r="E790" s="723"/>
      <c r="F790" s="642"/>
      <c r="G790" s="677"/>
      <c r="H790" s="678"/>
      <c r="I790" s="679"/>
      <c r="J790" s="731"/>
      <c r="K790" s="731"/>
      <c r="O790" s="747"/>
    </row>
    <row r="791" spans="1:15" ht="13">
      <c r="A791" s="342">
        <v>35</v>
      </c>
      <c r="B791" s="581" t="s">
        <v>96</v>
      </c>
      <c r="C791" s="195"/>
      <c r="D791" s="342"/>
      <c r="E791" s="723"/>
      <c r="F791" s="642"/>
      <c r="G791" s="677"/>
      <c r="H791" s="678"/>
      <c r="I791" s="679"/>
      <c r="J791" s="731"/>
      <c r="K791" s="731"/>
      <c r="O791" s="747"/>
    </row>
    <row r="792" spans="1:15" ht="13">
      <c r="A792" s="342">
        <v>36</v>
      </c>
      <c r="B792" s="195"/>
      <c r="C792" s="581" t="s">
        <v>238</v>
      </c>
      <c r="D792" s="719" t="s">
        <v>1003</v>
      </c>
      <c r="E792" s="708" t="str">
        <f>'FR-16(7)(v)-1 Functional'!E792</f>
        <v>P229</v>
      </c>
      <c r="F792" s="642">
        <v>1</v>
      </c>
      <c r="G792" s="677">
        <f>ROUND(IF($F$166=0,0,G166/$F$166),5)</f>
        <v>0</v>
      </c>
      <c r="H792" s="678">
        <f>ROUND(IF($F$166=0,0,H166/$F$166),5)</f>
        <v>0</v>
      </c>
      <c r="I792" s="679">
        <f>ROUND(IF($F$166=0,0,I166/$F$166),5)</f>
        <v>0</v>
      </c>
      <c r="J792" s="731">
        <f>SUM(G792:I792)</f>
        <v>0</v>
      </c>
      <c r="K792" s="731">
        <f>F792-J792</f>
        <v>1</v>
      </c>
      <c r="O792" s="749">
        <f>SUM(G792:I792)</f>
        <v>0</v>
      </c>
    </row>
    <row r="793" spans="1:15" ht="13">
      <c r="A793" s="342">
        <v>37</v>
      </c>
      <c r="B793" s="195"/>
      <c r="C793" s="581" t="s">
        <v>239</v>
      </c>
      <c r="D793" s="719" t="s">
        <v>1003</v>
      </c>
      <c r="E793" s="708" t="str">
        <f>'FR-16(7)(v)-1 Functional'!E793</f>
        <v>D249</v>
      </c>
      <c r="F793" s="642">
        <v>1</v>
      </c>
      <c r="G793" s="677">
        <f>ROUND(IF($F$176=0,0,G176/$F$176),5)</f>
        <v>0</v>
      </c>
      <c r="H793" s="678">
        <f>ROUND(IF($F$176=0,0,H176/$F$176),5)</f>
        <v>0</v>
      </c>
      <c r="I793" s="679">
        <f>1-SUM(G793:H793)</f>
        <v>1</v>
      </c>
      <c r="J793" s="731">
        <f>SUM(G793:I793)</f>
        <v>1</v>
      </c>
      <c r="K793" s="731">
        <f>F793-J793</f>
        <v>0</v>
      </c>
      <c r="O793" s="749">
        <f>SUM(G793:I793)</f>
        <v>1</v>
      </c>
    </row>
    <row r="794" spans="1:15" ht="13">
      <c r="A794" s="342">
        <v>38</v>
      </c>
      <c r="B794" s="195"/>
      <c r="C794" s="581" t="s">
        <v>240</v>
      </c>
      <c r="D794" s="719" t="s">
        <v>1003</v>
      </c>
      <c r="E794" s="708" t="str">
        <f>'FR-16(7)(v)-1 Functional'!E794</f>
        <v>G229</v>
      </c>
      <c r="F794" s="642">
        <v>1</v>
      </c>
      <c r="G794" s="677">
        <f>ROUND(IF($F$184=0,0,G184/$F$184),5)</f>
        <v>0</v>
      </c>
      <c r="H794" s="678">
        <f>ROUND(IF($F$184=0,0,H184/$F$184),5)</f>
        <v>0</v>
      </c>
      <c r="I794" s="679">
        <f>1-SUM(G794:H794)</f>
        <v>1</v>
      </c>
      <c r="J794" s="731">
        <f>SUM(G794:I794)</f>
        <v>1</v>
      </c>
      <c r="K794" s="731">
        <f>F794-J794</f>
        <v>0</v>
      </c>
      <c r="O794" s="749">
        <f>SUM(G794:I794)</f>
        <v>1</v>
      </c>
    </row>
    <row r="795" spans="1:15" ht="13">
      <c r="A795" s="342">
        <v>39</v>
      </c>
      <c r="B795" s="195"/>
      <c r="C795" s="581" t="s">
        <v>241</v>
      </c>
      <c r="D795" s="719" t="s">
        <v>1003</v>
      </c>
      <c r="E795" s="708" t="str">
        <f>'FR-16(7)(v)-1 Functional'!E795</f>
        <v>C229</v>
      </c>
      <c r="F795" s="642">
        <v>1</v>
      </c>
      <c r="G795" s="677">
        <f>ROUND(IF($F$189=0,0,G189/$F$189),5)</f>
        <v>0</v>
      </c>
      <c r="H795" s="678">
        <f>ROUND(IF($F$189=0,0,H189/$F$189),5)</f>
        <v>0</v>
      </c>
      <c r="I795" s="679">
        <f>1-SUM(G795:H795)</f>
        <v>1</v>
      </c>
      <c r="J795" s="731">
        <f>SUM(G795:I795)</f>
        <v>1</v>
      </c>
      <c r="K795" s="731">
        <f>F795-J795</f>
        <v>0</v>
      </c>
      <c r="O795" s="749">
        <f>SUM(G795:I795)</f>
        <v>1</v>
      </c>
    </row>
    <row r="796" spans="1:15" ht="13">
      <c r="A796" s="342">
        <v>40</v>
      </c>
      <c r="B796" s="195"/>
      <c r="C796" s="581" t="s">
        <v>242</v>
      </c>
      <c r="D796" s="719" t="s">
        <v>1003</v>
      </c>
      <c r="E796" s="708" t="str">
        <f>'FR-16(7)(v)-1 Functional'!E796</f>
        <v>NP29</v>
      </c>
      <c r="F796" s="642">
        <v>1</v>
      </c>
      <c r="G796" s="677">
        <f>ROUND(IF($F$191=0,0,G191/$F$191),5)</f>
        <v>0</v>
      </c>
      <c r="H796" s="678">
        <f>ROUND(IF($F$191=0,0,H191/$F$191),5)</f>
        <v>0</v>
      </c>
      <c r="I796" s="679">
        <f>1-SUM(G796:H796)</f>
        <v>1</v>
      </c>
      <c r="J796" s="731">
        <f>SUM(G796:I796)</f>
        <v>1</v>
      </c>
      <c r="K796" s="731">
        <f>F796-J796</f>
        <v>0</v>
      </c>
      <c r="O796" s="747"/>
    </row>
    <row r="797" spans="1:15" ht="13">
      <c r="A797" s="342">
        <v>41</v>
      </c>
      <c r="B797" s="195"/>
      <c r="C797" s="581"/>
      <c r="D797" s="708"/>
      <c r="E797" s="728"/>
      <c r="F797" s="348"/>
      <c r="G797" s="677"/>
      <c r="H797" s="678"/>
      <c r="I797" s="679"/>
      <c r="J797" s="731"/>
      <c r="K797" s="731"/>
      <c r="O797" s="747"/>
    </row>
    <row r="798" spans="1:15" ht="13">
      <c r="A798" s="342">
        <v>42</v>
      </c>
      <c r="B798" s="581" t="s">
        <v>32</v>
      </c>
      <c r="C798" s="195"/>
      <c r="D798" s="342"/>
      <c r="E798" s="723"/>
      <c r="F798" s="348"/>
      <c r="G798" s="677"/>
      <c r="H798" s="678"/>
      <c r="I798" s="679"/>
      <c r="J798" s="731"/>
      <c r="K798" s="731"/>
      <c r="O798" s="747"/>
    </row>
    <row r="799" spans="1:15" ht="13">
      <c r="A799" s="342">
        <v>43</v>
      </c>
      <c r="B799" s="195"/>
      <c r="C799" s="581" t="s">
        <v>243</v>
      </c>
      <c r="D799" s="719" t="s">
        <v>1003</v>
      </c>
      <c r="E799" s="708" t="str">
        <f>'FR-16(7)(v)-1 Functional'!E799</f>
        <v>W669</v>
      </c>
      <c r="F799" s="642">
        <v>1</v>
      </c>
      <c r="G799" s="677">
        <f>ROUND(IF($F$304=0,0,G304/$F$304),5)</f>
        <v>0</v>
      </c>
      <c r="H799" s="678">
        <f>ROUND(IF($F$304=0,0,H304/$F$304),5)</f>
        <v>0</v>
      </c>
      <c r="I799" s="679">
        <f>ROUND(IF($F$304=0,0,I304/$F$304),5)</f>
        <v>0</v>
      </c>
      <c r="J799" s="731">
        <f>SUM(G799:I799)</f>
        <v>0</v>
      </c>
      <c r="K799" s="731">
        <f>F799-J799</f>
        <v>1</v>
      </c>
      <c r="O799" s="749">
        <f>SUM(G799:I799)</f>
        <v>0</v>
      </c>
    </row>
    <row r="800" spans="1:15" ht="13">
      <c r="A800" s="342">
        <v>44</v>
      </c>
      <c r="B800" s="195"/>
      <c r="C800" s="581" t="s">
        <v>244</v>
      </c>
      <c r="D800" s="719" t="s">
        <v>1003</v>
      </c>
      <c r="E800" s="708" t="str">
        <f>'FR-16(7)(v)-1 Functional'!E800</f>
        <v>W689</v>
      </c>
      <c r="F800" s="642">
        <v>1</v>
      </c>
      <c r="G800" s="677">
        <f>ROUND(IF($F$310=0,0,G310/$F$310),5)</f>
        <v>0</v>
      </c>
      <c r="H800" s="678">
        <f>ROUND(IF($F$310=0,0,H310/$F$310),5)</f>
        <v>0</v>
      </c>
      <c r="I800" s="679">
        <f>ROUND(IF($F$310=0,0,I310/$F$310),5)</f>
        <v>0</v>
      </c>
      <c r="J800" s="731">
        <f>SUM(G800:I800)</f>
        <v>0</v>
      </c>
      <c r="K800" s="731">
        <f>F800-J800</f>
        <v>1</v>
      </c>
      <c r="O800" s="749">
        <f>SUM(G800:I800)</f>
        <v>0</v>
      </c>
    </row>
    <row r="801" spans="1:15" ht="13">
      <c r="A801" s="342">
        <v>45</v>
      </c>
      <c r="B801" s="195"/>
      <c r="C801" s="581" t="s">
        <v>245</v>
      </c>
      <c r="D801" s="719" t="s">
        <v>1003</v>
      </c>
      <c r="E801" s="708" t="str">
        <f>'FR-16(7)(v)-1 Functional'!E801</f>
        <v>W729</v>
      </c>
      <c r="F801" s="642">
        <v>1</v>
      </c>
      <c r="G801" s="677">
        <f>ROUND(IF($F$313=0,0,G313/$F$313),5)</f>
        <v>0</v>
      </c>
      <c r="H801" s="678">
        <f>ROUND(IF($F$313=0,0,H313/$F$313),5)</f>
        <v>0</v>
      </c>
      <c r="I801" s="679">
        <f>ROUND(IF($F$313=0,0,I313/$F$313),5)</f>
        <v>0</v>
      </c>
      <c r="J801" s="731">
        <f>SUM(G801:I801)</f>
        <v>0</v>
      </c>
      <c r="K801" s="731">
        <f>F801-J801</f>
        <v>1</v>
      </c>
      <c r="O801" s="749">
        <f>SUM(G801:I801)</f>
        <v>0</v>
      </c>
    </row>
    <row r="802" spans="1:15" ht="13">
      <c r="A802" s="342">
        <v>46</v>
      </c>
      <c r="B802" s="195"/>
      <c r="C802" s="581" t="s">
        <v>246</v>
      </c>
      <c r="D802" s="719" t="s">
        <v>1003</v>
      </c>
      <c r="E802" s="708" t="str">
        <f>'FR-16(7)(v)-1 Functional'!E802</f>
        <v>W749</v>
      </c>
      <c r="F802" s="642">
        <v>1</v>
      </c>
      <c r="G802" s="677">
        <f>ROUND(IF($F$319=0,0,G319/$F$319),5)</f>
        <v>0</v>
      </c>
      <c r="H802" s="678">
        <f>ROUND(IF($F$319=0,0,H319/$F$319),5)</f>
        <v>0</v>
      </c>
      <c r="I802" s="679">
        <f>ROUND(IF($F$319=0,0,I319/$F$319),5)</f>
        <v>0</v>
      </c>
      <c r="J802" s="731">
        <f>SUM(G802:I802)</f>
        <v>0</v>
      </c>
      <c r="K802" s="731">
        <f>F802-J802</f>
        <v>1</v>
      </c>
      <c r="O802" s="749">
        <f>SUM(G802:I802)</f>
        <v>0</v>
      </c>
    </row>
    <row r="803" spans="1:15" ht="13">
      <c r="A803" s="342">
        <v>47</v>
      </c>
      <c r="B803" s="195"/>
      <c r="C803" s="581" t="s">
        <v>247</v>
      </c>
      <c r="D803" s="719" t="s">
        <v>1003</v>
      </c>
      <c r="E803" s="708" t="str">
        <f>'FR-16(7)(v)-1 Functional'!E803</f>
        <v>WC79</v>
      </c>
      <c r="F803" s="642">
        <v>1</v>
      </c>
      <c r="G803" s="701">
        <f>ROUND(IF($F$321=0,0,G321/$F$321),5)</f>
        <v>0</v>
      </c>
      <c r="H803" s="698">
        <f>ROUND(IF($F$321=0,0,H321/$F$321),5)</f>
        <v>0</v>
      </c>
      <c r="I803" s="699">
        <f>ROUND(IF($F$321=0,0,I321/$F$321),5)</f>
        <v>0</v>
      </c>
      <c r="J803" s="731">
        <f>SUM(G803:I803)</f>
        <v>0</v>
      </c>
      <c r="K803" s="731">
        <f>F803-J803</f>
        <v>1</v>
      </c>
      <c r="O803" s="749">
        <f>SUM(G803:I803)</f>
        <v>0</v>
      </c>
    </row>
    <row r="804" spans="1:15" ht="13">
      <c r="A804" s="342"/>
      <c r="B804" s="195"/>
      <c r="C804" s="195"/>
      <c r="D804" s="342"/>
      <c r="E804" s="723"/>
      <c r="F804" s="642"/>
      <c r="G804" s="731"/>
      <c r="H804" s="731"/>
      <c r="I804" s="731"/>
      <c r="J804" s="731"/>
      <c r="K804" s="731"/>
      <c r="O804" s="747"/>
    </row>
    <row r="805" spans="1:15" ht="13">
      <c r="A805" s="341" t="str">
        <f>co_name</f>
        <v>DUKE ENERGY KENTUCKY, INC.</v>
      </c>
      <c r="C805" s="195"/>
      <c r="D805" s="342"/>
      <c r="E805" s="195"/>
      <c r="F805" s="195"/>
      <c r="G805" s="195"/>
      <c r="H805" s="195"/>
      <c r="I805" s="195"/>
      <c r="J805" s="195" t="str">
        <f>$J$1</f>
        <v>FR-16(7)(v)-7</v>
      </c>
      <c r="K805" s="195"/>
      <c r="O805" s="748"/>
    </row>
    <row r="806" spans="1:15" ht="13">
      <c r="A806" s="341" t="str">
        <f>$A$2</f>
        <v>STORAGE CLASSIFIED -  GAS COST OF SERVICE</v>
      </c>
      <c r="C806" s="195"/>
      <c r="D806" s="342"/>
      <c r="E806" s="195"/>
      <c r="F806" s="195"/>
      <c r="G806" s="195"/>
      <c r="H806" s="195"/>
      <c r="I806" s="195"/>
      <c r="J806" s="195" t="str">
        <f>$J$2</f>
        <v>WITNESS RESPONSIBLE:</v>
      </c>
      <c r="K806" s="195"/>
      <c r="O806" s="748"/>
    </row>
    <row r="807" spans="1:15" ht="13">
      <c r="A807" s="341" t="str">
        <f>case_name</f>
        <v>CASE NO: 2021-00190</v>
      </c>
      <c r="C807" s="195"/>
      <c r="D807" s="342"/>
      <c r="E807" s="195"/>
      <c r="F807" s="195"/>
      <c r="G807" s="195"/>
      <c r="H807" s="195"/>
      <c r="I807" s="195"/>
      <c r="J807" s="195" t="str">
        <f>Witness</f>
        <v>JAMES E. ZIOLKOWSKI</v>
      </c>
      <c r="K807" s="195"/>
      <c r="O807" s="748"/>
    </row>
    <row r="808" spans="1:15" ht="13">
      <c r="A808" s="341" t="str">
        <f>data_filing</f>
        <v>DATA: 12 MONTH FORECASTED PERIOD</v>
      </c>
      <c r="C808" s="195"/>
      <c r="D808" s="342"/>
      <c r="E808" s="195"/>
      <c r="F808" s="195"/>
      <c r="G808" s="195"/>
      <c r="H808" s="195"/>
      <c r="I808" s="195"/>
      <c r="J808" s="195" t="str">
        <f>"PAGE "&amp;Pages&amp;" OF "&amp;Pages</f>
        <v>PAGE 18 OF 18</v>
      </c>
      <c r="K808" s="195"/>
      <c r="O808" s="748"/>
    </row>
    <row r="809" spans="1:15" ht="13">
      <c r="A809" s="341" t="str">
        <f>type</f>
        <v xml:space="preserve">TYPE OF FILING: "X" ORIGINAL   UPDATED    REVISED  </v>
      </c>
      <c r="C809" s="195"/>
      <c r="D809" s="342"/>
      <c r="E809" s="195"/>
      <c r="F809" s="195"/>
      <c r="G809" s="195"/>
      <c r="H809" s="195"/>
      <c r="I809" s="195"/>
      <c r="J809" s="195"/>
      <c r="K809" s="195"/>
      <c r="O809" s="748"/>
    </row>
    <row r="810" spans="1:15" ht="13">
      <c r="B810" s="195"/>
      <c r="E810" s="331"/>
      <c r="G810" s="541"/>
      <c r="H810" s="531"/>
      <c r="I810" s="532"/>
      <c r="O810" s="748"/>
    </row>
    <row r="811" spans="1:15" ht="13">
      <c r="B811" s="195"/>
      <c r="E811" s="331"/>
      <c r="G811" s="541"/>
      <c r="H811" s="531"/>
      <c r="I811" s="532"/>
      <c r="O811" s="748"/>
    </row>
    <row r="812" spans="1:15" ht="13">
      <c r="A812" s="342" t="s">
        <v>907</v>
      </c>
      <c r="B812" s="195"/>
      <c r="C812" s="195"/>
      <c r="D812" s="342"/>
      <c r="E812" s="342"/>
      <c r="F812" s="342" t="str">
        <f>$F$8</f>
        <v>TOTAL</v>
      </c>
      <c r="G812" s="651" t="s">
        <v>995</v>
      </c>
      <c r="H812" s="647"/>
      <c r="I812" s="648"/>
      <c r="J812" s="342" t="s">
        <v>229</v>
      </c>
      <c r="K812" s="342" t="s">
        <v>342</v>
      </c>
      <c r="O812" s="747"/>
    </row>
    <row r="813" spans="1:15" ht="13">
      <c r="A813" s="344" t="s">
        <v>908</v>
      </c>
      <c r="B813" s="584" t="s">
        <v>89</v>
      </c>
      <c r="C813" s="343"/>
      <c r="D813" s="585" t="s">
        <v>1001</v>
      </c>
      <c r="E813" s="585" t="s">
        <v>337</v>
      </c>
      <c r="F813" s="344" t="str">
        <f>$F$9</f>
        <v>STORAGE</v>
      </c>
      <c r="G813" s="652" t="s">
        <v>840</v>
      </c>
      <c r="H813" s="649" t="s">
        <v>841</v>
      </c>
      <c r="I813" s="650" t="s">
        <v>842</v>
      </c>
      <c r="J813" s="344" t="s">
        <v>341</v>
      </c>
      <c r="K813" s="344" t="s">
        <v>340</v>
      </c>
      <c r="O813" s="747"/>
    </row>
    <row r="814" spans="1:15" ht="13">
      <c r="C814" s="839" t="s">
        <v>1036</v>
      </c>
      <c r="E814" s="627">
        <v>1</v>
      </c>
      <c r="F814" s="627">
        <v>2</v>
      </c>
      <c r="G814" s="793">
        <f>$G$10</f>
        <v>3</v>
      </c>
      <c r="H814" s="794">
        <f>$H$10</f>
        <v>4</v>
      </c>
      <c r="I814" s="795">
        <f>$I$10</f>
        <v>5</v>
      </c>
      <c r="O814" s="748"/>
    </row>
    <row r="815" spans="1:15" ht="13">
      <c r="A815" s="342">
        <v>1</v>
      </c>
      <c r="B815" s="581" t="s">
        <v>25</v>
      </c>
      <c r="C815" s="195"/>
      <c r="D815" s="342"/>
      <c r="E815" s="723"/>
      <c r="F815" s="642"/>
      <c r="G815" s="560"/>
      <c r="H815" s="561"/>
      <c r="I815" s="562"/>
      <c r="J815" s="731"/>
      <c r="K815" s="731"/>
      <c r="O815" s="747"/>
    </row>
    <row r="816" spans="1:15" ht="13">
      <c r="A816" s="342">
        <v>2</v>
      </c>
      <c r="B816" s="195"/>
      <c r="C816" s="581" t="s">
        <v>248</v>
      </c>
      <c r="D816" s="719" t="s">
        <v>1003</v>
      </c>
      <c r="E816" s="708" t="str">
        <f>'FR-16(7)(v)-1 Functional'!E816</f>
        <v>RB29</v>
      </c>
      <c r="F816" s="642">
        <v>1</v>
      </c>
      <c r="G816" s="560">
        <f>ROUND(IF($F$296=0,0,G296/$F$296),5)</f>
        <v>0</v>
      </c>
      <c r="H816" s="561">
        <f>ROUND(IF($F$296=0,0,H296/$F$296),5)</f>
        <v>0</v>
      </c>
      <c r="I816" s="562">
        <f>ROUND(IF($F$296=0,0,I296/$F$296),5)</f>
        <v>0</v>
      </c>
      <c r="J816" s="731">
        <f>SUM(G816:I816)</f>
        <v>0</v>
      </c>
      <c r="K816" s="731">
        <f>F816-J816</f>
        <v>1</v>
      </c>
      <c r="O816" s="749">
        <f>SUM(G816:I816)</f>
        <v>0</v>
      </c>
    </row>
    <row r="817" spans="1:15" ht="13">
      <c r="A817" s="342">
        <v>3</v>
      </c>
      <c r="B817" s="195"/>
      <c r="C817" s="581" t="s">
        <v>249</v>
      </c>
      <c r="D817" s="719" t="s">
        <v>1003</v>
      </c>
      <c r="E817" s="708" t="str">
        <f>'FR-16(7)(v)-1 Functional'!E817</f>
        <v>RB99</v>
      </c>
      <c r="F817" s="642">
        <v>1</v>
      </c>
      <c r="G817" s="560">
        <f>ROUND(IF($F$331=0,0,G331/$F$331),5)</f>
        <v>0</v>
      </c>
      <c r="H817" s="561">
        <f>ROUND(IF($F$331=0,0,H331/$F$331),5)</f>
        <v>0</v>
      </c>
      <c r="I817" s="562">
        <f>ROUND(IF($F$331=0,0,I331/$F$331),5)</f>
        <v>0</v>
      </c>
      <c r="J817" s="731">
        <f>SUM(G817:I817)</f>
        <v>0</v>
      </c>
      <c r="K817" s="731">
        <f>F817-J817</f>
        <v>1</v>
      </c>
      <c r="O817" s="749">
        <f>SUM(G817:I817)</f>
        <v>0</v>
      </c>
    </row>
    <row r="818" spans="1:15" ht="13">
      <c r="A818" s="342">
        <v>4</v>
      </c>
      <c r="B818" s="195"/>
      <c r="C818" s="581" t="s">
        <v>383</v>
      </c>
      <c r="D818" s="719" t="s">
        <v>1003</v>
      </c>
      <c r="E818" s="708" t="str">
        <f>'FR-16(7)(v)-1 Functional'!E818</f>
        <v>CW29</v>
      </c>
      <c r="F818" s="642">
        <v>0</v>
      </c>
      <c r="G818" s="804">
        <v>0</v>
      </c>
      <c r="H818" s="805">
        <v>0</v>
      </c>
      <c r="I818" s="806">
        <v>0</v>
      </c>
      <c r="J818" s="645">
        <f>SUM(G818:I818)</f>
        <v>0</v>
      </c>
      <c r="K818" s="645">
        <f>F818-J818</f>
        <v>0</v>
      </c>
      <c r="O818" s="749">
        <f>SUM(G818:I818)</f>
        <v>0</v>
      </c>
    </row>
    <row r="819" spans="1:15" ht="13">
      <c r="A819" s="342">
        <v>5</v>
      </c>
      <c r="B819" s="629"/>
      <c r="C819" s="366"/>
      <c r="D819" s="579"/>
      <c r="E819" s="743"/>
      <c r="F819" s="644"/>
      <c r="G819" s="807"/>
      <c r="H819" s="808"/>
      <c r="I819" s="809"/>
      <c r="J819" s="631"/>
      <c r="K819" s="631"/>
      <c r="O819" s="747"/>
    </row>
    <row r="820" spans="1:15" ht="13">
      <c r="A820" s="342">
        <v>6</v>
      </c>
      <c r="B820" s="591" t="s">
        <v>1011</v>
      </c>
      <c r="C820" s="628"/>
      <c r="D820" s="713"/>
      <c r="E820" s="739"/>
      <c r="F820" s="645"/>
      <c r="G820" s="810"/>
      <c r="H820" s="811"/>
      <c r="I820" s="812"/>
      <c r="J820" s="635"/>
      <c r="K820" s="635"/>
      <c r="O820" s="747"/>
    </row>
    <row r="821" spans="1:15" ht="13">
      <c r="A821" s="342">
        <v>7</v>
      </c>
      <c r="B821" s="195"/>
      <c r="C821" s="581" t="s">
        <v>1006</v>
      </c>
      <c r="D821" s="719" t="s">
        <v>1003</v>
      </c>
      <c r="E821" s="708" t="str">
        <f>'FR-16(7)(v)-1 Functional'!E821</f>
        <v>P349</v>
      </c>
      <c r="F821" s="642">
        <v>1</v>
      </c>
      <c r="G821" s="560">
        <f>ROUND(IF($F$350=0,0,G350/$F$350),5)</f>
        <v>0</v>
      </c>
      <c r="H821" s="561">
        <f>ROUND(IF($F$350=0,0,H350/$F$350),5)</f>
        <v>0</v>
      </c>
      <c r="I821" s="562">
        <f>ROUND(IF($F$350=0,0,I350/$F$350),5)</f>
        <v>0</v>
      </c>
      <c r="J821" s="731">
        <f t="shared" ref="J821:J828" si="177">SUM(G821:I821)</f>
        <v>0</v>
      </c>
      <c r="K821" s="731">
        <f t="shared" ref="K821:K828" si="178">F821-J821</f>
        <v>1</v>
      </c>
      <c r="O821" s="749">
        <f>SUM(G821:I821)</f>
        <v>0</v>
      </c>
    </row>
    <row r="822" spans="1:15" ht="13">
      <c r="A822" s="342">
        <v>8</v>
      </c>
      <c r="B822" s="195"/>
      <c r="C822" s="581" t="s">
        <v>264</v>
      </c>
      <c r="D822" s="719" t="s">
        <v>1003</v>
      </c>
      <c r="E822" s="708" t="str">
        <f>'FR-16(7)(v)-1 Functional'!E822</f>
        <v>P459</v>
      </c>
      <c r="F822" s="642">
        <v>1</v>
      </c>
      <c r="G822" s="560">
        <f>ROUND(IF($F$360=0,0,G360/$F$360),5)</f>
        <v>0</v>
      </c>
      <c r="H822" s="561">
        <f>ROUND(IF($F$360=0,0,H360/$F$360),5)</f>
        <v>0</v>
      </c>
      <c r="I822" s="562">
        <f>ROUND(IF($F$360=0,0,I360/$F$360),5)</f>
        <v>0</v>
      </c>
      <c r="J822" s="731">
        <f t="shared" si="177"/>
        <v>0</v>
      </c>
      <c r="K822" s="731">
        <f t="shared" si="178"/>
        <v>1</v>
      </c>
      <c r="O822" s="749">
        <f>SUM(G822:I822)</f>
        <v>0</v>
      </c>
    </row>
    <row r="823" spans="1:15" ht="13">
      <c r="A823" s="342">
        <v>9</v>
      </c>
      <c r="B823" s="195"/>
      <c r="C823" s="581" t="s">
        <v>250</v>
      </c>
      <c r="D823" s="719" t="s">
        <v>1003</v>
      </c>
      <c r="E823" s="708" t="str">
        <f>'FR-16(7)(v)-1 Functional'!E823</f>
        <v>D349</v>
      </c>
      <c r="F823" s="642">
        <v>1</v>
      </c>
      <c r="G823" s="560">
        <f>ROUND(IF($F$378=0,0,G378/$F$378),5)</f>
        <v>0</v>
      </c>
      <c r="H823" s="561">
        <f>ROUND(IF($F$378=0,0,H378/$F$378),5)</f>
        <v>0</v>
      </c>
      <c r="I823" s="562">
        <f>1-SUM(G823:H823)</f>
        <v>1</v>
      </c>
      <c r="J823" s="731">
        <f t="shared" si="177"/>
        <v>1</v>
      </c>
      <c r="K823" s="731">
        <f t="shared" si="178"/>
        <v>0</v>
      </c>
      <c r="O823" s="749">
        <f>SUM(G823:I823)</f>
        <v>1</v>
      </c>
    </row>
    <row r="824" spans="1:15" ht="13">
      <c r="A824" s="342">
        <v>10</v>
      </c>
      <c r="B824" s="195"/>
      <c r="C824" s="581" t="s">
        <v>251</v>
      </c>
      <c r="D824" s="719" t="s">
        <v>1003</v>
      </c>
      <c r="E824" s="708" t="str">
        <f>'FR-16(7)(v)-1 Functional'!E824</f>
        <v>CA19</v>
      </c>
      <c r="F824" s="642">
        <v>1</v>
      </c>
      <c r="G824" s="560">
        <f>ROUND(IF($F$389=0,0,G389/$F$389),5)</f>
        <v>0</v>
      </c>
      <c r="H824" s="561">
        <f>ROUND(IF($F$389=0,0,H389/$F$389),5)</f>
        <v>0</v>
      </c>
      <c r="I824" s="562">
        <f>1-SUM(G824:H824)</f>
        <v>1</v>
      </c>
      <c r="J824" s="731">
        <f t="shared" si="177"/>
        <v>1</v>
      </c>
      <c r="K824" s="731">
        <f t="shared" si="178"/>
        <v>0</v>
      </c>
      <c r="O824" s="749">
        <f>SUM(G824:I824)</f>
        <v>1</v>
      </c>
    </row>
    <row r="825" spans="1:15" ht="13">
      <c r="A825" s="342">
        <v>11</v>
      </c>
      <c r="B825" s="195"/>
      <c r="C825" s="581" t="s">
        <v>1009</v>
      </c>
      <c r="D825" s="719" t="s">
        <v>1003</v>
      </c>
      <c r="E825" s="708" t="str">
        <f>'FR-16(7)(v)-1 Functional'!E825</f>
        <v>CS19</v>
      </c>
      <c r="F825" s="642">
        <v>1</v>
      </c>
      <c r="G825" s="560">
        <f>ROUND(IF($F$403=0,0,G403/$F$403),5)</f>
        <v>0</v>
      </c>
      <c r="H825" s="561">
        <f>ROUND(IF($F$403=0,0,H403/$F$403),5)</f>
        <v>0</v>
      </c>
      <c r="I825" s="562">
        <f>1-SUM(G825:H825)</f>
        <v>1</v>
      </c>
      <c r="J825" s="731">
        <f t="shared" si="177"/>
        <v>1</v>
      </c>
      <c r="K825" s="731">
        <f t="shared" si="178"/>
        <v>0</v>
      </c>
      <c r="O825" s="749"/>
    </row>
    <row r="826" spans="1:15" ht="13">
      <c r="A826" s="342">
        <v>12</v>
      </c>
      <c r="B826" s="195"/>
      <c r="C826" s="581" t="s">
        <v>252</v>
      </c>
      <c r="D826" s="719" t="s">
        <v>1003</v>
      </c>
      <c r="E826" s="708" t="str">
        <f>'FR-16(7)(v)-1 Functional'!E826</f>
        <v>SE19</v>
      </c>
      <c r="F826" s="642">
        <v>1</v>
      </c>
      <c r="G826" s="560">
        <f>ROUND(IF($F$407=0,0,G407/$F$407),5)</f>
        <v>0</v>
      </c>
      <c r="H826" s="561">
        <f>ROUND(IF($F$407=0,0,H407/$F$407),5)</f>
        <v>0</v>
      </c>
      <c r="I826" s="562">
        <f>ROUND(IF($F$407=0,0,I407/$F$407),5)</f>
        <v>0</v>
      </c>
      <c r="J826" s="731">
        <f t="shared" si="177"/>
        <v>0</v>
      </c>
      <c r="K826" s="731">
        <f t="shared" si="178"/>
        <v>1</v>
      </c>
      <c r="O826" s="749">
        <f>SUM(G826:I826)</f>
        <v>0</v>
      </c>
    </row>
    <row r="827" spans="1:15" ht="13">
      <c r="A827" s="342">
        <v>13</v>
      </c>
      <c r="B827" s="195"/>
      <c r="C827" s="581" t="s">
        <v>253</v>
      </c>
      <c r="D827" s="719" t="s">
        <v>1003</v>
      </c>
      <c r="E827" s="708" t="str">
        <f>'FR-16(7)(v)-1 Functional'!E827</f>
        <v>AG39</v>
      </c>
      <c r="F827" s="642">
        <v>1</v>
      </c>
      <c r="G827" s="560">
        <f>ROUND(IF($F$416=0,0,G416/$F$416),5)</f>
        <v>0</v>
      </c>
      <c r="H827" s="561">
        <f>ROUND(IF($F$416=0,0,H416/$F$416),5)</f>
        <v>0</v>
      </c>
      <c r="I827" s="562">
        <f>1-SUM(G827:H827)</f>
        <v>1</v>
      </c>
      <c r="J827" s="731">
        <f t="shared" si="177"/>
        <v>1</v>
      </c>
      <c r="K827" s="731">
        <f t="shared" si="178"/>
        <v>0</v>
      </c>
      <c r="O827" s="749">
        <f>SUM(G827:I827)</f>
        <v>1</v>
      </c>
    </row>
    <row r="828" spans="1:15" ht="13">
      <c r="A828" s="342">
        <v>14</v>
      </c>
      <c r="B828" s="195"/>
      <c r="C828" s="581" t="s">
        <v>254</v>
      </c>
      <c r="D828" s="719" t="s">
        <v>1003</v>
      </c>
      <c r="E828" s="708" t="str">
        <f>'FR-16(7)(v)-1 Functional'!E828</f>
        <v>OM39</v>
      </c>
      <c r="F828" s="642">
        <v>1</v>
      </c>
      <c r="G828" s="560">
        <f>ROUND(IF($F$433=0,0,G433/$F$433),5)</f>
        <v>0</v>
      </c>
      <c r="H828" s="561">
        <f>ROUND(IF($F$433=0,0,H433/$F$433),5)</f>
        <v>0</v>
      </c>
      <c r="I828" s="562">
        <f>1-SUM(G828:H828)</f>
        <v>1</v>
      </c>
      <c r="J828" s="731">
        <f t="shared" si="177"/>
        <v>1</v>
      </c>
      <c r="K828" s="731">
        <f t="shared" si="178"/>
        <v>0</v>
      </c>
      <c r="O828" s="749">
        <f>SUM(G828:I828)</f>
        <v>1</v>
      </c>
    </row>
    <row r="829" spans="1:15" ht="13">
      <c r="A829" s="342">
        <v>15</v>
      </c>
      <c r="B829" s="195"/>
      <c r="C829" s="195"/>
      <c r="D829" s="342"/>
      <c r="E829" s="723"/>
      <c r="F829" s="642"/>
      <c r="G829" s="560"/>
      <c r="H829" s="561"/>
      <c r="I829" s="562"/>
      <c r="J829" s="731"/>
      <c r="K829" s="731"/>
      <c r="O829" s="747"/>
    </row>
    <row r="830" spans="1:15" ht="13">
      <c r="A830" s="342">
        <v>16</v>
      </c>
      <c r="B830" s="581" t="s">
        <v>97</v>
      </c>
      <c r="C830" s="195"/>
      <c r="D830" s="342"/>
      <c r="E830" s="723"/>
      <c r="F830" s="642"/>
      <c r="G830" s="560"/>
      <c r="H830" s="561"/>
      <c r="I830" s="562"/>
      <c r="J830" s="731"/>
      <c r="K830" s="731"/>
      <c r="O830" s="747"/>
    </row>
    <row r="831" spans="1:15" ht="13">
      <c r="A831" s="342">
        <v>17</v>
      </c>
      <c r="B831" s="195"/>
      <c r="C831" s="581" t="s">
        <v>255</v>
      </c>
      <c r="D831" s="719" t="s">
        <v>1003</v>
      </c>
      <c r="E831" s="708" t="str">
        <f>'FR-16(7)(v)-1 Functional'!E831</f>
        <v>P489</v>
      </c>
      <c r="F831" s="642">
        <v>1</v>
      </c>
      <c r="G831" s="560">
        <f>ROUND(IF($F$447=0,0,G447/$F$447),5)</f>
        <v>0</v>
      </c>
      <c r="H831" s="561">
        <f>ROUND(IF($F$447=0,0,H447/$F$447),5)</f>
        <v>0</v>
      </c>
      <c r="I831" s="562">
        <f>ROUND(IF($F$447=0,0,I447/$F$447),5)</f>
        <v>0</v>
      </c>
      <c r="J831" s="731">
        <f>SUM(G831:I831)</f>
        <v>0</v>
      </c>
      <c r="K831" s="731">
        <f>F831-J831</f>
        <v>1</v>
      </c>
      <c r="O831" s="749">
        <f>SUM(G831:I831)</f>
        <v>0</v>
      </c>
    </row>
    <row r="832" spans="1:15" ht="13">
      <c r="A832" s="342">
        <v>18</v>
      </c>
      <c r="B832" s="195"/>
      <c r="C832" s="581" t="s">
        <v>256</v>
      </c>
      <c r="D832" s="719" t="s">
        <v>1003</v>
      </c>
      <c r="E832" s="708" t="str">
        <f>'FR-16(7)(v)-1 Functional'!E832</f>
        <v>D489</v>
      </c>
      <c r="F832" s="642">
        <v>1</v>
      </c>
      <c r="G832" s="560">
        <f>ROUND(IF($F$454=0,0,G454/$F$454),5)</f>
        <v>0</v>
      </c>
      <c r="H832" s="561">
        <f>ROUND(IF($F$454=0,0,H454/$F$454),5)</f>
        <v>0</v>
      </c>
      <c r="I832" s="562">
        <f>1-SUM(G832:H832)</f>
        <v>1</v>
      </c>
      <c r="J832" s="731">
        <f>SUM(G832:I832)</f>
        <v>1</v>
      </c>
      <c r="K832" s="731">
        <f>F832-J832</f>
        <v>0</v>
      </c>
      <c r="O832" s="749">
        <f>SUM(G832:I832)</f>
        <v>1</v>
      </c>
    </row>
    <row r="833" spans="1:15" ht="13">
      <c r="A833" s="342">
        <v>19</v>
      </c>
      <c r="B833" s="195"/>
      <c r="C833" s="581" t="s">
        <v>257</v>
      </c>
      <c r="D833" s="719" t="s">
        <v>1003</v>
      </c>
      <c r="E833" s="708" t="str">
        <f>'FR-16(7)(v)-1 Functional'!E833</f>
        <v>G489</v>
      </c>
      <c r="F833" s="642">
        <v>1</v>
      </c>
      <c r="G833" s="560">
        <f>ROUND(IF($F$458=0,0,G458/$F$458),5)</f>
        <v>0</v>
      </c>
      <c r="H833" s="561">
        <f>ROUND(IF($F$458=0,0,H458/$F$458),5)</f>
        <v>0</v>
      </c>
      <c r="I833" s="562">
        <f>1-SUM(G833:H833)</f>
        <v>1</v>
      </c>
      <c r="J833" s="731">
        <f>SUM(G833:I833)</f>
        <v>1</v>
      </c>
      <c r="K833" s="731">
        <f>F833-J833</f>
        <v>0</v>
      </c>
      <c r="O833" s="749">
        <f>SUM(G833:I833)</f>
        <v>1</v>
      </c>
    </row>
    <row r="834" spans="1:15" ht="13">
      <c r="A834" s="342">
        <v>20</v>
      </c>
      <c r="B834" s="195"/>
      <c r="C834" s="581" t="s">
        <v>258</v>
      </c>
      <c r="D834" s="719" t="s">
        <v>1003</v>
      </c>
      <c r="E834" s="708" t="str">
        <f>'FR-16(7)(v)-1 Functional'!E834</f>
        <v>C489</v>
      </c>
      <c r="F834" s="642">
        <v>1</v>
      </c>
      <c r="G834" s="560">
        <f>ROUND(IF($F$462=0,0,G462/$F$462),5)</f>
        <v>0</v>
      </c>
      <c r="H834" s="561">
        <f>ROUND(IF($F$462=0,0,H462/$F$462),5)</f>
        <v>0</v>
      </c>
      <c r="I834" s="562">
        <f>1-SUM(G834:H834)</f>
        <v>1</v>
      </c>
      <c r="J834" s="731">
        <f>SUM(G834:I834)</f>
        <v>1</v>
      </c>
      <c r="K834" s="731">
        <f>F834-J834</f>
        <v>0</v>
      </c>
      <c r="O834" s="749">
        <f>SUM(G834:I834)</f>
        <v>1</v>
      </c>
    </row>
    <row r="835" spans="1:15" ht="13">
      <c r="A835" s="342">
        <v>21</v>
      </c>
      <c r="B835" s="195"/>
      <c r="C835" s="581" t="s">
        <v>259</v>
      </c>
      <c r="D835" s="719" t="s">
        <v>1003</v>
      </c>
      <c r="E835" s="708" t="str">
        <f>'FR-16(7)(v)-1 Functional'!E835</f>
        <v>DE49</v>
      </c>
      <c r="F835" s="642">
        <v>1</v>
      </c>
      <c r="G835" s="560">
        <f>ROUND(IF($F$465=0,0,G465/$F$465),5)</f>
        <v>0</v>
      </c>
      <c r="H835" s="561">
        <f>ROUND(IF($F$465=0,0,H465/$F$465),5)</f>
        <v>0</v>
      </c>
      <c r="I835" s="562">
        <f>1-SUM(G835:H835)</f>
        <v>1</v>
      </c>
      <c r="J835" s="731">
        <f>SUM(G835:I835)</f>
        <v>1</v>
      </c>
      <c r="K835" s="731">
        <f>F835-J835</f>
        <v>0</v>
      </c>
      <c r="O835" s="749">
        <f>SUM(G835:I835)</f>
        <v>1</v>
      </c>
    </row>
    <row r="836" spans="1:15" ht="13">
      <c r="A836" s="342">
        <v>22</v>
      </c>
      <c r="B836" s="195"/>
      <c r="C836" s="195"/>
      <c r="D836" s="342"/>
      <c r="E836" s="723"/>
      <c r="F836" s="646"/>
      <c r="G836" s="541"/>
      <c r="H836" s="531"/>
      <c r="I836" s="532"/>
      <c r="J836" s="526"/>
      <c r="K836" s="526"/>
      <c r="O836" s="747"/>
    </row>
    <row r="837" spans="1:15" ht="13">
      <c r="A837" s="342">
        <v>23</v>
      </c>
      <c r="B837" s="581" t="s">
        <v>62</v>
      </c>
      <c r="C837" s="195"/>
      <c r="D837" s="342"/>
      <c r="E837" s="723"/>
      <c r="F837" s="487"/>
      <c r="G837" s="542"/>
      <c r="H837" s="533"/>
      <c r="I837" s="534"/>
      <c r="J837" s="664"/>
      <c r="K837" s="664"/>
      <c r="O837" s="747"/>
    </row>
    <row r="838" spans="1:15" ht="13">
      <c r="A838" s="342">
        <v>24</v>
      </c>
      <c r="B838" s="195"/>
      <c r="C838" s="581" t="s">
        <v>260</v>
      </c>
      <c r="D838" s="719" t="s">
        <v>1003</v>
      </c>
      <c r="E838" s="708" t="str">
        <f>'FR-16(7)(v)-1 Functional'!E838</f>
        <v>L529</v>
      </c>
      <c r="F838" s="642">
        <v>1</v>
      </c>
      <c r="G838" s="560">
        <f>ROUND(IF($F$481=0,0,$G$481/$F$481),5)</f>
        <v>0</v>
      </c>
      <c r="H838" s="561">
        <f>ROUND(IF($F$481=0,0,$H$481/$F$481),5)</f>
        <v>0</v>
      </c>
      <c r="I838" s="562">
        <f>1-SUM(G838:H838)</f>
        <v>1</v>
      </c>
      <c r="J838" s="731">
        <f>SUM(G838:I838)</f>
        <v>1</v>
      </c>
      <c r="K838" s="731">
        <f>F838-J838</f>
        <v>0</v>
      </c>
      <c r="O838" s="749">
        <f>SUM(G838:I838)</f>
        <v>1</v>
      </c>
    </row>
    <row r="839" spans="1:15" ht="13">
      <c r="A839" s="342">
        <v>25</v>
      </c>
      <c r="B839" s="195"/>
      <c r="C839" s="581" t="s">
        <v>261</v>
      </c>
      <c r="D839" s="719" t="s">
        <v>1003</v>
      </c>
      <c r="E839" s="708" t="str">
        <f>'FR-16(7)(v)-1 Functional'!E839</f>
        <v>L589</v>
      </c>
      <c r="F839" s="642">
        <v>1</v>
      </c>
      <c r="G839" s="560">
        <f>ROUND(IF($F$488=0,0,$G$488/$F$488),5)</f>
        <v>0</v>
      </c>
      <c r="H839" s="561">
        <f>ROUND(IF($F$488=0,0,$H$488/$F$488),5)</f>
        <v>0</v>
      </c>
      <c r="I839" s="562">
        <f>1-SUM(G839:H839)</f>
        <v>1</v>
      </c>
      <c r="J839" s="731">
        <f>SUM(G839:I839)</f>
        <v>1</v>
      </c>
      <c r="K839" s="731">
        <f>F839-J839</f>
        <v>0</v>
      </c>
      <c r="O839" s="749">
        <f>SUM(G839:I839)</f>
        <v>1</v>
      </c>
    </row>
    <row r="840" spans="1:15" ht="13">
      <c r="A840" s="342">
        <v>26</v>
      </c>
      <c r="B840" s="195"/>
      <c r="C840" s="581" t="s">
        <v>262</v>
      </c>
      <c r="D840" s="719" t="s">
        <v>1003</v>
      </c>
      <c r="E840" s="708" t="str">
        <f>'FR-16(7)(v)-1 Functional'!E840</f>
        <v>L599</v>
      </c>
      <c r="F840" s="642">
        <v>1</v>
      </c>
      <c r="G840" s="560">
        <f>ROUND(IF($F$500=0,0,$G$500/$F$500),5)</f>
        <v>0</v>
      </c>
      <c r="H840" s="561">
        <f>ROUND(IF($F$500=0,0,$H$500/$F$500),5)</f>
        <v>0</v>
      </c>
      <c r="I840" s="562">
        <f>1-SUM(G840:H840)</f>
        <v>1</v>
      </c>
      <c r="J840" s="731">
        <f>SUM(G840:I840)</f>
        <v>1</v>
      </c>
      <c r="K840" s="731">
        <f>F840-J840</f>
        <v>0</v>
      </c>
      <c r="O840" s="749">
        <f>SUM(G840:I840)</f>
        <v>1</v>
      </c>
    </row>
    <row r="841" spans="1:15" ht="13">
      <c r="A841" s="342">
        <v>27</v>
      </c>
      <c r="B841" s="195"/>
      <c r="C841" s="581" t="s">
        <v>263</v>
      </c>
      <c r="D841" s="719" t="s">
        <v>1003</v>
      </c>
      <c r="E841" s="708" t="str">
        <f>'FR-16(7)(v)-1 Functional'!E841</f>
        <v>OP69</v>
      </c>
      <c r="F841" s="642">
        <v>1</v>
      </c>
      <c r="G841" s="560">
        <f>ROUND(IF($F$501=0,0,$G$501/$F$501),5)</f>
        <v>0</v>
      </c>
      <c r="H841" s="561">
        <f>ROUND(IF($F$501=0,0,$H$501/$F$501),5)</f>
        <v>0</v>
      </c>
      <c r="I841" s="562">
        <f>1-SUM(G841:H841)</f>
        <v>1</v>
      </c>
      <c r="J841" s="731">
        <f>SUM(G841:I841)</f>
        <v>1</v>
      </c>
      <c r="K841" s="731">
        <f>F841-J841</f>
        <v>0</v>
      </c>
      <c r="O841" s="749">
        <f>SUM(G841:I841)</f>
        <v>1</v>
      </c>
    </row>
    <row r="842" spans="1:15" ht="13">
      <c r="A842" s="342">
        <v>28</v>
      </c>
      <c r="B842" s="195"/>
      <c r="C842" s="195"/>
      <c r="D842" s="342"/>
      <c r="E842" s="723"/>
      <c r="F842" s="642"/>
      <c r="G842" s="560"/>
      <c r="H842" s="561"/>
      <c r="I842" s="562"/>
      <c r="J842" s="731"/>
      <c r="K842" s="731"/>
      <c r="O842" s="747"/>
    </row>
    <row r="843" spans="1:15" ht="13">
      <c r="A843" s="342">
        <v>29</v>
      </c>
      <c r="B843" s="581" t="s">
        <v>1157</v>
      </c>
      <c r="C843" s="195"/>
      <c r="D843" s="342"/>
      <c r="E843" s="723"/>
      <c r="F843" s="642"/>
      <c r="G843" s="560"/>
      <c r="H843" s="561"/>
      <c r="I843" s="562"/>
      <c r="J843" s="731"/>
      <c r="K843" s="731"/>
      <c r="O843" s="747"/>
    </row>
    <row r="844" spans="1:15" ht="13.5" thickBot="1">
      <c r="A844" s="342">
        <v>30</v>
      </c>
      <c r="B844" s="195"/>
      <c r="C844" s="581" t="s">
        <v>1031</v>
      </c>
      <c r="D844" s="719" t="s">
        <v>1003</v>
      </c>
      <c r="E844" s="708" t="str">
        <f>'FR-16(7)(v)-1 Functional'!E844</f>
        <v>CS09</v>
      </c>
      <c r="F844" s="642">
        <v>1</v>
      </c>
      <c r="G844" s="569" t="e">
        <f ca="1">ROUND(IF($F$647=0,0,G647/$F$647),5)</f>
        <v>#N/A</v>
      </c>
      <c r="H844" s="570" t="e">
        <f ca="1">ROUND(IF($F$647=0,0,H647/$F$647),5)</f>
        <v>#N/A</v>
      </c>
      <c r="I844" s="571" t="e">
        <f ca="1">1-SUM(G844:H844)</f>
        <v>#N/A</v>
      </c>
      <c r="J844" s="733" t="e">
        <f ca="1">SUM(G844:I844)</f>
        <v>#N/A</v>
      </c>
      <c r="K844" s="731" t="e">
        <f ca="1">F844-J844</f>
        <v>#N/A</v>
      </c>
      <c r="O844" s="754" t="e">
        <f ca="1">SUM(G844:I844)</f>
        <v>#N/A</v>
      </c>
    </row>
    <row r="848" spans="1:15" ht="13">
      <c r="A848" s="342">
        <v>1</v>
      </c>
      <c r="B848" s="611" t="s">
        <v>91</v>
      </c>
      <c r="C848" s="612"/>
      <c r="D848" s="721"/>
      <c r="E848" s="714"/>
      <c r="F848" s="348"/>
      <c r="G848" s="345"/>
      <c r="J848" s="351"/>
      <c r="K848" s="351"/>
    </row>
    <row r="849" spans="1:11" ht="13">
      <c r="A849" s="342">
        <v>2</v>
      </c>
      <c r="B849" s="613"/>
      <c r="C849" s="614" t="s">
        <v>227</v>
      </c>
      <c r="D849" s="722"/>
      <c r="E849" s="715" t="s">
        <v>297</v>
      </c>
      <c r="F849" s="471">
        <f>ROUND(0.06889*0,0)</f>
        <v>0</v>
      </c>
      <c r="G849" s="609">
        <f t="shared" ref="G849:G854" si="179">ROUND(F849*VLOOKUP(E849,AllocTable_Classified_Storage,$H$10,FALSE),0)</f>
        <v>0</v>
      </c>
      <c r="H849" s="609">
        <f t="shared" ref="H849:H854" si="180">ROUND(F849*VLOOKUP(E849,AllocTable_Classified_Storage,$H$10,FALSE),0)</f>
        <v>0</v>
      </c>
      <c r="I849" s="609">
        <f t="shared" ref="I849:I854" si="181">ROUND(F849*VLOOKUP(E849,AllocTable_Classified_Storage,$I$10,FALSE),0)</f>
        <v>0</v>
      </c>
      <c r="J849" s="731">
        <f t="shared" ref="J849:J854" si="182">SUM(G849:I849)</f>
        <v>0</v>
      </c>
      <c r="K849" s="731">
        <f t="shared" ref="K849:K854" si="183">F849-J849</f>
        <v>0</v>
      </c>
    </row>
    <row r="850" spans="1:11" ht="13">
      <c r="A850" s="342">
        <v>3</v>
      </c>
      <c r="B850" s="612"/>
      <c r="C850" s="291" t="s">
        <v>228</v>
      </c>
      <c r="D850" s="716"/>
      <c r="E850" s="716" t="s">
        <v>300</v>
      </c>
      <c r="F850" s="488">
        <v>0</v>
      </c>
      <c r="G850" s="609" t="e">
        <f t="shared" ca="1" si="179"/>
        <v>#N/A</v>
      </c>
      <c r="H850" s="609" t="e">
        <f t="shared" ca="1" si="180"/>
        <v>#N/A</v>
      </c>
      <c r="I850" s="609" t="e">
        <f t="shared" ca="1" si="181"/>
        <v>#N/A</v>
      </c>
      <c r="J850" s="731" t="e">
        <f t="shared" ca="1" si="182"/>
        <v>#N/A</v>
      </c>
      <c r="K850" s="731" t="e">
        <f t="shared" ca="1" si="183"/>
        <v>#N/A</v>
      </c>
    </row>
    <row r="851" spans="1:11" ht="13">
      <c r="A851" s="342">
        <v>4</v>
      </c>
      <c r="B851" s="612"/>
      <c r="C851" s="291" t="s">
        <v>427</v>
      </c>
      <c r="D851" s="716"/>
      <c r="E851" s="716" t="s">
        <v>300</v>
      </c>
      <c r="F851" s="488">
        <v>0</v>
      </c>
      <c r="G851" s="609" t="e">
        <f t="shared" ca="1" si="179"/>
        <v>#N/A</v>
      </c>
      <c r="H851" s="609" t="e">
        <f t="shared" ca="1" si="180"/>
        <v>#N/A</v>
      </c>
      <c r="I851" s="609" t="e">
        <f t="shared" ca="1" si="181"/>
        <v>#N/A</v>
      </c>
      <c r="J851" s="731" t="e">
        <f t="shared" ca="1" si="182"/>
        <v>#N/A</v>
      </c>
      <c r="K851" s="731" t="e">
        <f t="shared" ca="1" si="183"/>
        <v>#N/A</v>
      </c>
    </row>
    <row r="852" spans="1:11" ht="13">
      <c r="A852" s="342">
        <v>5</v>
      </c>
      <c r="B852" s="612"/>
      <c r="C852" s="291" t="s">
        <v>422</v>
      </c>
      <c r="D852" s="716" t="s">
        <v>343</v>
      </c>
      <c r="E852" s="716" t="s">
        <v>290</v>
      </c>
      <c r="F852" s="488">
        <v>0</v>
      </c>
      <c r="G852" s="609">
        <f t="shared" si="179"/>
        <v>0</v>
      </c>
      <c r="H852" s="609">
        <f t="shared" si="180"/>
        <v>0</v>
      </c>
      <c r="I852" s="609">
        <f t="shared" si="181"/>
        <v>0</v>
      </c>
      <c r="J852" s="731">
        <f t="shared" si="182"/>
        <v>0</v>
      </c>
      <c r="K852" s="731">
        <f t="shared" si="183"/>
        <v>0</v>
      </c>
    </row>
    <row r="853" spans="1:11" ht="13">
      <c r="A853" s="342">
        <v>6</v>
      </c>
      <c r="B853" s="612"/>
      <c r="C853" s="291" t="s">
        <v>408</v>
      </c>
      <c r="D853" s="716"/>
      <c r="E853" s="716" t="s">
        <v>295</v>
      </c>
      <c r="F853" s="488">
        <v>0</v>
      </c>
      <c r="G853" s="609">
        <f t="shared" si="179"/>
        <v>0</v>
      </c>
      <c r="H853" s="609">
        <f t="shared" si="180"/>
        <v>0</v>
      </c>
      <c r="I853" s="609">
        <f t="shared" si="181"/>
        <v>0</v>
      </c>
      <c r="J853" s="731">
        <f t="shared" si="182"/>
        <v>0</v>
      </c>
      <c r="K853" s="731">
        <f t="shared" si="183"/>
        <v>0</v>
      </c>
    </row>
    <row r="854" spans="1:11" ht="13">
      <c r="A854" s="342">
        <v>7</v>
      </c>
      <c r="B854" s="612"/>
      <c r="C854" s="291" t="s">
        <v>423</v>
      </c>
      <c r="D854" s="716" t="s">
        <v>343</v>
      </c>
      <c r="E854" s="716" t="s">
        <v>315</v>
      </c>
      <c r="F854" s="488">
        <v>0</v>
      </c>
      <c r="G854" s="609">
        <f t="shared" si="179"/>
        <v>0</v>
      </c>
      <c r="H854" s="609">
        <f t="shared" si="180"/>
        <v>0</v>
      </c>
      <c r="I854" s="609">
        <f t="shared" si="181"/>
        <v>0</v>
      </c>
      <c r="J854" s="731">
        <f t="shared" si="182"/>
        <v>0</v>
      </c>
      <c r="K854" s="731">
        <f t="shared" si="183"/>
        <v>0</v>
      </c>
    </row>
    <row r="855" spans="1:11" ht="13">
      <c r="A855" s="342">
        <v>8</v>
      </c>
      <c r="C855" s="482" t="s">
        <v>229</v>
      </c>
      <c r="D855" s="583" t="s">
        <v>285</v>
      </c>
      <c r="E855" s="331"/>
      <c r="F855" s="346">
        <f t="shared" ref="F855:K855" si="184">SUM(F849:F854)</f>
        <v>0</v>
      </c>
      <c r="G855" s="346" t="e">
        <f t="shared" ca="1" si="184"/>
        <v>#N/A</v>
      </c>
      <c r="H855" s="346" t="e">
        <f t="shared" ca="1" si="184"/>
        <v>#N/A</v>
      </c>
      <c r="I855" s="346" t="e">
        <f t="shared" ca="1" si="184"/>
        <v>#N/A</v>
      </c>
      <c r="J855" s="346" t="e">
        <f t="shared" ca="1" si="184"/>
        <v>#N/A</v>
      </c>
      <c r="K855" s="346" t="e">
        <f t="shared" ca="1" si="184"/>
        <v>#N/A</v>
      </c>
    </row>
    <row r="861" spans="1:11" ht="20">
      <c r="A861" s="1184" t="s">
        <v>1193</v>
      </c>
    </row>
    <row r="863" spans="1:11" ht="13">
      <c r="A863" s="342" t="s">
        <v>907</v>
      </c>
      <c r="B863" s="195"/>
      <c r="C863" s="195"/>
      <c r="D863" s="342"/>
      <c r="E863" s="195"/>
      <c r="F863" s="342" t="str">
        <f>$F$8</f>
        <v>TOTAL</v>
      </c>
      <c r="G863" s="539" t="s">
        <v>995</v>
      </c>
      <c r="H863" s="527"/>
      <c r="I863" s="528"/>
      <c r="J863" s="342" t="s">
        <v>229</v>
      </c>
      <c r="K863" s="342" t="s">
        <v>342</v>
      </c>
    </row>
    <row r="864" spans="1:11" ht="13">
      <c r="A864" s="344" t="s">
        <v>908</v>
      </c>
      <c r="B864" s="343" t="s">
        <v>99</v>
      </c>
      <c r="C864" s="343"/>
      <c r="D864" s="344" t="s">
        <v>337</v>
      </c>
      <c r="E864" s="343"/>
      <c r="F864" s="344" t="str">
        <f>$F$9</f>
        <v>STORAGE</v>
      </c>
      <c r="G864" s="540" t="s">
        <v>840</v>
      </c>
      <c r="H864" s="529" t="s">
        <v>841</v>
      </c>
      <c r="I864" s="530" t="s">
        <v>842</v>
      </c>
      <c r="J864" s="344" t="s">
        <v>341</v>
      </c>
      <c r="K864" s="344" t="s">
        <v>340</v>
      </c>
    </row>
    <row r="865" spans="1:11" ht="13">
      <c r="B865" s="195"/>
      <c r="C865" s="572" t="s">
        <v>4</v>
      </c>
      <c r="D865" s="342"/>
      <c r="E865" s="195"/>
      <c r="G865" s="793">
        <f>$G$10</f>
        <v>3</v>
      </c>
      <c r="H865" s="794">
        <f>$H$10</f>
        <v>4</v>
      </c>
      <c r="I865" s="795">
        <f>$I$10</f>
        <v>5</v>
      </c>
    </row>
    <row r="866" spans="1:11" ht="13">
      <c r="A866" s="331">
        <v>1</v>
      </c>
      <c r="B866" s="330" t="s">
        <v>100</v>
      </c>
      <c r="D866" s="342"/>
      <c r="E866" s="195"/>
      <c r="G866" s="541"/>
      <c r="H866" s="531"/>
      <c r="I866" s="532"/>
    </row>
    <row r="867" spans="1:11" ht="13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K867" si="185">F647</f>
        <v>340676</v>
      </c>
      <c r="G867" s="542" t="e">
        <f t="shared" ca="1" si="185"/>
        <v>#N/A</v>
      </c>
      <c r="H867" s="533" t="e">
        <f t="shared" ca="1" si="185"/>
        <v>#N/A</v>
      </c>
      <c r="I867" s="534" t="e">
        <f t="shared" ca="1" si="185"/>
        <v>#N/A</v>
      </c>
      <c r="J867" s="345" t="e">
        <f t="shared" ca="1" si="185"/>
        <v>#N/A</v>
      </c>
      <c r="K867" s="345" t="e">
        <f t="shared" si="185"/>
        <v>#N/A</v>
      </c>
    </row>
    <row r="868" spans="1:11" ht="13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0</v>
      </c>
      <c r="G868" s="542">
        <f>$G$630</f>
        <v>0</v>
      </c>
      <c r="H868" s="533">
        <f>$H$630</f>
        <v>0</v>
      </c>
      <c r="I868" s="534">
        <f>$I$630</f>
        <v>0</v>
      </c>
      <c r="J868" s="345">
        <f>$J$630</f>
        <v>0</v>
      </c>
      <c r="K868" s="345">
        <f>$K$630</f>
        <v>0</v>
      </c>
    </row>
    <row r="869" spans="1:11" ht="13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K869" si="186">SUM(F866:F868)</f>
        <v>340676</v>
      </c>
      <c r="G869" s="543" t="e">
        <f t="shared" ca="1" si="186"/>
        <v>#N/A</v>
      </c>
      <c r="H869" s="535" t="e">
        <f t="shared" ca="1" si="186"/>
        <v>#N/A</v>
      </c>
      <c r="I869" s="536" t="e">
        <f t="shared" ca="1" si="186"/>
        <v>#N/A</v>
      </c>
      <c r="J869" s="346" t="e">
        <f t="shared" ca="1" si="186"/>
        <v>#N/A</v>
      </c>
      <c r="K869" s="346" t="e">
        <f t="shared" si="186"/>
        <v>#N/A</v>
      </c>
    </row>
    <row r="870" spans="1:11" ht="13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0</v>
      </c>
      <c r="G870" s="542">
        <f>-$G$501</f>
        <v>0</v>
      </c>
      <c r="H870" s="533">
        <f>-$H$501</f>
        <v>0</v>
      </c>
      <c r="I870" s="534">
        <f>-$I$501</f>
        <v>0</v>
      </c>
      <c r="J870" s="506">
        <f>-$J$501</f>
        <v>0</v>
      </c>
      <c r="K870" s="345">
        <f>-$K$501</f>
        <v>0</v>
      </c>
    </row>
    <row r="871" spans="1:11" ht="13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>-ROUND(F694*F867,0)</f>
        <v>0</v>
      </c>
      <c r="G871" s="542" t="e">
        <f ca="1">-ROUND(G694*G867,0)</f>
        <v>#N/A</v>
      </c>
      <c r="H871" s="533" t="e">
        <f ca="1">-ROUND(H694*H867,0)</f>
        <v>#N/A</v>
      </c>
      <c r="I871" s="534" t="e">
        <f ca="1">-ROUND(I694*I867,0)</f>
        <v>#N/A</v>
      </c>
      <c r="J871" s="504" t="e">
        <f ca="1">SUM(G871:I871)</f>
        <v>#N/A</v>
      </c>
      <c r="K871" s="345" t="e">
        <f>-ROUND('FR-16(7)(v)-1 Functional'!K694*K867,0)</f>
        <v>#N/A</v>
      </c>
    </row>
    <row r="872" spans="1:11" ht="13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>SUM(F869:F871)</f>
        <v>340676</v>
      </c>
      <c r="G872" s="543" t="e">
        <f ca="1">SUM(G869:G871)</f>
        <v>#N/A</v>
      </c>
      <c r="H872" s="535" t="e">
        <f ca="1">SUM(H869:H871)</f>
        <v>#N/A</v>
      </c>
      <c r="I872" s="536" t="e">
        <f ca="1">SUM(I869:I871)</f>
        <v>#N/A</v>
      </c>
      <c r="J872" s="346" t="e">
        <f ca="1">SUM(G872:I872)</f>
        <v>#N/A</v>
      </c>
      <c r="K872" s="346" t="e">
        <f>SUM(K869:K871)</f>
        <v>#N/A</v>
      </c>
    </row>
    <row r="873" spans="1:11" ht="13">
      <c r="A873" s="331">
        <v>8</v>
      </c>
      <c r="D873" s="342"/>
      <c r="E873" s="195"/>
      <c r="G873" s="541"/>
      <c r="H873" s="531"/>
      <c r="I873" s="532"/>
    </row>
    <row r="874" spans="1:11" ht="13">
      <c r="A874" s="331">
        <v>9</v>
      </c>
      <c r="B874" s="330" t="s">
        <v>101</v>
      </c>
      <c r="D874" s="342"/>
      <c r="E874" s="195"/>
      <c r="G874" s="541"/>
      <c r="H874" s="531"/>
      <c r="I874" s="532"/>
    </row>
    <row r="875" spans="1:11" ht="13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0</v>
      </c>
      <c r="G875" s="542">
        <f>-$G$516</f>
        <v>0</v>
      </c>
      <c r="H875" s="533">
        <f>-$H$516</f>
        <v>0</v>
      </c>
      <c r="I875" s="534">
        <f>-$I$516</f>
        <v>0</v>
      </c>
      <c r="J875" s="345">
        <f>-$J$516</f>
        <v>0</v>
      </c>
      <c r="K875" s="345">
        <f>-$K$516</f>
        <v>0</v>
      </c>
    </row>
    <row r="876" spans="1:11" ht="13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0</v>
      </c>
      <c r="G876" s="542">
        <f>-$G$522</f>
        <v>0</v>
      </c>
      <c r="H876" s="533">
        <f>-$H$522</f>
        <v>0</v>
      </c>
      <c r="I876" s="534">
        <f>-$I$522</f>
        <v>0</v>
      </c>
      <c r="J876" s="345">
        <f>-$J$522</f>
        <v>0</v>
      </c>
      <c r="K876" s="345">
        <f>-$K$522</f>
        <v>0</v>
      </c>
    </row>
    <row r="877" spans="1:11" ht="13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>SUM(F874:F876)+F872</f>
        <v>340676</v>
      </c>
      <c r="G877" s="543" t="e">
        <f ca="1">SUM(G874:G876)+G872</f>
        <v>#N/A</v>
      </c>
      <c r="H877" s="535" t="e">
        <f ca="1">SUM(H874:H876)+H872</f>
        <v>#N/A</v>
      </c>
      <c r="I877" s="536" t="e">
        <f ca="1">SUM(I874:I876)+I872</f>
        <v>#N/A</v>
      </c>
      <c r="J877" s="346" t="e">
        <f ca="1">SUM(G877:I877)</f>
        <v>#N/A</v>
      </c>
      <c r="K877" s="346" t="e">
        <f>SUM(K874:K876)+K872</f>
        <v>#N/A</v>
      </c>
    </row>
    <row r="878" spans="1:11" ht="13">
      <c r="A878" s="331">
        <v>13</v>
      </c>
      <c r="D878" s="342"/>
      <c r="E878" s="195"/>
      <c r="G878" s="541"/>
      <c r="H878" s="531"/>
      <c r="I878" s="532"/>
    </row>
    <row r="879" spans="1:11" ht="13">
      <c r="A879" s="331">
        <v>14</v>
      </c>
      <c r="B879" s="330" t="s">
        <v>99</v>
      </c>
      <c r="D879" s="342"/>
      <c r="E879" s="195"/>
      <c r="G879" s="541"/>
      <c r="H879" s="531"/>
      <c r="I879" s="532"/>
    </row>
    <row r="880" spans="1:11" ht="13">
      <c r="A880" s="331">
        <v>15</v>
      </c>
      <c r="B880" s="330" t="s">
        <v>74</v>
      </c>
      <c r="D880" s="342"/>
      <c r="E880" s="195"/>
      <c r="G880" s="541"/>
      <c r="H880" s="531"/>
      <c r="I880" s="532"/>
    </row>
    <row r="881" spans="1:11" ht="13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K881" si="187">F877</f>
        <v>340676</v>
      </c>
      <c r="G881" s="542" t="e">
        <f t="shared" ca="1" si="187"/>
        <v>#N/A</v>
      </c>
      <c r="H881" s="533" t="e">
        <f t="shared" ca="1" si="187"/>
        <v>#N/A</v>
      </c>
      <c r="I881" s="534" t="e">
        <f t="shared" ca="1" si="187"/>
        <v>#N/A</v>
      </c>
      <c r="J881" s="345" t="e">
        <f t="shared" ca="1" si="187"/>
        <v>#N/A</v>
      </c>
      <c r="K881" s="345" t="e">
        <f t="shared" si="187"/>
        <v>#N/A</v>
      </c>
    </row>
    <row r="882" spans="1:11" ht="13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K882" si="188">SUM(F881:F881)</f>
        <v>340676</v>
      </c>
      <c r="G882" s="542" t="e">
        <f t="shared" ca="1" si="188"/>
        <v>#N/A</v>
      </c>
      <c r="H882" s="533" t="e">
        <f t="shared" ca="1" si="188"/>
        <v>#N/A</v>
      </c>
      <c r="I882" s="534" t="e">
        <f t="shared" ca="1" si="188"/>
        <v>#N/A</v>
      </c>
      <c r="J882" s="345" t="e">
        <f t="shared" ca="1" si="188"/>
        <v>#N/A</v>
      </c>
      <c r="K882" s="345" t="e">
        <f t="shared" si="188"/>
        <v>#N/A</v>
      </c>
    </row>
    <row r="883" spans="1:11" ht="13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0.35</v>
      </c>
      <c r="G883" s="560">
        <f>G692</f>
        <v>0.21</v>
      </c>
      <c r="H883" s="561">
        <f>H692</f>
        <v>0.21</v>
      </c>
      <c r="I883" s="562">
        <f>I692</f>
        <v>0.21</v>
      </c>
      <c r="J883" s="348"/>
      <c r="K883" s="348">
        <f>'FR-16(7)(v)-1 Functional'!K692</f>
        <v>0.21</v>
      </c>
    </row>
    <row r="884" spans="1:11" ht="13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>ROUND(F883*F882,0)</f>
        <v>119237</v>
      </c>
      <c r="G884" s="542" t="e">
        <f ca="1">ROUND(G883*G882,0)</f>
        <v>#N/A</v>
      </c>
      <c r="H884" s="533" t="e">
        <f ca="1">ROUND(H883*H882,0)</f>
        <v>#N/A</v>
      </c>
      <c r="I884" s="534" t="e">
        <f ca="1">ROUND(I883*I882,0)</f>
        <v>#N/A</v>
      </c>
      <c r="J884" s="345" t="e">
        <f ca="1">SUM(G884:I884)</f>
        <v>#N/A</v>
      </c>
      <c r="K884" s="345" t="e">
        <f>ROUND(K883*K882,0)</f>
        <v>#N/A</v>
      </c>
    </row>
    <row r="885" spans="1:11" ht="13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0</v>
      </c>
      <c r="G885" s="542">
        <f>$G$532</f>
        <v>0</v>
      </c>
      <c r="H885" s="533">
        <f>$H$532</f>
        <v>0</v>
      </c>
      <c r="I885" s="534">
        <f>$I$532</f>
        <v>0</v>
      </c>
      <c r="J885" s="345">
        <f>$J$532</f>
        <v>0</v>
      </c>
      <c r="K885" s="345">
        <f>$K$532</f>
        <v>0</v>
      </c>
    </row>
    <row r="886" spans="1:11" ht="13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0</v>
      </c>
      <c r="G886" s="542">
        <f>-$G$536</f>
        <v>0</v>
      </c>
      <c r="H886" s="533">
        <f>-$H$536</f>
        <v>0</v>
      </c>
      <c r="I886" s="534">
        <f>-$I$536</f>
        <v>0</v>
      </c>
      <c r="J886" s="345">
        <f>-$J$536</f>
        <v>0</v>
      </c>
      <c r="K886" s="345">
        <f>-$K$536</f>
        <v>0</v>
      </c>
    </row>
    <row r="887" spans="1:11" ht="13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K887" si="189">SUM(F884:F886)</f>
        <v>119237</v>
      </c>
      <c r="G887" s="543" t="e">
        <f t="shared" ca="1" si="189"/>
        <v>#N/A</v>
      </c>
      <c r="H887" s="535" t="e">
        <f t="shared" ca="1" si="189"/>
        <v>#N/A</v>
      </c>
      <c r="I887" s="536" t="e">
        <f t="shared" ca="1" si="189"/>
        <v>#N/A</v>
      </c>
      <c r="J887" s="346" t="e">
        <f t="shared" ca="1" si="189"/>
        <v>#N/A</v>
      </c>
      <c r="K887" s="346" t="e">
        <f t="shared" si="189"/>
        <v>#N/A</v>
      </c>
    </row>
    <row r="888" spans="1:11" ht="13">
      <c r="A888" s="331">
        <v>23</v>
      </c>
      <c r="D888" s="342"/>
      <c r="E888" s="195"/>
      <c r="G888" s="541"/>
      <c r="H888" s="531"/>
      <c r="I888" s="532"/>
    </row>
    <row r="889" spans="1:11" ht="13">
      <c r="A889" s="331">
        <v>24</v>
      </c>
      <c r="B889" s="330" t="s">
        <v>75</v>
      </c>
      <c r="D889" s="342"/>
      <c r="E889" s="195"/>
      <c r="G889" s="541"/>
      <c r="H889" s="531"/>
      <c r="I889" s="532"/>
    </row>
    <row r="890" spans="1:11" ht="13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K890" si="190">F884</f>
        <v>119237</v>
      </c>
      <c r="G890" s="542" t="e">
        <f t="shared" ca="1" si="190"/>
        <v>#N/A</v>
      </c>
      <c r="H890" s="533" t="e">
        <f t="shared" ca="1" si="190"/>
        <v>#N/A</v>
      </c>
      <c r="I890" s="534" t="e">
        <f t="shared" ca="1" si="190"/>
        <v>#N/A</v>
      </c>
      <c r="J890" s="345" t="e">
        <f t="shared" ca="1" si="190"/>
        <v>#N/A</v>
      </c>
      <c r="K890" s="345" t="e">
        <f t="shared" si="190"/>
        <v>#N/A</v>
      </c>
    </row>
    <row r="891" spans="1:11" ht="13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544">
        <f>-$G$540</f>
        <v>0</v>
      </c>
      <c r="H891" s="537">
        <f>-$H$540</f>
        <v>0</v>
      </c>
      <c r="I891" s="538">
        <f>-$I$540</f>
        <v>0</v>
      </c>
      <c r="J891" s="345">
        <f>-$J$540</f>
        <v>0</v>
      </c>
      <c r="K891" s="345">
        <f>-$K$540</f>
        <v>0</v>
      </c>
    </row>
    <row r="892" spans="1:11" ht="13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K892" si="191">SUM(F889:F891)</f>
        <v>119237</v>
      </c>
      <c r="G892" s="543" t="e">
        <f t="shared" ca="1" si="191"/>
        <v>#N/A</v>
      </c>
      <c r="H892" s="535" t="e">
        <f t="shared" ca="1" si="191"/>
        <v>#N/A</v>
      </c>
      <c r="I892" s="536" t="e">
        <f t="shared" ca="1" si="191"/>
        <v>#N/A</v>
      </c>
      <c r="J892" s="346" t="e">
        <f t="shared" ca="1" si="191"/>
        <v>#N/A</v>
      </c>
      <c r="K892" s="346" t="e">
        <f t="shared" si="191"/>
        <v>#N/A</v>
      </c>
    </row>
    <row r="893" spans="1:11" ht="13">
      <c r="A893" s="331">
        <v>28</v>
      </c>
      <c r="D893" s="342"/>
      <c r="E893" s="195"/>
      <c r="G893" s="541"/>
      <c r="H893" s="531"/>
      <c r="I893" s="532"/>
    </row>
    <row r="894" spans="1:11" ht="13">
      <c r="A894" s="331">
        <v>29</v>
      </c>
      <c r="B894" s="330" t="s">
        <v>40</v>
      </c>
      <c r="D894" s="342"/>
      <c r="E894" s="195"/>
      <c r="G894" s="541"/>
      <c r="H894" s="531"/>
      <c r="I894" s="532"/>
    </row>
    <row r="895" spans="1:11" ht="13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K895" si="192">F872</f>
        <v>340676</v>
      </c>
      <c r="G895" s="542" t="e">
        <f t="shared" ca="1" si="192"/>
        <v>#N/A</v>
      </c>
      <c r="H895" s="533" t="e">
        <f t="shared" ca="1" si="192"/>
        <v>#N/A</v>
      </c>
      <c r="I895" s="534" t="e">
        <f t="shared" ca="1" si="192"/>
        <v>#N/A</v>
      </c>
      <c r="J895" s="345" t="e">
        <f t="shared" ca="1" si="192"/>
        <v>#N/A</v>
      </c>
      <c r="K895" s="345" t="e">
        <f t="shared" si="192"/>
        <v>#N/A</v>
      </c>
    </row>
    <row r="896" spans="1:11" ht="13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K896" si="193">-F887</f>
        <v>-119237</v>
      </c>
      <c r="G896" s="542" t="e">
        <f t="shared" ca="1" si="193"/>
        <v>#N/A</v>
      </c>
      <c r="H896" s="533" t="e">
        <f t="shared" ca="1" si="193"/>
        <v>#N/A</v>
      </c>
      <c r="I896" s="534" t="e">
        <f t="shared" ca="1" si="193"/>
        <v>#N/A</v>
      </c>
      <c r="J896" s="345" t="e">
        <f t="shared" ca="1" si="193"/>
        <v>#N/A</v>
      </c>
      <c r="K896" s="345" t="e">
        <f t="shared" si="193"/>
        <v>#N/A</v>
      </c>
    </row>
    <row r="897" spans="1:11" ht="13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K897" si="194">SUM(F894:F896)</f>
        <v>221439</v>
      </c>
      <c r="G897" s="543" t="e">
        <f t="shared" ca="1" si="194"/>
        <v>#N/A</v>
      </c>
      <c r="H897" s="535" t="e">
        <f t="shared" ca="1" si="194"/>
        <v>#N/A</v>
      </c>
      <c r="I897" s="536" t="e">
        <f t="shared" ca="1" si="194"/>
        <v>#N/A</v>
      </c>
      <c r="J897" s="346" t="e">
        <f t="shared" ca="1" si="194"/>
        <v>#N/A</v>
      </c>
      <c r="K897" s="346" t="e">
        <f t="shared" si="194"/>
        <v>#N/A</v>
      </c>
    </row>
    <row r="898" spans="1:11" ht="13">
      <c r="A898" s="331">
        <v>33</v>
      </c>
      <c r="D898" s="342"/>
      <c r="E898" s="195"/>
      <c r="G898" s="541"/>
      <c r="H898" s="531"/>
      <c r="I898" s="532"/>
    </row>
    <row r="899" spans="1:11" ht="13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K899" si="195">IF(F331=0,0,ROUND(F897/F331,5))</f>
        <v>0</v>
      </c>
      <c r="G899" s="569">
        <f t="shared" si="195"/>
        <v>0</v>
      </c>
      <c r="H899" s="570">
        <f t="shared" si="195"/>
        <v>0</v>
      </c>
      <c r="I899" s="571">
        <f t="shared" si="195"/>
        <v>0</v>
      </c>
      <c r="J899" s="348">
        <f t="shared" si="195"/>
        <v>0</v>
      </c>
      <c r="K899" s="348">
        <f t="shared" si="195"/>
        <v>0</v>
      </c>
    </row>
  </sheetData>
  <conditionalFormatting sqref="O766:O778 O708:O742 O744:O762 O780:O844">
    <cfRule type="cellIs" dxfId="0" priority="1" operator="notEqual">
      <formula>1</formula>
    </cfRule>
  </conditionalFormatting>
  <pageMargins left="1" right="1" top="1" bottom="1" header="1" footer="0.5"/>
  <pageSetup scale="55" orientation="landscape" blackAndWhite="1" r:id="rId1"/>
  <headerFooter alignWithMargins="0"/>
  <rowBreaks count="14" manualBreakCount="14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94" max="10" man="1"/>
    <brk id="746" max="10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0">
    <tabColor rgb="FFFFFF00"/>
    <pageSetUpPr fitToPage="1"/>
  </sheetPr>
  <dimension ref="A1:P900"/>
  <sheetViews>
    <sheetView topLeftCell="A58" zoomScale="80" zoomScaleNormal="80" zoomScaleSheetLayoutView="80" workbookViewId="0">
      <selection activeCell="H71" sqref="H71"/>
    </sheetView>
  </sheetViews>
  <sheetFormatPr defaultColWidth="8.765625" defaultRowHeight="12.5"/>
  <cols>
    <col min="1" max="1" width="6.4609375" style="330" customWidth="1"/>
    <col min="2" max="2" width="3.53515625" style="330" customWidth="1"/>
    <col min="3" max="3" width="41.765625" style="330" customWidth="1"/>
    <col min="4" max="4" width="7.53515625" style="331" customWidth="1"/>
    <col min="5" max="5" width="7.765625" style="330" customWidth="1"/>
    <col min="6" max="6" width="13.765625" style="330" customWidth="1"/>
    <col min="7" max="8" width="11.765625" style="330" customWidth="1"/>
    <col min="9" max="9" width="11.765625" style="351" customWidth="1"/>
    <col min="10" max="11" width="11.765625" style="330" customWidth="1"/>
    <col min="12" max="12" width="12.765625" style="330" customWidth="1"/>
    <col min="13" max="13" width="8.765625" style="330"/>
    <col min="14" max="14" width="9.765625" style="330" bestFit="1" customWidth="1"/>
    <col min="15" max="15" width="8.765625" style="330"/>
    <col min="16" max="16" width="11.4609375" style="526" customWidth="1"/>
    <col min="17" max="16384" width="8.765625" style="330"/>
  </cols>
  <sheetData>
    <row r="1" spans="1:16" ht="13">
      <c r="A1" s="341" t="str">
        <f>co_name</f>
        <v>DUKE ENERGY KENTUCKY, INC.</v>
      </c>
      <c r="C1" s="195"/>
      <c r="D1" s="342"/>
      <c r="E1" s="195"/>
      <c r="G1" s="195"/>
      <c r="H1" s="195"/>
      <c r="I1" s="340"/>
      <c r="K1" s="1187" t="s">
        <v>1459</v>
      </c>
      <c r="L1" s="195"/>
    </row>
    <row r="2" spans="1:16" ht="13">
      <c r="A2" s="577" t="s">
        <v>1204</v>
      </c>
      <c r="C2" s="195"/>
      <c r="D2" s="342"/>
      <c r="E2" s="195"/>
      <c r="F2" s="342"/>
      <c r="G2" s="195"/>
      <c r="H2" s="195"/>
      <c r="I2" s="340"/>
      <c r="K2" s="1187" t="s">
        <v>435</v>
      </c>
      <c r="L2" s="195"/>
    </row>
    <row r="3" spans="1:16" ht="13">
      <c r="A3" s="341" t="str">
        <f>case_name</f>
        <v>CASE NO: 2021-00190</v>
      </c>
      <c r="C3" s="195"/>
      <c r="D3" s="342"/>
      <c r="E3" s="195"/>
      <c r="F3" s="342"/>
      <c r="G3" s="195"/>
      <c r="H3" s="195"/>
      <c r="I3" s="340"/>
      <c r="K3" s="359" t="str">
        <f>Witness</f>
        <v>JAMES E. ZIOLKOWSKI</v>
      </c>
      <c r="L3" s="195"/>
    </row>
    <row r="4" spans="1:16" ht="13">
      <c r="A4" s="341" t="str">
        <f>data_filing</f>
        <v>DATA: 12 MONTH FORECASTED PERIOD</v>
      </c>
      <c r="C4" s="195"/>
      <c r="D4" s="342"/>
      <c r="E4" s="195"/>
      <c r="F4" s="342"/>
      <c r="G4" s="195"/>
      <c r="H4" s="195"/>
      <c r="I4" s="340"/>
      <c r="K4" s="359" t="str">
        <f>"PAGE "&amp;Pages2-14&amp;" OF "&amp;Pages2</f>
        <v>PAGE 1 OF 15</v>
      </c>
      <c r="L4" s="195"/>
    </row>
    <row r="5" spans="1:16" ht="13">
      <c r="A5" s="341" t="str">
        <f>type</f>
        <v xml:space="preserve">TYPE OF FILING: "X" ORIGINAL   UPDATED    REVISED  </v>
      </c>
      <c r="C5" s="195"/>
      <c r="D5" s="342"/>
      <c r="E5" s="195"/>
      <c r="F5" s="342"/>
      <c r="G5" s="195"/>
      <c r="H5" s="195"/>
      <c r="I5" s="340"/>
      <c r="J5" s="342"/>
      <c r="K5" s="195"/>
      <c r="L5" s="195"/>
    </row>
    <row r="6" spans="1:16" ht="13">
      <c r="A6" s="341"/>
      <c r="C6" s="195"/>
      <c r="D6" s="342"/>
      <c r="E6" s="195"/>
      <c r="F6" s="342"/>
      <c r="G6" s="195"/>
      <c r="H6" s="195"/>
      <c r="I6" s="340"/>
      <c r="J6" s="342"/>
      <c r="K6" s="195"/>
      <c r="L6" s="195"/>
    </row>
    <row r="7" spans="1:16" ht="13">
      <c r="A7" s="341"/>
      <c r="C7" s="195"/>
      <c r="D7" s="342"/>
      <c r="E7" s="195"/>
      <c r="F7" s="342" t="s">
        <v>229</v>
      </c>
      <c r="G7" s="195"/>
      <c r="H7" s="195"/>
      <c r="I7" s="340"/>
      <c r="J7" s="342"/>
      <c r="K7" s="195"/>
      <c r="L7" s="195"/>
    </row>
    <row r="8" spans="1:16" ht="13">
      <c r="A8" s="342" t="s">
        <v>907</v>
      </c>
      <c r="B8" s="195"/>
      <c r="C8" s="195"/>
      <c r="D8" s="342"/>
      <c r="E8" s="195"/>
      <c r="F8" s="821" t="s">
        <v>1029</v>
      </c>
      <c r="G8" s="352" t="s">
        <v>766</v>
      </c>
      <c r="H8" s="352" t="s">
        <v>1256</v>
      </c>
      <c r="I8" s="352" t="s">
        <v>974</v>
      </c>
      <c r="J8" s="352" t="s">
        <v>546</v>
      </c>
      <c r="K8" s="352" t="s">
        <v>229</v>
      </c>
      <c r="L8" s="342" t="s">
        <v>342</v>
      </c>
    </row>
    <row r="9" spans="1:16" ht="13">
      <c r="A9" s="344" t="s">
        <v>908</v>
      </c>
      <c r="B9" s="343" t="s">
        <v>102</v>
      </c>
      <c r="C9" s="343"/>
      <c r="D9" s="344" t="s">
        <v>337</v>
      </c>
      <c r="E9" s="343"/>
      <c r="F9" s="822" t="s">
        <v>1030</v>
      </c>
      <c r="G9" s="353" t="s">
        <v>338</v>
      </c>
      <c r="H9" s="353" t="s">
        <v>404</v>
      </c>
      <c r="I9" s="353" t="s">
        <v>1257</v>
      </c>
      <c r="J9" s="353" t="s">
        <v>547</v>
      </c>
      <c r="K9" s="353" t="s">
        <v>341</v>
      </c>
      <c r="L9" s="344" t="s">
        <v>340</v>
      </c>
    </row>
    <row r="10" spans="1:16" ht="13">
      <c r="C10" s="572" t="s">
        <v>354</v>
      </c>
      <c r="D10" s="342"/>
      <c r="E10" s="195"/>
      <c r="G10" s="780">
        <v>3</v>
      </c>
      <c r="H10" s="780">
        <v>4</v>
      </c>
      <c r="I10" s="780">
        <v>5</v>
      </c>
      <c r="J10" s="780">
        <v>6</v>
      </c>
      <c r="K10" s="351"/>
    </row>
    <row r="11" spans="1:16" ht="13">
      <c r="A11" s="331">
        <v>1</v>
      </c>
      <c r="B11" s="330" t="s">
        <v>100</v>
      </c>
      <c r="D11" s="342"/>
      <c r="E11" s="195"/>
      <c r="G11" s="351"/>
      <c r="H11" s="351"/>
      <c r="J11" s="351"/>
      <c r="K11" s="351"/>
    </row>
    <row r="12" spans="1:16" ht="13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 t="shared" ref="F12:K12" si="0">F101</f>
        <v>771808162</v>
      </c>
      <c r="G12" s="347">
        <f t="shared" si="0"/>
        <v>493438868</v>
      </c>
      <c r="H12" s="347">
        <f t="shared" si="0"/>
        <v>189656180</v>
      </c>
      <c r="I12" s="347">
        <f t="shared" si="0"/>
        <v>67201966</v>
      </c>
      <c r="J12" s="347">
        <f t="shared" si="0"/>
        <v>21511148</v>
      </c>
      <c r="K12" s="347">
        <f t="shared" si="0"/>
        <v>771808162</v>
      </c>
      <c r="L12" s="347">
        <f>F12-K12</f>
        <v>0</v>
      </c>
      <c r="P12" s="347">
        <f>H12+I12</f>
        <v>256858146</v>
      </c>
    </row>
    <row r="13" spans="1:16" ht="13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 t="shared" ref="F13:K13" si="1">-F151</f>
        <v>-206903281</v>
      </c>
      <c r="G13" s="347">
        <f t="shared" si="1"/>
        <v>-133530689</v>
      </c>
      <c r="H13" s="347">
        <f t="shared" si="1"/>
        <v>-48731655</v>
      </c>
      <c r="I13" s="347">
        <f t="shared" si="1"/>
        <v>-18747351</v>
      </c>
      <c r="J13" s="347">
        <f t="shared" si="1"/>
        <v>-5893586</v>
      </c>
      <c r="K13" s="347">
        <f t="shared" si="1"/>
        <v>-206903281</v>
      </c>
      <c r="L13" s="347">
        <f>F13-K13</f>
        <v>0</v>
      </c>
      <c r="P13" s="347">
        <f>H13+I13</f>
        <v>-67479006</v>
      </c>
    </row>
    <row r="14" spans="1:16" ht="13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 t="shared" ref="F14:K14" si="2">F326</f>
        <v>-96583674.904109597</v>
      </c>
      <c r="G14" s="347">
        <f t="shared" si="2"/>
        <v>-61512130</v>
      </c>
      <c r="H14" s="347">
        <f t="shared" si="2"/>
        <v>-23679452</v>
      </c>
      <c r="I14" s="347">
        <f t="shared" si="2"/>
        <v>-8614678</v>
      </c>
      <c r="J14" s="347">
        <f t="shared" si="2"/>
        <v>-2777415</v>
      </c>
      <c r="K14" s="347">
        <f t="shared" si="2"/>
        <v>-96583675</v>
      </c>
      <c r="L14" s="347">
        <f>F14-K14</f>
        <v>9.5890402793884277E-2</v>
      </c>
      <c r="P14" s="347">
        <f>H14+I14</f>
        <v>-32294130</v>
      </c>
    </row>
    <row r="15" spans="1:16" ht="13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3">SUM(F12:F14)</f>
        <v>468321206.0958904</v>
      </c>
      <c r="G15" s="346">
        <f t="shared" si="3"/>
        <v>298396049</v>
      </c>
      <c r="H15" s="346">
        <f t="shared" si="3"/>
        <v>117245073</v>
      </c>
      <c r="I15" s="346">
        <f t="shared" si="3"/>
        <v>39839937</v>
      </c>
      <c r="J15" s="346">
        <f t="shared" si="3"/>
        <v>12840147</v>
      </c>
      <c r="K15" s="346">
        <f t="shared" si="3"/>
        <v>468321206</v>
      </c>
      <c r="L15" s="346">
        <f>F15-K15</f>
        <v>9.5890402793884277E-2</v>
      </c>
      <c r="P15" s="346">
        <f>H15+I15</f>
        <v>157085010</v>
      </c>
    </row>
    <row r="16" spans="1:16" ht="13">
      <c r="A16" s="331">
        <v>6</v>
      </c>
      <c r="D16" s="342"/>
      <c r="E16" s="195"/>
      <c r="G16" s="351"/>
      <c r="H16" s="351"/>
      <c r="J16" s="351"/>
      <c r="K16" s="351"/>
      <c r="L16" s="351"/>
      <c r="P16" s="351"/>
    </row>
    <row r="17" spans="1:16" ht="13">
      <c r="A17" s="331">
        <v>7</v>
      </c>
      <c r="B17" s="330" t="s">
        <v>98</v>
      </c>
      <c r="D17" s="342"/>
      <c r="E17" s="195"/>
      <c r="G17" s="351"/>
      <c r="H17" s="351"/>
      <c r="J17" s="351"/>
      <c r="K17" s="351"/>
      <c r="L17" s="351"/>
      <c r="P17" s="351"/>
    </row>
    <row r="18" spans="1:16" ht="13">
      <c r="A18" s="331">
        <v>8</v>
      </c>
      <c r="C18" s="330" t="str">
        <f>'FR-16(7)(v)-1 Functional'!C18</f>
        <v>TOTAL O&amp;M EXPENSE</v>
      </c>
      <c r="D18" s="342"/>
      <c r="E18" s="195"/>
      <c r="F18" s="345">
        <f t="shared" ref="F18:K18" si="4">F433</f>
        <v>62796024</v>
      </c>
      <c r="G18" s="347">
        <f t="shared" si="4"/>
        <v>40778122</v>
      </c>
      <c r="H18" s="347">
        <f t="shared" si="4"/>
        <v>19892033</v>
      </c>
      <c r="I18" s="347">
        <f t="shared" si="4"/>
        <v>1553301</v>
      </c>
      <c r="J18" s="347">
        <f t="shared" si="4"/>
        <v>572568</v>
      </c>
      <c r="K18" s="347">
        <f t="shared" si="4"/>
        <v>62796024</v>
      </c>
      <c r="L18" s="347">
        <f t="shared" ref="L18:L24" si="5">F18-K18</f>
        <v>0</v>
      </c>
      <c r="P18" s="347">
        <f t="shared" ref="P18:P24" si="6">H18+I18</f>
        <v>21445334</v>
      </c>
    </row>
    <row r="19" spans="1:16" ht="13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 t="shared" ref="F19:K19" si="7">F465</f>
        <v>19004234.504000001</v>
      </c>
      <c r="G19" s="347">
        <f t="shared" si="7"/>
        <v>12162320</v>
      </c>
      <c r="H19" s="347">
        <f t="shared" si="7"/>
        <v>4715415</v>
      </c>
      <c r="I19" s="347">
        <f t="shared" si="7"/>
        <v>1632389</v>
      </c>
      <c r="J19" s="347">
        <f t="shared" si="7"/>
        <v>494111</v>
      </c>
      <c r="K19" s="347">
        <f t="shared" si="7"/>
        <v>19004235</v>
      </c>
      <c r="L19" s="347">
        <f t="shared" si="5"/>
        <v>-0.49599999934434891</v>
      </c>
      <c r="P19" s="347">
        <f t="shared" si="6"/>
        <v>6347804</v>
      </c>
    </row>
    <row r="20" spans="1:16" ht="13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4716796</v>
      </c>
      <c r="G20" s="347">
        <f>$G$495</f>
        <v>3030944</v>
      </c>
      <c r="H20" s="347">
        <f>$H$495</f>
        <v>1170831</v>
      </c>
      <c r="I20" s="347">
        <f>$I$495</f>
        <v>389788</v>
      </c>
      <c r="J20" s="347">
        <f>$J$495</f>
        <v>125233</v>
      </c>
      <c r="K20" s="347">
        <f>$K$495</f>
        <v>4716796</v>
      </c>
      <c r="L20" s="347">
        <f t="shared" si="5"/>
        <v>0</v>
      </c>
      <c r="P20" s="347">
        <f t="shared" si="6"/>
        <v>1560619</v>
      </c>
    </row>
    <row r="21" spans="1:16" ht="13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 t="shared" ref="F21:K21" si="8">SUM(F17:F20)</f>
        <v>86517054.504000008</v>
      </c>
      <c r="G21" s="346">
        <f t="shared" si="8"/>
        <v>55971386</v>
      </c>
      <c r="H21" s="346">
        <f t="shared" si="8"/>
        <v>25778279</v>
      </c>
      <c r="I21" s="346">
        <f t="shared" si="8"/>
        <v>3575478</v>
      </c>
      <c r="J21" s="346">
        <f t="shared" si="8"/>
        <v>1191912</v>
      </c>
      <c r="K21" s="346">
        <f t="shared" si="8"/>
        <v>86517055</v>
      </c>
      <c r="L21" s="346">
        <f t="shared" si="5"/>
        <v>-0.49599999189376831</v>
      </c>
      <c r="P21" s="346">
        <f t="shared" si="6"/>
        <v>29353757</v>
      </c>
    </row>
    <row r="22" spans="1:16" ht="13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>F557</f>
        <v>5596540</v>
      </c>
      <c r="G22" s="347">
        <f ca="1">$G$557</f>
        <v>3566167</v>
      </c>
      <c r="H22" s="347">
        <f>$H$557</f>
        <v>1527772</v>
      </c>
      <c r="I22" s="347">
        <f ca="1">$I$557</f>
        <v>370986</v>
      </c>
      <c r="J22" s="347">
        <f>$J$557</f>
        <v>131615</v>
      </c>
      <c r="K22" s="347">
        <f ca="1">$K$557</f>
        <v>5596540</v>
      </c>
      <c r="L22" s="347">
        <f t="shared" ca="1" si="5"/>
        <v>0</v>
      </c>
      <c r="P22" s="347">
        <f t="shared" ca="1" si="6"/>
        <v>1898758</v>
      </c>
    </row>
    <row r="23" spans="1:16" ht="13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>F605</f>
        <v>1504852</v>
      </c>
      <c r="G23" s="345">
        <f t="shared" ref="G23:K23" ca="1" si="9">G605</f>
        <v>957895</v>
      </c>
      <c r="H23" s="345">
        <f t="shared" si="9"/>
        <v>383837</v>
      </c>
      <c r="I23" s="345">
        <f t="shared" ca="1" si="9"/>
        <v>122181</v>
      </c>
      <c r="J23" s="345">
        <f t="shared" si="9"/>
        <v>40939</v>
      </c>
      <c r="K23" s="345">
        <f t="shared" ca="1" si="9"/>
        <v>1504852</v>
      </c>
      <c r="L23" s="347">
        <f t="shared" ca="1" si="5"/>
        <v>0</v>
      </c>
      <c r="P23" s="347">
        <f t="shared" ca="1" si="6"/>
        <v>506018</v>
      </c>
    </row>
    <row r="24" spans="1:16" ht="13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 t="shared" ref="F24:K24" si="10">SUM(F21:F23)</f>
        <v>93618446.504000008</v>
      </c>
      <c r="G24" s="346">
        <f t="shared" ca="1" si="10"/>
        <v>60495448</v>
      </c>
      <c r="H24" s="346">
        <f t="shared" si="10"/>
        <v>27689888</v>
      </c>
      <c r="I24" s="346">
        <f t="shared" ca="1" si="10"/>
        <v>4068645</v>
      </c>
      <c r="J24" s="346">
        <f t="shared" si="10"/>
        <v>1364466</v>
      </c>
      <c r="K24" s="346">
        <f t="shared" ca="1" si="10"/>
        <v>93618447</v>
      </c>
      <c r="L24" s="346">
        <f t="shared" ca="1" si="5"/>
        <v>-0.49599999189376831</v>
      </c>
      <c r="P24" s="346">
        <f t="shared" ca="1" si="6"/>
        <v>31758533</v>
      </c>
    </row>
    <row r="25" spans="1:16" ht="13">
      <c r="A25" s="331">
        <v>15</v>
      </c>
      <c r="D25" s="342"/>
      <c r="E25" s="195"/>
      <c r="G25" s="351"/>
      <c r="H25" s="351"/>
      <c r="J25" s="351"/>
      <c r="K25" s="351"/>
      <c r="L25" s="351"/>
      <c r="P25" s="351"/>
    </row>
    <row r="26" spans="1:16" ht="13">
      <c r="A26" s="331">
        <v>16</v>
      </c>
      <c r="B26" s="330" t="s">
        <v>43</v>
      </c>
      <c r="D26" s="342"/>
      <c r="E26" s="195"/>
      <c r="F26" s="345">
        <f t="shared" ref="F26:K26" si="11">F334</f>
        <v>33063477</v>
      </c>
      <c r="G26" s="347">
        <f t="shared" si="11"/>
        <v>21066761</v>
      </c>
      <c r="H26" s="347">
        <f t="shared" si="11"/>
        <v>8277502</v>
      </c>
      <c r="I26" s="347">
        <f t="shared" si="11"/>
        <v>2812700</v>
      </c>
      <c r="J26" s="347">
        <f t="shared" si="11"/>
        <v>906514</v>
      </c>
      <c r="K26" s="347">
        <f t="shared" si="11"/>
        <v>33063477</v>
      </c>
      <c r="L26" s="347">
        <f t="shared" ref="L26:L32" si="12">F26-K26</f>
        <v>0</v>
      </c>
      <c r="P26" s="347">
        <f>H26+I26</f>
        <v>11090202</v>
      </c>
    </row>
    <row r="27" spans="1:16" ht="13">
      <c r="A27" s="331">
        <v>17</v>
      </c>
      <c r="B27" s="357" t="s">
        <v>103</v>
      </c>
      <c r="C27" s="357"/>
      <c r="D27" s="342"/>
      <c r="E27" s="195"/>
      <c r="F27" s="345">
        <f>-F630</f>
        <v>-310224</v>
      </c>
      <c r="G27" s="347">
        <f>-$G$630</f>
        <v>-222777</v>
      </c>
      <c r="H27" s="347">
        <f>-$H$630</f>
        <v>-66017</v>
      </c>
      <c r="I27" s="347">
        <f>-$I$630</f>
        <v>-16333</v>
      </c>
      <c r="J27" s="347">
        <f>-$J$630</f>
        <v>-5097</v>
      </c>
      <c r="K27" s="347">
        <f>-$K$630</f>
        <v>-310224</v>
      </c>
      <c r="L27" s="347">
        <f t="shared" si="12"/>
        <v>0</v>
      </c>
      <c r="P27" s="347">
        <f>H27+I27</f>
        <v>-82350</v>
      </c>
    </row>
    <row r="28" spans="1:16" ht="13">
      <c r="A28" s="331">
        <v>18</v>
      </c>
      <c r="C28" s="330" t="str">
        <f>'FR-16(7)(v)-1 Functional'!C28</f>
        <v>TOTAL GAS COST OF SERVICE</v>
      </c>
      <c r="D28" s="342"/>
      <c r="E28" s="195"/>
      <c r="F28" s="346">
        <f t="shared" ref="F28:K28" si="13">SUM(F24:F27)</f>
        <v>126371699.50400001</v>
      </c>
      <c r="G28" s="346">
        <f t="shared" ca="1" si="13"/>
        <v>81339432</v>
      </c>
      <c r="H28" s="346">
        <f t="shared" si="13"/>
        <v>35901373</v>
      </c>
      <c r="I28" s="346">
        <f t="shared" ca="1" si="13"/>
        <v>6865012</v>
      </c>
      <c r="J28" s="346">
        <f t="shared" si="13"/>
        <v>2265883</v>
      </c>
      <c r="K28" s="346">
        <f t="shared" ca="1" si="13"/>
        <v>126371700</v>
      </c>
      <c r="L28" s="346">
        <f t="shared" ca="1" si="12"/>
        <v>-0.49599999189376831</v>
      </c>
      <c r="P28" s="346">
        <f ca="1">H28+I28</f>
        <v>42766385</v>
      </c>
    </row>
    <row r="29" spans="1:16" ht="13">
      <c r="A29" s="331">
        <v>19</v>
      </c>
      <c r="B29" s="1081" t="s">
        <v>1184</v>
      </c>
      <c r="C29" s="505"/>
      <c r="D29" s="1085">
        <f>1-'WP FR-16(7)(v)Rate Incr (40.0%)'!I11</f>
        <v>0</v>
      </c>
      <c r="E29" s="195"/>
      <c r="F29" s="496">
        <f ca="1">'WP FR-16(7)(v)Rate Incr (40.0%)'!H20-'WP FR-16(7)(v)Rate Incr (40.0%)'!I20</f>
        <v>0</v>
      </c>
      <c r="G29" s="620">
        <f ca="1">'WP FR-16(7)(v)Rate Incr (40.0%)'!H15-'WP FR-16(7)(v)Rate Incr (40.0%)'!I15</f>
        <v>0</v>
      </c>
      <c r="H29" s="620">
        <f ca="1">'WP FR-16(7)(v)Rate Incr (40.0%)'!H16-'WP FR-16(7)(v)Rate Incr (40.0%)'!I16</f>
        <v>0</v>
      </c>
      <c r="I29" s="620">
        <f ca="1">'WP FR-16(7)(v)Rate Incr (40.0%)'!H17-'WP FR-16(7)(v)Rate Incr (40.0%)'!I17</f>
        <v>0</v>
      </c>
      <c r="J29" s="620">
        <f ca="1">'WP FR-16(7)(v)Rate Incr (40.0%)'!H18-'WP FR-16(7)(v)Rate Incr (40.0%)'!I18</f>
        <v>0</v>
      </c>
      <c r="K29" s="620">
        <f ca="1">SUM(G29:J29)</f>
        <v>0</v>
      </c>
      <c r="L29" s="620">
        <f t="shared" ca="1" si="12"/>
        <v>0</v>
      </c>
      <c r="P29" s="351"/>
    </row>
    <row r="30" spans="1:16" ht="13">
      <c r="A30" s="331">
        <v>20</v>
      </c>
      <c r="B30" s="1082" t="s">
        <v>1185</v>
      </c>
      <c r="C30" s="351"/>
      <c r="D30" s="342"/>
      <c r="E30" s="195"/>
      <c r="F30" s="345">
        <f t="shared" ref="F30:K30" ca="1" si="14">F28+F29</f>
        <v>126371699.50400001</v>
      </c>
      <c r="G30" s="345">
        <f t="shared" ca="1" si="14"/>
        <v>81339432</v>
      </c>
      <c r="H30" s="345">
        <f t="shared" ca="1" si="14"/>
        <v>35901373</v>
      </c>
      <c r="I30" s="345">
        <f t="shared" ca="1" si="14"/>
        <v>6865012</v>
      </c>
      <c r="J30" s="345">
        <f t="shared" ca="1" si="14"/>
        <v>2265883</v>
      </c>
      <c r="K30" s="345">
        <f t="shared" ca="1" si="14"/>
        <v>126371700</v>
      </c>
      <c r="L30" s="347">
        <f t="shared" ca="1" si="12"/>
        <v>-0.49599999189376831</v>
      </c>
      <c r="P30" s="351"/>
    </row>
    <row r="31" spans="1:16" ht="13">
      <c r="A31" s="331">
        <v>21</v>
      </c>
      <c r="B31" s="1083" t="s">
        <v>843</v>
      </c>
      <c r="C31" s="505"/>
      <c r="D31" s="342"/>
      <c r="E31" s="1457"/>
      <c r="F31" s="473">
        <f>SUM(G31:J31)</f>
        <v>126434590</v>
      </c>
      <c r="G31" s="347">
        <f>'FR-16(7)(v)-6 DISTR Cust Alloc'!G31+'FR-16(7)(v)-5 DISTR Dem Alloc'!G31+'FR-16(7)(v)-3 PROD Comm Alloc'!G31</f>
        <v>85341377</v>
      </c>
      <c r="H31" s="347">
        <f>'FR-16(7)(v)-6 DISTR Cust Alloc'!H31+'FR-16(7)(v)-5 DISTR Dem Alloc'!H31+'FR-16(7)(v)-3 PROD Comm Alloc'!H31</f>
        <v>32736157</v>
      </c>
      <c r="I31" s="347">
        <f>'FR-16(7)(v)-6 DISTR Cust Alloc'!I31+'FR-16(7)(v)-5 DISTR Dem Alloc'!I31+'FR-16(7)(v)-3 PROD Comm Alloc'!I31</f>
        <v>6308299</v>
      </c>
      <c r="J31" s="347">
        <f>'FR-16(7)(v)-6 DISTR Cust Alloc'!J31+'FR-16(7)(v)-5 DISTR Dem Alloc'!J31+'FR-16(7)(v)-3 PROD Comm Alloc'!J31</f>
        <v>2048757</v>
      </c>
      <c r="K31" s="345">
        <f>SUM(G31:J31)</f>
        <v>126434590</v>
      </c>
      <c r="L31" s="345">
        <f t="shared" si="12"/>
        <v>0</v>
      </c>
      <c r="P31" s="345">
        <f>H31+I31</f>
        <v>39044456</v>
      </c>
    </row>
    <row r="32" spans="1:16" ht="13">
      <c r="A32" s="331">
        <v>22</v>
      </c>
      <c r="B32" s="1084" t="s">
        <v>1186</v>
      </c>
      <c r="C32" s="351"/>
      <c r="D32" s="342"/>
      <c r="E32" s="195"/>
      <c r="F32" s="346">
        <f t="shared" ref="F32:K32" ca="1" si="15">F30-F31</f>
        <v>-62890.495999991894</v>
      </c>
      <c r="G32" s="346">
        <f t="shared" ca="1" si="15"/>
        <v>-4001945</v>
      </c>
      <c r="H32" s="346">
        <f t="shared" ca="1" si="15"/>
        <v>3165216</v>
      </c>
      <c r="I32" s="346">
        <f t="shared" ca="1" si="15"/>
        <v>556713</v>
      </c>
      <c r="J32" s="346">
        <f t="shared" ca="1" si="15"/>
        <v>217126</v>
      </c>
      <c r="K32" s="346">
        <f t="shared" ca="1" si="15"/>
        <v>-62890</v>
      </c>
      <c r="L32" s="346">
        <f t="shared" ca="1" si="12"/>
        <v>-0.49599999189376831</v>
      </c>
      <c r="P32" s="346">
        <f ca="1">H32+I32</f>
        <v>3721929</v>
      </c>
    </row>
    <row r="33" spans="1:16" ht="13">
      <c r="A33" s="331">
        <v>23</v>
      </c>
      <c r="C33" s="351"/>
      <c r="D33" s="342"/>
      <c r="E33" s="195"/>
      <c r="G33" s="351"/>
      <c r="H33" s="351"/>
      <c r="J33" s="351"/>
      <c r="K33" s="351"/>
      <c r="L33" s="351"/>
      <c r="P33" s="351"/>
    </row>
    <row r="34" spans="1:16" ht="13">
      <c r="A34" s="331">
        <v>24</v>
      </c>
      <c r="B34" s="330" t="s">
        <v>104</v>
      </c>
      <c r="C34" s="351"/>
      <c r="D34" s="342"/>
      <c r="E34" s="195"/>
      <c r="F34" s="345">
        <f t="shared" ref="F34:K34" si="16">F654+F26</f>
        <v>34240459.495999992</v>
      </c>
      <c r="G34" s="347">
        <f t="shared" ca="1" si="16"/>
        <v>24790359</v>
      </c>
      <c r="H34" s="347">
        <f t="shared" si="16"/>
        <v>6189382</v>
      </c>
      <c r="I34" s="347">
        <f t="shared" ca="1" si="16"/>
        <v>2486476</v>
      </c>
      <c r="J34" s="347">
        <f t="shared" si="16"/>
        <v>774242</v>
      </c>
      <c r="K34" s="347">
        <f t="shared" ca="1" si="16"/>
        <v>34240459</v>
      </c>
      <c r="L34" s="347">
        <f ca="1">F34-K34</f>
        <v>0.49599999189376831</v>
      </c>
      <c r="P34" s="347">
        <f ca="1">H34+I34</f>
        <v>8675858</v>
      </c>
    </row>
    <row r="35" spans="1:16" ht="13">
      <c r="A35" s="331">
        <v>25</v>
      </c>
      <c r="B35" s="330" t="s">
        <v>105</v>
      </c>
      <c r="C35" s="351"/>
      <c r="D35" s="342"/>
      <c r="E35" s="195"/>
      <c r="F35" s="348">
        <f t="shared" ref="F35:L35" si="17">IF(F331=0,0,ROUND(F34/F331,5))</f>
        <v>7.3109999999999994E-2</v>
      </c>
      <c r="G35" s="354">
        <f t="shared" ca="1" si="17"/>
        <v>8.3080000000000001E-2</v>
      </c>
      <c r="H35" s="354">
        <f t="shared" si="17"/>
        <v>5.2789999999999997E-2</v>
      </c>
      <c r="I35" s="354">
        <f t="shared" ca="1" si="17"/>
        <v>6.241E-2</v>
      </c>
      <c r="J35" s="354">
        <f t="shared" si="17"/>
        <v>6.0299999999999999E-2</v>
      </c>
      <c r="K35" s="354">
        <f t="shared" ca="1" si="17"/>
        <v>7.3109999999999994E-2</v>
      </c>
      <c r="L35" s="354">
        <f t="shared" ca="1" si="17"/>
        <v>5.1725700000000003</v>
      </c>
      <c r="P35" s="354"/>
    </row>
    <row r="36" spans="1:16" ht="13">
      <c r="A36" s="331">
        <v>26</v>
      </c>
      <c r="B36" s="330" t="s">
        <v>42</v>
      </c>
      <c r="C36" s="351"/>
      <c r="D36" s="342"/>
      <c r="E36" s="195"/>
      <c r="F36" s="348">
        <f t="shared" ref="F36:K36" si="18">$F$688</f>
        <v>7.060000000000001E-2</v>
      </c>
      <c r="G36" s="348">
        <f t="shared" si="18"/>
        <v>7.060000000000001E-2</v>
      </c>
      <c r="H36" s="348">
        <f t="shared" si="18"/>
        <v>7.060000000000001E-2</v>
      </c>
      <c r="I36" s="348">
        <f t="shared" si="18"/>
        <v>7.060000000000001E-2</v>
      </c>
      <c r="J36" s="348">
        <f t="shared" si="18"/>
        <v>7.060000000000001E-2</v>
      </c>
      <c r="K36" s="348">
        <f t="shared" si="18"/>
        <v>7.060000000000001E-2</v>
      </c>
      <c r="L36" s="354">
        <f ca="1">IF(L35=0,0,$F$688)</f>
        <v>7.060000000000001E-2</v>
      </c>
      <c r="P36" s="349"/>
    </row>
    <row r="37" spans="1:16" ht="13">
      <c r="A37" s="331">
        <v>27</v>
      </c>
      <c r="B37" s="330" t="s">
        <v>106</v>
      </c>
      <c r="C37" s="351"/>
      <c r="D37" s="342"/>
      <c r="E37" s="195"/>
      <c r="F37" s="348">
        <f t="shared" ref="F37:K38" si="19">IF($F$670=0,0,(F35-$F$683-$F$684-$F$686)*$F$673/$F$670)</f>
        <v>0.10796105688665159</v>
      </c>
      <c r="G37" s="348">
        <f t="shared" ca="1" si="19"/>
        <v>0.12762799891405732</v>
      </c>
      <c r="H37" s="348">
        <f t="shared" si="19"/>
        <v>6.7877580257074382E-2</v>
      </c>
      <c r="I37" s="348">
        <f t="shared" ca="1" si="19"/>
        <v>8.6854108070880134E-2</v>
      </c>
      <c r="J37" s="348">
        <f t="shared" si="19"/>
        <v>8.2691896668891554E-2</v>
      </c>
      <c r="K37" s="348">
        <f t="shared" ca="1" si="19"/>
        <v>0.10796105688665159</v>
      </c>
      <c r="L37" s="348">
        <f ca="1">IF(OR(F670=0,L35=0)=TRUE,0,(L35-F683-F684-F686)*F673/F670)</f>
        <v>10.167217244557115</v>
      </c>
      <c r="P37" s="348"/>
    </row>
    <row r="38" spans="1:16" ht="13">
      <c r="A38" s="331">
        <v>28</v>
      </c>
      <c r="B38" s="330" t="s">
        <v>107</v>
      </c>
      <c r="C38" s="351"/>
      <c r="D38" s="342"/>
      <c r="E38" s="195"/>
      <c r="F38" s="348">
        <f t="shared" si="19"/>
        <v>0.10300980066912017</v>
      </c>
      <c r="G38" s="348">
        <f t="shared" si="19"/>
        <v>0.10300980066912017</v>
      </c>
      <c r="H38" s="348">
        <f t="shared" si="19"/>
        <v>0.10300980066912017</v>
      </c>
      <c r="I38" s="348">
        <f t="shared" si="19"/>
        <v>0.10300980066912017</v>
      </c>
      <c r="J38" s="348">
        <f t="shared" si="19"/>
        <v>0.10300980066912017</v>
      </c>
      <c r="K38" s="348">
        <f t="shared" si="19"/>
        <v>0.10300980066912017</v>
      </c>
      <c r="L38" s="354">
        <f ca="1">IF(OR($F$670=0,L36=0)=TRUE,0,(L36-$F$683-$F$684-$F$686)*$F$673/$F$670)</f>
        <v>0.10300980066912017</v>
      </c>
      <c r="P38" s="348"/>
    </row>
    <row r="39" spans="1:16" ht="13">
      <c r="A39" s="331">
        <v>29</v>
      </c>
      <c r="C39" s="351"/>
      <c r="D39" s="342"/>
      <c r="E39" s="195"/>
      <c r="F39" s="330" t="s">
        <v>343</v>
      </c>
      <c r="G39" s="351"/>
      <c r="H39" s="351"/>
      <c r="J39" s="351"/>
      <c r="K39" s="351"/>
      <c r="L39" s="351"/>
      <c r="P39" s="351"/>
    </row>
    <row r="40" spans="1:16" ht="13">
      <c r="A40" s="331">
        <v>30</v>
      </c>
      <c r="B40" s="330" t="s">
        <v>1032</v>
      </c>
      <c r="C40" s="351"/>
      <c r="D40" s="342"/>
      <c r="E40" s="195"/>
      <c r="F40" s="473">
        <f>SUM(G40:J40)</f>
        <v>111143535</v>
      </c>
      <c r="G40" s="347">
        <f>'FR-16(7)(v)-3 PROD Comm Alloc'!G761</f>
        <v>75382959</v>
      </c>
      <c r="H40" s="347">
        <f>'FR-16(7)(v)-3 PROD Comm Alloc'!H761</f>
        <v>28525719</v>
      </c>
      <c r="I40" s="347">
        <f>'FR-16(7)(v)-3 PROD Comm Alloc'!I761</f>
        <v>5452147</v>
      </c>
      <c r="J40" s="347">
        <f>'FR-16(7)(v)-3 PROD Comm Alloc'!J761</f>
        <v>1782710</v>
      </c>
      <c r="K40" s="345">
        <f>SUM(G40:J40)</f>
        <v>111143535</v>
      </c>
      <c r="L40" s="345">
        <f>F40-K40</f>
        <v>0</v>
      </c>
      <c r="P40" s="345"/>
    </row>
    <row r="41" spans="1:16" ht="13">
      <c r="A41" s="331">
        <v>31</v>
      </c>
      <c r="B41" s="330" t="s">
        <v>109</v>
      </c>
      <c r="C41" s="351"/>
      <c r="D41" s="342"/>
      <c r="E41" s="195"/>
      <c r="F41" s="345">
        <f t="shared" ref="F41:L41" si="20">F28-F40</f>
        <v>15228164.504000008</v>
      </c>
      <c r="G41" s="347">
        <f t="shared" ca="1" si="20"/>
        <v>5956473</v>
      </c>
      <c r="H41" s="347">
        <f t="shared" si="20"/>
        <v>7375654</v>
      </c>
      <c r="I41" s="347">
        <f t="shared" ca="1" si="20"/>
        <v>1412865</v>
      </c>
      <c r="J41" s="347">
        <f t="shared" si="20"/>
        <v>483173</v>
      </c>
      <c r="K41" s="347">
        <f t="shared" ca="1" si="20"/>
        <v>15228165</v>
      </c>
      <c r="L41" s="347">
        <f t="shared" ca="1" si="20"/>
        <v>-0.49599999189376831</v>
      </c>
      <c r="P41" s="347"/>
    </row>
    <row r="42" spans="1:16" ht="13">
      <c r="A42" s="331">
        <v>32</v>
      </c>
      <c r="C42" s="351" t="s">
        <v>283</v>
      </c>
      <c r="D42" s="342"/>
      <c r="E42" s="195"/>
      <c r="F42" s="350">
        <f t="shared" ref="F42:L42" si="21">IF(F40=0,0,ROUND(F41/F40,5))</f>
        <v>0.13700999999999999</v>
      </c>
      <c r="G42" s="356">
        <f t="shared" ca="1" si="21"/>
        <v>7.9020000000000007E-2</v>
      </c>
      <c r="H42" s="356">
        <f t="shared" si="21"/>
        <v>0.25856000000000001</v>
      </c>
      <c r="I42" s="356">
        <f t="shared" ca="1" si="21"/>
        <v>0.25913999999999998</v>
      </c>
      <c r="J42" s="356">
        <f t="shared" si="21"/>
        <v>0.27102999999999999</v>
      </c>
      <c r="K42" s="356">
        <f t="shared" ca="1" si="21"/>
        <v>0.13700999999999999</v>
      </c>
      <c r="L42" s="356">
        <f t="shared" si="21"/>
        <v>0</v>
      </c>
      <c r="P42" s="356"/>
    </row>
    <row r="43" spans="1:16" ht="13">
      <c r="A43" s="331">
        <v>33</v>
      </c>
      <c r="B43" s="330" t="s">
        <v>110</v>
      </c>
      <c r="C43" s="351"/>
      <c r="D43" s="342"/>
      <c r="E43" s="195"/>
      <c r="F43" s="345">
        <f t="shared" ref="F43:L43" si="22">F31-F40</f>
        <v>15291055</v>
      </c>
      <c r="G43" s="347">
        <f t="shared" si="22"/>
        <v>9958418</v>
      </c>
      <c r="H43" s="347">
        <f t="shared" si="22"/>
        <v>4210438</v>
      </c>
      <c r="I43" s="347">
        <f t="shared" si="22"/>
        <v>856152</v>
      </c>
      <c r="J43" s="347">
        <f t="shared" si="22"/>
        <v>266047</v>
      </c>
      <c r="K43" s="347">
        <f t="shared" si="22"/>
        <v>15291055</v>
      </c>
      <c r="L43" s="347">
        <f t="shared" si="22"/>
        <v>0</v>
      </c>
      <c r="P43" s="347"/>
    </row>
    <row r="44" spans="1:16" ht="13">
      <c r="A44" s="331">
        <v>34</v>
      </c>
      <c r="C44" s="351" t="s">
        <v>283</v>
      </c>
      <c r="D44" s="342"/>
      <c r="E44" s="195"/>
      <c r="F44" s="350">
        <f t="shared" ref="F44:L44" si="23">IF(F40=0,0,ROUND(F43/F40,5))</f>
        <v>0.13758000000000001</v>
      </c>
      <c r="G44" s="356">
        <f t="shared" si="23"/>
        <v>0.1321</v>
      </c>
      <c r="H44" s="356">
        <f t="shared" si="23"/>
        <v>0.14760000000000001</v>
      </c>
      <c r="I44" s="356">
        <f t="shared" si="23"/>
        <v>0.15703</v>
      </c>
      <c r="J44" s="356">
        <f t="shared" si="23"/>
        <v>0.14924000000000001</v>
      </c>
      <c r="K44" s="356">
        <f t="shared" si="23"/>
        <v>0.13758000000000001</v>
      </c>
      <c r="L44" s="356">
        <f t="shared" si="23"/>
        <v>0</v>
      </c>
      <c r="P44" s="356"/>
    </row>
    <row r="45" spans="1:16" ht="13">
      <c r="A45" s="341"/>
      <c r="C45" s="195"/>
      <c r="D45" s="342"/>
      <c r="E45" s="195"/>
      <c r="G45" s="340"/>
      <c r="H45" s="340"/>
      <c r="I45" s="195"/>
      <c r="J45" s="342"/>
      <c r="K45" s="195"/>
      <c r="L45" s="195"/>
    </row>
    <row r="46" spans="1:16" ht="13">
      <c r="A46" s="341" t="str">
        <f>co_name</f>
        <v>DUKE ENERGY KENTUCKY, INC.</v>
      </c>
      <c r="C46" s="195"/>
      <c r="D46" s="342"/>
      <c r="E46" s="195"/>
      <c r="F46" s="342"/>
      <c r="G46" s="340"/>
      <c r="H46" s="340"/>
      <c r="I46" s="195"/>
      <c r="K46" s="359" t="str">
        <f>$K$1</f>
        <v>FR-16(7)(v)-8</v>
      </c>
      <c r="L46" s="195"/>
    </row>
    <row r="47" spans="1:16" ht="13">
      <c r="A47" s="341" t="str">
        <f>$A$2</f>
        <v>TOTAL CLASS ALLOCATED - GAS COST OF SERVICE</v>
      </c>
      <c r="C47" s="195"/>
      <c r="D47" s="342"/>
      <c r="E47" s="195"/>
      <c r="F47" s="342"/>
      <c r="G47" s="340"/>
      <c r="H47" s="340"/>
      <c r="I47" s="195"/>
      <c r="K47" s="359" t="str">
        <f>$K$2</f>
        <v>WITNESS RESPONSIBLE:</v>
      </c>
      <c r="L47" s="195"/>
    </row>
    <row r="48" spans="1:16" ht="13">
      <c r="A48" s="341" t="str">
        <f>case_name</f>
        <v>CASE NO: 2021-00190</v>
      </c>
      <c r="C48" s="195"/>
      <c r="D48" s="342"/>
      <c r="E48" s="195"/>
      <c r="F48" s="342"/>
      <c r="G48" s="340"/>
      <c r="H48" s="340"/>
      <c r="I48" s="195"/>
      <c r="K48" s="359" t="str">
        <f>Witness</f>
        <v>JAMES E. ZIOLKOWSKI</v>
      </c>
      <c r="L48" s="195"/>
    </row>
    <row r="49" spans="1:12" ht="13">
      <c r="A49" s="341" t="str">
        <f>data_filing</f>
        <v>DATA: 12 MONTH FORECASTED PERIOD</v>
      </c>
      <c r="C49" s="195"/>
      <c r="D49" s="342"/>
      <c r="E49" s="195"/>
      <c r="F49" s="342"/>
      <c r="G49" s="340"/>
      <c r="H49" s="340"/>
      <c r="I49" s="195"/>
      <c r="K49" s="359" t="str">
        <f>"PAGE "&amp;Pages2-13&amp;" OF "&amp;Pages2</f>
        <v>PAGE 2 OF 15</v>
      </c>
      <c r="L49" s="195"/>
    </row>
    <row r="50" spans="1:12" ht="13">
      <c r="A50" s="341" t="str">
        <f>type</f>
        <v xml:space="preserve">TYPE OF FILING: "X" ORIGINAL   UPDATED    REVISED  </v>
      </c>
      <c r="C50" s="195"/>
      <c r="D50" s="342"/>
      <c r="E50" s="195"/>
      <c r="F50" s="342"/>
      <c r="G50" s="340"/>
      <c r="H50" s="340"/>
      <c r="I50" s="195"/>
      <c r="J50" s="342"/>
      <c r="K50" s="195"/>
      <c r="L50" s="195"/>
    </row>
    <row r="51" spans="1:12" ht="13">
      <c r="A51" s="341"/>
      <c r="C51" s="195"/>
      <c r="D51" s="342"/>
      <c r="E51" s="195"/>
      <c r="F51" s="342"/>
      <c r="G51" s="340"/>
      <c r="H51" s="340"/>
      <c r="I51" s="195"/>
      <c r="J51" s="342"/>
      <c r="K51" s="195"/>
      <c r="L51" s="195"/>
    </row>
    <row r="52" spans="1:12" ht="13">
      <c r="A52" s="341"/>
      <c r="C52" s="195"/>
      <c r="D52" s="342"/>
      <c r="E52" s="195"/>
      <c r="F52" s="342" t="str">
        <f>$F$7</f>
        <v>TOTAL</v>
      </c>
      <c r="G52" s="340"/>
      <c r="H52" s="340"/>
      <c r="I52" s="195"/>
      <c r="J52" s="342"/>
      <c r="K52" s="195"/>
      <c r="L52" s="195"/>
    </row>
    <row r="53" spans="1:12" ht="13">
      <c r="A53" s="342" t="s">
        <v>907</v>
      </c>
      <c r="B53" s="195"/>
      <c r="C53" s="195"/>
      <c r="D53" s="342"/>
      <c r="E53" s="195"/>
      <c r="F53" s="342" t="str">
        <f>$F$8</f>
        <v>CLASS</v>
      </c>
      <c r="G53" s="352" t="s">
        <v>766</v>
      </c>
      <c r="H53" s="352" t="s">
        <v>1256</v>
      </c>
      <c r="I53" s="352" t="s">
        <v>974</v>
      </c>
      <c r="J53" s="352" t="s">
        <v>546</v>
      </c>
      <c r="K53" s="352" t="s">
        <v>229</v>
      </c>
      <c r="L53" s="342" t="s">
        <v>342</v>
      </c>
    </row>
    <row r="54" spans="1:12" ht="13">
      <c r="A54" s="344" t="s">
        <v>908</v>
      </c>
      <c r="B54" s="343" t="s">
        <v>95</v>
      </c>
      <c r="C54" s="343"/>
      <c r="D54" s="344" t="s">
        <v>337</v>
      </c>
      <c r="E54" s="343"/>
      <c r="F54" s="342" t="str">
        <f>$F$9</f>
        <v>ALLOCATED</v>
      </c>
      <c r="G54" s="353" t="s">
        <v>338</v>
      </c>
      <c r="H54" s="353" t="s">
        <v>404</v>
      </c>
      <c r="I54" s="353" t="s">
        <v>1257</v>
      </c>
      <c r="J54" s="353" t="s">
        <v>547</v>
      </c>
      <c r="K54" s="353" t="s">
        <v>341</v>
      </c>
      <c r="L54" s="344" t="s">
        <v>340</v>
      </c>
    </row>
    <row r="55" spans="1:12" ht="13">
      <c r="C55" s="572" t="s">
        <v>344</v>
      </c>
      <c r="D55" s="342"/>
      <c r="E55" s="195"/>
      <c r="F55" s="755"/>
      <c r="G55" s="627">
        <f>$G$10</f>
        <v>3</v>
      </c>
      <c r="H55" s="627">
        <f>$H$10</f>
        <v>4</v>
      </c>
      <c r="I55" s="627">
        <f>$I$10</f>
        <v>5</v>
      </c>
      <c r="J55" s="627">
        <f>$J$10</f>
        <v>6</v>
      </c>
      <c r="L55" s="330" t="s">
        <v>343</v>
      </c>
    </row>
    <row r="56" spans="1:12" ht="13">
      <c r="A56" s="331">
        <v>1</v>
      </c>
      <c r="B56" s="330" t="s">
        <v>14</v>
      </c>
      <c r="E56" s="195"/>
      <c r="G56" s="351"/>
      <c r="H56" s="351"/>
      <c r="I56" s="330"/>
    </row>
    <row r="57" spans="1:12" ht="13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3">
        <f>'FR-16(7)(v)-1 Functional'!F57</f>
        <v>4625622</v>
      </c>
      <c r="G57" s="347">
        <f>'FR-16(7)(v)-6 DISTR Cust Alloc'!$G$57+'FR-16(7)(v)-5 DISTR Dem Alloc'!$G$57+'FR-16(7)(v)-3 PROD Comm Alloc'!$G$57</f>
        <v>2471100</v>
      </c>
      <c r="H57" s="347">
        <f>'FR-16(7)(v)-6 DISTR Cust Alloc'!$H$57+'FR-16(7)(v)-5 DISTR Dem Alloc'!$H$57+'FR-16(7)(v)-3 PROD Comm Alloc'!$H$57</f>
        <v>1501384</v>
      </c>
      <c r="I57" s="347">
        <f>'FR-16(7)(v)-6 DISTR Cust Alloc'!$I$57+'FR-16(7)(v)-5 DISTR Dem Alloc'!$I$57+'FR-16(7)(v)-3 PROD Comm Alloc'!$I$57</f>
        <v>653138</v>
      </c>
      <c r="J57" s="347">
        <f>'FR-16(7)(v)-6 DISTR Cust Alloc'!$J$57+'FR-16(7)(v)-5 DISTR Dem Alloc'!$J$57+'FR-16(7)(v)-3 PROD Comm Alloc'!$J$57</f>
        <v>0</v>
      </c>
      <c r="K57" s="345">
        <f>SUM($G$57:$J$57)</f>
        <v>4625622</v>
      </c>
      <c r="L57" s="345">
        <f>F57-$K$57</f>
        <v>0</v>
      </c>
    </row>
    <row r="58" spans="1:12" ht="13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3">
        <f>'FR-16(7)(v)-1 Functional'!F58</f>
        <v>0</v>
      </c>
      <c r="G58" s="347">
        <f>'FR-16(7)(v)-6 DISTR Cust Alloc'!$G$58+'FR-16(7)(v)-5 DISTR Dem Alloc'!$G$58+'FR-16(7)(v)-3 PROD Comm Alloc'!$G$58</f>
        <v>0</v>
      </c>
      <c r="H58" s="347">
        <f>'FR-16(7)(v)-6 DISTR Cust Alloc'!$H$58+'FR-16(7)(v)-5 DISTR Dem Alloc'!$H$58+'FR-16(7)(v)-3 PROD Comm Alloc'!$H$58</f>
        <v>0</v>
      </c>
      <c r="I58" s="347">
        <f>'FR-16(7)(v)-6 DISTR Cust Alloc'!$I$58+'FR-16(7)(v)-5 DISTR Dem Alloc'!$I$58+'FR-16(7)(v)-3 PROD Comm Alloc'!$I$58</f>
        <v>0</v>
      </c>
      <c r="J58" s="347">
        <f>'FR-16(7)(v)-6 DISTR Cust Alloc'!$J$58+'FR-16(7)(v)-5 DISTR Dem Alloc'!$J$58+'FR-16(7)(v)-3 PROD Comm Alloc'!$J$58</f>
        <v>0</v>
      </c>
      <c r="K58" s="345">
        <f>SUM($G$58:$J$58)</f>
        <v>0</v>
      </c>
      <c r="L58" s="345">
        <f>F58-$K$58</f>
        <v>0</v>
      </c>
    </row>
    <row r="59" spans="1:12" ht="13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4625622</v>
      </c>
      <c r="G59" s="346">
        <f>SUM($G$57:$G$58)</f>
        <v>2471100</v>
      </c>
      <c r="H59" s="346">
        <f>SUM($H$57:$H$58)</f>
        <v>1501384</v>
      </c>
      <c r="I59" s="346">
        <f>SUM($I$57:$I$58)</f>
        <v>653138</v>
      </c>
      <c r="J59" s="346">
        <f>SUM($J$57:$J$58)</f>
        <v>0</v>
      </c>
      <c r="K59" s="346">
        <f>SUM($K$57:$K$58)</f>
        <v>4625622</v>
      </c>
      <c r="L59" s="346">
        <f>SUM($L$57:$L$58)</f>
        <v>0</v>
      </c>
    </row>
    <row r="60" spans="1:12" ht="13">
      <c r="A60" s="331">
        <v>5</v>
      </c>
      <c r="D60" s="342"/>
      <c r="E60" s="195"/>
      <c r="G60" s="351"/>
      <c r="H60" s="351"/>
      <c r="I60" s="330"/>
    </row>
    <row r="61" spans="1:12" ht="13">
      <c r="A61" s="331">
        <v>6</v>
      </c>
      <c r="B61" s="330" t="s">
        <v>15</v>
      </c>
      <c r="D61" s="342"/>
      <c r="E61" s="195"/>
      <c r="G61" s="351"/>
      <c r="H61" s="351"/>
      <c r="I61" s="330"/>
    </row>
    <row r="62" spans="1:12" ht="13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1"/>
      <c r="G62" s="472"/>
      <c r="H62" s="347"/>
      <c r="I62" s="345"/>
      <c r="J62" s="345"/>
      <c r="K62" s="345"/>
      <c r="L62" s="345"/>
    </row>
    <row r="63" spans="1:12" ht="13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346">
        <f>SUM($G$62)</f>
        <v>0</v>
      </c>
      <c r="H63" s="346">
        <f>SUM($H$62)</f>
        <v>0</v>
      </c>
      <c r="I63" s="346">
        <f>SUM($I$62)</f>
        <v>0</v>
      </c>
      <c r="J63" s="346">
        <f>SUM($J$62)</f>
        <v>0</v>
      </c>
      <c r="K63" s="346">
        <f>SUM($K$62)</f>
        <v>0</v>
      </c>
      <c r="L63" s="346">
        <f>SUM($L$62)</f>
        <v>0</v>
      </c>
    </row>
    <row r="64" spans="1:12" ht="13">
      <c r="A64" s="331">
        <v>9</v>
      </c>
      <c r="D64" s="342"/>
      <c r="E64" s="195"/>
      <c r="G64" s="351"/>
      <c r="H64" s="351"/>
      <c r="I64" s="330"/>
    </row>
    <row r="65" spans="1:12" ht="13">
      <c r="A65" s="331">
        <v>10</v>
      </c>
      <c r="B65" s="330" t="s">
        <v>16</v>
      </c>
      <c r="D65" s="342"/>
      <c r="E65" s="195"/>
      <c r="F65" s="345">
        <f>F63+F59</f>
        <v>4625622</v>
      </c>
      <c r="G65" s="347">
        <f>$G$63+$G$59</f>
        <v>2471100</v>
      </c>
      <c r="H65" s="347">
        <f>$H$63+$H$59</f>
        <v>1501384</v>
      </c>
      <c r="I65" s="345">
        <f>$I$63+$I$59</f>
        <v>653138</v>
      </c>
      <c r="J65" s="345">
        <f>$J$63+$J$59</f>
        <v>0</v>
      </c>
      <c r="K65" s="345">
        <f>$K$63+$K$59</f>
        <v>4625622</v>
      </c>
      <c r="L65" s="345">
        <f>$L$63+$L$59</f>
        <v>0</v>
      </c>
    </row>
    <row r="66" spans="1:12" ht="13">
      <c r="A66" s="331">
        <v>11</v>
      </c>
      <c r="D66" s="342"/>
      <c r="E66" s="195"/>
      <c r="G66" s="351"/>
      <c r="H66" s="351"/>
      <c r="I66" s="330"/>
    </row>
    <row r="67" spans="1:12" ht="13">
      <c r="A67" s="331">
        <v>12</v>
      </c>
      <c r="B67" s="330" t="s">
        <v>17</v>
      </c>
      <c r="D67" s="342"/>
      <c r="E67" s="195"/>
      <c r="G67" s="351"/>
      <c r="H67" s="351"/>
      <c r="I67" s="330"/>
    </row>
    <row r="68" spans="1:12" ht="13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3">
        <f>'FR-16(7)(v)-1 Functional'!F68</f>
        <v>41242292</v>
      </c>
      <c r="G68" s="347">
        <f>'FR-16(7)(v)-6 DISTR Cust Alloc'!G68+'FR-16(7)(v)-5 DISTR Dem Alloc'!G68+'FR-16(7)(v)-3 PROD Comm Alloc'!G68</f>
        <v>21048416</v>
      </c>
      <c r="H68" s="347">
        <f>'FR-16(7)(v)-6 DISTR Cust Alloc'!H68+'FR-16(7)(v)-5 DISTR Dem Alloc'!H68+'FR-16(7)(v)-3 PROD Comm Alloc'!H68</f>
        <v>12780986</v>
      </c>
      <c r="I68" s="347">
        <f>'FR-16(7)(v)-6 DISTR Cust Alloc'!I68+'FR-16(7)(v)-5 DISTR Dem Alloc'!I68+'FR-16(7)(v)-3 PROD Comm Alloc'!I68</f>
        <v>5618850</v>
      </c>
      <c r="J68" s="347">
        <f>'FR-16(7)(v)-6 DISTR Cust Alloc'!J68+'FR-16(7)(v)-5 DISTR Dem Alloc'!J68+'FR-16(7)(v)-3 PROD Comm Alloc'!J68</f>
        <v>1794040</v>
      </c>
      <c r="K68" s="345">
        <f t="shared" ref="K68:K77" si="24">SUM(G68:J68)</f>
        <v>41242292</v>
      </c>
      <c r="L68" s="345">
        <f t="shared" ref="L68:L77" si="25">F68-K68</f>
        <v>0</v>
      </c>
    </row>
    <row r="69" spans="1:12" ht="13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3">
        <f>'FR-16(7)(v)-1 Functional'!F69</f>
        <v>2724163</v>
      </c>
      <c r="G69" s="347">
        <f>'FR-16(7)(v)-6 DISTR Cust Alloc'!G69+'FR-16(7)(v)-5 DISTR Dem Alloc'!G69+'FR-16(7)(v)-3 PROD Comm Alloc'!G69</f>
        <v>1390304</v>
      </c>
      <c r="H69" s="347">
        <f>'FR-16(7)(v)-6 DISTR Cust Alloc'!H69+'FR-16(7)(v)-5 DISTR Dem Alloc'!H69+'FR-16(7)(v)-3 PROD Comm Alloc'!H69</f>
        <v>844218</v>
      </c>
      <c r="I69" s="347">
        <f>'FR-16(7)(v)-6 DISTR Cust Alloc'!I69+'FR-16(7)(v)-5 DISTR Dem Alloc'!I69+'FR-16(7)(v)-3 PROD Comm Alloc'!I69</f>
        <v>371140</v>
      </c>
      <c r="J69" s="347">
        <f>'FR-16(7)(v)-6 DISTR Cust Alloc'!J69+'FR-16(7)(v)-5 DISTR Dem Alloc'!J69+'FR-16(7)(v)-3 PROD Comm Alloc'!J69</f>
        <v>118501</v>
      </c>
      <c r="K69" s="345">
        <f t="shared" si="24"/>
        <v>2724163</v>
      </c>
      <c r="L69" s="345">
        <f t="shared" si="25"/>
        <v>0</v>
      </c>
    </row>
    <row r="70" spans="1:12" ht="13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3">
        <f>'FR-16(7)(v)-1 Functional'!F70</f>
        <v>566920</v>
      </c>
      <c r="G70" s="347">
        <f>'FR-16(7)(v)-6 DISTR Cust Alloc'!G70+'FR-16(7)(v)-5 DISTR Dem Alloc'!G70+'FR-16(7)(v)-3 PROD Comm Alloc'!G70</f>
        <v>0</v>
      </c>
      <c r="H70" s="347">
        <f>'FR-16(7)(v)-6 DISTR Cust Alloc'!H70+'FR-16(7)(v)-5 DISTR Dem Alloc'!H70+'FR-16(7)(v)-3 PROD Comm Alloc'!H70</f>
        <v>0</v>
      </c>
      <c r="I70" s="347">
        <f>'FR-16(7)(v)-6 DISTR Cust Alloc'!I70+'FR-16(7)(v)-5 DISTR Dem Alloc'!I70+'FR-16(7)(v)-3 PROD Comm Alloc'!I70</f>
        <v>330469</v>
      </c>
      <c r="J70" s="347">
        <f>'FR-16(7)(v)-6 DISTR Cust Alloc'!J70+'FR-16(7)(v)-5 DISTR Dem Alloc'!J70+'FR-16(7)(v)-3 PROD Comm Alloc'!J70</f>
        <v>236451</v>
      </c>
      <c r="K70" s="345">
        <f t="shared" si="24"/>
        <v>566920</v>
      </c>
      <c r="L70" s="345">
        <f t="shared" si="25"/>
        <v>0</v>
      </c>
    </row>
    <row r="71" spans="1:12" ht="13">
      <c r="A71" s="331">
        <v>16</v>
      </c>
      <c r="C71" s="330" t="str">
        <f>'FR-16(7)(v)-1 Functional'!C71</f>
        <v>MAINS - (2761, 2762, 2763, 2765)</v>
      </c>
      <c r="D71" s="342" t="str">
        <f>'FR-16(7)(v)-1 Functional'!D71</f>
        <v>K415</v>
      </c>
      <c r="E71" s="195"/>
      <c r="F71" s="473">
        <f>'FR-16(7)(v)-1 Functional'!F71</f>
        <v>396995775</v>
      </c>
      <c r="G71" s="347">
        <f>'FR-16(7)(v)-6 DISTR Cust Alloc'!G71+'FR-16(7)(v)-5 DISTR Dem Alloc'!G71+'FR-16(7)(v)-3 PROD Comm Alloc'!G71</f>
        <v>202610764</v>
      </c>
      <c r="H71" s="347">
        <f>'FR-16(7)(v)-6 DISTR Cust Alloc'!H71+'FR-16(7)(v)-5 DISTR Dem Alloc'!H71+'FR-16(7)(v)-3 PROD Comm Alloc'!H71</f>
        <v>123028991</v>
      </c>
      <c r="I71" s="347">
        <f>'FR-16(7)(v)-6 DISTR Cust Alloc'!I71+'FR-16(7)(v)-5 DISTR Dem Alloc'!I71+'FR-16(7)(v)-3 PROD Comm Alloc'!I71</f>
        <v>54086704</v>
      </c>
      <c r="J71" s="347">
        <f>'FR-16(7)(v)-6 DISTR Cust Alloc'!J71+'FR-16(7)(v)-5 DISTR Dem Alloc'!J71+'FR-16(7)(v)-3 PROD Comm Alloc'!J71</f>
        <v>17269316</v>
      </c>
      <c r="K71" s="345">
        <f t="shared" si="24"/>
        <v>396995775</v>
      </c>
      <c r="L71" s="345">
        <f t="shared" si="25"/>
        <v>0</v>
      </c>
    </row>
    <row r="72" spans="1:12" ht="13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3">
        <f>'FR-16(7)(v)-1 Functional'!F72</f>
        <v>226116720</v>
      </c>
      <c r="G72" s="347">
        <f>'FR-16(7)(v)-6 DISTR Cust Alloc'!G72+'FR-16(7)(v)-5 DISTR Dem Alloc'!G72+'FR-16(7)(v)-3 PROD Comm Alloc'!G72</f>
        <v>198085030</v>
      </c>
      <c r="H72" s="347">
        <f>'FR-16(7)(v)-6 DISTR Cust Alloc'!H72+'FR-16(7)(v)-5 DISTR Dem Alloc'!H72+'FR-16(7)(v)-3 PROD Comm Alloc'!H72</f>
        <v>27233498</v>
      </c>
      <c r="I72" s="347">
        <f>'FR-16(7)(v)-6 DISTR Cust Alloc'!I72+'FR-16(7)(v)-5 DISTR Dem Alloc'!I72+'FR-16(7)(v)-3 PROD Comm Alloc'!I72</f>
        <v>431883</v>
      </c>
      <c r="J72" s="347">
        <f>'FR-16(7)(v)-6 DISTR Cust Alloc'!J72+'FR-16(7)(v)-5 DISTR Dem Alloc'!J72+'FR-16(7)(v)-3 PROD Comm Alloc'!J72</f>
        <v>366309</v>
      </c>
      <c r="K72" s="345">
        <f t="shared" si="24"/>
        <v>226116720</v>
      </c>
      <c r="L72" s="345">
        <f t="shared" si="25"/>
        <v>0</v>
      </c>
    </row>
    <row r="73" spans="1:12" ht="13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3">
        <f>'FR-16(7)(v)-1 Functional'!F73</f>
        <v>30766213</v>
      </c>
      <c r="G73" s="347">
        <f>'FR-16(7)(v)-6 DISTR Cust Alloc'!G73+'FR-16(7)(v)-5 DISTR Dem Alloc'!G73+'FR-16(7)(v)-3 PROD Comm Alloc'!G73</f>
        <v>24635122</v>
      </c>
      <c r="H73" s="347">
        <f>'FR-16(7)(v)-6 DISTR Cust Alloc'!H73+'FR-16(7)(v)-5 DISTR Dem Alloc'!H73+'FR-16(7)(v)-3 PROD Comm Alloc'!H73</f>
        <v>5195798</v>
      </c>
      <c r="I73" s="347">
        <f>'FR-16(7)(v)-6 DISTR Cust Alloc'!I73+'FR-16(7)(v)-5 DISTR Dem Alloc'!I73+'FR-16(7)(v)-3 PROD Comm Alloc'!I73</f>
        <v>568252</v>
      </c>
      <c r="J73" s="347">
        <f>'FR-16(7)(v)-6 DISTR Cust Alloc'!J73+'FR-16(7)(v)-5 DISTR Dem Alloc'!J73+'FR-16(7)(v)-3 PROD Comm Alloc'!J73</f>
        <v>367041</v>
      </c>
      <c r="K73" s="345">
        <f t="shared" si="24"/>
        <v>30766213</v>
      </c>
      <c r="L73" s="345">
        <f t="shared" si="25"/>
        <v>0</v>
      </c>
    </row>
    <row r="74" spans="1:12" ht="13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3">
        <f>'FR-16(7)(v)-1 Functional'!F74</f>
        <v>11654163</v>
      </c>
      <c r="G74" s="347">
        <f>'FR-16(7)(v)-6 DISTR Cust Alloc'!G74+'FR-16(7)(v)-5 DISTR Dem Alloc'!G74+'FR-16(7)(v)-3 PROD Comm Alloc'!G74</f>
        <v>5947819</v>
      </c>
      <c r="H74" s="347">
        <f>'FR-16(7)(v)-6 DISTR Cust Alloc'!H74+'FR-16(7)(v)-5 DISTR Dem Alloc'!H74+'FR-16(7)(v)-3 PROD Comm Alloc'!H74</f>
        <v>3611625</v>
      </c>
      <c r="I74" s="347">
        <f>'FR-16(7)(v)-6 DISTR Cust Alloc'!I74+'FR-16(7)(v)-5 DISTR Dem Alloc'!I74+'FR-16(7)(v)-3 PROD Comm Alloc'!I74</f>
        <v>1587763</v>
      </c>
      <c r="J74" s="347">
        <f>'FR-16(7)(v)-6 DISTR Cust Alloc'!J74+'FR-16(7)(v)-5 DISTR Dem Alloc'!J74+'FR-16(7)(v)-3 PROD Comm Alloc'!J74</f>
        <v>506956</v>
      </c>
      <c r="K74" s="345">
        <f t="shared" si="24"/>
        <v>11654163</v>
      </c>
      <c r="L74" s="345">
        <f t="shared" si="25"/>
        <v>0</v>
      </c>
    </row>
    <row r="75" spans="1:12" ht="13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3">
        <f>'FR-16(7)(v)-1 Functional'!F75</f>
        <v>14731367</v>
      </c>
      <c r="G75" s="347">
        <f>'FR-16(7)(v)-6 DISTR Cust Alloc'!G75+'FR-16(7)(v)-5 DISTR Dem Alloc'!G75+'FR-16(7)(v)-3 PROD Comm Alloc'!G75</f>
        <v>9112234</v>
      </c>
      <c r="H75" s="347">
        <f>'FR-16(7)(v)-6 DISTR Cust Alloc'!H75+'FR-16(7)(v)-5 DISTR Dem Alloc'!H75+'FR-16(7)(v)-3 PROD Comm Alloc'!H75</f>
        <v>5482573</v>
      </c>
      <c r="I75" s="347">
        <f>'FR-16(7)(v)-6 DISTR Cust Alloc'!I75+'FR-16(7)(v)-5 DISTR Dem Alloc'!I75+'FR-16(7)(v)-3 PROD Comm Alloc'!I75</f>
        <v>113137</v>
      </c>
      <c r="J75" s="347">
        <f>'FR-16(7)(v)-6 DISTR Cust Alloc'!J75+'FR-16(7)(v)-5 DISTR Dem Alloc'!J75+'FR-16(7)(v)-3 PROD Comm Alloc'!J75</f>
        <v>23423</v>
      </c>
      <c r="K75" s="345">
        <f t="shared" si="24"/>
        <v>14731367</v>
      </c>
      <c r="L75" s="345">
        <f t="shared" si="25"/>
        <v>0</v>
      </c>
    </row>
    <row r="76" spans="1:12" ht="13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3">
        <f>'FR-16(7)(v)-1 Functional'!F76</f>
        <v>91485</v>
      </c>
      <c r="G76" s="347">
        <f>'FR-16(7)(v)-6 DISTR Cust Alloc'!G76+'FR-16(7)(v)-5 DISTR Dem Alloc'!G76+'FR-16(7)(v)-3 PROD Comm Alloc'!G76</f>
        <v>0</v>
      </c>
      <c r="H76" s="347">
        <f>'FR-16(7)(v)-6 DISTR Cust Alloc'!H76+'FR-16(7)(v)-5 DISTR Dem Alloc'!H76+'FR-16(7)(v)-3 PROD Comm Alloc'!H76</f>
        <v>91485</v>
      </c>
      <c r="I76" s="347">
        <f>'FR-16(7)(v)-6 DISTR Cust Alloc'!I76+'FR-16(7)(v)-5 DISTR Dem Alloc'!I76+'FR-16(7)(v)-3 PROD Comm Alloc'!I76</f>
        <v>0</v>
      </c>
      <c r="J76" s="347">
        <f>'FR-16(7)(v)-6 DISTR Cust Alloc'!J76+'FR-16(7)(v)-5 DISTR Dem Alloc'!J76+'FR-16(7)(v)-3 PROD Comm Alloc'!J76</f>
        <v>0</v>
      </c>
      <c r="K76" s="345">
        <f t="shared" si="24"/>
        <v>91485</v>
      </c>
      <c r="L76" s="345">
        <f t="shared" si="25"/>
        <v>0</v>
      </c>
    </row>
    <row r="77" spans="1:12" ht="13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3">
        <f>'FR-16(7)(v)-1 Functional'!F77</f>
        <v>0</v>
      </c>
      <c r="G77" s="347">
        <f>'FR-16(7)(v)-6 DISTR Cust Alloc'!G77+'FR-16(7)(v)-5 DISTR Dem Alloc'!G77+'FR-16(7)(v)-3 PROD Comm Alloc'!G77</f>
        <v>0</v>
      </c>
      <c r="H77" s="347">
        <f>'FR-16(7)(v)-6 DISTR Cust Alloc'!H77+'FR-16(7)(v)-5 DISTR Dem Alloc'!H77+'FR-16(7)(v)-3 PROD Comm Alloc'!H77</f>
        <v>0</v>
      </c>
      <c r="I77" s="347">
        <f>'FR-16(7)(v)-6 DISTR Cust Alloc'!I77+'FR-16(7)(v)-5 DISTR Dem Alloc'!I77+'FR-16(7)(v)-3 PROD Comm Alloc'!I77</f>
        <v>0</v>
      </c>
      <c r="J77" s="347">
        <f>'FR-16(7)(v)-6 DISTR Cust Alloc'!J77+'FR-16(7)(v)-5 DISTR Dem Alloc'!J77+'FR-16(7)(v)-3 PROD Comm Alloc'!J77</f>
        <v>0</v>
      </c>
      <c r="K77" s="345">
        <f t="shared" si="24"/>
        <v>0</v>
      </c>
      <c r="L77" s="345">
        <f t="shared" si="25"/>
        <v>0</v>
      </c>
    </row>
    <row r="78" spans="1:12" ht="13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L78" si="26">SUM(F68:F77)</f>
        <v>724889098</v>
      </c>
      <c r="G78" s="346">
        <f t="shared" si="26"/>
        <v>462829689</v>
      </c>
      <c r="H78" s="346">
        <f t="shared" si="26"/>
        <v>178269174</v>
      </c>
      <c r="I78" s="346">
        <f t="shared" si="26"/>
        <v>63108198</v>
      </c>
      <c r="J78" s="346">
        <f t="shared" si="26"/>
        <v>20682037</v>
      </c>
      <c r="K78" s="346">
        <f t="shared" si="26"/>
        <v>724889098</v>
      </c>
      <c r="L78" s="346">
        <f t="shared" si="26"/>
        <v>0</v>
      </c>
    </row>
    <row r="79" spans="1:12" ht="13">
      <c r="A79" s="331">
        <v>24</v>
      </c>
      <c r="D79" s="342"/>
      <c r="E79" s="195"/>
      <c r="G79" s="351"/>
      <c r="H79" s="351"/>
      <c r="I79" s="330"/>
    </row>
    <row r="80" spans="1:12" ht="13">
      <c r="A80" s="331">
        <v>25</v>
      </c>
      <c r="B80" s="330" t="s">
        <v>18</v>
      </c>
      <c r="D80" s="342"/>
      <c r="E80" s="195"/>
      <c r="F80" s="345">
        <f>F78+F63</f>
        <v>724889098</v>
      </c>
      <c r="G80" s="347">
        <f>G78+$G$63</f>
        <v>462829689</v>
      </c>
      <c r="H80" s="347">
        <f>H78+$H$63</f>
        <v>178269174</v>
      </c>
      <c r="I80" s="345">
        <f>I78+$I$63</f>
        <v>63108198</v>
      </c>
      <c r="J80" s="345">
        <f>J78+$J$63</f>
        <v>20682037</v>
      </c>
      <c r="K80" s="345">
        <f>K78+$K$63</f>
        <v>724889098</v>
      </c>
      <c r="L80" s="345">
        <f>L78+$L$63</f>
        <v>0</v>
      </c>
    </row>
    <row r="81" spans="1:12" ht="13">
      <c r="A81" s="331">
        <v>26</v>
      </c>
      <c r="B81" s="330" t="s">
        <v>19</v>
      </c>
      <c r="D81" s="342"/>
      <c r="E81" s="195"/>
      <c r="F81" s="345">
        <f t="shared" ref="F81:L81" si="27">F78+F65</f>
        <v>729514720</v>
      </c>
      <c r="G81" s="347">
        <f t="shared" si="27"/>
        <v>465300789</v>
      </c>
      <c r="H81" s="347">
        <f t="shared" si="27"/>
        <v>179770558</v>
      </c>
      <c r="I81" s="345">
        <f t="shared" si="27"/>
        <v>63761336</v>
      </c>
      <c r="J81" s="345">
        <f t="shared" si="27"/>
        <v>20682037</v>
      </c>
      <c r="K81" s="345">
        <f t="shared" si="27"/>
        <v>729514720</v>
      </c>
      <c r="L81" s="345">
        <f t="shared" si="27"/>
        <v>0</v>
      </c>
    </row>
    <row r="82" spans="1:12" ht="13">
      <c r="A82" s="331">
        <v>27</v>
      </c>
      <c r="D82" s="342"/>
      <c r="E82" s="195"/>
      <c r="G82" s="351"/>
      <c r="H82" s="351"/>
      <c r="I82" s="330"/>
    </row>
    <row r="83" spans="1:12" ht="13">
      <c r="A83" s="331">
        <v>28</v>
      </c>
      <c r="B83" s="330" t="s">
        <v>20</v>
      </c>
      <c r="D83" s="342"/>
      <c r="E83" s="195"/>
      <c r="G83" s="351"/>
      <c r="H83" s="351"/>
      <c r="I83" s="330"/>
    </row>
    <row r="84" spans="1:12" ht="13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3">
        <f>'FR-16(7)(v)-1 Functional'!F84</f>
        <v>2861675</v>
      </c>
      <c r="G84" s="347">
        <f>'FR-16(7)(v)-6 DISTR Cust Alloc'!G84+'FR-16(7)(v)-5 DISTR Dem Alloc'!G84+'FR-16(7)(v)-3 PROD Comm Alloc'!G84</f>
        <v>1431782</v>
      </c>
      <c r="H84" s="347">
        <f>'FR-16(7)(v)-6 DISTR Cust Alloc'!H84+'FR-16(7)(v)-5 DISTR Dem Alloc'!H84+'FR-16(7)(v)-3 PROD Comm Alloc'!H84</f>
        <v>839930</v>
      </c>
      <c r="I84" s="347">
        <f>'FR-16(7)(v)-6 DISTR Cust Alloc'!I84+'FR-16(7)(v)-5 DISTR Dem Alloc'!I84+'FR-16(7)(v)-3 PROD Comm Alloc'!I84</f>
        <v>589963</v>
      </c>
      <c r="J84" s="347">
        <f>'FR-16(7)(v)-6 DISTR Cust Alloc'!J84+'FR-16(7)(v)-5 DISTR Dem Alloc'!J84+'FR-16(7)(v)-3 PROD Comm Alloc'!J84</f>
        <v>0</v>
      </c>
      <c r="K84" s="345">
        <f t="shared" ref="K84:K89" si="28">SUM(G84:J84)</f>
        <v>2861675</v>
      </c>
      <c r="L84" s="345">
        <f t="shared" ref="L84:L89" si="29">F84-K84</f>
        <v>0</v>
      </c>
    </row>
    <row r="85" spans="1:12" ht="13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3">
        <f>'FR-16(7)(v)-1 Functional'!F85</f>
        <v>2108436</v>
      </c>
      <c r="G85" s="347">
        <f>'FR-16(7)(v)-6 DISTR Cust Alloc'!G85+'FR-16(7)(v)-5 DISTR Dem Alloc'!G85+'FR-16(7)(v)-3 PROD Comm Alloc'!G85</f>
        <v>1316823</v>
      </c>
      <c r="H85" s="347">
        <f>'FR-16(7)(v)-6 DISTR Cust Alloc'!H85+'FR-16(7)(v)-5 DISTR Dem Alloc'!H85+'FR-16(7)(v)-3 PROD Comm Alloc'!H85</f>
        <v>772489</v>
      </c>
      <c r="I85" s="347">
        <f>'FR-16(7)(v)-6 DISTR Cust Alloc'!I85+'FR-16(7)(v)-5 DISTR Dem Alloc'!I85+'FR-16(7)(v)-3 PROD Comm Alloc'!I85</f>
        <v>11154</v>
      </c>
      <c r="J85" s="347">
        <f>'FR-16(7)(v)-6 DISTR Cust Alloc'!J85+'FR-16(7)(v)-5 DISTR Dem Alloc'!J85+'FR-16(7)(v)-3 PROD Comm Alloc'!J85</f>
        <v>7970</v>
      </c>
      <c r="K85" s="345">
        <f t="shared" si="28"/>
        <v>2108436</v>
      </c>
      <c r="L85" s="345">
        <f t="shared" si="29"/>
        <v>0</v>
      </c>
    </row>
    <row r="86" spans="1:12" ht="13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3">
        <f>'FR-16(7)(v)-1 Functional'!F86</f>
        <v>18849244</v>
      </c>
      <c r="G86" s="347">
        <f>'FR-16(7)(v)-6 DISTR Cust Alloc'!G86+'FR-16(7)(v)-5 DISTR Dem Alloc'!G86+'FR-16(7)(v)-3 PROD Comm Alloc'!G86</f>
        <v>10987344</v>
      </c>
      <c r="H86" s="347">
        <f>'FR-16(7)(v)-6 DISTR Cust Alloc'!H86+'FR-16(7)(v)-5 DISTR Dem Alloc'!H86+'FR-16(7)(v)-3 PROD Comm Alloc'!H86</f>
        <v>5250686</v>
      </c>
      <c r="I86" s="347">
        <f>'FR-16(7)(v)-6 DISTR Cust Alloc'!I86+'FR-16(7)(v)-5 DISTR Dem Alloc'!I86+'FR-16(7)(v)-3 PROD Comm Alloc'!I86</f>
        <v>1993639</v>
      </c>
      <c r="J86" s="347">
        <f>'FR-16(7)(v)-6 DISTR Cust Alloc'!J86+'FR-16(7)(v)-5 DISTR Dem Alloc'!J86+'FR-16(7)(v)-3 PROD Comm Alloc'!J86</f>
        <v>617575</v>
      </c>
      <c r="K86" s="345">
        <f t="shared" si="28"/>
        <v>18849244</v>
      </c>
      <c r="L86" s="345">
        <f t="shared" si="29"/>
        <v>0</v>
      </c>
    </row>
    <row r="87" spans="1:12" ht="13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3">
        <f>'FR-16(7)(v)-1 Functional'!F87</f>
        <v>7459729</v>
      </c>
      <c r="G87" s="347">
        <f>'FR-16(7)(v)-6 DISTR Cust Alloc'!G87+'FR-16(7)(v)-5 DISTR Dem Alloc'!G87+'FR-16(7)(v)-3 PROD Comm Alloc'!G87</f>
        <v>6887866</v>
      </c>
      <c r="H87" s="347">
        <f>'FR-16(7)(v)-6 DISTR Cust Alloc'!H87+'FR-16(7)(v)-5 DISTR Dem Alloc'!H87+'FR-16(7)(v)-3 PROD Comm Alloc'!H87</f>
        <v>562389</v>
      </c>
      <c r="I87" s="347">
        <f>'FR-16(7)(v)-6 DISTR Cust Alloc'!I87+'FR-16(7)(v)-5 DISTR Dem Alloc'!I87+'FR-16(7)(v)-3 PROD Comm Alloc'!I87</f>
        <v>7833</v>
      </c>
      <c r="J87" s="347">
        <f>'FR-16(7)(v)-6 DISTR Cust Alloc'!J87+'FR-16(7)(v)-5 DISTR Dem Alloc'!J87+'FR-16(7)(v)-3 PROD Comm Alloc'!J87</f>
        <v>1641</v>
      </c>
      <c r="K87" s="345">
        <f t="shared" si="28"/>
        <v>7459729</v>
      </c>
      <c r="L87" s="345">
        <f t="shared" si="29"/>
        <v>0</v>
      </c>
    </row>
    <row r="88" spans="1:12" ht="13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3">
        <f>'FR-16(7)(v)-1 Functional'!F88</f>
        <v>722179</v>
      </c>
      <c r="G88" s="347">
        <f>'FR-16(7)(v)-6 DISTR Cust Alloc'!G88+'FR-16(7)(v)-5 DISTR Dem Alloc'!G88+'FR-16(7)(v)-3 PROD Comm Alloc'!G88</f>
        <v>666817</v>
      </c>
      <c r="H88" s="347">
        <f>'FR-16(7)(v)-6 DISTR Cust Alloc'!H88+'FR-16(7)(v)-5 DISTR Dem Alloc'!H88+'FR-16(7)(v)-3 PROD Comm Alloc'!H88</f>
        <v>54445</v>
      </c>
      <c r="I88" s="347">
        <f>'FR-16(7)(v)-6 DISTR Cust Alloc'!I88+'FR-16(7)(v)-5 DISTR Dem Alloc'!I88+'FR-16(7)(v)-3 PROD Comm Alloc'!I88</f>
        <v>758</v>
      </c>
      <c r="J88" s="347">
        <f>'FR-16(7)(v)-6 DISTR Cust Alloc'!J88+'FR-16(7)(v)-5 DISTR Dem Alloc'!J88+'FR-16(7)(v)-3 PROD Comm Alloc'!J88</f>
        <v>159</v>
      </c>
      <c r="K88" s="345">
        <f t="shared" si="28"/>
        <v>722179</v>
      </c>
      <c r="L88" s="345">
        <f t="shared" si="29"/>
        <v>0</v>
      </c>
    </row>
    <row r="89" spans="1:12" ht="13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3">
        <f>'FR-16(7)(v)-1 Functional'!F89</f>
        <v>0</v>
      </c>
      <c r="G89" s="347">
        <f>'FR-16(7)(v)-6 DISTR Cust Alloc'!G89+'FR-16(7)(v)-5 DISTR Dem Alloc'!G89+'FR-16(7)(v)-3 PROD Comm Alloc'!G89</f>
        <v>0</v>
      </c>
      <c r="H89" s="347">
        <f>'FR-16(7)(v)-6 DISTR Cust Alloc'!H89+'FR-16(7)(v)-5 DISTR Dem Alloc'!H89+'FR-16(7)(v)-3 PROD Comm Alloc'!H89</f>
        <v>0</v>
      </c>
      <c r="I89" s="347">
        <f>'FR-16(7)(v)-6 DISTR Cust Alloc'!I89+'FR-16(7)(v)-5 DISTR Dem Alloc'!I89+'FR-16(7)(v)-3 PROD Comm Alloc'!I89</f>
        <v>0</v>
      </c>
      <c r="J89" s="347">
        <f>'FR-16(7)(v)-6 DISTR Cust Alloc'!J89+'FR-16(7)(v)-5 DISTR Dem Alloc'!J89+'FR-16(7)(v)-3 PROD Comm Alloc'!J89</f>
        <v>0</v>
      </c>
      <c r="K89" s="345">
        <f t="shared" si="28"/>
        <v>0</v>
      </c>
      <c r="L89" s="345">
        <f t="shared" si="29"/>
        <v>0</v>
      </c>
    </row>
    <row r="90" spans="1:12" ht="13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4">
        <f t="shared" ref="F90:L90" si="30">SUM(F84:F89)</f>
        <v>32001263</v>
      </c>
      <c r="G90" s="346">
        <f t="shared" si="30"/>
        <v>21290632</v>
      </c>
      <c r="H90" s="346">
        <f t="shared" si="30"/>
        <v>7479939</v>
      </c>
      <c r="I90" s="346">
        <f t="shared" si="30"/>
        <v>2603347</v>
      </c>
      <c r="J90" s="346">
        <f t="shared" si="30"/>
        <v>627345</v>
      </c>
      <c r="K90" s="346">
        <f t="shared" si="30"/>
        <v>32001263</v>
      </c>
      <c r="L90" s="346">
        <f t="shared" si="30"/>
        <v>0</v>
      </c>
    </row>
    <row r="91" spans="1:12" ht="13">
      <c r="A91" s="331">
        <v>36</v>
      </c>
      <c r="D91" s="342"/>
      <c r="E91" s="195"/>
      <c r="G91" s="351"/>
      <c r="H91" s="351"/>
      <c r="I91" s="330"/>
    </row>
    <row r="92" spans="1:12" ht="13">
      <c r="A92" s="331">
        <v>37</v>
      </c>
      <c r="B92" s="330" t="s">
        <v>21</v>
      </c>
      <c r="D92" s="342"/>
      <c r="E92" s="195"/>
      <c r="G92" s="351"/>
      <c r="H92" s="351"/>
      <c r="I92" s="330"/>
    </row>
    <row r="93" spans="1:12" ht="13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3">
        <f>'FR-16(7)(v)-1 Functional'!F93</f>
        <v>920366</v>
      </c>
      <c r="G93" s="347">
        <f>'FR-16(7)(v)-6 DISTR Cust Alloc'!G93+'FR-16(7)(v)-5 DISTR Dem Alloc'!G93+'FR-16(7)(v)-3 PROD Comm Alloc'!G93</f>
        <v>460486</v>
      </c>
      <c r="H93" s="347">
        <f>'FR-16(7)(v)-6 DISTR Cust Alloc'!H93+'FR-16(7)(v)-5 DISTR Dem Alloc'!H93+'FR-16(7)(v)-3 PROD Comm Alloc'!H93</f>
        <v>270137</v>
      </c>
      <c r="I93" s="347">
        <f>'FR-16(7)(v)-6 DISTR Cust Alloc'!I93+'FR-16(7)(v)-5 DISTR Dem Alloc'!I93+'FR-16(7)(v)-3 PROD Comm Alloc'!I93</f>
        <v>189743</v>
      </c>
      <c r="J93" s="347">
        <f>'FR-16(7)(v)-6 DISTR Cust Alloc'!J93+'FR-16(7)(v)-5 DISTR Dem Alloc'!J93+'FR-16(7)(v)-3 PROD Comm Alloc'!J93</f>
        <v>0</v>
      </c>
      <c r="K93" s="345">
        <f t="shared" ref="K93:K98" si="31">SUM(G93:J93)</f>
        <v>920366</v>
      </c>
      <c r="L93" s="345">
        <f t="shared" ref="L93:L98" si="32">F93-K93</f>
        <v>0</v>
      </c>
    </row>
    <row r="94" spans="1:12" ht="13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3">
        <f>'FR-16(7)(v)-1 Functional'!F94</f>
        <v>678111</v>
      </c>
      <c r="G94" s="347">
        <f>'FR-16(7)(v)-6 DISTR Cust Alloc'!G94+'FR-16(7)(v)-5 DISTR Dem Alloc'!G94+'FR-16(7)(v)-3 PROD Comm Alloc'!G94</f>
        <v>423515</v>
      </c>
      <c r="H94" s="347">
        <f>'FR-16(7)(v)-6 DISTR Cust Alloc'!H94+'FR-16(7)(v)-5 DISTR Dem Alloc'!H94+'FR-16(7)(v)-3 PROD Comm Alloc'!H94</f>
        <v>248446</v>
      </c>
      <c r="I94" s="347">
        <f>'FR-16(7)(v)-6 DISTR Cust Alloc'!I94+'FR-16(7)(v)-5 DISTR Dem Alloc'!I94+'FR-16(7)(v)-3 PROD Comm Alloc'!I94</f>
        <v>3587</v>
      </c>
      <c r="J94" s="347">
        <f>'FR-16(7)(v)-6 DISTR Cust Alloc'!J94+'FR-16(7)(v)-5 DISTR Dem Alloc'!J94+'FR-16(7)(v)-3 PROD Comm Alloc'!J94</f>
        <v>2563</v>
      </c>
      <c r="K94" s="345">
        <f t="shared" si="31"/>
        <v>678111</v>
      </c>
      <c r="L94" s="345">
        <f t="shared" si="32"/>
        <v>0</v>
      </c>
    </row>
    <row r="95" spans="1:12" ht="13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3">
        <f>'FR-16(7)(v)-1 Functional'!F95</f>
        <v>6062254</v>
      </c>
      <c r="G95" s="347">
        <f>'FR-16(7)(v)-6 DISTR Cust Alloc'!G95+'FR-16(7)(v)-5 DISTR Dem Alloc'!G95+'FR-16(7)(v)-3 PROD Comm Alloc'!G95</f>
        <v>3533725</v>
      </c>
      <c r="H95" s="347">
        <f>'FR-16(7)(v)-6 DISTR Cust Alloc'!H95+'FR-16(7)(v)-5 DISTR Dem Alloc'!H95+'FR-16(7)(v)-3 PROD Comm Alloc'!H95</f>
        <v>1688715</v>
      </c>
      <c r="I95" s="347">
        <f>'FR-16(7)(v)-6 DISTR Cust Alloc'!I95+'FR-16(7)(v)-5 DISTR Dem Alloc'!I95+'FR-16(7)(v)-3 PROD Comm Alloc'!I95</f>
        <v>641190</v>
      </c>
      <c r="J95" s="347">
        <f>'FR-16(7)(v)-6 DISTR Cust Alloc'!J95+'FR-16(7)(v)-5 DISTR Dem Alloc'!J95+'FR-16(7)(v)-3 PROD Comm Alloc'!J95</f>
        <v>198624</v>
      </c>
      <c r="K95" s="345">
        <f t="shared" si="31"/>
        <v>6062254</v>
      </c>
      <c r="L95" s="345">
        <f t="shared" si="32"/>
        <v>0</v>
      </c>
    </row>
    <row r="96" spans="1:12" ht="13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3">
        <f>'FR-16(7)(v)-1 Functional'!F96</f>
        <v>2399182</v>
      </c>
      <c r="G96" s="347">
        <f>'FR-16(7)(v)-6 DISTR Cust Alloc'!G96+'FR-16(7)(v)-5 DISTR Dem Alloc'!G96+'FR-16(7)(v)-3 PROD Comm Alloc'!G96</f>
        <v>2215261</v>
      </c>
      <c r="H96" s="347">
        <f>'FR-16(7)(v)-6 DISTR Cust Alloc'!H96+'FR-16(7)(v)-5 DISTR Dem Alloc'!H96+'FR-16(7)(v)-3 PROD Comm Alloc'!H96</f>
        <v>180874</v>
      </c>
      <c r="I96" s="347">
        <f>'FR-16(7)(v)-6 DISTR Cust Alloc'!I96+'FR-16(7)(v)-5 DISTR Dem Alloc'!I96+'FR-16(7)(v)-3 PROD Comm Alloc'!I96</f>
        <v>2519</v>
      </c>
      <c r="J96" s="347">
        <f>'FR-16(7)(v)-6 DISTR Cust Alloc'!J96+'FR-16(7)(v)-5 DISTR Dem Alloc'!J96+'FR-16(7)(v)-3 PROD Comm Alloc'!J96</f>
        <v>528</v>
      </c>
      <c r="K96" s="345">
        <f t="shared" si="31"/>
        <v>2399182</v>
      </c>
      <c r="L96" s="345">
        <f t="shared" si="32"/>
        <v>0</v>
      </c>
    </row>
    <row r="97" spans="1:12" ht="13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3">
        <f>'FR-16(7)(v)-1 Functional'!F97</f>
        <v>232266</v>
      </c>
      <c r="G97" s="347">
        <f>'FR-16(7)(v)-6 DISTR Cust Alloc'!G97+'FR-16(7)(v)-5 DISTR Dem Alloc'!G97+'FR-16(7)(v)-3 PROD Comm Alloc'!G97</f>
        <v>214460</v>
      </c>
      <c r="H97" s="347">
        <f>'FR-16(7)(v)-6 DISTR Cust Alloc'!H97+'FR-16(7)(v)-5 DISTR Dem Alloc'!H97+'FR-16(7)(v)-3 PROD Comm Alloc'!H97</f>
        <v>17511</v>
      </c>
      <c r="I97" s="347">
        <f>'FR-16(7)(v)-6 DISTR Cust Alloc'!I97+'FR-16(7)(v)-5 DISTR Dem Alloc'!I97+'FR-16(7)(v)-3 PROD Comm Alloc'!I97</f>
        <v>244</v>
      </c>
      <c r="J97" s="347">
        <f>'FR-16(7)(v)-6 DISTR Cust Alloc'!J97+'FR-16(7)(v)-5 DISTR Dem Alloc'!J97+'FR-16(7)(v)-3 PROD Comm Alloc'!J97</f>
        <v>51</v>
      </c>
      <c r="K97" s="345">
        <f t="shared" si="31"/>
        <v>232266</v>
      </c>
      <c r="L97" s="345">
        <f t="shared" si="32"/>
        <v>0</v>
      </c>
    </row>
    <row r="98" spans="1:12" ht="13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3">
        <f>'FR-16(7)(v)-1 Functional'!F98</f>
        <v>0</v>
      </c>
      <c r="G98" s="347">
        <f>'FR-16(7)(v)-6 DISTR Cust Alloc'!G98+'FR-16(7)(v)-5 DISTR Dem Alloc'!G98+'FR-16(7)(v)-3 PROD Comm Alloc'!G98</f>
        <v>0</v>
      </c>
      <c r="H98" s="347">
        <f>'FR-16(7)(v)-6 DISTR Cust Alloc'!H98+'FR-16(7)(v)-5 DISTR Dem Alloc'!H98+'FR-16(7)(v)-3 PROD Comm Alloc'!H98</f>
        <v>0</v>
      </c>
      <c r="I98" s="347">
        <f>'FR-16(7)(v)-6 DISTR Cust Alloc'!I98+'FR-16(7)(v)-5 DISTR Dem Alloc'!I98+'FR-16(7)(v)-3 PROD Comm Alloc'!I98</f>
        <v>0</v>
      </c>
      <c r="J98" s="347">
        <f>'FR-16(7)(v)-6 DISTR Cust Alloc'!J98+'FR-16(7)(v)-5 DISTR Dem Alloc'!J98+'FR-16(7)(v)-3 PROD Comm Alloc'!J98</f>
        <v>0</v>
      </c>
      <c r="K98" s="345">
        <f t="shared" si="31"/>
        <v>0</v>
      </c>
      <c r="L98" s="345">
        <f t="shared" si="32"/>
        <v>0</v>
      </c>
    </row>
    <row r="99" spans="1:12" ht="13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L99" si="33">SUM(F93:F98)</f>
        <v>10292179</v>
      </c>
      <c r="G99" s="346">
        <f t="shared" si="33"/>
        <v>6847447</v>
      </c>
      <c r="H99" s="346">
        <f t="shared" si="33"/>
        <v>2405683</v>
      </c>
      <c r="I99" s="346">
        <f t="shared" si="33"/>
        <v>837283</v>
      </c>
      <c r="J99" s="346">
        <f t="shared" si="33"/>
        <v>201766</v>
      </c>
      <c r="K99" s="346">
        <f t="shared" si="33"/>
        <v>10292179</v>
      </c>
      <c r="L99" s="346">
        <f t="shared" si="33"/>
        <v>0</v>
      </c>
    </row>
    <row r="100" spans="1:12" ht="13">
      <c r="A100" s="331">
        <v>45</v>
      </c>
      <c r="E100" s="195"/>
      <c r="G100" s="351"/>
      <c r="H100" s="351"/>
      <c r="I100" s="330"/>
    </row>
    <row r="101" spans="1:12" ht="13">
      <c r="A101" s="331">
        <v>46</v>
      </c>
      <c r="B101" s="330" t="s">
        <v>95</v>
      </c>
      <c r="E101" s="195"/>
      <c r="F101" s="345">
        <f t="shared" ref="F101:L101" si="34">F81+F90+F99</f>
        <v>771808162</v>
      </c>
      <c r="G101" s="347">
        <f t="shared" si="34"/>
        <v>493438868</v>
      </c>
      <c r="H101" s="347">
        <f t="shared" si="34"/>
        <v>189656180</v>
      </c>
      <c r="I101" s="345">
        <f t="shared" si="34"/>
        <v>67201966</v>
      </c>
      <c r="J101" s="345">
        <f t="shared" si="34"/>
        <v>21511148</v>
      </c>
      <c r="K101" s="345">
        <f t="shared" si="34"/>
        <v>771808162</v>
      </c>
      <c r="L101" s="345">
        <f t="shared" si="34"/>
        <v>0</v>
      </c>
    </row>
    <row r="102" spans="1:12" ht="13">
      <c r="B102" s="341"/>
      <c r="C102" s="195"/>
      <c r="D102" s="342"/>
      <c r="E102" s="195"/>
      <c r="G102" s="195"/>
      <c r="H102" s="195"/>
      <c r="I102" s="195"/>
      <c r="J102" s="342"/>
      <c r="K102" s="195"/>
      <c r="L102" s="195"/>
    </row>
    <row r="103" spans="1:12" ht="13">
      <c r="A103" s="341" t="str">
        <f>co_name</f>
        <v>DUKE ENERGY KENTUCKY, INC.</v>
      </c>
      <c r="C103" s="195"/>
      <c r="D103" s="342"/>
      <c r="E103" s="195"/>
      <c r="F103" s="342"/>
      <c r="G103" s="340"/>
      <c r="H103" s="340"/>
      <c r="I103" s="195"/>
      <c r="K103" s="359" t="str">
        <f>$K$1</f>
        <v>FR-16(7)(v)-8</v>
      </c>
      <c r="L103" s="195"/>
    </row>
    <row r="104" spans="1:12" ht="13">
      <c r="A104" s="341" t="str">
        <f>$A$2</f>
        <v>TOTAL CLASS ALLOCATED - GAS COST OF SERVICE</v>
      </c>
      <c r="C104" s="195"/>
      <c r="D104" s="342"/>
      <c r="E104" s="195"/>
      <c r="F104" s="342"/>
      <c r="G104" s="340"/>
      <c r="H104" s="340"/>
      <c r="I104" s="195"/>
      <c r="K104" s="359" t="str">
        <f>$K$2</f>
        <v>WITNESS RESPONSIBLE:</v>
      </c>
      <c r="L104" s="195"/>
    </row>
    <row r="105" spans="1:12" ht="13">
      <c r="A105" s="341" t="str">
        <f>case_name</f>
        <v>CASE NO: 2021-00190</v>
      </c>
      <c r="C105" s="195"/>
      <c r="D105" s="342"/>
      <c r="E105" s="195"/>
      <c r="F105" s="342"/>
      <c r="G105" s="340"/>
      <c r="H105" s="340"/>
      <c r="I105" s="195"/>
      <c r="K105" s="359" t="str">
        <f>Witness</f>
        <v>JAMES E. ZIOLKOWSKI</v>
      </c>
      <c r="L105" s="195"/>
    </row>
    <row r="106" spans="1:12" ht="13">
      <c r="A106" s="341" t="str">
        <f>data_filing</f>
        <v>DATA: 12 MONTH FORECASTED PERIOD</v>
      </c>
      <c r="C106" s="195"/>
      <c r="D106" s="342"/>
      <c r="E106" s="195"/>
      <c r="F106" s="342"/>
      <c r="G106" s="340"/>
      <c r="H106" s="340"/>
      <c r="I106" s="195"/>
      <c r="K106" s="359" t="str">
        <f>"PAGE "&amp;Pages2-12&amp;" OF "&amp;Pages2</f>
        <v>PAGE 3 OF 15</v>
      </c>
      <c r="L106" s="195"/>
    </row>
    <row r="107" spans="1:12" ht="13">
      <c r="A107" s="341" t="str">
        <f>type</f>
        <v xml:space="preserve">TYPE OF FILING: "X" ORIGINAL   UPDATED    REVISED  </v>
      </c>
      <c r="C107" s="195"/>
      <c r="D107" s="342"/>
      <c r="E107" s="195"/>
      <c r="F107" s="342"/>
      <c r="G107" s="340"/>
      <c r="H107" s="340"/>
      <c r="I107" s="195"/>
      <c r="J107" s="342"/>
      <c r="K107" s="195"/>
      <c r="L107" s="195"/>
    </row>
    <row r="108" spans="1:12" ht="13">
      <c r="A108" s="341"/>
      <c r="C108" s="195"/>
      <c r="D108" s="342"/>
      <c r="E108" s="195"/>
      <c r="F108" s="342"/>
      <c r="G108" s="340"/>
      <c r="H108" s="340"/>
      <c r="I108" s="195"/>
      <c r="J108" s="342"/>
      <c r="K108" s="195"/>
      <c r="L108" s="195"/>
    </row>
    <row r="109" spans="1:12" ht="13">
      <c r="B109" s="341"/>
      <c r="C109" s="195"/>
      <c r="D109" s="342"/>
      <c r="E109" s="195"/>
      <c r="F109" s="342" t="str">
        <f>$F$7</f>
        <v>TOTAL</v>
      </c>
      <c r="G109" s="195"/>
      <c r="H109" s="195"/>
      <c r="I109" s="195"/>
      <c r="J109" s="342"/>
      <c r="K109" s="195"/>
      <c r="L109" s="195"/>
    </row>
    <row r="110" spans="1:12" ht="13">
      <c r="A110" s="342" t="s">
        <v>907</v>
      </c>
      <c r="B110" s="195"/>
      <c r="C110" s="195"/>
      <c r="D110" s="342"/>
      <c r="E110" s="195"/>
      <c r="F110" s="342" t="str">
        <f>$F$8</f>
        <v>CLASS</v>
      </c>
      <c r="G110" s="352" t="s">
        <v>766</v>
      </c>
      <c r="H110" s="352" t="s">
        <v>1256</v>
      </c>
      <c r="I110" s="352" t="s">
        <v>974</v>
      </c>
      <c r="J110" s="352" t="s">
        <v>546</v>
      </c>
      <c r="K110" s="352" t="s">
        <v>229</v>
      </c>
      <c r="L110" s="342" t="s">
        <v>342</v>
      </c>
    </row>
    <row r="111" spans="1:12" ht="13">
      <c r="A111" s="344" t="s">
        <v>908</v>
      </c>
      <c r="B111" s="343" t="s">
        <v>22</v>
      </c>
      <c r="C111" s="343"/>
      <c r="D111" s="344" t="s">
        <v>337</v>
      </c>
      <c r="E111" s="343"/>
      <c r="F111" s="342" t="str">
        <f>$F$9</f>
        <v>ALLOCATED</v>
      </c>
      <c r="G111" s="353" t="s">
        <v>338</v>
      </c>
      <c r="H111" s="353" t="s">
        <v>404</v>
      </c>
      <c r="I111" s="353" t="s">
        <v>1257</v>
      </c>
      <c r="J111" s="353" t="s">
        <v>547</v>
      </c>
      <c r="K111" s="353" t="s">
        <v>341</v>
      </c>
      <c r="L111" s="344" t="s">
        <v>340</v>
      </c>
    </row>
    <row r="112" spans="1:12" ht="13">
      <c r="C112" s="572" t="s">
        <v>345</v>
      </c>
      <c r="D112" s="342"/>
      <c r="E112" s="195"/>
      <c r="F112" s="755"/>
      <c r="G112" s="627">
        <f>$G$10</f>
        <v>3</v>
      </c>
      <c r="H112" s="627">
        <f>$H$10</f>
        <v>4</v>
      </c>
      <c r="I112" s="627">
        <f>$I$10</f>
        <v>5</v>
      </c>
      <c r="J112" s="627">
        <f>$J$10</f>
        <v>6</v>
      </c>
    </row>
    <row r="113" spans="1:12" ht="13">
      <c r="A113" s="331">
        <v>1</v>
      </c>
      <c r="B113" s="330" t="s">
        <v>14</v>
      </c>
      <c r="D113" s="342"/>
      <c r="E113" s="195"/>
      <c r="I113" s="330"/>
    </row>
    <row r="114" spans="1:12" ht="13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3">
        <f>'FR-16(7)(v)-1 Functional'!F114</f>
        <v>2553891</v>
      </c>
      <c r="G114" s="347">
        <f>'FR-16(7)(v)-6 DISTR Cust Alloc'!G114+'FR-16(7)(v)-5 DISTR Dem Alloc'!G114+'FR-16(7)(v)-3 PROD Comm Alloc'!G114</f>
        <v>1364340</v>
      </c>
      <c r="H114" s="347">
        <f>'FR-16(7)(v)-6 DISTR Cust Alloc'!H114+'FR-16(7)(v)-5 DISTR Dem Alloc'!H114+'FR-16(7)(v)-3 PROD Comm Alloc'!H114</f>
        <v>828942</v>
      </c>
      <c r="I114" s="347">
        <f>'FR-16(7)(v)-6 DISTR Cust Alloc'!I114+'FR-16(7)(v)-5 DISTR Dem Alloc'!I114+'FR-16(7)(v)-3 PROD Comm Alloc'!I114</f>
        <v>360609</v>
      </c>
      <c r="J114" s="347">
        <f>'FR-16(7)(v)-6 DISTR Cust Alloc'!J114+'FR-16(7)(v)-5 DISTR Dem Alloc'!J114+'FR-16(7)(v)-3 PROD Comm Alloc'!J114</f>
        <v>0</v>
      </c>
      <c r="K114" s="345">
        <f>SUM(G114:J114)</f>
        <v>2553891</v>
      </c>
      <c r="L114" s="345">
        <f>F114-K114</f>
        <v>0</v>
      </c>
    </row>
    <row r="115" spans="1:12" ht="13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L115" si="35">SUM(F114:F114)</f>
        <v>2553891</v>
      </c>
      <c r="G115" s="346">
        <f t="shared" si="35"/>
        <v>1364340</v>
      </c>
      <c r="H115" s="346">
        <f t="shared" si="35"/>
        <v>828942</v>
      </c>
      <c r="I115" s="346">
        <f t="shared" si="35"/>
        <v>360609</v>
      </c>
      <c r="J115" s="346">
        <f t="shared" si="35"/>
        <v>0</v>
      </c>
      <c r="K115" s="346">
        <f t="shared" si="35"/>
        <v>2553891</v>
      </c>
      <c r="L115" s="346">
        <f t="shared" si="35"/>
        <v>0</v>
      </c>
    </row>
    <row r="116" spans="1:12" ht="13">
      <c r="A116" s="331">
        <v>4</v>
      </c>
      <c r="D116" s="342"/>
      <c r="E116" s="195"/>
      <c r="I116" s="330"/>
    </row>
    <row r="117" spans="1:12" ht="13">
      <c r="A117" s="331">
        <v>5</v>
      </c>
      <c r="B117" s="330" t="s">
        <v>15</v>
      </c>
      <c r="D117" s="342"/>
      <c r="E117" s="195"/>
      <c r="I117" s="330"/>
    </row>
    <row r="118" spans="1:12" ht="13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1"/>
      <c r="G118" s="481"/>
      <c r="H118" s="345"/>
      <c r="I118" s="345"/>
      <c r="J118" s="345"/>
      <c r="K118" s="345"/>
      <c r="L118" s="345"/>
    </row>
    <row r="119" spans="1:12" ht="13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L119" si="36">SUM(F118:F118)</f>
        <v>0</v>
      </c>
      <c r="G119" s="346">
        <f t="shared" si="36"/>
        <v>0</v>
      </c>
      <c r="H119" s="346">
        <f t="shared" si="36"/>
        <v>0</v>
      </c>
      <c r="I119" s="346">
        <f t="shared" si="36"/>
        <v>0</v>
      </c>
      <c r="J119" s="346">
        <f t="shared" si="36"/>
        <v>0</v>
      </c>
      <c r="K119" s="346">
        <f t="shared" si="36"/>
        <v>0</v>
      </c>
      <c r="L119" s="346">
        <f t="shared" si="36"/>
        <v>0</v>
      </c>
    </row>
    <row r="120" spans="1:12" ht="13">
      <c r="A120" s="331">
        <v>8</v>
      </c>
      <c r="D120" s="342"/>
      <c r="E120" s="195"/>
      <c r="I120" s="330"/>
    </row>
    <row r="121" spans="1:12" ht="13">
      <c r="A121" s="331">
        <v>9</v>
      </c>
      <c r="B121" s="330" t="s">
        <v>17</v>
      </c>
      <c r="D121" s="342"/>
      <c r="E121" s="195"/>
      <c r="I121" s="330"/>
    </row>
    <row r="122" spans="1:12" ht="13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3">
        <f>'FR-16(7)(v)-1 Functional'!F122</f>
        <v>2581527</v>
      </c>
      <c r="G122" s="347">
        <f>'FR-16(7)(v)-6 DISTR Cust Alloc'!G122+'FR-16(7)(v)-5 DISTR Dem Alloc'!G122+'FR-16(7)(v)-3 PROD Comm Alloc'!G122</f>
        <v>1317509</v>
      </c>
      <c r="H122" s="347">
        <f>'FR-16(7)(v)-6 DISTR Cust Alloc'!H122+'FR-16(7)(v)-5 DISTR Dem Alloc'!H122+'FR-16(7)(v)-3 PROD Comm Alloc'!H122</f>
        <v>800015</v>
      </c>
      <c r="I122" s="347">
        <f>'FR-16(7)(v)-6 DISTR Cust Alloc'!I122+'FR-16(7)(v)-5 DISTR Dem Alloc'!I122+'FR-16(7)(v)-3 PROD Comm Alloc'!I122</f>
        <v>351707</v>
      </c>
      <c r="J122" s="347">
        <f>'FR-16(7)(v)-6 DISTR Cust Alloc'!J122+'FR-16(7)(v)-5 DISTR Dem Alloc'!J122+'FR-16(7)(v)-3 PROD Comm Alloc'!J122</f>
        <v>112296</v>
      </c>
      <c r="K122" s="345">
        <f t="shared" ref="K122:K130" si="37">SUM(G122:J122)</f>
        <v>2581527</v>
      </c>
      <c r="L122" s="345">
        <f t="shared" ref="L122:L130" si="38">F122-K122</f>
        <v>0</v>
      </c>
    </row>
    <row r="123" spans="1:12" ht="13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3">
        <f>'FR-16(7)(v)-1 Functional'!F123</f>
        <v>1211353</v>
      </c>
      <c r="G123" s="347">
        <f>'FR-16(7)(v)-6 DISTR Cust Alloc'!G123+'FR-16(7)(v)-5 DISTR Dem Alloc'!G123+'FR-16(7)(v)-3 PROD Comm Alloc'!G123</f>
        <v>618226</v>
      </c>
      <c r="H123" s="347">
        <f>'FR-16(7)(v)-6 DISTR Cust Alloc'!H123+'FR-16(7)(v)-5 DISTR Dem Alloc'!H123+'FR-16(7)(v)-3 PROD Comm Alloc'!H123</f>
        <v>375398</v>
      </c>
      <c r="I123" s="347">
        <f>'FR-16(7)(v)-6 DISTR Cust Alloc'!I123+'FR-16(7)(v)-5 DISTR Dem Alloc'!I123+'FR-16(7)(v)-3 PROD Comm Alloc'!I123</f>
        <v>165035</v>
      </c>
      <c r="J123" s="347">
        <f>'FR-16(7)(v)-6 DISTR Cust Alloc'!J123+'FR-16(7)(v)-5 DISTR Dem Alloc'!J123+'FR-16(7)(v)-3 PROD Comm Alloc'!J123</f>
        <v>52694</v>
      </c>
      <c r="K123" s="345">
        <f t="shared" si="37"/>
        <v>1211353</v>
      </c>
      <c r="L123" s="345">
        <f t="shared" si="38"/>
        <v>0</v>
      </c>
    </row>
    <row r="124" spans="1:12" ht="13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3">
        <f>'FR-16(7)(v)-1 Functional'!F124</f>
        <v>509867</v>
      </c>
      <c r="G124" s="347">
        <f>'FR-16(7)(v)-6 DISTR Cust Alloc'!G124+'FR-16(7)(v)-5 DISTR Dem Alloc'!G124+'FR-16(7)(v)-3 PROD Comm Alloc'!G124</f>
        <v>0</v>
      </c>
      <c r="H124" s="347">
        <f>'FR-16(7)(v)-6 DISTR Cust Alloc'!H124+'FR-16(7)(v)-5 DISTR Dem Alloc'!H124+'FR-16(7)(v)-3 PROD Comm Alloc'!H124</f>
        <v>0</v>
      </c>
      <c r="I124" s="347">
        <f>'FR-16(7)(v)-6 DISTR Cust Alloc'!I124+'FR-16(7)(v)-5 DISTR Dem Alloc'!I124+'FR-16(7)(v)-3 PROD Comm Alloc'!I124</f>
        <v>297212</v>
      </c>
      <c r="J124" s="347">
        <f>'FR-16(7)(v)-6 DISTR Cust Alloc'!J124+'FR-16(7)(v)-5 DISTR Dem Alloc'!J124+'FR-16(7)(v)-3 PROD Comm Alloc'!J124</f>
        <v>212655</v>
      </c>
      <c r="K124" s="345">
        <f t="shared" si="37"/>
        <v>509867</v>
      </c>
      <c r="L124" s="345">
        <f t="shared" si="38"/>
        <v>0</v>
      </c>
    </row>
    <row r="125" spans="1:12" ht="13">
      <c r="A125" s="331">
        <v>13</v>
      </c>
      <c r="C125" s="330" t="str">
        <f>'FR-16(7)(v)-1 Functional'!C125</f>
        <v>MAINS - (2761, 2762, 2763, 2765)</v>
      </c>
      <c r="D125" s="342" t="str">
        <f>'FR-16(7)(v)-1 Functional'!D125</f>
        <v>K415</v>
      </c>
      <c r="E125" s="195"/>
      <c r="F125" s="473">
        <f>'FR-16(7)(v)-1 Functional'!F125</f>
        <v>113499887</v>
      </c>
      <c r="G125" s="347">
        <f>'FR-16(7)(v)-6 DISTR Cust Alloc'!G125+'FR-16(7)(v)-5 DISTR Dem Alloc'!G125+'FR-16(7)(v)-3 PROD Comm Alloc'!G125</f>
        <v>57925802</v>
      </c>
      <c r="H125" s="347">
        <f>'FR-16(7)(v)-6 DISTR Cust Alloc'!H125+'FR-16(7)(v)-5 DISTR Dem Alloc'!H125+'FR-16(7)(v)-3 PROD Comm Alloc'!H125</f>
        <v>35173615</v>
      </c>
      <c r="I125" s="347">
        <f>'FR-16(7)(v)-6 DISTR Cust Alloc'!I125+'FR-16(7)(v)-5 DISTR Dem Alloc'!I125+'FR-16(7)(v)-3 PROD Comm Alloc'!I125</f>
        <v>15463225</v>
      </c>
      <c r="J125" s="347">
        <f>'FR-16(7)(v)-6 DISTR Cust Alloc'!J125+'FR-16(7)(v)-5 DISTR Dem Alloc'!J125+'FR-16(7)(v)-3 PROD Comm Alloc'!J125</f>
        <v>4937245</v>
      </c>
      <c r="K125" s="345">
        <f t="shared" si="37"/>
        <v>113499887</v>
      </c>
      <c r="L125" s="345">
        <f t="shared" si="38"/>
        <v>0</v>
      </c>
    </row>
    <row r="126" spans="1:12" ht="13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3">
        <f>'FR-16(7)(v)-1 Functional'!F126</f>
        <v>61310319</v>
      </c>
      <c r="G126" s="347">
        <f>'FR-16(7)(v)-6 DISTR Cust Alloc'!G126+'FR-16(7)(v)-5 DISTR Dem Alloc'!G126+'FR-16(7)(v)-3 PROD Comm Alloc'!G126</f>
        <v>53709678</v>
      </c>
      <c r="H126" s="347">
        <f>'FR-16(7)(v)-6 DISTR Cust Alloc'!H126+'FR-16(7)(v)-5 DISTR Dem Alloc'!H126+'FR-16(7)(v)-3 PROD Comm Alloc'!H126</f>
        <v>7384215</v>
      </c>
      <c r="I126" s="347">
        <f>'FR-16(7)(v)-6 DISTR Cust Alloc'!I126+'FR-16(7)(v)-5 DISTR Dem Alloc'!I126+'FR-16(7)(v)-3 PROD Comm Alloc'!I126</f>
        <v>117103</v>
      </c>
      <c r="J126" s="347">
        <f>'FR-16(7)(v)-6 DISTR Cust Alloc'!J126+'FR-16(7)(v)-5 DISTR Dem Alloc'!J126+'FR-16(7)(v)-3 PROD Comm Alloc'!J126</f>
        <v>99323</v>
      </c>
      <c r="K126" s="345">
        <f t="shared" si="37"/>
        <v>61310319</v>
      </c>
      <c r="L126" s="345">
        <f t="shared" si="38"/>
        <v>0</v>
      </c>
    </row>
    <row r="127" spans="1:12" ht="13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3">
        <f>'FR-16(7)(v)-1 Functional'!F127</f>
        <v>-895430</v>
      </c>
      <c r="G127" s="347">
        <f>'FR-16(7)(v)-6 DISTR Cust Alloc'!G127+'FR-16(7)(v)-5 DISTR Dem Alloc'!G127+'FR-16(7)(v)-3 PROD Comm Alloc'!G127</f>
        <v>-716989</v>
      </c>
      <c r="H127" s="347">
        <f>'FR-16(7)(v)-6 DISTR Cust Alloc'!H127+'FR-16(7)(v)-5 DISTR Dem Alloc'!H127+'FR-16(7)(v)-3 PROD Comm Alloc'!H127</f>
        <v>-151220</v>
      </c>
      <c r="I127" s="347">
        <f>'FR-16(7)(v)-6 DISTR Cust Alloc'!I127+'FR-16(7)(v)-5 DISTR Dem Alloc'!I127+'FR-16(7)(v)-3 PROD Comm Alloc'!I127</f>
        <v>-16539</v>
      </c>
      <c r="J127" s="347">
        <f>'FR-16(7)(v)-6 DISTR Cust Alloc'!J127+'FR-16(7)(v)-5 DISTR Dem Alloc'!J127+'FR-16(7)(v)-3 PROD Comm Alloc'!J127</f>
        <v>-10682</v>
      </c>
      <c r="K127" s="345">
        <f t="shared" si="37"/>
        <v>-895430</v>
      </c>
      <c r="L127" s="345">
        <f t="shared" si="38"/>
        <v>0</v>
      </c>
    </row>
    <row r="128" spans="1:12" ht="13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3">
        <f>'FR-16(7)(v)-1 Functional'!F128</f>
        <v>701479</v>
      </c>
      <c r="G128" s="347">
        <f>'FR-16(7)(v)-6 DISTR Cust Alloc'!G128+'FR-16(7)(v)-5 DISTR Dem Alloc'!G128+'FR-16(7)(v)-3 PROD Comm Alloc'!G128</f>
        <v>358008</v>
      </c>
      <c r="H128" s="347">
        <f>'FR-16(7)(v)-6 DISTR Cust Alloc'!H128+'FR-16(7)(v)-5 DISTR Dem Alloc'!H128+'FR-16(7)(v)-3 PROD Comm Alloc'!H128</f>
        <v>217388</v>
      </c>
      <c r="I128" s="347">
        <f>'FR-16(7)(v)-6 DISTR Cust Alloc'!I128+'FR-16(7)(v)-5 DISTR Dem Alloc'!I128+'FR-16(7)(v)-3 PROD Comm Alloc'!I128</f>
        <v>95569</v>
      </c>
      <c r="J128" s="347">
        <f>'FR-16(7)(v)-6 DISTR Cust Alloc'!J128+'FR-16(7)(v)-5 DISTR Dem Alloc'!J128+'FR-16(7)(v)-3 PROD Comm Alloc'!J128</f>
        <v>30514</v>
      </c>
      <c r="K128" s="345">
        <f t="shared" si="37"/>
        <v>701479</v>
      </c>
      <c r="L128" s="345">
        <f t="shared" si="38"/>
        <v>0</v>
      </c>
    </row>
    <row r="129" spans="1:12" ht="13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3">
        <f>'FR-16(7)(v)-1 Functional'!F129</f>
        <v>5948247</v>
      </c>
      <c r="G129" s="347">
        <f>'FR-16(7)(v)-6 DISTR Cust Alloc'!G129+'FR-16(7)(v)-5 DISTR Dem Alloc'!G129+'FR-16(7)(v)-3 PROD Comm Alloc'!G129</f>
        <v>3679347</v>
      </c>
      <c r="H129" s="347">
        <f>'FR-16(7)(v)-6 DISTR Cust Alloc'!H129+'FR-16(7)(v)-5 DISTR Dem Alloc'!H129+'FR-16(7)(v)-3 PROD Comm Alloc'!H129</f>
        <v>2213759</v>
      </c>
      <c r="I129" s="347">
        <f>'FR-16(7)(v)-6 DISTR Cust Alloc'!I129+'FR-16(7)(v)-5 DISTR Dem Alloc'!I129+'FR-16(7)(v)-3 PROD Comm Alloc'!I129</f>
        <v>45683</v>
      </c>
      <c r="J129" s="347">
        <f>'FR-16(7)(v)-6 DISTR Cust Alloc'!J129+'FR-16(7)(v)-5 DISTR Dem Alloc'!J129+'FR-16(7)(v)-3 PROD Comm Alloc'!J129</f>
        <v>9458</v>
      </c>
      <c r="K129" s="345">
        <f t="shared" si="37"/>
        <v>5948247</v>
      </c>
      <c r="L129" s="345">
        <f t="shared" si="38"/>
        <v>0</v>
      </c>
    </row>
    <row r="130" spans="1:12" ht="13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3">
        <f>'FR-16(7)(v)-1 Functional'!F130</f>
        <v>-3476871</v>
      </c>
      <c r="G130" s="347">
        <f>'FR-16(7)(v)-6 DISTR Cust Alloc'!G130+'FR-16(7)(v)-5 DISTR Dem Alloc'!G130+'FR-16(7)(v)-3 PROD Comm Alloc'!G130</f>
        <v>0</v>
      </c>
      <c r="H130" s="347">
        <f>'FR-16(7)(v)-6 DISTR Cust Alloc'!H130+'FR-16(7)(v)-5 DISTR Dem Alloc'!H130+'FR-16(7)(v)-3 PROD Comm Alloc'!H130</f>
        <v>-3476871</v>
      </c>
      <c r="I130" s="347">
        <f>'FR-16(7)(v)-6 DISTR Cust Alloc'!I130+'FR-16(7)(v)-5 DISTR Dem Alloc'!I130+'FR-16(7)(v)-3 PROD Comm Alloc'!I130</f>
        <v>0</v>
      </c>
      <c r="J130" s="347">
        <f>'FR-16(7)(v)-6 DISTR Cust Alloc'!J130+'FR-16(7)(v)-5 DISTR Dem Alloc'!J130+'FR-16(7)(v)-3 PROD Comm Alloc'!J130</f>
        <v>0</v>
      </c>
      <c r="K130" s="345">
        <f t="shared" si="37"/>
        <v>-3476871</v>
      </c>
      <c r="L130" s="345">
        <f t="shared" si="38"/>
        <v>0</v>
      </c>
    </row>
    <row r="131" spans="1:12" ht="13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L131" si="39">SUM(F121:F130)</f>
        <v>181390378</v>
      </c>
      <c r="G131" s="346">
        <f t="shared" si="39"/>
        <v>116891581</v>
      </c>
      <c r="H131" s="346">
        <f t="shared" si="39"/>
        <v>42536299</v>
      </c>
      <c r="I131" s="346">
        <f t="shared" si="39"/>
        <v>16518995</v>
      </c>
      <c r="J131" s="346">
        <f t="shared" si="39"/>
        <v>5443503</v>
      </c>
      <c r="K131" s="346">
        <f t="shared" si="39"/>
        <v>181390378</v>
      </c>
      <c r="L131" s="346">
        <f t="shared" si="39"/>
        <v>0</v>
      </c>
    </row>
    <row r="132" spans="1:12" ht="13">
      <c r="A132" s="331">
        <v>20</v>
      </c>
      <c r="D132" s="342"/>
      <c r="E132" s="195"/>
      <c r="I132" s="330"/>
    </row>
    <row r="133" spans="1:12" ht="13">
      <c r="A133" s="331">
        <v>21</v>
      </c>
      <c r="B133" s="330" t="s">
        <v>20</v>
      </c>
      <c r="D133" s="342"/>
      <c r="E133" s="195"/>
      <c r="I133" s="330"/>
    </row>
    <row r="134" spans="1:12" ht="13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3">
        <f>'FR-16(7)(v)-1 Functional'!F134</f>
        <v>1408783</v>
      </c>
      <c r="G134" s="347">
        <f>'FR-16(7)(v)-6 DISTR Cust Alloc'!G134+'FR-16(7)(v)-5 DISTR Dem Alloc'!G134+'FR-16(7)(v)-3 PROD Comm Alloc'!G134</f>
        <v>704856</v>
      </c>
      <c r="H134" s="347">
        <f>'FR-16(7)(v)-6 DISTR Cust Alloc'!H134+'FR-16(7)(v)-5 DISTR Dem Alloc'!H134+'FR-16(7)(v)-3 PROD Comm Alloc'!H134</f>
        <v>413492</v>
      </c>
      <c r="I134" s="347">
        <f>'FR-16(7)(v)-6 DISTR Cust Alloc'!I134+'FR-16(7)(v)-5 DISTR Dem Alloc'!I134+'FR-16(7)(v)-3 PROD Comm Alloc'!I134</f>
        <v>290435</v>
      </c>
      <c r="J134" s="347">
        <f>'FR-16(7)(v)-6 DISTR Cust Alloc'!J134+'FR-16(7)(v)-5 DISTR Dem Alloc'!J134+'FR-16(7)(v)-3 PROD Comm Alloc'!J134</f>
        <v>0</v>
      </c>
      <c r="K134" s="345">
        <f t="shared" ref="K134:K139" si="40">SUM(G134:J134)</f>
        <v>1408783</v>
      </c>
      <c r="L134" s="345">
        <f t="shared" ref="L134:L139" si="41">F134-K134</f>
        <v>0</v>
      </c>
    </row>
    <row r="135" spans="1:12" ht="13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3">
        <f>'FR-16(7)(v)-1 Functional'!F135</f>
        <v>1037967</v>
      </c>
      <c r="G135" s="347">
        <f>'FR-16(7)(v)-6 DISTR Cust Alloc'!G135+'FR-16(7)(v)-5 DISTR Dem Alloc'!G135+'FR-16(7)(v)-3 PROD Comm Alloc'!G135</f>
        <v>648262</v>
      </c>
      <c r="H135" s="347">
        <f>'FR-16(7)(v)-6 DISTR Cust Alloc'!H135+'FR-16(7)(v)-5 DISTR Dem Alloc'!H135+'FR-16(7)(v)-3 PROD Comm Alloc'!H135</f>
        <v>380290</v>
      </c>
      <c r="I135" s="347">
        <f>'FR-16(7)(v)-6 DISTR Cust Alloc'!I135+'FR-16(7)(v)-5 DISTR Dem Alloc'!I135+'FR-16(7)(v)-3 PROD Comm Alloc'!I135</f>
        <v>5491</v>
      </c>
      <c r="J135" s="347">
        <f>'FR-16(7)(v)-6 DISTR Cust Alloc'!J135+'FR-16(7)(v)-5 DISTR Dem Alloc'!J135+'FR-16(7)(v)-3 PROD Comm Alloc'!J135</f>
        <v>3924</v>
      </c>
      <c r="K135" s="345">
        <f t="shared" si="40"/>
        <v>1037967</v>
      </c>
      <c r="L135" s="345">
        <f t="shared" si="41"/>
        <v>0</v>
      </c>
    </row>
    <row r="136" spans="1:12" ht="13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3">
        <f>'FR-16(7)(v)-1 Functional'!F136</f>
        <v>9279343</v>
      </c>
      <c r="G136" s="347">
        <f>'FR-16(7)(v)-6 DISTR Cust Alloc'!G136+'FR-16(7)(v)-5 DISTR Dem Alloc'!G136+'FR-16(7)(v)-3 PROD Comm Alloc'!G136</f>
        <v>5408988</v>
      </c>
      <c r="H136" s="347">
        <f>'FR-16(7)(v)-6 DISTR Cust Alloc'!H136+'FR-16(7)(v)-5 DISTR Dem Alloc'!H136+'FR-16(7)(v)-3 PROD Comm Alloc'!H136</f>
        <v>2584874</v>
      </c>
      <c r="I136" s="347">
        <f>'FR-16(7)(v)-6 DISTR Cust Alloc'!I136+'FR-16(7)(v)-5 DISTR Dem Alloc'!I136+'FR-16(7)(v)-3 PROD Comm Alloc'!I136</f>
        <v>981453</v>
      </c>
      <c r="J136" s="347">
        <f>'FR-16(7)(v)-6 DISTR Cust Alloc'!J136+'FR-16(7)(v)-5 DISTR Dem Alloc'!J136+'FR-16(7)(v)-3 PROD Comm Alloc'!J136</f>
        <v>304028</v>
      </c>
      <c r="K136" s="345">
        <f t="shared" si="40"/>
        <v>9279343</v>
      </c>
      <c r="L136" s="345">
        <f t="shared" si="41"/>
        <v>0</v>
      </c>
    </row>
    <row r="137" spans="1:12" ht="13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3">
        <f>'FR-16(7)(v)-1 Functional'!F137</f>
        <v>3672369</v>
      </c>
      <c r="G137" s="347">
        <f>'FR-16(7)(v)-6 DISTR Cust Alloc'!G137+'FR-16(7)(v)-5 DISTR Dem Alloc'!G137+'FR-16(7)(v)-3 PROD Comm Alloc'!G137</f>
        <v>3390845</v>
      </c>
      <c r="H137" s="347">
        <f>'FR-16(7)(v)-6 DISTR Cust Alloc'!H137+'FR-16(7)(v)-5 DISTR Dem Alloc'!H137+'FR-16(7)(v)-3 PROD Comm Alloc'!H137</f>
        <v>276860</v>
      </c>
      <c r="I137" s="347">
        <f>'FR-16(7)(v)-6 DISTR Cust Alloc'!I137+'FR-16(7)(v)-5 DISTR Dem Alloc'!I137+'FR-16(7)(v)-3 PROD Comm Alloc'!I137</f>
        <v>3856</v>
      </c>
      <c r="J137" s="347">
        <f>'FR-16(7)(v)-6 DISTR Cust Alloc'!J137+'FR-16(7)(v)-5 DISTR Dem Alloc'!J137+'FR-16(7)(v)-3 PROD Comm Alloc'!J137</f>
        <v>808</v>
      </c>
      <c r="K137" s="345">
        <f t="shared" si="40"/>
        <v>3672369</v>
      </c>
      <c r="L137" s="345">
        <f t="shared" si="41"/>
        <v>0</v>
      </c>
    </row>
    <row r="138" spans="1:12" ht="13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3">
        <f>'FR-16(7)(v)-1 Functional'!F138</f>
        <v>355523</v>
      </c>
      <c r="G138" s="347">
        <f>'FR-16(7)(v)-6 DISTR Cust Alloc'!G138+'FR-16(7)(v)-5 DISTR Dem Alloc'!G138+'FR-16(7)(v)-3 PROD Comm Alloc'!G138</f>
        <v>328269</v>
      </c>
      <c r="H138" s="347">
        <f>'FR-16(7)(v)-6 DISTR Cust Alloc'!H138+'FR-16(7)(v)-5 DISTR Dem Alloc'!H138+'FR-16(7)(v)-3 PROD Comm Alloc'!H138</f>
        <v>26803</v>
      </c>
      <c r="I138" s="347">
        <f>'FR-16(7)(v)-6 DISTR Cust Alloc'!I138+'FR-16(7)(v)-5 DISTR Dem Alloc'!I138+'FR-16(7)(v)-3 PROD Comm Alloc'!I138</f>
        <v>373</v>
      </c>
      <c r="J138" s="347">
        <f>'FR-16(7)(v)-6 DISTR Cust Alloc'!J138+'FR-16(7)(v)-5 DISTR Dem Alloc'!J138+'FR-16(7)(v)-3 PROD Comm Alloc'!J138</f>
        <v>78</v>
      </c>
      <c r="K138" s="345">
        <f t="shared" si="40"/>
        <v>355523</v>
      </c>
      <c r="L138" s="345">
        <f t="shared" si="41"/>
        <v>0</v>
      </c>
    </row>
    <row r="139" spans="1:12" ht="13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3">
        <f>'FR-16(7)(v)-1 Functional'!F139</f>
        <v>0</v>
      </c>
      <c r="G139" s="347">
        <f>'FR-16(7)(v)-6 DISTR Cust Alloc'!G139+'FR-16(7)(v)-5 DISTR Dem Alloc'!G139+'FR-16(7)(v)-3 PROD Comm Alloc'!G139</f>
        <v>0</v>
      </c>
      <c r="H139" s="347">
        <f>'FR-16(7)(v)-6 DISTR Cust Alloc'!H139+'FR-16(7)(v)-5 DISTR Dem Alloc'!H139+'FR-16(7)(v)-3 PROD Comm Alloc'!H139</f>
        <v>0</v>
      </c>
      <c r="I139" s="347">
        <f>'FR-16(7)(v)-6 DISTR Cust Alloc'!I139+'FR-16(7)(v)-5 DISTR Dem Alloc'!I139+'FR-16(7)(v)-3 PROD Comm Alloc'!I139</f>
        <v>0</v>
      </c>
      <c r="J139" s="347">
        <f>'FR-16(7)(v)-6 DISTR Cust Alloc'!J139+'FR-16(7)(v)-5 DISTR Dem Alloc'!J139+'FR-16(7)(v)-3 PROD Comm Alloc'!J139</f>
        <v>0</v>
      </c>
      <c r="K139" s="345">
        <f t="shared" si="40"/>
        <v>0</v>
      </c>
      <c r="L139" s="345">
        <f t="shared" si="41"/>
        <v>0</v>
      </c>
    </row>
    <row r="140" spans="1:12" ht="13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L140" si="42">SUM(F133:F139)</f>
        <v>15753985</v>
      </c>
      <c r="G140" s="346">
        <f t="shared" si="42"/>
        <v>10481220</v>
      </c>
      <c r="H140" s="346">
        <f t="shared" si="42"/>
        <v>3682319</v>
      </c>
      <c r="I140" s="346">
        <f t="shared" si="42"/>
        <v>1281608</v>
      </c>
      <c r="J140" s="346">
        <f t="shared" si="42"/>
        <v>308838</v>
      </c>
      <c r="K140" s="346">
        <f t="shared" si="42"/>
        <v>15753985</v>
      </c>
      <c r="L140" s="346">
        <f t="shared" si="42"/>
        <v>0</v>
      </c>
    </row>
    <row r="141" spans="1:12" ht="13">
      <c r="A141" s="331">
        <v>29</v>
      </c>
      <c r="C141" s="363"/>
      <c r="D141" s="342"/>
      <c r="E141" s="195"/>
      <c r="I141" s="330"/>
    </row>
    <row r="142" spans="1:12" ht="13">
      <c r="A142" s="331">
        <v>30</v>
      </c>
      <c r="B142" s="330" t="s">
        <v>21</v>
      </c>
      <c r="C142" s="363"/>
      <c r="D142" s="342"/>
      <c r="E142" s="195"/>
      <c r="I142" s="330"/>
    </row>
    <row r="143" spans="1:12" ht="13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3">
        <f>'FR-16(7)(v)-1 Functional'!F143</f>
        <v>644301</v>
      </c>
      <c r="G143" s="347">
        <f>'FR-16(7)(v)-6 DISTR Cust Alloc'!G143+'FR-16(7)(v)-5 DISTR Dem Alloc'!G143+'FR-16(7)(v)-3 PROD Comm Alloc'!G143</f>
        <v>322363</v>
      </c>
      <c r="H143" s="347">
        <f>'FR-16(7)(v)-6 DISTR Cust Alloc'!H143+'FR-16(7)(v)-5 DISTR Dem Alloc'!H143+'FR-16(7)(v)-3 PROD Comm Alloc'!H143</f>
        <v>189109</v>
      </c>
      <c r="I143" s="347">
        <f>'FR-16(7)(v)-6 DISTR Cust Alloc'!I143+'FR-16(7)(v)-5 DISTR Dem Alloc'!I143+'FR-16(7)(v)-3 PROD Comm Alloc'!I143</f>
        <v>132829</v>
      </c>
      <c r="J143" s="347">
        <f>'FR-16(7)(v)-6 DISTR Cust Alloc'!J143+'FR-16(7)(v)-5 DISTR Dem Alloc'!J143+'FR-16(7)(v)-3 PROD Comm Alloc'!J143</f>
        <v>0</v>
      </c>
      <c r="K143" s="345">
        <f t="shared" ref="K143:K148" si="43">SUM(G143:J143)</f>
        <v>644301</v>
      </c>
      <c r="L143" s="345">
        <f t="shared" ref="L143:L148" si="44">F143-K143</f>
        <v>0</v>
      </c>
    </row>
    <row r="144" spans="1:12" ht="13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3">
        <f>'FR-16(7)(v)-1 Functional'!F144</f>
        <v>474711</v>
      </c>
      <c r="G144" s="347">
        <f>'FR-16(7)(v)-6 DISTR Cust Alloc'!G144+'FR-16(7)(v)-5 DISTR Dem Alloc'!G144+'FR-16(7)(v)-3 PROD Comm Alloc'!G144</f>
        <v>296481</v>
      </c>
      <c r="H144" s="347">
        <f>'FR-16(7)(v)-6 DISTR Cust Alloc'!H144+'FR-16(7)(v)-5 DISTR Dem Alloc'!H144+'FR-16(7)(v)-3 PROD Comm Alloc'!H144</f>
        <v>173925</v>
      </c>
      <c r="I144" s="347">
        <f>'FR-16(7)(v)-6 DISTR Cust Alloc'!I144+'FR-16(7)(v)-5 DISTR Dem Alloc'!I144+'FR-16(7)(v)-3 PROD Comm Alloc'!I144</f>
        <v>2511</v>
      </c>
      <c r="J144" s="347">
        <f>'FR-16(7)(v)-6 DISTR Cust Alloc'!J144+'FR-16(7)(v)-5 DISTR Dem Alloc'!J144+'FR-16(7)(v)-3 PROD Comm Alloc'!J144</f>
        <v>1794</v>
      </c>
      <c r="K144" s="345">
        <f t="shared" si="43"/>
        <v>474711</v>
      </c>
      <c r="L144" s="345">
        <f t="shared" si="44"/>
        <v>0</v>
      </c>
    </row>
    <row r="145" spans="1:12" ht="13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3">
        <f>'FR-16(7)(v)-1 Functional'!F145</f>
        <v>4243873</v>
      </c>
      <c r="G145" s="347">
        <f>'FR-16(7)(v)-6 DISTR Cust Alloc'!G145+'FR-16(7)(v)-5 DISTR Dem Alloc'!G145+'FR-16(7)(v)-3 PROD Comm Alloc'!G145</f>
        <v>2473781</v>
      </c>
      <c r="H145" s="347">
        <f>'FR-16(7)(v)-6 DISTR Cust Alloc'!H145+'FR-16(7)(v)-5 DISTR Dem Alloc'!H145+'FR-16(7)(v)-3 PROD Comm Alloc'!H145</f>
        <v>1182182</v>
      </c>
      <c r="I145" s="347">
        <f>'FR-16(7)(v)-6 DISTR Cust Alloc'!I145+'FR-16(7)(v)-5 DISTR Dem Alloc'!I145+'FR-16(7)(v)-3 PROD Comm Alloc'!I145</f>
        <v>448864</v>
      </c>
      <c r="J145" s="347">
        <f>'FR-16(7)(v)-6 DISTR Cust Alloc'!J145+'FR-16(7)(v)-5 DISTR Dem Alloc'!J145+'FR-16(7)(v)-3 PROD Comm Alloc'!J145</f>
        <v>139046</v>
      </c>
      <c r="K145" s="345">
        <f t="shared" si="43"/>
        <v>4243873</v>
      </c>
      <c r="L145" s="345">
        <f t="shared" si="44"/>
        <v>0</v>
      </c>
    </row>
    <row r="146" spans="1:12" ht="13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3">
        <f>'FR-16(7)(v)-1 Functional'!F146</f>
        <v>1679545</v>
      </c>
      <c r="G146" s="347">
        <f>'FR-16(7)(v)-6 DISTR Cust Alloc'!G146+'FR-16(7)(v)-5 DISTR Dem Alloc'!G146+'FR-16(7)(v)-3 PROD Comm Alloc'!G146</f>
        <v>1550791</v>
      </c>
      <c r="H146" s="347">
        <f>'FR-16(7)(v)-6 DISTR Cust Alloc'!H146+'FR-16(7)(v)-5 DISTR Dem Alloc'!H146+'FR-16(7)(v)-3 PROD Comm Alloc'!H146</f>
        <v>126621</v>
      </c>
      <c r="I146" s="347">
        <f>'FR-16(7)(v)-6 DISTR Cust Alloc'!I146+'FR-16(7)(v)-5 DISTR Dem Alloc'!I146+'FR-16(7)(v)-3 PROD Comm Alloc'!I146</f>
        <v>1764</v>
      </c>
      <c r="J146" s="347">
        <f>'FR-16(7)(v)-6 DISTR Cust Alloc'!J146+'FR-16(7)(v)-5 DISTR Dem Alloc'!J146+'FR-16(7)(v)-3 PROD Comm Alloc'!J146</f>
        <v>369</v>
      </c>
      <c r="K146" s="345">
        <f t="shared" si="43"/>
        <v>1679545</v>
      </c>
      <c r="L146" s="345">
        <f t="shared" si="44"/>
        <v>0</v>
      </c>
    </row>
    <row r="147" spans="1:12" ht="13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3">
        <f>'FR-16(7)(v)-1 Functional'!F147</f>
        <v>162597</v>
      </c>
      <c r="G147" s="347">
        <f>'FR-16(7)(v)-6 DISTR Cust Alloc'!G147+'FR-16(7)(v)-5 DISTR Dem Alloc'!G147+'FR-16(7)(v)-3 PROD Comm Alloc'!G147</f>
        <v>150132</v>
      </c>
      <c r="H147" s="347">
        <f>'FR-16(7)(v)-6 DISTR Cust Alloc'!H147+'FR-16(7)(v)-5 DISTR Dem Alloc'!H147+'FR-16(7)(v)-3 PROD Comm Alloc'!H147</f>
        <v>12258</v>
      </c>
      <c r="I147" s="347">
        <f>'FR-16(7)(v)-6 DISTR Cust Alloc'!I147+'FR-16(7)(v)-5 DISTR Dem Alloc'!I147+'FR-16(7)(v)-3 PROD Comm Alloc'!I147</f>
        <v>171</v>
      </c>
      <c r="J147" s="347">
        <f>'FR-16(7)(v)-6 DISTR Cust Alloc'!J147+'FR-16(7)(v)-5 DISTR Dem Alloc'!J147+'FR-16(7)(v)-3 PROD Comm Alloc'!J147</f>
        <v>36</v>
      </c>
      <c r="K147" s="345">
        <f t="shared" si="43"/>
        <v>162597</v>
      </c>
      <c r="L147" s="345">
        <f t="shared" si="44"/>
        <v>0</v>
      </c>
    </row>
    <row r="148" spans="1:12" ht="13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3">
        <f>'FR-16(7)(v)-1 Functional'!F148</f>
        <v>0</v>
      </c>
      <c r="G148" s="347">
        <f>'FR-16(7)(v)-6 DISTR Cust Alloc'!G148+'FR-16(7)(v)-5 DISTR Dem Alloc'!G148+'FR-16(7)(v)-3 PROD Comm Alloc'!G148</f>
        <v>0</v>
      </c>
      <c r="H148" s="347">
        <f>'FR-16(7)(v)-6 DISTR Cust Alloc'!H148+'FR-16(7)(v)-5 DISTR Dem Alloc'!H148+'FR-16(7)(v)-3 PROD Comm Alloc'!H148</f>
        <v>0</v>
      </c>
      <c r="I148" s="347">
        <f>'FR-16(7)(v)-6 DISTR Cust Alloc'!I148+'FR-16(7)(v)-5 DISTR Dem Alloc'!I148+'FR-16(7)(v)-3 PROD Comm Alloc'!I148</f>
        <v>0</v>
      </c>
      <c r="J148" s="347">
        <f>'FR-16(7)(v)-6 DISTR Cust Alloc'!J148+'FR-16(7)(v)-5 DISTR Dem Alloc'!J148+'FR-16(7)(v)-3 PROD Comm Alloc'!J148</f>
        <v>0</v>
      </c>
      <c r="K148" s="345">
        <f t="shared" si="43"/>
        <v>0</v>
      </c>
      <c r="L148" s="345">
        <f t="shared" si="44"/>
        <v>0</v>
      </c>
    </row>
    <row r="149" spans="1:12" ht="13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7205027</v>
      </c>
      <c r="G149" s="346">
        <f t="shared" ref="G149:L149" si="45">SUM(G142:G148)</f>
        <v>4793548</v>
      </c>
      <c r="H149" s="346">
        <f t="shared" si="45"/>
        <v>1684095</v>
      </c>
      <c r="I149" s="346">
        <f t="shared" si="45"/>
        <v>586139</v>
      </c>
      <c r="J149" s="346">
        <f t="shared" si="45"/>
        <v>141245</v>
      </c>
      <c r="K149" s="346">
        <f t="shared" si="45"/>
        <v>7205027</v>
      </c>
      <c r="L149" s="346">
        <f t="shared" si="45"/>
        <v>0</v>
      </c>
    </row>
    <row r="150" spans="1:12" ht="13">
      <c r="A150" s="331">
        <v>38</v>
      </c>
      <c r="D150" s="342"/>
      <c r="E150" s="195"/>
      <c r="I150" s="330"/>
    </row>
    <row r="151" spans="1:12" ht="13">
      <c r="A151" s="331">
        <v>39</v>
      </c>
      <c r="B151" s="330" t="s">
        <v>23</v>
      </c>
      <c r="D151" s="342"/>
      <c r="E151" s="195"/>
      <c r="F151" s="345">
        <f t="shared" ref="F151:L151" si="46">F149+F140+F131+F119+F115</f>
        <v>206903281</v>
      </c>
      <c r="G151" s="345">
        <f t="shared" si="46"/>
        <v>133530689</v>
      </c>
      <c r="H151" s="345">
        <f t="shared" si="46"/>
        <v>48731655</v>
      </c>
      <c r="I151" s="345">
        <f t="shared" si="46"/>
        <v>18747351</v>
      </c>
      <c r="J151" s="345">
        <f t="shared" si="46"/>
        <v>5893586</v>
      </c>
      <c r="K151" s="345">
        <f t="shared" si="46"/>
        <v>206903281</v>
      </c>
      <c r="L151" s="345">
        <f t="shared" si="46"/>
        <v>0</v>
      </c>
    </row>
    <row r="152" spans="1:12" ht="13">
      <c r="B152" s="341"/>
      <c r="C152" s="195"/>
      <c r="D152" s="342"/>
      <c r="E152" s="195"/>
      <c r="G152" s="195"/>
      <c r="H152" s="195"/>
      <c r="I152" s="195"/>
      <c r="J152" s="342"/>
      <c r="K152" s="195"/>
    </row>
    <row r="153" spans="1:12" ht="13">
      <c r="A153" s="341" t="str">
        <f>co_name</f>
        <v>DUKE ENERGY KENTUCKY, INC.</v>
      </c>
      <c r="C153" s="195"/>
      <c r="D153" s="342"/>
      <c r="E153" s="195"/>
      <c r="F153" s="342"/>
      <c r="G153" s="340"/>
      <c r="H153" s="340"/>
      <c r="I153" s="195"/>
      <c r="K153" s="359" t="str">
        <f>$K$1</f>
        <v>FR-16(7)(v)-8</v>
      </c>
    </row>
    <row r="154" spans="1:12" ht="13">
      <c r="A154" s="341" t="str">
        <f>$A$2</f>
        <v>TOTAL CLASS ALLOCATED - GAS COST OF SERVICE</v>
      </c>
      <c r="C154" s="195"/>
      <c r="D154" s="342"/>
      <c r="E154" s="195"/>
      <c r="F154" s="342"/>
      <c r="G154" s="340"/>
      <c r="H154" s="340"/>
      <c r="I154" s="195"/>
      <c r="K154" s="359" t="str">
        <f>$K$2</f>
        <v>WITNESS RESPONSIBLE:</v>
      </c>
    </row>
    <row r="155" spans="1:12" ht="13">
      <c r="A155" s="341" t="str">
        <f>case_name</f>
        <v>CASE NO: 2021-00190</v>
      </c>
      <c r="C155" s="195"/>
      <c r="D155" s="342"/>
      <c r="E155" s="195"/>
      <c r="F155" s="342"/>
      <c r="G155" s="340"/>
      <c r="H155" s="340"/>
      <c r="I155" s="195"/>
      <c r="K155" s="359" t="str">
        <f>Witness</f>
        <v>JAMES E. ZIOLKOWSKI</v>
      </c>
    </row>
    <row r="156" spans="1:12" ht="13">
      <c r="A156" s="341" t="str">
        <f>data_filing</f>
        <v>DATA: 12 MONTH FORECASTED PERIOD</v>
      </c>
      <c r="C156" s="195"/>
      <c r="D156" s="342"/>
      <c r="E156" s="195"/>
      <c r="F156" s="342"/>
      <c r="G156" s="340"/>
      <c r="H156" s="340"/>
      <c r="I156" s="195"/>
      <c r="K156" s="359" t="str">
        <f>"PAGE "&amp;Pages2-11&amp;" OF "&amp;Pages2</f>
        <v>PAGE 4 OF 15</v>
      </c>
    </row>
    <row r="157" spans="1:12" ht="13">
      <c r="A157" s="341" t="str">
        <f>type</f>
        <v xml:space="preserve">TYPE OF FILING: "X" ORIGINAL   UPDATED    REVISED  </v>
      </c>
      <c r="C157" s="195"/>
      <c r="D157" s="342"/>
      <c r="E157" s="195"/>
      <c r="F157" s="342"/>
      <c r="G157" s="340"/>
      <c r="H157" s="340"/>
      <c r="I157" s="195"/>
      <c r="J157" s="342"/>
      <c r="K157" s="195"/>
    </row>
    <row r="158" spans="1:12" ht="13">
      <c r="A158" s="341"/>
      <c r="C158" s="195"/>
      <c r="D158" s="342"/>
      <c r="E158" s="195"/>
      <c r="F158" s="342"/>
      <c r="G158" s="340"/>
      <c r="H158" s="340"/>
      <c r="I158" s="195"/>
      <c r="J158" s="342"/>
      <c r="K158" s="195"/>
    </row>
    <row r="159" spans="1:12" ht="13">
      <c r="B159" s="341"/>
      <c r="C159" s="195"/>
      <c r="D159" s="342"/>
      <c r="E159" s="195"/>
      <c r="F159" s="342" t="str">
        <f>$F$7</f>
        <v>TOTAL</v>
      </c>
      <c r="G159" s="195"/>
      <c r="H159" s="195"/>
      <c r="I159" s="195"/>
      <c r="J159" s="342"/>
      <c r="K159" s="195"/>
    </row>
    <row r="160" spans="1:12" ht="13">
      <c r="A160" s="342" t="s">
        <v>907</v>
      </c>
      <c r="B160" s="195"/>
      <c r="C160" s="195"/>
      <c r="D160" s="342"/>
      <c r="E160" s="195"/>
      <c r="F160" s="342" t="str">
        <f>$F$8</f>
        <v>CLASS</v>
      </c>
      <c r="G160" s="352" t="s">
        <v>766</v>
      </c>
      <c r="H160" s="352" t="s">
        <v>1256</v>
      </c>
      <c r="I160" s="352" t="s">
        <v>974</v>
      </c>
      <c r="J160" s="352" t="s">
        <v>546</v>
      </c>
      <c r="K160" s="352" t="s">
        <v>229</v>
      </c>
      <c r="L160" s="342" t="s">
        <v>342</v>
      </c>
    </row>
    <row r="161" spans="1:12" ht="13">
      <c r="A161" s="344" t="s">
        <v>908</v>
      </c>
      <c r="B161" s="343" t="str">
        <f>"NET GAS PLANT"</f>
        <v>NET GAS PLANT</v>
      </c>
      <c r="C161" s="343"/>
      <c r="D161" s="344" t="s">
        <v>337</v>
      </c>
      <c r="E161" s="343"/>
      <c r="F161" s="342" t="str">
        <f>$F$9</f>
        <v>ALLOCATED</v>
      </c>
      <c r="G161" s="353" t="s">
        <v>338</v>
      </c>
      <c r="H161" s="353" t="s">
        <v>404</v>
      </c>
      <c r="I161" s="353" t="s">
        <v>1257</v>
      </c>
      <c r="J161" s="353" t="s">
        <v>547</v>
      </c>
      <c r="K161" s="353" t="s">
        <v>341</v>
      </c>
      <c r="L161" s="344" t="s">
        <v>340</v>
      </c>
    </row>
    <row r="162" spans="1:12" ht="13">
      <c r="C162" s="572" t="s">
        <v>346</v>
      </c>
      <c r="D162" s="342"/>
      <c r="E162" s="195"/>
      <c r="F162" s="755"/>
      <c r="G162" s="627">
        <f>$G$10</f>
        <v>3</v>
      </c>
      <c r="H162" s="627">
        <f>$H$10</f>
        <v>4</v>
      </c>
      <c r="I162" s="627">
        <f>$I$10</f>
        <v>5</v>
      </c>
      <c r="J162" s="627">
        <f>$J$10</f>
        <v>6</v>
      </c>
    </row>
    <row r="163" spans="1:12" ht="13">
      <c r="A163" s="331">
        <v>1</v>
      </c>
      <c r="B163" s="330" t="s">
        <v>14</v>
      </c>
      <c r="D163" s="342"/>
      <c r="E163" s="195"/>
      <c r="I163" s="330"/>
    </row>
    <row r="164" spans="1:12" ht="13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4625622</v>
      </c>
      <c r="G164" s="345">
        <f>$G$59</f>
        <v>2471100</v>
      </c>
      <c r="H164" s="345">
        <f>$H$59</f>
        <v>1501384</v>
      </c>
      <c r="I164" s="345">
        <f>$I$59</f>
        <v>653138</v>
      </c>
      <c r="J164" s="345">
        <f>$J$59</f>
        <v>0</v>
      </c>
      <c r="K164" s="345">
        <f>$K$59</f>
        <v>4625622</v>
      </c>
      <c r="L164" s="345">
        <f>F164-K164</f>
        <v>0</v>
      </c>
    </row>
    <row r="165" spans="1:12" ht="13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 t="shared" ref="F165:K165" si="47">-F115</f>
        <v>-2553891</v>
      </c>
      <c r="G165" s="345">
        <f t="shared" si="47"/>
        <v>-1364340</v>
      </c>
      <c r="H165" s="345">
        <f t="shared" si="47"/>
        <v>-828942</v>
      </c>
      <c r="I165" s="345">
        <f t="shared" si="47"/>
        <v>-360609</v>
      </c>
      <c r="J165" s="345">
        <f t="shared" si="47"/>
        <v>0</v>
      </c>
      <c r="K165" s="345">
        <f t="shared" si="47"/>
        <v>-2553891</v>
      </c>
      <c r="L165" s="345">
        <f>F165-K165</f>
        <v>0</v>
      </c>
    </row>
    <row r="166" spans="1:12" ht="13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L166" si="48">SUM(F164:F165)</f>
        <v>2071731</v>
      </c>
      <c r="G166" s="346">
        <f t="shared" si="48"/>
        <v>1106760</v>
      </c>
      <c r="H166" s="346">
        <f t="shared" si="48"/>
        <v>672442</v>
      </c>
      <c r="I166" s="346">
        <f t="shared" si="48"/>
        <v>292529</v>
      </c>
      <c r="J166" s="346">
        <f t="shared" si="48"/>
        <v>0</v>
      </c>
      <c r="K166" s="346">
        <f t="shared" si="48"/>
        <v>2071731</v>
      </c>
      <c r="L166" s="346">
        <f t="shared" si="48"/>
        <v>0</v>
      </c>
    </row>
    <row r="167" spans="1:12" ht="13">
      <c r="A167" s="331">
        <v>5</v>
      </c>
      <c r="D167" s="342"/>
      <c r="E167" s="195"/>
      <c r="I167" s="330"/>
    </row>
    <row r="168" spans="1:12" ht="13">
      <c r="A168" s="331">
        <v>6</v>
      </c>
      <c r="B168" s="357" t="s">
        <v>15</v>
      </c>
      <c r="C168" s="357"/>
      <c r="D168" s="342"/>
      <c r="E168" s="195"/>
      <c r="F168" s="345"/>
      <c r="G168" s="345"/>
      <c r="H168" s="345"/>
      <c r="I168" s="345"/>
      <c r="J168" s="345"/>
      <c r="K168" s="345"/>
    </row>
    <row r="169" spans="1:12" ht="13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345">
        <f>$G$63</f>
        <v>0</v>
      </c>
      <c r="H169" s="345">
        <f>$H$63</f>
        <v>0</v>
      </c>
      <c r="I169" s="345">
        <f>$I$63</f>
        <v>0</v>
      </c>
      <c r="J169" s="345">
        <f>$J$63</f>
        <v>0</v>
      </c>
      <c r="K169" s="345">
        <f>$K$63</f>
        <v>0</v>
      </c>
      <c r="L169" s="345">
        <f>F169-K169</f>
        <v>0</v>
      </c>
    </row>
    <row r="170" spans="1:12" ht="13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 t="shared" ref="F170:K170" si="49">-F119</f>
        <v>0</v>
      </c>
      <c r="G170" s="345">
        <f t="shared" si="49"/>
        <v>0</v>
      </c>
      <c r="H170" s="345">
        <f t="shared" si="49"/>
        <v>0</v>
      </c>
      <c r="I170" s="345">
        <f t="shared" si="49"/>
        <v>0</v>
      </c>
      <c r="J170" s="345">
        <f t="shared" si="49"/>
        <v>0</v>
      </c>
      <c r="K170" s="345">
        <f t="shared" si="49"/>
        <v>0</v>
      </c>
      <c r="L170" s="345">
        <f>F170-K170</f>
        <v>0</v>
      </c>
    </row>
    <row r="171" spans="1:12" ht="13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L171" si="50">SUM(F168:F170)</f>
        <v>0</v>
      </c>
      <c r="G171" s="346">
        <f t="shared" si="50"/>
        <v>0</v>
      </c>
      <c r="H171" s="346">
        <f t="shared" si="50"/>
        <v>0</v>
      </c>
      <c r="I171" s="346">
        <f t="shared" si="50"/>
        <v>0</v>
      </c>
      <c r="J171" s="346">
        <f t="shared" si="50"/>
        <v>0</v>
      </c>
      <c r="K171" s="346">
        <f t="shared" si="50"/>
        <v>0</v>
      </c>
      <c r="L171" s="346">
        <f t="shared" si="50"/>
        <v>0</v>
      </c>
    </row>
    <row r="172" spans="1:12" ht="13">
      <c r="A172" s="331">
        <v>10</v>
      </c>
      <c r="D172" s="342"/>
      <c r="E172" s="195"/>
      <c r="I172" s="330"/>
    </row>
    <row r="173" spans="1:12" ht="13">
      <c r="A173" s="331">
        <v>11</v>
      </c>
      <c r="B173" s="330" t="s">
        <v>17</v>
      </c>
      <c r="D173" s="342"/>
      <c r="E173" s="195"/>
      <c r="I173" s="330"/>
    </row>
    <row r="174" spans="1:12" ht="13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 t="shared" ref="F174:K174" si="51">F78</f>
        <v>724889098</v>
      </c>
      <c r="G174" s="345">
        <f t="shared" si="51"/>
        <v>462829689</v>
      </c>
      <c r="H174" s="345">
        <f t="shared" si="51"/>
        <v>178269174</v>
      </c>
      <c r="I174" s="345">
        <f t="shared" si="51"/>
        <v>63108198</v>
      </c>
      <c r="J174" s="345">
        <f t="shared" si="51"/>
        <v>20682037</v>
      </c>
      <c r="K174" s="345">
        <f t="shared" si="51"/>
        <v>724889098</v>
      </c>
      <c r="L174" s="345">
        <f>F174-K174</f>
        <v>0</v>
      </c>
    </row>
    <row r="175" spans="1:12" ht="13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 t="shared" ref="F175:K175" si="52">-F131</f>
        <v>-181390378</v>
      </c>
      <c r="G175" s="345">
        <f t="shared" si="52"/>
        <v>-116891581</v>
      </c>
      <c r="H175" s="345">
        <f t="shared" si="52"/>
        <v>-42536299</v>
      </c>
      <c r="I175" s="345">
        <f t="shared" si="52"/>
        <v>-16518995</v>
      </c>
      <c r="J175" s="345">
        <f t="shared" si="52"/>
        <v>-5443503</v>
      </c>
      <c r="K175" s="345">
        <f t="shared" si="52"/>
        <v>-181390378</v>
      </c>
      <c r="L175" s="345">
        <f>F175-K175</f>
        <v>0</v>
      </c>
    </row>
    <row r="176" spans="1:12" ht="13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L176" si="53">SUM(F173:F175)</f>
        <v>543498720</v>
      </c>
      <c r="G176" s="346">
        <f t="shared" si="53"/>
        <v>345938108</v>
      </c>
      <c r="H176" s="346">
        <f t="shared" si="53"/>
        <v>135732875</v>
      </c>
      <c r="I176" s="346">
        <f t="shared" si="53"/>
        <v>46589203</v>
      </c>
      <c r="J176" s="346">
        <f t="shared" si="53"/>
        <v>15238534</v>
      </c>
      <c r="K176" s="346">
        <f t="shared" si="53"/>
        <v>543498720</v>
      </c>
      <c r="L176" s="346">
        <f t="shared" si="53"/>
        <v>0</v>
      </c>
    </row>
    <row r="177" spans="1:12" ht="13">
      <c r="A177" s="331">
        <v>15</v>
      </c>
      <c r="D177" s="342"/>
      <c r="E177" s="195"/>
      <c r="I177" s="330"/>
    </row>
    <row r="178" spans="1:12" ht="13">
      <c r="A178" s="331">
        <v>16</v>
      </c>
      <c r="B178" s="330" t="s">
        <v>429</v>
      </c>
      <c r="D178" s="342"/>
      <c r="E178" s="195"/>
      <c r="F178" s="345">
        <f t="shared" ref="F178:L178" si="54">F176+F171+F166</f>
        <v>545570451</v>
      </c>
      <c r="G178" s="345">
        <f t="shared" si="54"/>
        <v>347044868</v>
      </c>
      <c r="H178" s="345">
        <f t="shared" si="54"/>
        <v>136405317</v>
      </c>
      <c r="I178" s="345">
        <f t="shared" si="54"/>
        <v>46881732</v>
      </c>
      <c r="J178" s="345">
        <f t="shared" si="54"/>
        <v>15238534</v>
      </c>
      <c r="K178" s="345">
        <f t="shared" si="54"/>
        <v>545570451</v>
      </c>
      <c r="L178" s="345">
        <f t="shared" si="54"/>
        <v>0</v>
      </c>
    </row>
    <row r="179" spans="1:12" ht="13">
      <c r="A179" s="331">
        <v>17</v>
      </c>
      <c r="B179" s="330" t="s">
        <v>24</v>
      </c>
      <c r="D179" s="342"/>
      <c r="E179" s="195"/>
      <c r="F179" s="345">
        <f t="shared" ref="F179:L179" si="55">F176+F171</f>
        <v>543498720</v>
      </c>
      <c r="G179" s="345">
        <f t="shared" si="55"/>
        <v>345938108</v>
      </c>
      <c r="H179" s="345">
        <f t="shared" si="55"/>
        <v>135732875</v>
      </c>
      <c r="I179" s="345">
        <f t="shared" si="55"/>
        <v>46589203</v>
      </c>
      <c r="J179" s="345">
        <f t="shared" si="55"/>
        <v>15238534</v>
      </c>
      <c r="K179" s="345">
        <f t="shared" si="55"/>
        <v>543498720</v>
      </c>
      <c r="L179" s="345">
        <f t="shared" si="55"/>
        <v>0</v>
      </c>
    </row>
    <row r="180" spans="1:12" ht="13">
      <c r="A180" s="331">
        <v>18</v>
      </c>
      <c r="D180" s="342"/>
      <c r="E180" s="195"/>
      <c r="I180" s="330"/>
    </row>
    <row r="181" spans="1:12" ht="13">
      <c r="A181" s="331">
        <v>19</v>
      </c>
      <c r="B181" s="330" t="s">
        <v>20</v>
      </c>
      <c r="D181" s="342"/>
      <c r="E181" s="195"/>
      <c r="I181" s="330"/>
    </row>
    <row r="182" spans="1:12" ht="13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 t="shared" ref="F182:K182" si="56">F90</f>
        <v>32001263</v>
      </c>
      <c r="G182" s="345">
        <f t="shared" si="56"/>
        <v>21290632</v>
      </c>
      <c r="H182" s="345">
        <f t="shared" si="56"/>
        <v>7479939</v>
      </c>
      <c r="I182" s="345">
        <f t="shared" si="56"/>
        <v>2603347</v>
      </c>
      <c r="J182" s="345">
        <f t="shared" si="56"/>
        <v>627345</v>
      </c>
      <c r="K182" s="345">
        <f t="shared" si="56"/>
        <v>32001263</v>
      </c>
      <c r="L182" s="345">
        <f>F182-K182</f>
        <v>0</v>
      </c>
    </row>
    <row r="183" spans="1:12" ht="13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 t="shared" ref="F183:K183" si="57">-F140</f>
        <v>-15753985</v>
      </c>
      <c r="G183" s="345">
        <f t="shared" si="57"/>
        <v>-10481220</v>
      </c>
      <c r="H183" s="345">
        <f t="shared" si="57"/>
        <v>-3682319</v>
      </c>
      <c r="I183" s="345">
        <f t="shared" si="57"/>
        <v>-1281608</v>
      </c>
      <c r="J183" s="345">
        <f t="shared" si="57"/>
        <v>-308838</v>
      </c>
      <c r="K183" s="345">
        <f t="shared" si="57"/>
        <v>-15753985</v>
      </c>
      <c r="L183" s="345">
        <f>F183-K183</f>
        <v>0</v>
      </c>
    </row>
    <row r="184" spans="1:12" ht="13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L184" si="58">SUM(F181:F183)</f>
        <v>16247278</v>
      </c>
      <c r="G184" s="346">
        <f t="shared" si="58"/>
        <v>10809412</v>
      </c>
      <c r="H184" s="346">
        <f t="shared" si="58"/>
        <v>3797620</v>
      </c>
      <c r="I184" s="346">
        <f t="shared" si="58"/>
        <v>1321739</v>
      </c>
      <c r="J184" s="346">
        <f t="shared" si="58"/>
        <v>318507</v>
      </c>
      <c r="K184" s="346">
        <f t="shared" si="58"/>
        <v>16247278</v>
      </c>
      <c r="L184" s="346">
        <f t="shared" si="58"/>
        <v>0</v>
      </c>
    </row>
    <row r="185" spans="1:12" ht="13">
      <c r="A185" s="331">
        <v>23</v>
      </c>
      <c r="D185" s="342"/>
      <c r="E185" s="195"/>
      <c r="F185" s="345"/>
      <c r="G185" s="345"/>
      <c r="H185" s="345"/>
      <c r="I185" s="345"/>
      <c r="J185" s="345"/>
      <c r="K185" s="345"/>
    </row>
    <row r="186" spans="1:12" ht="13">
      <c r="A186" s="331">
        <v>24</v>
      </c>
      <c r="B186" s="330" t="s">
        <v>21</v>
      </c>
      <c r="D186" s="342"/>
      <c r="E186" s="195"/>
      <c r="F186" s="345"/>
      <c r="G186" s="345"/>
      <c r="H186" s="345"/>
      <c r="I186" s="345"/>
      <c r="J186" s="345"/>
      <c r="K186" s="345"/>
    </row>
    <row r="187" spans="1:12" ht="13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 t="shared" ref="F187:K187" si="59">F99</f>
        <v>10292179</v>
      </c>
      <c r="G187" s="345">
        <f t="shared" si="59"/>
        <v>6847447</v>
      </c>
      <c r="H187" s="345">
        <f t="shared" si="59"/>
        <v>2405683</v>
      </c>
      <c r="I187" s="345">
        <f t="shared" si="59"/>
        <v>837283</v>
      </c>
      <c r="J187" s="345">
        <f t="shared" si="59"/>
        <v>201766</v>
      </c>
      <c r="K187" s="345">
        <f t="shared" si="59"/>
        <v>10292179</v>
      </c>
      <c r="L187" s="345">
        <f>F187-K187</f>
        <v>0</v>
      </c>
    </row>
    <row r="188" spans="1:12" ht="13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 t="shared" ref="F188:K188" si="60">-F149</f>
        <v>-7205027</v>
      </c>
      <c r="G188" s="345">
        <f t="shared" si="60"/>
        <v>-4793548</v>
      </c>
      <c r="H188" s="345">
        <f t="shared" si="60"/>
        <v>-1684095</v>
      </c>
      <c r="I188" s="345">
        <f t="shared" si="60"/>
        <v>-586139</v>
      </c>
      <c r="J188" s="345">
        <f t="shared" si="60"/>
        <v>-141245</v>
      </c>
      <c r="K188" s="345">
        <f t="shared" si="60"/>
        <v>-7205027</v>
      </c>
      <c r="L188" s="345">
        <f>F188-K188</f>
        <v>0</v>
      </c>
    </row>
    <row r="189" spans="1:12" ht="13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L189" si="61">SUM(F186:F188)</f>
        <v>3087152</v>
      </c>
      <c r="G189" s="346">
        <f t="shared" si="61"/>
        <v>2053899</v>
      </c>
      <c r="H189" s="346">
        <f t="shared" si="61"/>
        <v>721588</v>
      </c>
      <c r="I189" s="346">
        <f t="shared" si="61"/>
        <v>251144</v>
      </c>
      <c r="J189" s="346">
        <f t="shared" si="61"/>
        <v>60521</v>
      </c>
      <c r="K189" s="346">
        <f t="shared" si="61"/>
        <v>3087152</v>
      </c>
      <c r="L189" s="346">
        <f t="shared" si="61"/>
        <v>0</v>
      </c>
    </row>
    <row r="190" spans="1:12" ht="13">
      <c r="A190" s="331">
        <v>28</v>
      </c>
      <c r="D190" s="342"/>
      <c r="E190" s="195"/>
      <c r="F190" s="345"/>
      <c r="G190" s="345"/>
      <c r="H190" s="345"/>
      <c r="I190" s="345"/>
      <c r="J190" s="345"/>
      <c r="K190" s="345"/>
      <c r="L190" s="345"/>
    </row>
    <row r="191" spans="1:12" ht="13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L191" si="62">F189+F184+F176+F171+F166</f>
        <v>564904881</v>
      </c>
      <c r="G191" s="345">
        <f t="shared" si="62"/>
        <v>359908179</v>
      </c>
      <c r="H191" s="345">
        <f t="shared" si="62"/>
        <v>140924525</v>
      </c>
      <c r="I191" s="345">
        <f t="shared" si="62"/>
        <v>48454615</v>
      </c>
      <c r="J191" s="345">
        <f t="shared" si="62"/>
        <v>15617562</v>
      </c>
      <c r="K191" s="345">
        <f t="shared" si="62"/>
        <v>564904881</v>
      </c>
      <c r="L191" s="345">
        <f t="shared" si="62"/>
        <v>0</v>
      </c>
    </row>
    <row r="192" spans="1:12" ht="13">
      <c r="B192" s="341"/>
      <c r="C192" s="195"/>
      <c r="D192" s="342"/>
      <c r="E192" s="195"/>
      <c r="G192" s="195"/>
      <c r="H192" s="195"/>
      <c r="I192" s="195"/>
      <c r="J192" s="342"/>
      <c r="K192" s="195"/>
      <c r="L192" s="195"/>
    </row>
    <row r="193" spans="1:12" ht="13">
      <c r="A193" s="341" t="str">
        <f>co_name</f>
        <v>DUKE ENERGY KENTUCKY, INC.</v>
      </c>
      <c r="C193" s="195"/>
      <c r="D193" s="342"/>
      <c r="E193" s="195"/>
      <c r="F193" s="342"/>
      <c r="G193" s="340"/>
      <c r="H193" s="340"/>
      <c r="I193" s="195"/>
      <c r="K193" s="359" t="str">
        <f>$K$1</f>
        <v>FR-16(7)(v)-8</v>
      </c>
      <c r="L193" s="195"/>
    </row>
    <row r="194" spans="1:12" ht="13">
      <c r="A194" s="341" t="str">
        <f>$A$2</f>
        <v>TOTAL CLASS ALLOCATED - GAS COST OF SERVICE</v>
      </c>
      <c r="C194" s="195"/>
      <c r="D194" s="342"/>
      <c r="E194" s="195"/>
      <c r="F194" s="342"/>
      <c r="G194" s="340"/>
      <c r="H194" s="340"/>
      <c r="I194" s="195"/>
      <c r="K194" s="359" t="str">
        <f>$K$2</f>
        <v>WITNESS RESPONSIBLE:</v>
      </c>
      <c r="L194" s="195"/>
    </row>
    <row r="195" spans="1:12" ht="13">
      <c r="A195" s="341" t="str">
        <f>case_name</f>
        <v>CASE NO: 2021-00190</v>
      </c>
      <c r="C195" s="195"/>
      <c r="D195" s="342"/>
      <c r="E195" s="195"/>
      <c r="F195" s="342"/>
      <c r="G195" s="340"/>
      <c r="H195" s="340"/>
      <c r="I195" s="195"/>
      <c r="K195" s="359" t="str">
        <f>Witness</f>
        <v>JAMES E. ZIOLKOWSKI</v>
      </c>
      <c r="L195" s="195"/>
    </row>
    <row r="196" spans="1:12" ht="13">
      <c r="A196" s="341" t="str">
        <f>data_filing</f>
        <v>DATA: 12 MONTH FORECASTED PERIOD</v>
      </c>
      <c r="C196" s="195"/>
      <c r="D196" s="342"/>
      <c r="E196" s="195"/>
      <c r="F196" s="342"/>
      <c r="G196" s="340"/>
      <c r="H196" s="340"/>
      <c r="I196" s="195"/>
      <c r="K196" s="359" t="str">
        <f>"PAGE "&amp;Pages2-10&amp;" OF "&amp;Pages2</f>
        <v>PAGE 5 OF 15</v>
      </c>
      <c r="L196" s="195"/>
    </row>
    <row r="197" spans="1:12" ht="13">
      <c r="A197" s="341" t="str">
        <f>type</f>
        <v xml:space="preserve">TYPE OF FILING: "X" ORIGINAL   UPDATED    REVISED  </v>
      </c>
      <c r="C197" s="195"/>
      <c r="D197" s="342"/>
      <c r="E197" s="195"/>
      <c r="F197" s="342"/>
      <c r="G197" s="340"/>
      <c r="H197" s="340"/>
      <c r="I197" s="195"/>
      <c r="J197" s="342"/>
      <c r="K197" s="195"/>
      <c r="L197" s="195"/>
    </row>
    <row r="198" spans="1:12" ht="13">
      <c r="B198" s="341"/>
      <c r="C198" s="195"/>
      <c r="D198" s="342"/>
      <c r="E198" s="195"/>
      <c r="F198" s="342"/>
      <c r="G198" s="195"/>
      <c r="H198" s="195"/>
      <c r="I198" s="195"/>
      <c r="J198" s="342"/>
      <c r="K198" s="195"/>
      <c r="L198" s="195"/>
    </row>
    <row r="199" spans="1:12" ht="13">
      <c r="B199" s="341"/>
      <c r="C199" s="195"/>
      <c r="D199" s="342"/>
      <c r="E199" s="195"/>
      <c r="F199" s="342" t="str">
        <f>$F$7</f>
        <v>TOTAL</v>
      </c>
      <c r="G199" s="195"/>
      <c r="H199" s="195"/>
      <c r="I199" s="195"/>
      <c r="J199" s="342"/>
      <c r="K199" s="195"/>
      <c r="L199" s="195"/>
    </row>
    <row r="200" spans="1:12" ht="13">
      <c r="A200" s="342" t="s">
        <v>907</v>
      </c>
      <c r="B200" s="195"/>
      <c r="C200" s="195"/>
      <c r="D200" s="342"/>
      <c r="E200" s="195"/>
      <c r="F200" s="342" t="str">
        <f>$F$8</f>
        <v>CLASS</v>
      </c>
      <c r="G200" s="352" t="s">
        <v>766</v>
      </c>
      <c r="H200" s="352" t="s">
        <v>1256</v>
      </c>
      <c r="I200" s="352" t="s">
        <v>974</v>
      </c>
      <c r="J200" s="352" t="s">
        <v>546</v>
      </c>
      <c r="K200" s="352" t="s">
        <v>229</v>
      </c>
      <c r="L200" s="342" t="s">
        <v>342</v>
      </c>
    </row>
    <row r="201" spans="1:12" ht="13">
      <c r="A201" s="344" t="s">
        <v>908</v>
      </c>
      <c r="B201" s="343" t="s">
        <v>946</v>
      </c>
      <c r="C201" s="343"/>
      <c r="D201" s="344" t="s">
        <v>337</v>
      </c>
      <c r="E201" s="343"/>
      <c r="F201" s="342" t="str">
        <f>$F$9</f>
        <v>ALLOCATED</v>
      </c>
      <c r="G201" s="353" t="s">
        <v>338</v>
      </c>
      <c r="H201" s="353" t="s">
        <v>404</v>
      </c>
      <c r="I201" s="353" t="s">
        <v>1257</v>
      </c>
      <c r="J201" s="353" t="s">
        <v>547</v>
      </c>
      <c r="K201" s="353" t="s">
        <v>341</v>
      </c>
      <c r="L201" s="344" t="s">
        <v>340</v>
      </c>
    </row>
    <row r="202" spans="1:12" ht="13">
      <c r="C202" s="572" t="s">
        <v>347</v>
      </c>
      <c r="D202" s="342"/>
      <c r="E202" s="195"/>
      <c r="F202" s="755"/>
      <c r="G202" s="627">
        <f>$G$10</f>
        <v>3</v>
      </c>
      <c r="H202" s="627">
        <f>$H$10</f>
        <v>4</v>
      </c>
      <c r="I202" s="627">
        <f>$I$10</f>
        <v>5</v>
      </c>
      <c r="J202" s="627">
        <f>$J$10</f>
        <v>6</v>
      </c>
    </row>
    <row r="203" spans="1:12" ht="13">
      <c r="A203" s="331">
        <v>1</v>
      </c>
      <c r="B203" s="330" t="s">
        <v>26</v>
      </c>
      <c r="D203" s="342"/>
      <c r="E203" s="195"/>
      <c r="I203" s="330"/>
    </row>
    <row r="204" spans="1:12" ht="13">
      <c r="A204" s="331">
        <v>2</v>
      </c>
      <c r="B204" s="330" t="s">
        <v>816</v>
      </c>
      <c r="D204" s="342"/>
      <c r="E204" s="195"/>
      <c r="I204" s="330"/>
    </row>
    <row r="205" spans="1:12" ht="13">
      <c r="A205" s="331">
        <v>3</v>
      </c>
      <c r="B205" s="330" t="s">
        <v>27</v>
      </c>
      <c r="D205" s="342"/>
      <c r="E205" s="195"/>
      <c r="I205" s="330"/>
    </row>
    <row r="206" spans="1:12" ht="13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3">
        <f>'FR-16(7)(v)-1 Functional'!F206</f>
        <v>66033425</v>
      </c>
      <c r="G206" s="347">
        <f>'FR-16(7)(v)-6 DISTR Cust Alloc'!G206+'FR-16(7)(v)-5 DISTR Dem Alloc'!G206+'FR-16(7)(v)-3 PROD Comm Alloc'!G206</f>
        <v>42070602</v>
      </c>
      <c r="H206" s="347">
        <f>'FR-16(7)(v)-6 DISTR Cust Alloc'!H206+'FR-16(7)(v)-5 DISTR Dem Alloc'!H206+'FR-16(7)(v)-3 PROD Comm Alloc'!H206</f>
        <v>16473117</v>
      </c>
      <c r="I206" s="347">
        <f>'FR-16(7)(v)-6 DISTR Cust Alloc'!I206+'FR-16(7)(v)-5 DISTR Dem Alloc'!I206+'FR-16(7)(v)-3 PROD Comm Alloc'!I206</f>
        <v>5664024</v>
      </c>
      <c r="J206" s="347">
        <f>'FR-16(7)(v)-6 DISTR Cust Alloc'!J206+'FR-16(7)(v)-5 DISTR Dem Alloc'!J206+'FR-16(7)(v)-3 PROD Comm Alloc'!J206</f>
        <v>1825682</v>
      </c>
      <c r="K206" s="345">
        <f t="shared" ref="K206:K214" si="63">SUM(G206:J206)</f>
        <v>66033425</v>
      </c>
      <c r="L206" s="345">
        <f t="shared" ref="L206:L214" si="64">F206-K206</f>
        <v>0</v>
      </c>
    </row>
    <row r="207" spans="1:12" ht="13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3">
        <f>'FR-16(7)(v)-1 Functional'!F207</f>
        <v>0</v>
      </c>
      <c r="G207" s="347">
        <f>'FR-16(7)(v)-6 DISTR Cust Alloc'!G207+'FR-16(7)(v)-5 DISTR Dem Alloc'!G207+'FR-16(7)(v)-3 PROD Comm Alloc'!G207</f>
        <v>0</v>
      </c>
      <c r="H207" s="347">
        <f>'FR-16(7)(v)-6 DISTR Cust Alloc'!H207+'FR-16(7)(v)-5 DISTR Dem Alloc'!H207+'FR-16(7)(v)-3 PROD Comm Alloc'!H207</f>
        <v>0</v>
      </c>
      <c r="I207" s="347">
        <f>'FR-16(7)(v)-6 DISTR Cust Alloc'!I207+'FR-16(7)(v)-5 DISTR Dem Alloc'!I207+'FR-16(7)(v)-3 PROD Comm Alloc'!I207</f>
        <v>0</v>
      </c>
      <c r="J207" s="347">
        <f>'FR-16(7)(v)-6 DISTR Cust Alloc'!J207+'FR-16(7)(v)-5 DISTR Dem Alloc'!J207+'FR-16(7)(v)-3 PROD Comm Alloc'!J207</f>
        <v>0</v>
      </c>
      <c r="K207" s="345">
        <f t="shared" si="63"/>
        <v>0</v>
      </c>
      <c r="L207" s="345">
        <f t="shared" si="64"/>
        <v>0</v>
      </c>
    </row>
    <row r="208" spans="1:12" ht="13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3">
        <f>'FR-16(7)(v)-1 Functional'!F208</f>
        <v>-1497040</v>
      </c>
      <c r="G208" s="347">
        <f>'FR-16(7)(v)-6 DISTR Cust Alloc'!G208+'FR-16(7)(v)-5 DISTR Dem Alloc'!G208+'FR-16(7)(v)-3 PROD Comm Alloc'!G208</f>
        <v>-952872</v>
      </c>
      <c r="H208" s="347">
        <f>'FR-16(7)(v)-6 DISTR Cust Alloc'!H208+'FR-16(7)(v)-5 DISTR Dem Alloc'!H208+'FR-16(7)(v)-3 PROD Comm Alloc'!H208</f>
        <v>-373869</v>
      </c>
      <c r="I208" s="347">
        <f>'FR-16(7)(v)-6 DISTR Cust Alloc'!I208+'FR-16(7)(v)-5 DISTR Dem Alloc'!I208+'FR-16(7)(v)-3 PROD Comm Alloc'!I208</f>
        <v>-128328</v>
      </c>
      <c r="J208" s="347">
        <f>'FR-16(7)(v)-6 DISTR Cust Alloc'!J208+'FR-16(7)(v)-5 DISTR Dem Alloc'!J208+'FR-16(7)(v)-3 PROD Comm Alloc'!J208</f>
        <v>-41971</v>
      </c>
      <c r="K208" s="345">
        <f t="shared" si="63"/>
        <v>-1497040</v>
      </c>
      <c r="L208" s="345">
        <f t="shared" si="64"/>
        <v>0</v>
      </c>
    </row>
    <row r="209" spans="1:12" ht="13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3">
        <f>'FR-16(7)(v)-1 Functional'!F209</f>
        <v>-1556029</v>
      </c>
      <c r="G209" s="347">
        <f>'FR-16(7)(v)-6 DISTR Cust Alloc'!G209+'FR-16(7)(v)-5 DISTR Dem Alloc'!G209+'FR-16(7)(v)-3 PROD Comm Alloc'!G209</f>
        <v>-991362</v>
      </c>
      <c r="H209" s="347">
        <f>'FR-16(7)(v)-6 DISTR Cust Alloc'!H209+'FR-16(7)(v)-5 DISTR Dem Alloc'!H209+'FR-16(7)(v)-3 PROD Comm Alloc'!H209</f>
        <v>-388177</v>
      </c>
      <c r="I209" s="347">
        <f>'FR-16(7)(v)-6 DISTR Cust Alloc'!I209+'FR-16(7)(v)-5 DISTR Dem Alloc'!I209+'FR-16(7)(v)-3 PROD Comm Alloc'!I209</f>
        <v>-133469</v>
      </c>
      <c r="J209" s="347">
        <f>'FR-16(7)(v)-6 DISTR Cust Alloc'!J209+'FR-16(7)(v)-5 DISTR Dem Alloc'!J209+'FR-16(7)(v)-3 PROD Comm Alloc'!J209</f>
        <v>-43021</v>
      </c>
      <c r="K209" s="345">
        <f t="shared" si="63"/>
        <v>-1556029</v>
      </c>
      <c r="L209" s="345">
        <f t="shared" si="64"/>
        <v>0</v>
      </c>
    </row>
    <row r="210" spans="1:12" ht="13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3">
        <f>'FR-16(7)(v)-1 Functional'!F210</f>
        <v>0</v>
      </c>
      <c r="G210" s="347">
        <f>'FR-16(7)(v)-6 DISTR Cust Alloc'!G210+'FR-16(7)(v)-5 DISTR Dem Alloc'!G210+'FR-16(7)(v)-3 PROD Comm Alloc'!G210</f>
        <v>0</v>
      </c>
      <c r="H210" s="347">
        <f>'FR-16(7)(v)-6 DISTR Cust Alloc'!H210+'FR-16(7)(v)-5 DISTR Dem Alloc'!H210+'FR-16(7)(v)-3 PROD Comm Alloc'!H210</f>
        <v>0</v>
      </c>
      <c r="I210" s="347">
        <f>'FR-16(7)(v)-6 DISTR Cust Alloc'!I210+'FR-16(7)(v)-5 DISTR Dem Alloc'!I210+'FR-16(7)(v)-3 PROD Comm Alloc'!I210</f>
        <v>0</v>
      </c>
      <c r="J210" s="347">
        <f>'FR-16(7)(v)-6 DISTR Cust Alloc'!J210+'FR-16(7)(v)-5 DISTR Dem Alloc'!J210+'FR-16(7)(v)-3 PROD Comm Alloc'!J210</f>
        <v>0</v>
      </c>
      <c r="K210" s="345">
        <f t="shared" si="63"/>
        <v>0</v>
      </c>
      <c r="L210" s="345">
        <f t="shared" si="64"/>
        <v>0</v>
      </c>
    </row>
    <row r="211" spans="1:12" ht="13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3">
        <f>'FR-16(7)(v)-1 Functional'!F211</f>
        <v>0</v>
      </c>
      <c r="G211" s="347">
        <f>'FR-16(7)(v)-6 DISTR Cust Alloc'!G211+'FR-16(7)(v)-5 DISTR Dem Alloc'!G211+'FR-16(7)(v)-3 PROD Comm Alloc'!G211</f>
        <v>0</v>
      </c>
      <c r="H211" s="347">
        <f>'FR-16(7)(v)-6 DISTR Cust Alloc'!H211+'FR-16(7)(v)-5 DISTR Dem Alloc'!H211+'FR-16(7)(v)-3 PROD Comm Alloc'!H211</f>
        <v>0</v>
      </c>
      <c r="I211" s="347">
        <f>'FR-16(7)(v)-6 DISTR Cust Alloc'!I211+'FR-16(7)(v)-5 DISTR Dem Alloc'!I211+'FR-16(7)(v)-3 PROD Comm Alloc'!I211</f>
        <v>0</v>
      </c>
      <c r="J211" s="347">
        <f>'FR-16(7)(v)-6 DISTR Cust Alloc'!J211+'FR-16(7)(v)-5 DISTR Dem Alloc'!J211+'FR-16(7)(v)-3 PROD Comm Alloc'!J211</f>
        <v>0</v>
      </c>
      <c r="K211" s="345">
        <f t="shared" si="63"/>
        <v>0</v>
      </c>
      <c r="L211" s="345">
        <f t="shared" si="64"/>
        <v>0</v>
      </c>
    </row>
    <row r="212" spans="1:12" ht="13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3">
        <f>'FR-16(7)(v)-1 Functional'!F212</f>
        <v>-624152</v>
      </c>
      <c r="G212" s="347">
        <f>'FR-16(7)(v)-6 DISTR Cust Alloc'!G212+'FR-16(7)(v)-5 DISTR Dem Alloc'!G212+'FR-16(7)(v)-3 PROD Comm Alloc'!G212</f>
        <v>-422420</v>
      </c>
      <c r="H212" s="347">
        <f>'FR-16(7)(v)-6 DISTR Cust Alloc'!H212+'FR-16(7)(v)-5 DISTR Dem Alloc'!H212+'FR-16(7)(v)-3 PROD Comm Alloc'!H212</f>
        <v>-150093</v>
      </c>
      <c r="I212" s="347">
        <f>'FR-16(7)(v)-6 DISTR Cust Alloc'!I212+'FR-16(7)(v)-5 DISTR Dem Alloc'!I212+'FR-16(7)(v)-3 PROD Comm Alloc'!I212</f>
        <v>-39348</v>
      </c>
      <c r="J212" s="347">
        <f>'FR-16(7)(v)-6 DISTR Cust Alloc'!J212+'FR-16(7)(v)-5 DISTR Dem Alloc'!J212+'FR-16(7)(v)-3 PROD Comm Alloc'!J212</f>
        <v>-12291</v>
      </c>
      <c r="K212" s="345">
        <f t="shared" si="63"/>
        <v>-624152</v>
      </c>
      <c r="L212" s="345">
        <f t="shared" si="64"/>
        <v>0</v>
      </c>
    </row>
    <row r="213" spans="1:12" ht="13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3">
        <f>'FR-16(7)(v)-1 Functional'!F213</f>
        <v>0</v>
      </c>
      <c r="G213" s="347">
        <f>'FR-16(7)(v)-6 DISTR Cust Alloc'!G213+'FR-16(7)(v)-5 DISTR Dem Alloc'!G213+'FR-16(7)(v)-3 PROD Comm Alloc'!G213</f>
        <v>0</v>
      </c>
      <c r="H213" s="347">
        <f>'FR-16(7)(v)-6 DISTR Cust Alloc'!H213+'FR-16(7)(v)-5 DISTR Dem Alloc'!H213+'FR-16(7)(v)-3 PROD Comm Alloc'!H213</f>
        <v>0</v>
      </c>
      <c r="I213" s="347">
        <f>'FR-16(7)(v)-6 DISTR Cust Alloc'!I213+'FR-16(7)(v)-5 DISTR Dem Alloc'!I213+'FR-16(7)(v)-3 PROD Comm Alloc'!I213</f>
        <v>0</v>
      </c>
      <c r="J213" s="347">
        <f>'FR-16(7)(v)-6 DISTR Cust Alloc'!J213+'FR-16(7)(v)-5 DISTR Dem Alloc'!J213+'FR-16(7)(v)-3 PROD Comm Alloc'!J213</f>
        <v>0</v>
      </c>
      <c r="K213" s="345">
        <f t="shared" si="63"/>
        <v>0</v>
      </c>
      <c r="L213" s="345">
        <f t="shared" si="64"/>
        <v>0</v>
      </c>
    </row>
    <row r="214" spans="1:12" ht="13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3">
        <f>'FR-16(7)(v)-1 Functional'!F214</f>
        <v>7822421.9041095972</v>
      </c>
      <c r="G214" s="347">
        <f>'FR-16(7)(v)-6 DISTR Cust Alloc'!G214+'FR-16(7)(v)-5 DISTR Dem Alloc'!G214+'FR-16(7)(v)-3 PROD Comm Alloc'!G214</f>
        <v>4983749</v>
      </c>
      <c r="H214" s="347">
        <f>'FR-16(7)(v)-6 DISTR Cust Alloc'!H214+'FR-16(7)(v)-5 DISTR Dem Alloc'!H214+'FR-16(7)(v)-3 PROD Comm Alloc'!H214</f>
        <v>1951431</v>
      </c>
      <c r="I214" s="347">
        <f>'FR-16(7)(v)-6 DISTR Cust Alloc'!I214+'FR-16(7)(v)-5 DISTR Dem Alloc'!I214+'FR-16(7)(v)-3 PROD Comm Alloc'!I214</f>
        <v>670969</v>
      </c>
      <c r="J214" s="347">
        <f>'FR-16(7)(v)-6 DISTR Cust Alloc'!J214+'FR-16(7)(v)-5 DISTR Dem Alloc'!J214+'FR-16(7)(v)-3 PROD Comm Alloc'!J214</f>
        <v>216273</v>
      </c>
      <c r="K214" s="345">
        <f t="shared" si="63"/>
        <v>7822422</v>
      </c>
      <c r="L214" s="345">
        <f t="shared" si="64"/>
        <v>-9.5890402793884277E-2</v>
      </c>
    </row>
    <row r="215" spans="1:12" ht="13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L215" si="65">SUM(F206:F214)</f>
        <v>70178625.904109597</v>
      </c>
      <c r="G215" s="346">
        <f t="shared" si="65"/>
        <v>44687697</v>
      </c>
      <c r="H215" s="346">
        <f t="shared" si="65"/>
        <v>17512409</v>
      </c>
      <c r="I215" s="346">
        <f t="shared" si="65"/>
        <v>6033848</v>
      </c>
      <c r="J215" s="346">
        <f t="shared" si="65"/>
        <v>1944672</v>
      </c>
      <c r="K215" s="346">
        <f t="shared" si="65"/>
        <v>70178626</v>
      </c>
      <c r="L215" s="346">
        <f t="shared" si="65"/>
        <v>-9.5890402793884277E-2</v>
      </c>
    </row>
    <row r="216" spans="1:12" ht="13">
      <c r="A216" s="331">
        <v>14</v>
      </c>
      <c r="D216" s="342"/>
      <c r="E216" s="195"/>
      <c r="I216" s="330"/>
    </row>
    <row r="217" spans="1:12" ht="13">
      <c r="A217" s="331">
        <v>15</v>
      </c>
      <c r="B217" s="330" t="s">
        <v>28</v>
      </c>
      <c r="D217" s="342"/>
      <c r="E217" s="195"/>
      <c r="I217" s="330"/>
    </row>
    <row r="218" spans="1:12" ht="13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3">
        <f>'FR-16(7)(v)-1 Functional'!F218</f>
        <v>0</v>
      </c>
      <c r="G218" s="347">
        <f>'FR-16(7)(v)-6 DISTR Cust Alloc'!G218+'FR-16(7)(v)-5 DISTR Dem Alloc'!G218+'FR-16(7)(v)-3 PROD Comm Alloc'!G218</f>
        <v>0</v>
      </c>
      <c r="H218" s="347">
        <f>'FR-16(7)(v)-6 DISTR Cust Alloc'!H218+'FR-16(7)(v)-5 DISTR Dem Alloc'!H218+'FR-16(7)(v)-3 PROD Comm Alloc'!H218</f>
        <v>0</v>
      </c>
      <c r="I218" s="347">
        <f>'FR-16(7)(v)-6 DISTR Cust Alloc'!I218+'FR-16(7)(v)-5 DISTR Dem Alloc'!I218+'FR-16(7)(v)-3 PROD Comm Alloc'!I218</f>
        <v>0</v>
      </c>
      <c r="J218" s="347">
        <f>'FR-16(7)(v)-6 DISTR Cust Alloc'!J218+'FR-16(7)(v)-5 DISTR Dem Alloc'!J218+'FR-16(7)(v)-3 PROD Comm Alloc'!J218</f>
        <v>0</v>
      </c>
      <c r="K218" s="345">
        <f t="shared" ref="K218:K228" si="66">SUM(G218:J218)</f>
        <v>0</v>
      </c>
      <c r="L218" s="345">
        <f t="shared" ref="L218:L228" si="67">F218-K218</f>
        <v>0</v>
      </c>
    </row>
    <row r="219" spans="1:12" ht="13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3">
        <f>'FR-16(7)(v)-1 Functional'!F219</f>
        <v>0</v>
      </c>
      <c r="G219" s="347">
        <f>'FR-16(7)(v)-6 DISTR Cust Alloc'!G219+'FR-16(7)(v)-5 DISTR Dem Alloc'!G219+'FR-16(7)(v)-3 PROD Comm Alloc'!G219</f>
        <v>0</v>
      </c>
      <c r="H219" s="347">
        <f>'FR-16(7)(v)-6 DISTR Cust Alloc'!H219+'FR-16(7)(v)-5 DISTR Dem Alloc'!H219+'FR-16(7)(v)-3 PROD Comm Alloc'!H219</f>
        <v>0</v>
      </c>
      <c r="I219" s="347">
        <f>'FR-16(7)(v)-6 DISTR Cust Alloc'!I219+'FR-16(7)(v)-5 DISTR Dem Alloc'!I219+'FR-16(7)(v)-3 PROD Comm Alloc'!I219</f>
        <v>0</v>
      </c>
      <c r="J219" s="347">
        <f>'FR-16(7)(v)-6 DISTR Cust Alloc'!J219+'FR-16(7)(v)-5 DISTR Dem Alloc'!J219+'FR-16(7)(v)-3 PROD Comm Alloc'!J219</f>
        <v>0</v>
      </c>
      <c r="K219" s="345">
        <f t="shared" si="66"/>
        <v>0</v>
      </c>
      <c r="L219" s="345">
        <f t="shared" si="67"/>
        <v>0</v>
      </c>
    </row>
    <row r="220" spans="1:12" ht="13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3">
        <f>'FR-16(7)(v)-1 Functional'!F220</f>
        <v>0</v>
      </c>
      <c r="G220" s="347">
        <f>'FR-16(7)(v)-6 DISTR Cust Alloc'!G220+'FR-16(7)(v)-5 DISTR Dem Alloc'!G220+'FR-16(7)(v)-3 PROD Comm Alloc'!G220</f>
        <v>0</v>
      </c>
      <c r="H220" s="347">
        <f>'FR-16(7)(v)-6 DISTR Cust Alloc'!H220+'FR-16(7)(v)-5 DISTR Dem Alloc'!H220+'FR-16(7)(v)-3 PROD Comm Alloc'!H220</f>
        <v>0</v>
      </c>
      <c r="I220" s="347">
        <f>'FR-16(7)(v)-6 DISTR Cust Alloc'!I220+'FR-16(7)(v)-5 DISTR Dem Alloc'!I220+'FR-16(7)(v)-3 PROD Comm Alloc'!I220</f>
        <v>0</v>
      </c>
      <c r="J220" s="347">
        <f>'FR-16(7)(v)-6 DISTR Cust Alloc'!J220+'FR-16(7)(v)-5 DISTR Dem Alloc'!J220+'FR-16(7)(v)-3 PROD Comm Alloc'!J220</f>
        <v>0</v>
      </c>
      <c r="K220" s="345">
        <f t="shared" si="66"/>
        <v>0</v>
      </c>
      <c r="L220" s="345">
        <f t="shared" si="67"/>
        <v>0</v>
      </c>
    </row>
    <row r="221" spans="1:12" ht="13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3">
        <f>'FR-16(7)(v)-1 Functional'!F221</f>
        <v>0</v>
      </c>
      <c r="G221" s="347">
        <f>'FR-16(7)(v)-6 DISTR Cust Alloc'!G221+'FR-16(7)(v)-5 DISTR Dem Alloc'!G221+'FR-16(7)(v)-3 PROD Comm Alloc'!G221</f>
        <v>0</v>
      </c>
      <c r="H221" s="347">
        <f>'FR-16(7)(v)-6 DISTR Cust Alloc'!H221+'FR-16(7)(v)-5 DISTR Dem Alloc'!H221+'FR-16(7)(v)-3 PROD Comm Alloc'!H221</f>
        <v>0</v>
      </c>
      <c r="I221" s="347">
        <f>'FR-16(7)(v)-6 DISTR Cust Alloc'!I221+'FR-16(7)(v)-5 DISTR Dem Alloc'!I221+'FR-16(7)(v)-3 PROD Comm Alloc'!I221</f>
        <v>0</v>
      </c>
      <c r="J221" s="347">
        <f>'FR-16(7)(v)-6 DISTR Cust Alloc'!J221+'FR-16(7)(v)-5 DISTR Dem Alloc'!J221+'FR-16(7)(v)-3 PROD Comm Alloc'!J221</f>
        <v>0</v>
      </c>
      <c r="K221" s="345">
        <f t="shared" si="66"/>
        <v>0</v>
      </c>
      <c r="L221" s="345">
        <f t="shared" si="67"/>
        <v>0</v>
      </c>
    </row>
    <row r="222" spans="1:12" ht="13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3">
        <f>'FR-16(7)(v)-1 Functional'!F222</f>
        <v>0</v>
      </c>
      <c r="G222" s="347">
        <f>'FR-16(7)(v)-6 DISTR Cust Alloc'!G222+'FR-16(7)(v)-5 DISTR Dem Alloc'!G222+'FR-16(7)(v)-3 PROD Comm Alloc'!G222</f>
        <v>0</v>
      </c>
      <c r="H222" s="347">
        <f>'FR-16(7)(v)-6 DISTR Cust Alloc'!H222+'FR-16(7)(v)-5 DISTR Dem Alloc'!H222+'FR-16(7)(v)-3 PROD Comm Alloc'!H222</f>
        <v>0</v>
      </c>
      <c r="I222" s="347">
        <f>'FR-16(7)(v)-6 DISTR Cust Alloc'!I222+'FR-16(7)(v)-5 DISTR Dem Alloc'!I222+'FR-16(7)(v)-3 PROD Comm Alloc'!I222</f>
        <v>0</v>
      </c>
      <c r="J222" s="347">
        <f>'FR-16(7)(v)-6 DISTR Cust Alloc'!J222+'FR-16(7)(v)-5 DISTR Dem Alloc'!J222+'FR-16(7)(v)-3 PROD Comm Alloc'!J222</f>
        <v>0</v>
      </c>
      <c r="K222" s="345">
        <f t="shared" si="66"/>
        <v>0</v>
      </c>
      <c r="L222" s="345">
        <f t="shared" si="67"/>
        <v>0</v>
      </c>
    </row>
    <row r="223" spans="1:12" ht="13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3">
        <f>'FR-16(7)(v)-1 Functional'!F223</f>
        <v>0</v>
      </c>
      <c r="G223" s="347">
        <f>'FR-16(7)(v)-6 DISTR Cust Alloc'!G223+'FR-16(7)(v)-5 DISTR Dem Alloc'!G223+'FR-16(7)(v)-3 PROD Comm Alloc'!G223</f>
        <v>0</v>
      </c>
      <c r="H223" s="347">
        <f>'FR-16(7)(v)-6 DISTR Cust Alloc'!H223+'FR-16(7)(v)-5 DISTR Dem Alloc'!H223+'FR-16(7)(v)-3 PROD Comm Alloc'!H223</f>
        <v>0</v>
      </c>
      <c r="I223" s="347">
        <f>'FR-16(7)(v)-6 DISTR Cust Alloc'!I223+'FR-16(7)(v)-5 DISTR Dem Alloc'!I223+'FR-16(7)(v)-3 PROD Comm Alloc'!I223</f>
        <v>0</v>
      </c>
      <c r="J223" s="347">
        <f>'FR-16(7)(v)-6 DISTR Cust Alloc'!J223+'FR-16(7)(v)-5 DISTR Dem Alloc'!J223+'FR-16(7)(v)-3 PROD Comm Alloc'!J223</f>
        <v>0</v>
      </c>
      <c r="K223" s="345">
        <f t="shared" si="66"/>
        <v>0</v>
      </c>
      <c r="L223" s="345">
        <f t="shared" si="67"/>
        <v>0</v>
      </c>
    </row>
    <row r="224" spans="1:12" ht="13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3">
        <f>'FR-16(7)(v)-1 Functional'!F224</f>
        <v>0</v>
      </c>
      <c r="G224" s="347">
        <f>'FR-16(7)(v)-6 DISTR Cust Alloc'!G224+'FR-16(7)(v)-5 DISTR Dem Alloc'!G224+'FR-16(7)(v)-3 PROD Comm Alloc'!G224</f>
        <v>0</v>
      </c>
      <c r="H224" s="347">
        <f>'FR-16(7)(v)-6 DISTR Cust Alloc'!H224+'FR-16(7)(v)-5 DISTR Dem Alloc'!H224+'FR-16(7)(v)-3 PROD Comm Alloc'!H224</f>
        <v>0</v>
      </c>
      <c r="I224" s="347">
        <f>'FR-16(7)(v)-6 DISTR Cust Alloc'!I224+'FR-16(7)(v)-5 DISTR Dem Alloc'!I224+'FR-16(7)(v)-3 PROD Comm Alloc'!I224</f>
        <v>0</v>
      </c>
      <c r="J224" s="347">
        <f>'FR-16(7)(v)-6 DISTR Cust Alloc'!J224+'FR-16(7)(v)-5 DISTR Dem Alloc'!J224+'FR-16(7)(v)-3 PROD Comm Alloc'!J224</f>
        <v>0</v>
      </c>
      <c r="K224" s="345">
        <f t="shared" si="66"/>
        <v>0</v>
      </c>
      <c r="L224" s="345">
        <f t="shared" si="67"/>
        <v>0</v>
      </c>
    </row>
    <row r="225" spans="1:12" ht="13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3">
        <f>'FR-16(7)(v)-1 Functional'!F225</f>
        <v>0</v>
      </c>
      <c r="G225" s="347">
        <f>'FR-16(7)(v)-6 DISTR Cust Alloc'!G225+'FR-16(7)(v)-5 DISTR Dem Alloc'!G225+'FR-16(7)(v)-3 PROD Comm Alloc'!G225</f>
        <v>0</v>
      </c>
      <c r="H225" s="347">
        <f>'FR-16(7)(v)-6 DISTR Cust Alloc'!H225+'FR-16(7)(v)-5 DISTR Dem Alloc'!H225+'FR-16(7)(v)-3 PROD Comm Alloc'!H225</f>
        <v>0</v>
      </c>
      <c r="I225" s="347">
        <f>'FR-16(7)(v)-6 DISTR Cust Alloc'!I225+'FR-16(7)(v)-5 DISTR Dem Alloc'!I225+'FR-16(7)(v)-3 PROD Comm Alloc'!I225</f>
        <v>0</v>
      </c>
      <c r="J225" s="347">
        <f>'FR-16(7)(v)-6 DISTR Cust Alloc'!J225+'FR-16(7)(v)-5 DISTR Dem Alloc'!J225+'FR-16(7)(v)-3 PROD Comm Alloc'!J225</f>
        <v>0</v>
      </c>
      <c r="K225" s="345">
        <f t="shared" si="66"/>
        <v>0</v>
      </c>
      <c r="L225" s="345">
        <f t="shared" si="67"/>
        <v>0</v>
      </c>
    </row>
    <row r="226" spans="1:12" ht="13">
      <c r="A226" s="331">
        <v>24</v>
      </c>
      <c r="C226" s="612" t="str">
        <f>'FR-16(7)(v)-1 Functional'!C226</f>
        <v>RATE CASE EXPENSE AMORT</v>
      </c>
      <c r="D226" s="342" t="str">
        <f>'FR-16(7)(v)-1 Functional'!D226</f>
        <v>AG39</v>
      </c>
      <c r="F226" s="473">
        <f>'FR-16(7)(v)-1 Functional'!F226</f>
        <v>0</v>
      </c>
      <c r="G226" s="347">
        <f>'FR-16(7)(v)-6 DISTR Cust Alloc'!G226+'FR-16(7)(v)-5 DISTR Dem Alloc'!G226+'FR-16(7)(v)-3 PROD Comm Alloc'!G226</f>
        <v>0</v>
      </c>
      <c r="H226" s="347">
        <f>'FR-16(7)(v)-6 DISTR Cust Alloc'!H226+'FR-16(7)(v)-5 DISTR Dem Alloc'!H226+'FR-16(7)(v)-3 PROD Comm Alloc'!H226</f>
        <v>0</v>
      </c>
      <c r="I226" s="347">
        <f>'FR-16(7)(v)-6 DISTR Cust Alloc'!I226+'FR-16(7)(v)-5 DISTR Dem Alloc'!I226+'FR-16(7)(v)-3 PROD Comm Alloc'!I226</f>
        <v>0</v>
      </c>
      <c r="J226" s="347">
        <f>'FR-16(7)(v)-6 DISTR Cust Alloc'!J226+'FR-16(7)(v)-5 DISTR Dem Alloc'!J226+'FR-16(7)(v)-3 PROD Comm Alloc'!J226</f>
        <v>0</v>
      </c>
      <c r="K226" s="345">
        <f>SUM(G226:J226)</f>
        <v>0</v>
      </c>
      <c r="L226" s="345">
        <f t="shared" si="67"/>
        <v>0</v>
      </c>
    </row>
    <row r="227" spans="1:12" ht="13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3">
        <f>'FR-16(7)(v)-1 Functional'!F227</f>
        <v>0</v>
      </c>
      <c r="G227" s="347">
        <f>'FR-16(7)(v)-6 DISTR Cust Alloc'!G227+'FR-16(7)(v)-5 DISTR Dem Alloc'!G227+'FR-16(7)(v)-3 PROD Comm Alloc'!G227</f>
        <v>0</v>
      </c>
      <c r="H227" s="347">
        <f>'FR-16(7)(v)-6 DISTR Cust Alloc'!H227+'FR-16(7)(v)-5 DISTR Dem Alloc'!H227+'FR-16(7)(v)-3 PROD Comm Alloc'!H227</f>
        <v>0</v>
      </c>
      <c r="I227" s="347">
        <f>'FR-16(7)(v)-6 DISTR Cust Alloc'!I227+'FR-16(7)(v)-5 DISTR Dem Alloc'!I227+'FR-16(7)(v)-3 PROD Comm Alloc'!I227</f>
        <v>0</v>
      </c>
      <c r="J227" s="347">
        <f>'FR-16(7)(v)-6 DISTR Cust Alloc'!J227+'FR-16(7)(v)-5 DISTR Dem Alloc'!J227+'FR-16(7)(v)-3 PROD Comm Alloc'!J227</f>
        <v>0</v>
      </c>
      <c r="K227" s="345">
        <f>SUM(G227:J227)</f>
        <v>0</v>
      </c>
      <c r="L227" s="345">
        <f t="shared" si="67"/>
        <v>0</v>
      </c>
    </row>
    <row r="228" spans="1:12" ht="13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3">
        <f>'FR-16(7)(v)-1 Functional'!F228</f>
        <v>0</v>
      </c>
      <c r="G228" s="347">
        <f>'FR-16(7)(v)-6 DISTR Cust Alloc'!G228+'FR-16(7)(v)-5 DISTR Dem Alloc'!G228+'FR-16(7)(v)-3 PROD Comm Alloc'!G228</f>
        <v>0</v>
      </c>
      <c r="H228" s="347">
        <f>'FR-16(7)(v)-6 DISTR Cust Alloc'!H228+'FR-16(7)(v)-5 DISTR Dem Alloc'!H228+'FR-16(7)(v)-3 PROD Comm Alloc'!H228</f>
        <v>0</v>
      </c>
      <c r="I228" s="347">
        <f>'FR-16(7)(v)-6 DISTR Cust Alloc'!I228+'FR-16(7)(v)-5 DISTR Dem Alloc'!I228+'FR-16(7)(v)-3 PROD Comm Alloc'!I228</f>
        <v>0</v>
      </c>
      <c r="J228" s="347">
        <f>'FR-16(7)(v)-6 DISTR Cust Alloc'!J228+'FR-16(7)(v)-5 DISTR Dem Alloc'!J228+'FR-16(7)(v)-3 PROD Comm Alloc'!J228</f>
        <v>0</v>
      </c>
      <c r="K228" s="345">
        <f t="shared" si="66"/>
        <v>0</v>
      </c>
      <c r="L228" s="345">
        <f t="shared" si="67"/>
        <v>0</v>
      </c>
    </row>
    <row r="229" spans="1:12" ht="13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L229" si="68">SUM(F217:F228)</f>
        <v>0</v>
      </c>
      <c r="G229" s="346">
        <f t="shared" si="68"/>
        <v>0</v>
      </c>
      <c r="H229" s="346">
        <f t="shared" si="68"/>
        <v>0</v>
      </c>
      <c r="I229" s="346">
        <f t="shared" si="68"/>
        <v>0</v>
      </c>
      <c r="J229" s="346">
        <f t="shared" si="68"/>
        <v>0</v>
      </c>
      <c r="K229" s="346">
        <f t="shared" si="68"/>
        <v>0</v>
      </c>
      <c r="L229" s="346">
        <f t="shared" si="68"/>
        <v>0</v>
      </c>
    </row>
    <row r="230" spans="1:12" ht="13">
      <c r="A230" s="331">
        <v>28</v>
      </c>
      <c r="D230" s="342"/>
      <c r="E230" s="195"/>
      <c r="I230" s="330"/>
    </row>
    <row r="231" spans="1:12" ht="13">
      <c r="A231" s="331">
        <v>29</v>
      </c>
      <c r="B231" s="351" t="s">
        <v>817</v>
      </c>
      <c r="C231" s="351"/>
      <c r="D231" s="342"/>
      <c r="E231" s="195"/>
      <c r="I231" s="330"/>
    </row>
    <row r="232" spans="1:12" ht="13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3">
        <f>'FR-16(7)(v)-1 Functional'!F232</f>
        <v>1643017</v>
      </c>
      <c r="G232" s="347">
        <f>'FR-16(7)(v)-6 DISTR Cust Alloc'!G232+'FR-16(7)(v)-5 DISTR Dem Alloc'!G232+'FR-16(7)(v)-3 PROD Comm Alloc'!G232</f>
        <v>1045788</v>
      </c>
      <c r="H232" s="347">
        <f>'FR-16(7)(v)-6 DISTR Cust Alloc'!H232+'FR-16(7)(v)-5 DISTR Dem Alloc'!H232+'FR-16(7)(v)-3 PROD Comm Alloc'!H232</f>
        <v>410325</v>
      </c>
      <c r="I232" s="347">
        <f>'FR-16(7)(v)-6 DISTR Cust Alloc'!I232+'FR-16(7)(v)-5 DISTR Dem Alloc'!I232+'FR-16(7)(v)-3 PROD Comm Alloc'!I232</f>
        <v>140841</v>
      </c>
      <c r="J232" s="347">
        <f>'FR-16(7)(v)-6 DISTR Cust Alloc'!J232+'FR-16(7)(v)-5 DISTR Dem Alloc'!J232+'FR-16(7)(v)-3 PROD Comm Alloc'!J232</f>
        <v>46063</v>
      </c>
      <c r="K232" s="345">
        <f>SUM(G232:J232)</f>
        <v>1643017</v>
      </c>
      <c r="L232" s="345">
        <f>F232-K232</f>
        <v>0</v>
      </c>
    </row>
    <row r="233" spans="1:12" ht="13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3">
        <f>'FR-16(7)(v)-1 Functional'!F233</f>
        <v>0</v>
      </c>
      <c r="G233" s="347">
        <f>'FR-16(7)(v)-6 DISTR Cust Alloc'!G233+'FR-16(7)(v)-5 DISTR Dem Alloc'!G233+'FR-16(7)(v)-3 PROD Comm Alloc'!G233</f>
        <v>0</v>
      </c>
      <c r="H233" s="347">
        <f>'FR-16(7)(v)-6 DISTR Cust Alloc'!H233+'FR-16(7)(v)-5 DISTR Dem Alloc'!H233+'FR-16(7)(v)-3 PROD Comm Alloc'!H233</f>
        <v>0</v>
      </c>
      <c r="I233" s="347">
        <f>'FR-16(7)(v)-6 DISTR Cust Alloc'!I233+'FR-16(7)(v)-5 DISTR Dem Alloc'!I233+'FR-16(7)(v)-3 PROD Comm Alloc'!I233</f>
        <v>0</v>
      </c>
      <c r="J233" s="347">
        <f>'FR-16(7)(v)-6 DISTR Cust Alloc'!J233+'FR-16(7)(v)-5 DISTR Dem Alloc'!J233+'FR-16(7)(v)-3 PROD Comm Alloc'!J233</f>
        <v>0</v>
      </c>
      <c r="K233" s="345">
        <f>SUM(G233:J233)</f>
        <v>0</v>
      </c>
      <c r="L233" s="345">
        <f>F233-K233</f>
        <v>0</v>
      </c>
    </row>
    <row r="234" spans="1:12" ht="13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3">
        <f>'FR-16(7)(v)-1 Functional'!F234</f>
        <v>0</v>
      </c>
      <c r="G234" s="347">
        <f>'FR-16(7)(v)-6 DISTR Cust Alloc'!G234+'FR-16(7)(v)-5 DISTR Dem Alloc'!G234+'FR-16(7)(v)-3 PROD Comm Alloc'!G234</f>
        <v>0</v>
      </c>
      <c r="H234" s="347">
        <f>'FR-16(7)(v)-6 DISTR Cust Alloc'!H234+'FR-16(7)(v)-5 DISTR Dem Alloc'!H234+'FR-16(7)(v)-3 PROD Comm Alloc'!H234</f>
        <v>0</v>
      </c>
      <c r="I234" s="347">
        <f>'FR-16(7)(v)-6 DISTR Cust Alloc'!I234+'FR-16(7)(v)-5 DISTR Dem Alloc'!I234+'FR-16(7)(v)-3 PROD Comm Alloc'!I234</f>
        <v>0</v>
      </c>
      <c r="J234" s="347">
        <f>'FR-16(7)(v)-6 DISTR Cust Alloc'!J234+'FR-16(7)(v)-5 DISTR Dem Alloc'!J234+'FR-16(7)(v)-3 PROD Comm Alloc'!J234</f>
        <v>0</v>
      </c>
      <c r="K234" s="345">
        <f>SUM(G234:J234)</f>
        <v>0</v>
      </c>
      <c r="L234" s="345">
        <f>F234-K234</f>
        <v>0</v>
      </c>
    </row>
    <row r="235" spans="1:12" ht="13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3">
        <f>'FR-16(7)(v)-1 Functional'!F235</f>
        <v>29269976</v>
      </c>
      <c r="G235" s="347">
        <f>'FR-16(7)(v)-6 DISTR Cust Alloc'!G235+'FR-16(7)(v)-5 DISTR Dem Alloc'!G235+'FR-16(7)(v)-3 PROD Comm Alloc'!G235</f>
        <v>18648214</v>
      </c>
      <c r="H235" s="347">
        <f>'FR-16(7)(v)-6 DISTR Cust Alloc'!H235+'FR-16(7)(v)-5 DISTR Dem Alloc'!H235+'FR-16(7)(v)-3 PROD Comm Alloc'!H235</f>
        <v>7301874</v>
      </c>
      <c r="I235" s="347">
        <f>'FR-16(7)(v)-6 DISTR Cust Alloc'!I235+'FR-16(7)(v)-5 DISTR Dem Alloc'!I235+'FR-16(7)(v)-3 PROD Comm Alloc'!I235</f>
        <v>2510636</v>
      </c>
      <c r="J235" s="347">
        <f>'FR-16(7)(v)-6 DISTR Cust Alloc'!J235+'FR-16(7)(v)-5 DISTR Dem Alloc'!J235+'FR-16(7)(v)-3 PROD Comm Alloc'!J235</f>
        <v>809252</v>
      </c>
      <c r="K235" s="345">
        <f>SUM(G235:J235)</f>
        <v>29269976</v>
      </c>
      <c r="L235" s="345">
        <f>F235-K235</f>
        <v>0</v>
      </c>
    </row>
    <row r="236" spans="1:12" ht="13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L236" si="69">SUM(F231:F235)</f>
        <v>30912993</v>
      </c>
      <c r="G236" s="346">
        <f t="shared" si="69"/>
        <v>19694002</v>
      </c>
      <c r="H236" s="346">
        <f t="shared" si="69"/>
        <v>7712199</v>
      </c>
      <c r="I236" s="346">
        <f t="shared" si="69"/>
        <v>2651477</v>
      </c>
      <c r="J236" s="346">
        <f t="shared" si="69"/>
        <v>855315</v>
      </c>
      <c r="K236" s="346">
        <f t="shared" si="69"/>
        <v>30912993</v>
      </c>
      <c r="L236" s="346">
        <f t="shared" si="69"/>
        <v>0</v>
      </c>
    </row>
    <row r="237" spans="1:12" ht="13">
      <c r="A237" s="331">
        <v>35</v>
      </c>
      <c r="D237" s="342"/>
      <c r="E237" s="195"/>
      <c r="I237" s="330"/>
    </row>
    <row r="238" spans="1:12" ht="13">
      <c r="A238" s="331">
        <v>36</v>
      </c>
      <c r="B238" s="330" t="s">
        <v>821</v>
      </c>
      <c r="D238" s="342"/>
      <c r="E238" s="195"/>
      <c r="F238" s="345">
        <f t="shared" ref="F238:L238" si="70">F236+F229+F215</f>
        <v>101091618.9041096</v>
      </c>
      <c r="G238" s="345">
        <f t="shared" si="70"/>
        <v>64381699</v>
      </c>
      <c r="H238" s="345">
        <f t="shared" si="70"/>
        <v>25224608</v>
      </c>
      <c r="I238" s="345">
        <f t="shared" si="70"/>
        <v>8685325</v>
      </c>
      <c r="J238" s="345">
        <f t="shared" si="70"/>
        <v>2799987</v>
      </c>
      <c r="K238" s="345">
        <f t="shared" si="70"/>
        <v>101091619</v>
      </c>
      <c r="L238" s="345">
        <f t="shared" si="70"/>
        <v>-9.5890402793884277E-2</v>
      </c>
    </row>
    <row r="239" spans="1:12" ht="13">
      <c r="B239" s="341"/>
      <c r="C239" s="195"/>
      <c r="D239" s="342"/>
      <c r="E239" s="195"/>
      <c r="G239" s="195"/>
      <c r="H239" s="195"/>
      <c r="I239" s="195"/>
      <c r="J239" s="342"/>
      <c r="K239" s="195"/>
      <c r="L239" s="195"/>
    </row>
    <row r="240" spans="1:12" ht="13">
      <c r="A240" s="341" t="str">
        <f>co_name</f>
        <v>DUKE ENERGY KENTUCKY, INC.</v>
      </c>
      <c r="C240" s="195"/>
      <c r="D240" s="342"/>
      <c r="E240" s="195"/>
      <c r="F240" s="342"/>
      <c r="G240" s="340"/>
      <c r="H240" s="340"/>
      <c r="I240" s="195"/>
      <c r="K240" s="359" t="str">
        <f>$K$1</f>
        <v>FR-16(7)(v)-8</v>
      </c>
      <c r="L240" s="195"/>
    </row>
    <row r="241" spans="1:12" ht="13">
      <c r="A241" s="341" t="str">
        <f>$A$2</f>
        <v>TOTAL CLASS ALLOCATED - GAS COST OF SERVICE</v>
      </c>
      <c r="C241" s="195"/>
      <c r="D241" s="342"/>
      <c r="E241" s="195"/>
      <c r="F241" s="342"/>
      <c r="G241" s="340"/>
      <c r="H241" s="340"/>
      <c r="I241" s="195"/>
      <c r="K241" s="359" t="str">
        <f>$K$2</f>
        <v>WITNESS RESPONSIBLE:</v>
      </c>
      <c r="L241" s="195"/>
    </row>
    <row r="242" spans="1:12" ht="13">
      <c r="A242" s="341" t="str">
        <f>case_name</f>
        <v>CASE NO: 2021-00190</v>
      </c>
      <c r="C242" s="195"/>
      <c r="D242" s="342"/>
      <c r="E242" s="195"/>
      <c r="F242" s="342"/>
      <c r="G242" s="340"/>
      <c r="H242" s="340"/>
      <c r="I242" s="195"/>
      <c r="K242" s="359" t="str">
        <f>Witness</f>
        <v>JAMES E. ZIOLKOWSKI</v>
      </c>
      <c r="L242" s="195"/>
    </row>
    <row r="243" spans="1:12" ht="13">
      <c r="A243" s="341" t="str">
        <f>data_filing</f>
        <v>DATA: 12 MONTH FORECASTED PERIOD</v>
      </c>
      <c r="C243" s="195"/>
      <c r="D243" s="342"/>
      <c r="E243" s="195"/>
      <c r="F243" s="342"/>
      <c r="G243" s="340"/>
      <c r="H243" s="340"/>
      <c r="I243" s="195"/>
      <c r="K243" s="359" t="str">
        <f>"PAGE "&amp;Pages2-9&amp;" OF "&amp;Pages2</f>
        <v>PAGE 6 OF 15</v>
      </c>
      <c r="L243" s="195"/>
    </row>
    <row r="244" spans="1:12" ht="13">
      <c r="A244" s="341" t="str">
        <f>type</f>
        <v xml:space="preserve">TYPE OF FILING: "X" ORIGINAL   UPDATED    REVISED  </v>
      </c>
      <c r="C244" s="195"/>
      <c r="D244" s="342"/>
      <c r="E244" s="195"/>
      <c r="F244" s="342"/>
      <c r="G244" s="340"/>
      <c r="H244" s="340"/>
      <c r="I244" s="195"/>
      <c r="J244" s="342"/>
      <c r="K244" s="195"/>
      <c r="L244" s="195"/>
    </row>
    <row r="245" spans="1:12" ht="13">
      <c r="B245" s="341"/>
      <c r="C245" s="195"/>
      <c r="D245" s="342"/>
      <c r="E245" s="195"/>
      <c r="F245" s="342"/>
      <c r="G245" s="195"/>
      <c r="H245" s="195"/>
      <c r="I245" s="195"/>
      <c r="J245" s="342"/>
      <c r="K245" s="195"/>
      <c r="L245" s="195"/>
    </row>
    <row r="246" spans="1:12" ht="13">
      <c r="B246" s="341"/>
      <c r="C246" s="195"/>
      <c r="D246" s="342"/>
      <c r="E246" s="195"/>
      <c r="F246" s="342" t="str">
        <f>$F$7</f>
        <v>TOTAL</v>
      </c>
      <c r="G246" s="195"/>
      <c r="H246" s="195"/>
      <c r="I246" s="195"/>
      <c r="J246" s="342"/>
      <c r="K246" s="195"/>
      <c r="L246" s="195"/>
    </row>
    <row r="247" spans="1:12" ht="13">
      <c r="A247" s="342" t="s">
        <v>907</v>
      </c>
      <c r="B247" s="195"/>
      <c r="C247" s="195"/>
      <c r="D247" s="342"/>
      <c r="E247" s="195"/>
      <c r="F247" s="342" t="str">
        <f>$F$8</f>
        <v>CLASS</v>
      </c>
      <c r="G247" s="352" t="s">
        <v>766</v>
      </c>
      <c r="H247" s="352" t="s">
        <v>1256</v>
      </c>
      <c r="I247" s="352" t="s">
        <v>974</v>
      </c>
      <c r="J247" s="352" t="s">
        <v>546</v>
      </c>
      <c r="K247" s="352" t="s">
        <v>229</v>
      </c>
      <c r="L247" s="342" t="s">
        <v>342</v>
      </c>
    </row>
    <row r="248" spans="1:12" ht="13">
      <c r="A248" s="344" t="s">
        <v>908</v>
      </c>
      <c r="B248" s="343" t="s">
        <v>947</v>
      </c>
      <c r="C248" s="343"/>
      <c r="D248" s="344" t="s">
        <v>337</v>
      </c>
      <c r="E248" s="343"/>
      <c r="F248" s="342" t="str">
        <f>$F$9</f>
        <v>ALLOCATED</v>
      </c>
      <c r="G248" s="353" t="s">
        <v>338</v>
      </c>
      <c r="H248" s="353" t="s">
        <v>404</v>
      </c>
      <c r="I248" s="353" t="s">
        <v>1257</v>
      </c>
      <c r="J248" s="353" t="s">
        <v>547</v>
      </c>
      <c r="K248" s="353" t="s">
        <v>341</v>
      </c>
      <c r="L248" s="344" t="s">
        <v>340</v>
      </c>
    </row>
    <row r="249" spans="1:12" ht="13">
      <c r="C249" s="572" t="s">
        <v>555</v>
      </c>
      <c r="D249" s="342"/>
      <c r="E249" s="195"/>
      <c r="F249" s="755"/>
      <c r="G249" s="627">
        <f>$G$10</f>
        <v>3</v>
      </c>
      <c r="H249" s="627">
        <f>$H$10</f>
        <v>4</v>
      </c>
      <c r="I249" s="627">
        <f>$I$10</f>
        <v>5</v>
      </c>
      <c r="J249" s="627">
        <f>$J$10</f>
        <v>6</v>
      </c>
    </row>
    <row r="250" spans="1:12" ht="13">
      <c r="A250" s="331">
        <v>1</v>
      </c>
      <c r="B250" s="330" t="s">
        <v>819</v>
      </c>
      <c r="D250" s="342"/>
      <c r="E250" s="195"/>
      <c r="I250" s="330"/>
    </row>
    <row r="251" spans="1:12" ht="13">
      <c r="A251" s="331">
        <v>2</v>
      </c>
      <c r="B251" s="330" t="s">
        <v>29</v>
      </c>
      <c r="D251" s="342"/>
      <c r="E251" s="195"/>
      <c r="I251" s="330"/>
    </row>
    <row r="252" spans="1:12" ht="13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3">
        <f>'FR-16(7)(v)-1 Functional'!F252</f>
        <v>0</v>
      </c>
      <c r="G252" s="347">
        <f>'FR-16(7)(v)-6 DISTR Cust Alloc'!G252+'FR-16(7)(v)-5 DISTR Dem Alloc'!G252+'FR-16(7)(v)-3 PROD Comm Alloc'!G252</f>
        <v>0</v>
      </c>
      <c r="H252" s="347">
        <f>'FR-16(7)(v)-6 DISTR Cust Alloc'!H252+'FR-16(7)(v)-5 DISTR Dem Alloc'!H252+'FR-16(7)(v)-3 PROD Comm Alloc'!H252</f>
        <v>0</v>
      </c>
      <c r="I252" s="347">
        <f>'FR-16(7)(v)-6 DISTR Cust Alloc'!I252+'FR-16(7)(v)-5 DISTR Dem Alloc'!I252+'FR-16(7)(v)-3 PROD Comm Alloc'!I252</f>
        <v>0</v>
      </c>
      <c r="J252" s="347">
        <f>'FR-16(7)(v)-6 DISTR Cust Alloc'!J252+'FR-16(7)(v)-5 DISTR Dem Alloc'!J252+'FR-16(7)(v)-3 PROD Comm Alloc'!J252</f>
        <v>0</v>
      </c>
      <c r="K252" s="345">
        <f t="shared" ref="K252:K274" si="71">SUM(G252:J252)</f>
        <v>0</v>
      </c>
      <c r="L252" s="345">
        <f t="shared" ref="L252:L274" si="72">F252-K252</f>
        <v>0</v>
      </c>
    </row>
    <row r="253" spans="1:12" ht="13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3">
        <f>'FR-16(7)(v)-1 Functional'!F253</f>
        <v>0</v>
      </c>
      <c r="G253" s="347">
        <f>'FR-16(7)(v)-6 DISTR Cust Alloc'!G253+'FR-16(7)(v)-5 DISTR Dem Alloc'!G253+'FR-16(7)(v)-3 PROD Comm Alloc'!G253</f>
        <v>0</v>
      </c>
      <c r="H253" s="347">
        <f>'FR-16(7)(v)-6 DISTR Cust Alloc'!H253+'FR-16(7)(v)-5 DISTR Dem Alloc'!H253+'FR-16(7)(v)-3 PROD Comm Alloc'!H253</f>
        <v>0</v>
      </c>
      <c r="I253" s="347">
        <f>'FR-16(7)(v)-6 DISTR Cust Alloc'!I253+'FR-16(7)(v)-5 DISTR Dem Alloc'!I253+'FR-16(7)(v)-3 PROD Comm Alloc'!I253</f>
        <v>0</v>
      </c>
      <c r="J253" s="347">
        <f>'FR-16(7)(v)-6 DISTR Cust Alloc'!J253+'FR-16(7)(v)-5 DISTR Dem Alloc'!J253+'FR-16(7)(v)-3 PROD Comm Alloc'!J253</f>
        <v>0</v>
      </c>
      <c r="K253" s="345">
        <f t="shared" si="71"/>
        <v>0</v>
      </c>
      <c r="L253" s="345">
        <f t="shared" si="72"/>
        <v>0</v>
      </c>
    </row>
    <row r="254" spans="1:12" ht="13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3">
        <f>'FR-16(7)(v)-1 Functional'!F254</f>
        <v>0</v>
      </c>
      <c r="G254" s="347">
        <f>'FR-16(7)(v)-6 DISTR Cust Alloc'!G254+'FR-16(7)(v)-5 DISTR Dem Alloc'!G254+'FR-16(7)(v)-3 PROD Comm Alloc'!G254</f>
        <v>0</v>
      </c>
      <c r="H254" s="347">
        <f>'FR-16(7)(v)-6 DISTR Cust Alloc'!H254+'FR-16(7)(v)-5 DISTR Dem Alloc'!H254+'FR-16(7)(v)-3 PROD Comm Alloc'!H254</f>
        <v>0</v>
      </c>
      <c r="I254" s="347">
        <f>'FR-16(7)(v)-6 DISTR Cust Alloc'!I254+'FR-16(7)(v)-5 DISTR Dem Alloc'!I254+'FR-16(7)(v)-3 PROD Comm Alloc'!I254</f>
        <v>0</v>
      </c>
      <c r="J254" s="347">
        <f>'FR-16(7)(v)-6 DISTR Cust Alloc'!J254+'FR-16(7)(v)-5 DISTR Dem Alloc'!J254+'FR-16(7)(v)-3 PROD Comm Alloc'!J254</f>
        <v>0</v>
      </c>
      <c r="K254" s="345">
        <f t="shared" si="71"/>
        <v>0</v>
      </c>
      <c r="L254" s="345">
        <f t="shared" si="72"/>
        <v>0</v>
      </c>
    </row>
    <row r="255" spans="1:12" ht="13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3">
        <f>'FR-16(7)(v)-1 Functional'!F255</f>
        <v>0</v>
      </c>
      <c r="G255" s="347">
        <f>'FR-16(7)(v)-6 DISTR Cust Alloc'!G255+'FR-16(7)(v)-5 DISTR Dem Alloc'!G255+'FR-16(7)(v)-3 PROD Comm Alloc'!G255</f>
        <v>0</v>
      </c>
      <c r="H255" s="347">
        <f>'FR-16(7)(v)-6 DISTR Cust Alloc'!H255+'FR-16(7)(v)-5 DISTR Dem Alloc'!H255+'FR-16(7)(v)-3 PROD Comm Alloc'!H255</f>
        <v>0</v>
      </c>
      <c r="I255" s="347">
        <f>'FR-16(7)(v)-6 DISTR Cust Alloc'!I255+'FR-16(7)(v)-5 DISTR Dem Alloc'!I255+'FR-16(7)(v)-3 PROD Comm Alloc'!I255</f>
        <v>0</v>
      </c>
      <c r="J255" s="347">
        <f>'FR-16(7)(v)-6 DISTR Cust Alloc'!J255+'FR-16(7)(v)-5 DISTR Dem Alloc'!J255+'FR-16(7)(v)-3 PROD Comm Alloc'!J255</f>
        <v>0</v>
      </c>
      <c r="K255" s="345">
        <f t="shared" si="71"/>
        <v>0</v>
      </c>
      <c r="L255" s="345">
        <f t="shared" si="72"/>
        <v>0</v>
      </c>
    </row>
    <row r="256" spans="1:12" ht="13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3">
        <f>'FR-16(7)(v)-1 Functional'!F256</f>
        <v>0</v>
      </c>
      <c r="G256" s="347">
        <f>'FR-16(7)(v)-6 DISTR Cust Alloc'!G256+'FR-16(7)(v)-5 DISTR Dem Alloc'!G256+'FR-16(7)(v)-3 PROD Comm Alloc'!G256</f>
        <v>0</v>
      </c>
      <c r="H256" s="347">
        <f>'FR-16(7)(v)-6 DISTR Cust Alloc'!H256+'FR-16(7)(v)-5 DISTR Dem Alloc'!H256+'FR-16(7)(v)-3 PROD Comm Alloc'!H256</f>
        <v>0</v>
      </c>
      <c r="I256" s="347">
        <f>'FR-16(7)(v)-6 DISTR Cust Alloc'!I256+'FR-16(7)(v)-5 DISTR Dem Alloc'!I256+'FR-16(7)(v)-3 PROD Comm Alloc'!I256</f>
        <v>0</v>
      </c>
      <c r="J256" s="347">
        <f>'FR-16(7)(v)-6 DISTR Cust Alloc'!J256+'FR-16(7)(v)-5 DISTR Dem Alloc'!J256+'FR-16(7)(v)-3 PROD Comm Alloc'!J256</f>
        <v>0</v>
      </c>
      <c r="K256" s="345">
        <f t="shared" si="71"/>
        <v>0</v>
      </c>
      <c r="L256" s="345">
        <f t="shared" si="72"/>
        <v>0</v>
      </c>
    </row>
    <row r="257" spans="1:12" ht="13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3">
        <f>'FR-16(7)(v)-1 Functional'!F257</f>
        <v>0</v>
      </c>
      <c r="G257" s="347">
        <f>'FR-16(7)(v)-6 DISTR Cust Alloc'!G257+'FR-16(7)(v)-5 DISTR Dem Alloc'!G257+'FR-16(7)(v)-3 PROD Comm Alloc'!G257</f>
        <v>0</v>
      </c>
      <c r="H257" s="347">
        <f>'FR-16(7)(v)-6 DISTR Cust Alloc'!H257+'FR-16(7)(v)-5 DISTR Dem Alloc'!H257+'FR-16(7)(v)-3 PROD Comm Alloc'!H257</f>
        <v>0</v>
      </c>
      <c r="I257" s="347">
        <f>'FR-16(7)(v)-6 DISTR Cust Alloc'!I257+'FR-16(7)(v)-5 DISTR Dem Alloc'!I257+'FR-16(7)(v)-3 PROD Comm Alloc'!I257</f>
        <v>0</v>
      </c>
      <c r="J257" s="347">
        <f>'FR-16(7)(v)-6 DISTR Cust Alloc'!J257+'FR-16(7)(v)-5 DISTR Dem Alloc'!J257+'FR-16(7)(v)-3 PROD Comm Alloc'!J257</f>
        <v>0</v>
      </c>
      <c r="K257" s="345">
        <f t="shared" si="71"/>
        <v>0</v>
      </c>
      <c r="L257" s="345">
        <f t="shared" si="72"/>
        <v>0</v>
      </c>
    </row>
    <row r="258" spans="1:12" ht="13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3">
        <f>'FR-16(7)(v)-1 Functional'!F258</f>
        <v>0</v>
      </c>
      <c r="G258" s="347">
        <f>'FR-16(7)(v)-6 DISTR Cust Alloc'!G258+'FR-16(7)(v)-5 DISTR Dem Alloc'!G258+'FR-16(7)(v)-3 PROD Comm Alloc'!G258</f>
        <v>0</v>
      </c>
      <c r="H258" s="347">
        <f>'FR-16(7)(v)-6 DISTR Cust Alloc'!H258+'FR-16(7)(v)-5 DISTR Dem Alloc'!H258+'FR-16(7)(v)-3 PROD Comm Alloc'!H258</f>
        <v>0</v>
      </c>
      <c r="I258" s="347">
        <f>'FR-16(7)(v)-6 DISTR Cust Alloc'!I258+'FR-16(7)(v)-5 DISTR Dem Alloc'!I258+'FR-16(7)(v)-3 PROD Comm Alloc'!I258</f>
        <v>0</v>
      </c>
      <c r="J258" s="347">
        <f>'FR-16(7)(v)-6 DISTR Cust Alloc'!J258+'FR-16(7)(v)-5 DISTR Dem Alloc'!J258+'FR-16(7)(v)-3 PROD Comm Alloc'!J258</f>
        <v>0</v>
      </c>
      <c r="K258" s="345">
        <f t="shared" si="71"/>
        <v>0</v>
      </c>
      <c r="L258" s="345">
        <f t="shared" si="72"/>
        <v>0</v>
      </c>
    </row>
    <row r="259" spans="1:12" ht="13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3">
        <f>'FR-16(7)(v)-1 Functional'!F259</f>
        <v>0</v>
      </c>
      <c r="G259" s="347">
        <f>'FR-16(7)(v)-6 DISTR Cust Alloc'!G259+'FR-16(7)(v)-5 DISTR Dem Alloc'!G259+'FR-16(7)(v)-3 PROD Comm Alloc'!G259</f>
        <v>0</v>
      </c>
      <c r="H259" s="347">
        <f>'FR-16(7)(v)-6 DISTR Cust Alloc'!H259+'FR-16(7)(v)-5 DISTR Dem Alloc'!H259+'FR-16(7)(v)-3 PROD Comm Alloc'!H259</f>
        <v>0</v>
      </c>
      <c r="I259" s="347">
        <f>'FR-16(7)(v)-6 DISTR Cust Alloc'!I259+'FR-16(7)(v)-5 DISTR Dem Alloc'!I259+'FR-16(7)(v)-3 PROD Comm Alloc'!I259</f>
        <v>0</v>
      </c>
      <c r="J259" s="347">
        <f>'FR-16(7)(v)-6 DISTR Cust Alloc'!J259+'FR-16(7)(v)-5 DISTR Dem Alloc'!J259+'FR-16(7)(v)-3 PROD Comm Alloc'!J259</f>
        <v>0</v>
      </c>
      <c r="K259" s="345">
        <f t="shared" si="71"/>
        <v>0</v>
      </c>
      <c r="L259" s="345">
        <f t="shared" si="72"/>
        <v>0</v>
      </c>
    </row>
    <row r="260" spans="1:12" ht="13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3">
        <f>'FR-16(7)(v)-1 Functional'!F260</f>
        <v>0</v>
      </c>
      <c r="G260" s="347">
        <f>'FR-16(7)(v)-6 DISTR Cust Alloc'!G260+'FR-16(7)(v)-5 DISTR Dem Alloc'!G260+'FR-16(7)(v)-3 PROD Comm Alloc'!G260</f>
        <v>0</v>
      </c>
      <c r="H260" s="347">
        <f>'FR-16(7)(v)-6 DISTR Cust Alloc'!H260+'FR-16(7)(v)-5 DISTR Dem Alloc'!H260+'FR-16(7)(v)-3 PROD Comm Alloc'!H260</f>
        <v>0</v>
      </c>
      <c r="I260" s="347">
        <f>'FR-16(7)(v)-6 DISTR Cust Alloc'!I260+'FR-16(7)(v)-5 DISTR Dem Alloc'!I260+'FR-16(7)(v)-3 PROD Comm Alloc'!I260</f>
        <v>0</v>
      </c>
      <c r="J260" s="347">
        <f>'FR-16(7)(v)-6 DISTR Cust Alloc'!J260+'FR-16(7)(v)-5 DISTR Dem Alloc'!J260+'FR-16(7)(v)-3 PROD Comm Alloc'!J260</f>
        <v>0</v>
      </c>
      <c r="K260" s="345">
        <f t="shared" si="71"/>
        <v>0</v>
      </c>
      <c r="L260" s="345">
        <f t="shared" si="72"/>
        <v>0</v>
      </c>
    </row>
    <row r="261" spans="1:12" ht="13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3">
        <f>'FR-16(7)(v)-1 Functional'!F261</f>
        <v>0</v>
      </c>
      <c r="G261" s="347">
        <f>'FR-16(7)(v)-6 DISTR Cust Alloc'!G261+'FR-16(7)(v)-5 DISTR Dem Alloc'!G261+'FR-16(7)(v)-3 PROD Comm Alloc'!G261</f>
        <v>0</v>
      </c>
      <c r="H261" s="347">
        <f>'FR-16(7)(v)-6 DISTR Cust Alloc'!H261+'FR-16(7)(v)-5 DISTR Dem Alloc'!H261+'FR-16(7)(v)-3 PROD Comm Alloc'!H261</f>
        <v>0</v>
      </c>
      <c r="I261" s="347">
        <f>'FR-16(7)(v)-6 DISTR Cust Alloc'!I261+'FR-16(7)(v)-5 DISTR Dem Alloc'!I261+'FR-16(7)(v)-3 PROD Comm Alloc'!I261</f>
        <v>0</v>
      </c>
      <c r="J261" s="347">
        <f>'FR-16(7)(v)-6 DISTR Cust Alloc'!J261+'FR-16(7)(v)-5 DISTR Dem Alloc'!J261+'FR-16(7)(v)-3 PROD Comm Alloc'!J261</f>
        <v>0</v>
      </c>
      <c r="K261" s="345">
        <f t="shared" si="71"/>
        <v>0</v>
      </c>
      <c r="L261" s="345">
        <f t="shared" si="72"/>
        <v>0</v>
      </c>
    </row>
    <row r="262" spans="1:12" ht="13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3">
        <f>'FR-16(7)(v)-1 Functional'!F262</f>
        <v>0</v>
      </c>
      <c r="G262" s="347">
        <f>'FR-16(7)(v)-6 DISTR Cust Alloc'!G262+'FR-16(7)(v)-5 DISTR Dem Alloc'!G262+'FR-16(7)(v)-3 PROD Comm Alloc'!G262</f>
        <v>0</v>
      </c>
      <c r="H262" s="347">
        <f>'FR-16(7)(v)-6 DISTR Cust Alloc'!H262+'FR-16(7)(v)-5 DISTR Dem Alloc'!H262+'FR-16(7)(v)-3 PROD Comm Alloc'!H262</f>
        <v>0</v>
      </c>
      <c r="I262" s="347">
        <f>'FR-16(7)(v)-6 DISTR Cust Alloc'!I262+'FR-16(7)(v)-5 DISTR Dem Alloc'!I262+'FR-16(7)(v)-3 PROD Comm Alloc'!I262</f>
        <v>0</v>
      </c>
      <c r="J262" s="347">
        <f>'FR-16(7)(v)-6 DISTR Cust Alloc'!J262+'FR-16(7)(v)-5 DISTR Dem Alloc'!J262+'FR-16(7)(v)-3 PROD Comm Alloc'!J262</f>
        <v>0</v>
      </c>
      <c r="K262" s="345">
        <f t="shared" si="71"/>
        <v>0</v>
      </c>
      <c r="L262" s="345">
        <f t="shared" si="72"/>
        <v>0</v>
      </c>
    </row>
    <row r="263" spans="1:12" ht="13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3">
        <f>'FR-16(7)(v)-1 Functional'!F263</f>
        <v>0</v>
      </c>
      <c r="G263" s="347">
        <f>'FR-16(7)(v)-6 DISTR Cust Alloc'!G263+'FR-16(7)(v)-5 DISTR Dem Alloc'!G263+'FR-16(7)(v)-3 PROD Comm Alloc'!G263</f>
        <v>0</v>
      </c>
      <c r="H263" s="347">
        <f>'FR-16(7)(v)-6 DISTR Cust Alloc'!H263+'FR-16(7)(v)-5 DISTR Dem Alloc'!H263+'FR-16(7)(v)-3 PROD Comm Alloc'!H263</f>
        <v>0</v>
      </c>
      <c r="I263" s="347">
        <f>'FR-16(7)(v)-6 DISTR Cust Alloc'!I263+'FR-16(7)(v)-5 DISTR Dem Alloc'!I263+'FR-16(7)(v)-3 PROD Comm Alloc'!I263</f>
        <v>0</v>
      </c>
      <c r="J263" s="347">
        <f>'FR-16(7)(v)-6 DISTR Cust Alloc'!J263+'FR-16(7)(v)-5 DISTR Dem Alloc'!J263+'FR-16(7)(v)-3 PROD Comm Alloc'!J263</f>
        <v>0</v>
      </c>
      <c r="K263" s="345">
        <f t="shared" si="71"/>
        <v>0</v>
      </c>
      <c r="L263" s="345">
        <f t="shared" si="72"/>
        <v>0</v>
      </c>
    </row>
    <row r="264" spans="1:12" ht="13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3">
        <f>'FR-16(7)(v)-1 Functional'!F264</f>
        <v>0</v>
      </c>
      <c r="G264" s="347">
        <f>'FR-16(7)(v)-6 DISTR Cust Alloc'!G264+'FR-16(7)(v)-5 DISTR Dem Alloc'!G264+'FR-16(7)(v)-3 PROD Comm Alloc'!G264</f>
        <v>0</v>
      </c>
      <c r="H264" s="347">
        <f>'FR-16(7)(v)-6 DISTR Cust Alloc'!H264+'FR-16(7)(v)-5 DISTR Dem Alloc'!H264+'FR-16(7)(v)-3 PROD Comm Alloc'!H264</f>
        <v>0</v>
      </c>
      <c r="I264" s="347">
        <f>'FR-16(7)(v)-6 DISTR Cust Alloc'!I264+'FR-16(7)(v)-5 DISTR Dem Alloc'!I264+'FR-16(7)(v)-3 PROD Comm Alloc'!I264</f>
        <v>0</v>
      </c>
      <c r="J264" s="347">
        <f>'FR-16(7)(v)-6 DISTR Cust Alloc'!J264+'FR-16(7)(v)-5 DISTR Dem Alloc'!J264+'FR-16(7)(v)-3 PROD Comm Alloc'!J264</f>
        <v>0</v>
      </c>
      <c r="K264" s="345">
        <f t="shared" si="71"/>
        <v>0</v>
      </c>
      <c r="L264" s="345">
        <f t="shared" si="72"/>
        <v>0</v>
      </c>
    </row>
    <row r="265" spans="1:12" ht="13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3">
        <f>'FR-16(7)(v)-1 Functional'!F265</f>
        <v>0</v>
      </c>
      <c r="G265" s="347">
        <f>'FR-16(7)(v)-6 DISTR Cust Alloc'!G265+'FR-16(7)(v)-5 DISTR Dem Alloc'!G265+'FR-16(7)(v)-3 PROD Comm Alloc'!G265</f>
        <v>0</v>
      </c>
      <c r="H265" s="347">
        <f>'FR-16(7)(v)-6 DISTR Cust Alloc'!H265+'FR-16(7)(v)-5 DISTR Dem Alloc'!H265+'FR-16(7)(v)-3 PROD Comm Alloc'!H265</f>
        <v>0</v>
      </c>
      <c r="I265" s="347">
        <f>'FR-16(7)(v)-6 DISTR Cust Alloc'!I265+'FR-16(7)(v)-5 DISTR Dem Alloc'!I265+'FR-16(7)(v)-3 PROD Comm Alloc'!I265</f>
        <v>0</v>
      </c>
      <c r="J265" s="347">
        <f>'FR-16(7)(v)-6 DISTR Cust Alloc'!J265+'FR-16(7)(v)-5 DISTR Dem Alloc'!J265+'FR-16(7)(v)-3 PROD Comm Alloc'!J265</f>
        <v>0</v>
      </c>
      <c r="K265" s="345">
        <f t="shared" si="71"/>
        <v>0</v>
      </c>
      <c r="L265" s="345">
        <f t="shared" si="72"/>
        <v>0</v>
      </c>
    </row>
    <row r="266" spans="1:12" ht="13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3">
        <f>'FR-16(7)(v)-1 Functional'!F266</f>
        <v>0</v>
      </c>
      <c r="G266" s="347">
        <f>'FR-16(7)(v)-6 DISTR Cust Alloc'!G266+'FR-16(7)(v)-5 DISTR Dem Alloc'!G266+'FR-16(7)(v)-3 PROD Comm Alloc'!G266</f>
        <v>0</v>
      </c>
      <c r="H266" s="347">
        <f>'FR-16(7)(v)-6 DISTR Cust Alloc'!H266+'FR-16(7)(v)-5 DISTR Dem Alloc'!H266+'FR-16(7)(v)-3 PROD Comm Alloc'!H266</f>
        <v>0</v>
      </c>
      <c r="I266" s="347">
        <f>'FR-16(7)(v)-6 DISTR Cust Alloc'!I266+'FR-16(7)(v)-5 DISTR Dem Alloc'!I266+'FR-16(7)(v)-3 PROD Comm Alloc'!I266</f>
        <v>0</v>
      </c>
      <c r="J266" s="347">
        <f>'FR-16(7)(v)-6 DISTR Cust Alloc'!J266+'FR-16(7)(v)-5 DISTR Dem Alloc'!J266+'FR-16(7)(v)-3 PROD Comm Alloc'!J266</f>
        <v>0</v>
      </c>
      <c r="K266" s="345">
        <f t="shared" si="71"/>
        <v>0</v>
      </c>
      <c r="L266" s="345">
        <f t="shared" si="72"/>
        <v>0</v>
      </c>
    </row>
    <row r="267" spans="1:12" ht="13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3">
        <f>'FR-16(7)(v)-1 Functional'!F267</f>
        <v>0</v>
      </c>
      <c r="G267" s="347">
        <f>'FR-16(7)(v)-6 DISTR Cust Alloc'!G267+'FR-16(7)(v)-5 DISTR Dem Alloc'!G267+'FR-16(7)(v)-3 PROD Comm Alloc'!G267</f>
        <v>0</v>
      </c>
      <c r="H267" s="347">
        <f>'FR-16(7)(v)-6 DISTR Cust Alloc'!H267+'FR-16(7)(v)-5 DISTR Dem Alloc'!H267+'FR-16(7)(v)-3 PROD Comm Alloc'!H267</f>
        <v>0</v>
      </c>
      <c r="I267" s="347">
        <f>'FR-16(7)(v)-6 DISTR Cust Alloc'!I267+'FR-16(7)(v)-5 DISTR Dem Alloc'!I267+'FR-16(7)(v)-3 PROD Comm Alloc'!I267</f>
        <v>0</v>
      </c>
      <c r="J267" s="347">
        <f>'FR-16(7)(v)-6 DISTR Cust Alloc'!J267+'FR-16(7)(v)-5 DISTR Dem Alloc'!J267+'FR-16(7)(v)-3 PROD Comm Alloc'!J267</f>
        <v>0</v>
      </c>
      <c r="K267" s="345">
        <f t="shared" si="71"/>
        <v>0</v>
      </c>
      <c r="L267" s="345">
        <f t="shared" si="72"/>
        <v>0</v>
      </c>
    </row>
    <row r="268" spans="1:12" ht="13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3">
        <f>'FR-16(7)(v)-1 Functional'!F268</f>
        <v>0</v>
      </c>
      <c r="G268" s="347">
        <f>'FR-16(7)(v)-6 DISTR Cust Alloc'!G268+'FR-16(7)(v)-5 DISTR Dem Alloc'!G268+'FR-16(7)(v)-3 PROD Comm Alloc'!G268</f>
        <v>0</v>
      </c>
      <c r="H268" s="347">
        <f>'FR-16(7)(v)-6 DISTR Cust Alloc'!H268+'FR-16(7)(v)-5 DISTR Dem Alloc'!H268+'FR-16(7)(v)-3 PROD Comm Alloc'!H268</f>
        <v>0</v>
      </c>
      <c r="I268" s="347">
        <f>'FR-16(7)(v)-6 DISTR Cust Alloc'!I268+'FR-16(7)(v)-5 DISTR Dem Alloc'!I268+'FR-16(7)(v)-3 PROD Comm Alloc'!I268</f>
        <v>0</v>
      </c>
      <c r="J268" s="347">
        <f>'FR-16(7)(v)-6 DISTR Cust Alloc'!J268+'FR-16(7)(v)-5 DISTR Dem Alloc'!J268+'FR-16(7)(v)-3 PROD Comm Alloc'!J268</f>
        <v>0</v>
      </c>
      <c r="K268" s="345">
        <f t="shared" si="71"/>
        <v>0</v>
      </c>
      <c r="L268" s="345">
        <f t="shared" si="72"/>
        <v>0</v>
      </c>
    </row>
    <row r="269" spans="1:12" ht="13">
      <c r="A269" s="331">
        <v>20</v>
      </c>
      <c r="C269" s="483" t="str">
        <f>'FR-16(7)(v)-1 Functional'!C269</f>
        <v>401K INCENTIVE PLAN</v>
      </c>
      <c r="D269" s="342" t="str">
        <f>'FR-16(7)(v)-1 Functional'!D269</f>
        <v>AG39</v>
      </c>
      <c r="F269" s="473">
        <f>'FR-16(7)(v)-1 Functional'!F269</f>
        <v>0</v>
      </c>
      <c r="G269" s="347">
        <f>'FR-16(7)(v)-6 DISTR Cust Alloc'!G269+'FR-16(7)(v)-5 DISTR Dem Alloc'!G269+'FR-16(7)(v)-3 PROD Comm Alloc'!G269</f>
        <v>0</v>
      </c>
      <c r="H269" s="347">
        <f>'FR-16(7)(v)-6 DISTR Cust Alloc'!H269+'FR-16(7)(v)-5 DISTR Dem Alloc'!H269+'FR-16(7)(v)-3 PROD Comm Alloc'!H269</f>
        <v>0</v>
      </c>
      <c r="I269" s="347">
        <f>'FR-16(7)(v)-6 DISTR Cust Alloc'!I269+'FR-16(7)(v)-5 DISTR Dem Alloc'!I269+'FR-16(7)(v)-3 PROD Comm Alloc'!I269</f>
        <v>0</v>
      </c>
      <c r="J269" s="347">
        <f>'FR-16(7)(v)-6 DISTR Cust Alloc'!J269+'FR-16(7)(v)-5 DISTR Dem Alloc'!J269+'FR-16(7)(v)-3 PROD Comm Alloc'!J269</f>
        <v>0</v>
      </c>
      <c r="K269" s="345">
        <f t="shared" si="71"/>
        <v>0</v>
      </c>
      <c r="L269" s="345">
        <f t="shared" si="72"/>
        <v>0</v>
      </c>
    </row>
    <row r="270" spans="1:12" ht="13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3">
        <f>'FR-16(7)(v)-1 Functional'!F270</f>
        <v>0</v>
      </c>
      <c r="G270" s="347">
        <f>'FR-16(7)(v)-6 DISTR Cust Alloc'!G270+'FR-16(7)(v)-5 DISTR Dem Alloc'!G270+'FR-16(7)(v)-3 PROD Comm Alloc'!G270</f>
        <v>0</v>
      </c>
      <c r="H270" s="347">
        <f>'FR-16(7)(v)-6 DISTR Cust Alloc'!H270+'FR-16(7)(v)-5 DISTR Dem Alloc'!H270+'FR-16(7)(v)-3 PROD Comm Alloc'!H270</f>
        <v>0</v>
      </c>
      <c r="I270" s="347">
        <f>'FR-16(7)(v)-6 DISTR Cust Alloc'!I270+'FR-16(7)(v)-5 DISTR Dem Alloc'!I270+'FR-16(7)(v)-3 PROD Comm Alloc'!I270</f>
        <v>0</v>
      </c>
      <c r="J270" s="347">
        <f>'FR-16(7)(v)-6 DISTR Cust Alloc'!J270+'FR-16(7)(v)-5 DISTR Dem Alloc'!J270+'FR-16(7)(v)-3 PROD Comm Alloc'!J270</f>
        <v>0</v>
      </c>
      <c r="K270" s="345">
        <f t="shared" si="71"/>
        <v>0</v>
      </c>
      <c r="L270" s="345">
        <f t="shared" si="72"/>
        <v>0</v>
      </c>
    </row>
    <row r="271" spans="1:12" ht="13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3">
        <f>'FR-16(7)(v)-1 Functional'!F271</f>
        <v>0</v>
      </c>
      <c r="G271" s="347">
        <f>'FR-16(7)(v)-6 DISTR Cust Alloc'!G271+'FR-16(7)(v)-5 DISTR Dem Alloc'!G271+'FR-16(7)(v)-3 PROD Comm Alloc'!G271</f>
        <v>0</v>
      </c>
      <c r="H271" s="347">
        <f>'FR-16(7)(v)-6 DISTR Cust Alloc'!H271+'FR-16(7)(v)-5 DISTR Dem Alloc'!H271+'FR-16(7)(v)-3 PROD Comm Alloc'!H271</f>
        <v>0</v>
      </c>
      <c r="I271" s="347">
        <f>'FR-16(7)(v)-6 DISTR Cust Alloc'!I271+'FR-16(7)(v)-5 DISTR Dem Alloc'!I271+'FR-16(7)(v)-3 PROD Comm Alloc'!I271</f>
        <v>0</v>
      </c>
      <c r="J271" s="347">
        <f>'FR-16(7)(v)-6 DISTR Cust Alloc'!J271+'FR-16(7)(v)-5 DISTR Dem Alloc'!J271+'FR-16(7)(v)-3 PROD Comm Alloc'!J271</f>
        <v>0</v>
      </c>
      <c r="K271" s="345">
        <f t="shared" si="71"/>
        <v>0</v>
      </c>
      <c r="L271" s="345">
        <f t="shared" si="72"/>
        <v>0</v>
      </c>
    </row>
    <row r="272" spans="1:12" ht="13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3">
        <f>'FR-16(7)(v)-1 Functional'!F272</f>
        <v>0</v>
      </c>
      <c r="G272" s="347">
        <f>'FR-16(7)(v)-6 DISTR Cust Alloc'!G272+'FR-16(7)(v)-5 DISTR Dem Alloc'!G272+'FR-16(7)(v)-3 PROD Comm Alloc'!G272</f>
        <v>0</v>
      </c>
      <c r="H272" s="347">
        <f>'FR-16(7)(v)-6 DISTR Cust Alloc'!H272+'FR-16(7)(v)-5 DISTR Dem Alloc'!H272+'FR-16(7)(v)-3 PROD Comm Alloc'!H272</f>
        <v>0</v>
      </c>
      <c r="I272" s="347">
        <f>'FR-16(7)(v)-6 DISTR Cust Alloc'!I272+'FR-16(7)(v)-5 DISTR Dem Alloc'!I272+'FR-16(7)(v)-3 PROD Comm Alloc'!I272</f>
        <v>0</v>
      </c>
      <c r="J272" s="347">
        <f>'FR-16(7)(v)-6 DISTR Cust Alloc'!J272+'FR-16(7)(v)-5 DISTR Dem Alloc'!J272+'FR-16(7)(v)-3 PROD Comm Alloc'!J272</f>
        <v>0</v>
      </c>
      <c r="K272" s="345">
        <f t="shared" si="71"/>
        <v>0</v>
      </c>
      <c r="L272" s="345">
        <f t="shared" si="72"/>
        <v>0</v>
      </c>
    </row>
    <row r="273" spans="1:12" ht="13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3">
        <f>'FR-16(7)(v)-1 Functional'!F273</f>
        <v>0</v>
      </c>
      <c r="G273" s="347">
        <f>'FR-16(7)(v)-6 DISTR Cust Alloc'!G273+'FR-16(7)(v)-5 DISTR Dem Alloc'!G273+'FR-16(7)(v)-3 PROD Comm Alloc'!G273</f>
        <v>0</v>
      </c>
      <c r="H273" s="347">
        <f>'FR-16(7)(v)-6 DISTR Cust Alloc'!H273+'FR-16(7)(v)-5 DISTR Dem Alloc'!H273+'FR-16(7)(v)-3 PROD Comm Alloc'!H273</f>
        <v>0</v>
      </c>
      <c r="I273" s="347">
        <f>'FR-16(7)(v)-6 DISTR Cust Alloc'!I273+'FR-16(7)(v)-5 DISTR Dem Alloc'!I273+'FR-16(7)(v)-3 PROD Comm Alloc'!I273</f>
        <v>0</v>
      </c>
      <c r="J273" s="347">
        <f>'FR-16(7)(v)-6 DISTR Cust Alloc'!J273+'FR-16(7)(v)-5 DISTR Dem Alloc'!J273+'FR-16(7)(v)-3 PROD Comm Alloc'!J273</f>
        <v>0</v>
      </c>
      <c r="K273" s="345">
        <f t="shared" si="71"/>
        <v>0</v>
      </c>
      <c r="L273" s="345">
        <f t="shared" si="72"/>
        <v>0</v>
      </c>
    </row>
    <row r="274" spans="1:12" ht="13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3">
        <f>'FR-16(7)(v)-1 Functional'!F274</f>
        <v>506543</v>
      </c>
      <c r="G274" s="347">
        <f>'FR-16(7)(v)-6 DISTR Cust Alloc'!G274+'FR-16(7)(v)-5 DISTR Dem Alloc'!G274+'FR-16(7)(v)-3 PROD Comm Alloc'!G274</f>
        <v>342822</v>
      </c>
      <c r="H274" s="347">
        <f>'FR-16(7)(v)-6 DISTR Cust Alloc'!H274+'FR-16(7)(v)-5 DISTR Dem Alloc'!H274+'FR-16(7)(v)-3 PROD Comm Alloc'!H274</f>
        <v>121811</v>
      </c>
      <c r="I274" s="347">
        <f>'FR-16(7)(v)-6 DISTR Cust Alloc'!I274+'FR-16(7)(v)-5 DISTR Dem Alloc'!I274+'FR-16(7)(v)-3 PROD Comm Alloc'!I274</f>
        <v>31933</v>
      </c>
      <c r="J274" s="347">
        <f>'FR-16(7)(v)-6 DISTR Cust Alloc'!J274+'FR-16(7)(v)-5 DISTR Dem Alloc'!J274+'FR-16(7)(v)-3 PROD Comm Alloc'!J274</f>
        <v>9977</v>
      </c>
      <c r="K274" s="345">
        <f t="shared" si="71"/>
        <v>506543</v>
      </c>
      <c r="L274" s="345">
        <f t="shared" si="72"/>
        <v>0</v>
      </c>
    </row>
    <row r="275" spans="1:12" ht="13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L275" si="73">SUM(F251:F274)</f>
        <v>506543</v>
      </c>
      <c r="G275" s="346">
        <f t="shared" si="73"/>
        <v>342822</v>
      </c>
      <c r="H275" s="346">
        <f t="shared" si="73"/>
        <v>121811</v>
      </c>
      <c r="I275" s="346">
        <f t="shared" si="73"/>
        <v>31933</v>
      </c>
      <c r="J275" s="346">
        <f t="shared" si="73"/>
        <v>9977</v>
      </c>
      <c r="K275" s="346">
        <f t="shared" si="73"/>
        <v>506543</v>
      </c>
      <c r="L275" s="346">
        <f t="shared" si="73"/>
        <v>0</v>
      </c>
    </row>
    <row r="276" spans="1:12" ht="13">
      <c r="A276" s="331">
        <v>27</v>
      </c>
      <c r="D276" s="342"/>
      <c r="E276" s="195"/>
      <c r="I276" s="330"/>
    </row>
    <row r="277" spans="1:12" ht="13">
      <c r="A277" s="331">
        <v>28</v>
      </c>
      <c r="B277" s="330" t="s">
        <v>30</v>
      </c>
      <c r="D277" s="342"/>
      <c r="E277" s="195"/>
      <c r="I277" s="330"/>
    </row>
    <row r="278" spans="1:12" ht="13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3">
        <f>'FR-16(7)(v)-1 Functional'!F278</f>
        <v>0</v>
      </c>
      <c r="G278" s="347">
        <f>'FR-16(7)(v)-6 DISTR Cust Alloc'!G278+'FR-16(7)(v)-5 DISTR Dem Alloc'!G278+'FR-16(7)(v)-3 PROD Comm Alloc'!G278</f>
        <v>0</v>
      </c>
      <c r="H278" s="347">
        <f>'FR-16(7)(v)-6 DISTR Cust Alloc'!H278+'FR-16(7)(v)-5 DISTR Dem Alloc'!H278+'FR-16(7)(v)-3 PROD Comm Alloc'!H278</f>
        <v>0</v>
      </c>
      <c r="I278" s="347">
        <f>'FR-16(7)(v)-6 DISTR Cust Alloc'!I278+'FR-16(7)(v)-5 DISTR Dem Alloc'!I278+'FR-16(7)(v)-3 PROD Comm Alloc'!I278</f>
        <v>0</v>
      </c>
      <c r="J278" s="347">
        <f>'FR-16(7)(v)-6 DISTR Cust Alloc'!J278+'FR-16(7)(v)-5 DISTR Dem Alloc'!J278+'FR-16(7)(v)-3 PROD Comm Alloc'!J278</f>
        <v>0</v>
      </c>
      <c r="K278" s="345">
        <f>SUM(G278:J278)</f>
        <v>0</v>
      </c>
      <c r="L278" s="345">
        <f>F278-K278</f>
        <v>0</v>
      </c>
    </row>
    <row r="279" spans="1:12" ht="13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3">
        <f>'FR-16(7)(v)-1 Functional'!F279</f>
        <v>0</v>
      </c>
      <c r="G279" s="347">
        <f>'FR-16(7)(v)-6 DISTR Cust Alloc'!G279+'FR-16(7)(v)-5 DISTR Dem Alloc'!G279+'FR-16(7)(v)-3 PROD Comm Alloc'!G279</f>
        <v>0</v>
      </c>
      <c r="H279" s="347">
        <f>'FR-16(7)(v)-6 DISTR Cust Alloc'!H279+'FR-16(7)(v)-5 DISTR Dem Alloc'!H279+'FR-16(7)(v)-3 PROD Comm Alloc'!H279</f>
        <v>0</v>
      </c>
      <c r="I279" s="347">
        <f>'FR-16(7)(v)-6 DISTR Cust Alloc'!I279+'FR-16(7)(v)-5 DISTR Dem Alloc'!I279+'FR-16(7)(v)-3 PROD Comm Alloc'!I279</f>
        <v>0</v>
      </c>
      <c r="J279" s="347">
        <f>'FR-16(7)(v)-6 DISTR Cust Alloc'!J279+'FR-16(7)(v)-5 DISTR Dem Alloc'!J279+'FR-16(7)(v)-3 PROD Comm Alloc'!J279</f>
        <v>0</v>
      </c>
      <c r="K279" s="345">
        <f>SUM(G279:J279)</f>
        <v>0</v>
      </c>
      <c r="L279" s="345">
        <f>F279-K279</f>
        <v>0</v>
      </c>
    </row>
    <row r="280" spans="1:12" ht="13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3">
        <f>'FR-16(7)(v)-1 Functional'!F280</f>
        <v>0</v>
      </c>
      <c r="G280" s="347">
        <f>'FR-16(7)(v)-6 DISTR Cust Alloc'!G280+'FR-16(7)(v)-5 DISTR Dem Alloc'!G280+'FR-16(7)(v)-3 PROD Comm Alloc'!G280</f>
        <v>0</v>
      </c>
      <c r="H280" s="347">
        <f>'FR-16(7)(v)-6 DISTR Cust Alloc'!H280+'FR-16(7)(v)-5 DISTR Dem Alloc'!H280+'FR-16(7)(v)-3 PROD Comm Alloc'!H280</f>
        <v>0</v>
      </c>
      <c r="I280" s="347">
        <f>'FR-16(7)(v)-6 DISTR Cust Alloc'!I280+'FR-16(7)(v)-5 DISTR Dem Alloc'!I280+'FR-16(7)(v)-3 PROD Comm Alloc'!I280</f>
        <v>0</v>
      </c>
      <c r="J280" s="347">
        <f>'FR-16(7)(v)-6 DISTR Cust Alloc'!J280+'FR-16(7)(v)-5 DISTR Dem Alloc'!J280+'FR-16(7)(v)-3 PROD Comm Alloc'!J280</f>
        <v>0</v>
      </c>
      <c r="K280" s="345">
        <f>SUM(G280:J280)</f>
        <v>0</v>
      </c>
      <c r="L280" s="345">
        <f>F280-K280</f>
        <v>0</v>
      </c>
    </row>
    <row r="281" spans="1:12" ht="13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346">
        <f t="shared" ref="G281:L281" si="74">SUM(G277:G280)</f>
        <v>0</v>
      </c>
      <c r="H281" s="346">
        <f t="shared" si="74"/>
        <v>0</v>
      </c>
      <c r="I281" s="346">
        <f t="shared" si="74"/>
        <v>0</v>
      </c>
      <c r="J281" s="346">
        <f t="shared" si="74"/>
        <v>0</v>
      </c>
      <c r="K281" s="346">
        <f t="shared" si="74"/>
        <v>0</v>
      </c>
      <c r="L281" s="346">
        <f t="shared" si="74"/>
        <v>0</v>
      </c>
    </row>
    <row r="282" spans="1:12" ht="13">
      <c r="A282" s="331">
        <v>33</v>
      </c>
      <c r="D282" s="342"/>
      <c r="F282" s="333" t="s">
        <v>343</v>
      </c>
      <c r="I282" s="330"/>
    </row>
    <row r="283" spans="1:12" ht="13">
      <c r="A283" s="331">
        <v>34</v>
      </c>
      <c r="B283" s="330" t="s">
        <v>818</v>
      </c>
      <c r="D283" s="342"/>
      <c r="F283" s="345">
        <f t="shared" ref="F283:L283" si="75">F275+F281</f>
        <v>506543</v>
      </c>
      <c r="G283" s="345">
        <f t="shared" si="75"/>
        <v>342822</v>
      </c>
      <c r="H283" s="345">
        <f t="shared" si="75"/>
        <v>121811</v>
      </c>
      <c r="I283" s="345">
        <f t="shared" si="75"/>
        <v>31933</v>
      </c>
      <c r="J283" s="345">
        <f t="shared" si="75"/>
        <v>9977</v>
      </c>
      <c r="K283" s="345">
        <f t="shared" si="75"/>
        <v>506543</v>
      </c>
      <c r="L283" s="345">
        <f t="shared" si="75"/>
        <v>0</v>
      </c>
    </row>
    <row r="284" spans="1:12" ht="13">
      <c r="B284" s="341"/>
      <c r="C284" s="195"/>
      <c r="D284" s="342"/>
      <c r="E284" s="195"/>
      <c r="G284" s="195"/>
      <c r="H284" s="195"/>
      <c r="I284" s="195"/>
      <c r="J284" s="342"/>
      <c r="K284" s="195"/>
      <c r="L284" s="195"/>
    </row>
    <row r="285" spans="1:12" ht="13">
      <c r="A285" s="341" t="str">
        <f>co_name</f>
        <v>DUKE ENERGY KENTUCKY, INC.</v>
      </c>
      <c r="C285" s="195"/>
      <c r="D285" s="342"/>
      <c r="E285" s="195"/>
      <c r="F285" s="342"/>
      <c r="G285" s="340"/>
      <c r="H285" s="340"/>
      <c r="I285" s="195"/>
      <c r="K285" s="359" t="str">
        <f>$K$1</f>
        <v>FR-16(7)(v)-8</v>
      </c>
      <c r="L285" s="195"/>
    </row>
    <row r="286" spans="1:12" ht="13">
      <c r="A286" s="341" t="str">
        <f>$A$2</f>
        <v>TOTAL CLASS ALLOCATED - GAS COST OF SERVICE</v>
      </c>
      <c r="C286" s="195"/>
      <c r="D286" s="342"/>
      <c r="E286" s="195"/>
      <c r="F286" s="342"/>
      <c r="G286" s="340"/>
      <c r="H286" s="340"/>
      <c r="I286" s="195"/>
      <c r="K286" s="359" t="str">
        <f>$K$2</f>
        <v>WITNESS RESPONSIBLE:</v>
      </c>
      <c r="L286" s="195"/>
    </row>
    <row r="287" spans="1:12" ht="13">
      <c r="A287" s="341" t="str">
        <f>case_name</f>
        <v>CASE NO: 2021-00190</v>
      </c>
      <c r="C287" s="195"/>
      <c r="D287" s="342"/>
      <c r="E287" s="195"/>
      <c r="F287" s="342"/>
      <c r="G287" s="340"/>
      <c r="H287" s="340"/>
      <c r="I287" s="195"/>
      <c r="K287" s="359" t="str">
        <f>Witness</f>
        <v>JAMES E. ZIOLKOWSKI</v>
      </c>
      <c r="L287" s="195"/>
    </row>
    <row r="288" spans="1:12" ht="13">
      <c r="A288" s="341" t="str">
        <f>data_filing</f>
        <v>DATA: 12 MONTH FORECASTED PERIOD</v>
      </c>
      <c r="C288" s="195"/>
      <c r="D288" s="342"/>
      <c r="E288" s="195"/>
      <c r="F288" s="342"/>
      <c r="G288" s="340"/>
      <c r="H288" s="340"/>
      <c r="I288" s="195"/>
      <c r="K288" s="359" t="str">
        <f>"PAGE "&amp;Pages2-8&amp;" OF "&amp;Pages2</f>
        <v>PAGE 7 OF 15</v>
      </c>
      <c r="L288" s="195"/>
    </row>
    <row r="289" spans="1:12" ht="13">
      <c r="A289" s="341" t="str">
        <f>type</f>
        <v xml:space="preserve">TYPE OF FILING: "X" ORIGINAL   UPDATED    REVISED  </v>
      </c>
      <c r="C289" s="195"/>
      <c r="D289" s="342"/>
      <c r="E289" s="195"/>
      <c r="F289" s="342"/>
      <c r="G289" s="340"/>
      <c r="H289" s="340"/>
      <c r="I289" s="195"/>
      <c r="J289" s="342"/>
      <c r="K289" s="195"/>
      <c r="L289" s="195"/>
    </row>
    <row r="290" spans="1:12" ht="13">
      <c r="B290" s="341"/>
      <c r="C290" s="195"/>
      <c r="D290" s="342"/>
      <c r="E290" s="195"/>
      <c r="F290" s="342"/>
      <c r="G290" s="195"/>
      <c r="H290" s="195"/>
      <c r="I290" s="195"/>
      <c r="J290" s="342"/>
      <c r="K290" s="195"/>
      <c r="L290" s="195"/>
    </row>
    <row r="291" spans="1:12" ht="13">
      <c r="B291" s="341"/>
      <c r="C291" s="195"/>
      <c r="D291" s="342"/>
      <c r="E291" s="195"/>
      <c r="F291" s="342" t="str">
        <f>$F$7</f>
        <v>TOTAL</v>
      </c>
      <c r="G291" s="195"/>
      <c r="H291" s="195"/>
      <c r="I291" s="195"/>
      <c r="J291" s="342"/>
      <c r="K291" s="195"/>
      <c r="L291" s="195"/>
    </row>
    <row r="292" spans="1:12" ht="13">
      <c r="A292" s="342" t="s">
        <v>907</v>
      </c>
      <c r="B292" s="195"/>
      <c r="C292" s="195"/>
      <c r="D292" s="342"/>
      <c r="E292" s="195"/>
      <c r="F292" s="342" t="str">
        <f>$F$8</f>
        <v>CLASS</v>
      </c>
      <c r="G292" s="352" t="s">
        <v>766</v>
      </c>
      <c r="H292" s="352" t="s">
        <v>1256</v>
      </c>
      <c r="I292" s="352" t="s">
        <v>974</v>
      </c>
      <c r="J292" s="352" t="s">
        <v>546</v>
      </c>
      <c r="K292" s="352" t="s">
        <v>229</v>
      </c>
      <c r="L292" s="342" t="s">
        <v>342</v>
      </c>
    </row>
    <row r="293" spans="1:12" ht="13">
      <c r="A293" s="344" t="s">
        <v>908</v>
      </c>
      <c r="B293" s="343" t="s">
        <v>32</v>
      </c>
      <c r="C293" s="343"/>
      <c r="D293" s="344" t="s">
        <v>337</v>
      </c>
      <c r="E293" s="343"/>
      <c r="F293" s="342" t="str">
        <f>$F$9</f>
        <v>ALLOCATED</v>
      </c>
      <c r="G293" s="353" t="s">
        <v>338</v>
      </c>
      <c r="H293" s="353" t="s">
        <v>404</v>
      </c>
      <c r="I293" s="353" t="s">
        <v>1257</v>
      </c>
      <c r="J293" s="353" t="s">
        <v>547</v>
      </c>
      <c r="K293" s="353" t="s">
        <v>341</v>
      </c>
      <c r="L293" s="344" t="s">
        <v>340</v>
      </c>
    </row>
    <row r="294" spans="1:12" ht="13">
      <c r="C294" s="572" t="s">
        <v>556</v>
      </c>
      <c r="D294" s="342"/>
      <c r="E294" s="484"/>
      <c r="F294" s="757"/>
      <c r="G294" s="627">
        <f>$G$10</f>
        <v>3</v>
      </c>
      <c r="H294" s="627">
        <f>$H$10</f>
        <v>4</v>
      </c>
      <c r="I294" s="627">
        <f>$I$10</f>
        <v>5</v>
      </c>
      <c r="J294" s="627">
        <f>$J$10</f>
        <v>6</v>
      </c>
      <c r="K294" s="484"/>
      <c r="L294" s="484"/>
    </row>
    <row r="295" spans="1:12" ht="13">
      <c r="C295" s="572"/>
      <c r="D295" s="342"/>
      <c r="E295" s="484"/>
      <c r="F295" s="485"/>
      <c r="G295" s="627"/>
      <c r="H295" s="627"/>
      <c r="I295" s="627"/>
      <c r="J295" s="627"/>
      <c r="K295" s="484"/>
      <c r="L295" s="484"/>
    </row>
    <row r="296" spans="1:12" ht="13">
      <c r="A296" s="331">
        <v>1</v>
      </c>
      <c r="B296" s="330" t="s">
        <v>31</v>
      </c>
      <c r="D296" s="342"/>
      <c r="E296" s="195"/>
      <c r="F296" s="345">
        <f t="shared" ref="F296:L296" si="76">F191-F238+F283</f>
        <v>464319805.0958904</v>
      </c>
      <c r="G296" s="345">
        <f t="shared" si="76"/>
        <v>295869302</v>
      </c>
      <c r="H296" s="345">
        <f t="shared" si="76"/>
        <v>115821728</v>
      </c>
      <c r="I296" s="345">
        <f t="shared" si="76"/>
        <v>39801223</v>
      </c>
      <c r="J296" s="345">
        <f t="shared" si="76"/>
        <v>12827552</v>
      </c>
      <c r="K296" s="345">
        <f t="shared" si="76"/>
        <v>464319805</v>
      </c>
      <c r="L296" s="345">
        <f t="shared" si="76"/>
        <v>9.5890402793884277E-2</v>
      </c>
    </row>
    <row r="297" spans="1:12" ht="13">
      <c r="A297" s="331">
        <v>2</v>
      </c>
      <c r="D297" s="342"/>
      <c r="E297" s="195"/>
      <c r="I297" s="330"/>
    </row>
    <row r="298" spans="1:12" ht="13">
      <c r="A298" s="331">
        <v>3</v>
      </c>
      <c r="B298" s="330" t="s">
        <v>32</v>
      </c>
      <c r="D298" s="342"/>
      <c r="E298" s="195"/>
      <c r="I298" s="330"/>
    </row>
    <row r="299" spans="1:12" ht="13">
      <c r="A299" s="331">
        <v>4</v>
      </c>
      <c r="D299" s="342"/>
      <c r="E299" s="195"/>
      <c r="I299" s="330"/>
    </row>
    <row r="300" spans="1:12" ht="13">
      <c r="A300" s="331">
        <v>5</v>
      </c>
      <c r="B300" s="330" t="s">
        <v>33</v>
      </c>
      <c r="D300" s="342"/>
      <c r="E300" s="195"/>
      <c r="I300" s="330"/>
    </row>
    <row r="301" spans="1:12" ht="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3">
        <f>'FR-16(7)(v)-1 Functional'!F301</f>
        <v>1785156</v>
      </c>
      <c r="G301" s="347">
        <f>'FR-16(7)(v)-6 DISTR Cust Alloc'!G301+'FR-16(7)(v)-5 DISTR Dem Alloc'!G301+'FR-16(7)(v)-3 PROD Comm Alloc'!G301</f>
        <v>1125112</v>
      </c>
      <c r="H301" s="347">
        <f>'FR-16(7)(v)-6 DISTR Cust Alloc'!H301+'FR-16(7)(v)-5 DISTR Dem Alloc'!H301+'FR-16(7)(v)-3 PROD Comm Alloc'!H301</f>
        <v>660044</v>
      </c>
      <c r="I301" s="347">
        <f>'FR-16(7)(v)-6 DISTR Cust Alloc'!I301+'FR-16(7)(v)-5 DISTR Dem Alloc'!I301+'FR-16(7)(v)-3 PROD Comm Alloc'!I301</f>
        <v>0</v>
      </c>
      <c r="J301" s="347">
        <f>'FR-16(7)(v)-6 DISTR Cust Alloc'!J301+'FR-16(7)(v)-5 DISTR Dem Alloc'!J301+'FR-16(7)(v)-3 PROD Comm Alloc'!J301</f>
        <v>0</v>
      </c>
      <c r="K301" s="345">
        <f>SUM(G301:J301)</f>
        <v>1785156</v>
      </c>
      <c r="L301" s="345">
        <f>F301-K301</f>
        <v>0</v>
      </c>
    </row>
    <row r="302" spans="1:12" ht="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3">
        <f>'FR-16(7)(v)-1 Functional'!F302</f>
        <v>422179</v>
      </c>
      <c r="G302" s="347">
        <f>'FR-16(7)(v)-6 DISTR Cust Alloc'!G302+'FR-16(7)(v)-5 DISTR Dem Alloc'!G302+'FR-16(7)(v)-3 PROD Comm Alloc'!G302</f>
        <v>268974</v>
      </c>
      <c r="H302" s="347">
        <f>'FR-16(7)(v)-6 DISTR Cust Alloc'!H302+'FR-16(7)(v)-5 DISTR Dem Alloc'!H302+'FR-16(7)(v)-3 PROD Comm Alloc'!H302</f>
        <v>105319</v>
      </c>
      <c r="I302" s="347">
        <f>'FR-16(7)(v)-6 DISTR Cust Alloc'!I302+'FR-16(7)(v)-5 DISTR Dem Alloc'!I302+'FR-16(7)(v)-3 PROD Comm Alloc'!I302</f>
        <v>36213</v>
      </c>
      <c r="J302" s="347">
        <f>'FR-16(7)(v)-6 DISTR Cust Alloc'!J302+'FR-16(7)(v)-5 DISTR Dem Alloc'!J302+'FR-16(7)(v)-3 PROD Comm Alloc'!J302</f>
        <v>11673</v>
      </c>
      <c r="K302" s="345">
        <f>SUM(G302:J302)</f>
        <v>422179</v>
      </c>
      <c r="L302" s="345">
        <f>F302-K302</f>
        <v>0</v>
      </c>
    </row>
    <row r="303" spans="1:12" ht="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L303" si="77">SUM(F300:F302)</f>
        <v>2207335</v>
      </c>
      <c r="G303" s="346">
        <f t="shared" si="77"/>
        <v>1394086</v>
      </c>
      <c r="H303" s="346">
        <f t="shared" si="77"/>
        <v>765363</v>
      </c>
      <c r="I303" s="346">
        <f t="shared" si="77"/>
        <v>36213</v>
      </c>
      <c r="J303" s="346">
        <f t="shared" si="77"/>
        <v>11673</v>
      </c>
      <c r="K303" s="346">
        <f t="shared" si="77"/>
        <v>2207335</v>
      </c>
      <c r="L303" s="346">
        <f t="shared" si="77"/>
        <v>0</v>
      </c>
    </row>
    <row r="304" spans="1:12" ht="13">
      <c r="A304" s="331">
        <v>9</v>
      </c>
      <c r="B304" s="330" t="s">
        <v>34</v>
      </c>
      <c r="D304" s="342"/>
      <c r="E304" s="195"/>
      <c r="F304" s="345">
        <f t="shared" ref="F304:L304" si="78">F303</f>
        <v>2207335</v>
      </c>
      <c r="G304" s="664">
        <f t="shared" si="78"/>
        <v>1394086</v>
      </c>
      <c r="H304" s="664">
        <f t="shared" si="78"/>
        <v>765363</v>
      </c>
      <c r="I304" s="345">
        <f t="shared" si="78"/>
        <v>36213</v>
      </c>
      <c r="J304" s="345">
        <f t="shared" si="78"/>
        <v>11673</v>
      </c>
      <c r="K304" s="345">
        <f t="shared" si="78"/>
        <v>2207335</v>
      </c>
      <c r="L304" s="345">
        <f t="shared" si="78"/>
        <v>0</v>
      </c>
    </row>
    <row r="305" spans="1:12" ht="13">
      <c r="A305" s="331">
        <v>10</v>
      </c>
      <c r="D305" s="342"/>
      <c r="E305" s="195"/>
      <c r="I305" s="330"/>
    </row>
    <row r="306" spans="1:12" ht="13">
      <c r="A306" s="331">
        <v>11</v>
      </c>
      <c r="B306" s="330" t="s">
        <v>35</v>
      </c>
      <c r="D306" s="342"/>
      <c r="E306" s="195"/>
      <c r="I306" s="330"/>
    </row>
    <row r="307" spans="1:12" ht="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3">
        <f>'FR-16(7)(v)-1 Functional'!F307</f>
        <v>101112</v>
      </c>
      <c r="G307" s="347">
        <f>'FR-16(7)(v)-6 DISTR Cust Alloc'!G307+'FR-16(7)(v)-5 DISTR Dem Alloc'!G307+'FR-16(7)(v)-3 PROD Comm Alloc'!G307</f>
        <v>65660</v>
      </c>
      <c r="H307" s="347">
        <f>'FR-16(7)(v)-6 DISTR Cust Alloc'!H307+'FR-16(7)(v)-5 DISTR Dem Alloc'!H307+'FR-16(7)(v)-3 PROD Comm Alloc'!H307</f>
        <v>32029</v>
      </c>
      <c r="I307" s="347">
        <f>'FR-16(7)(v)-6 DISTR Cust Alloc'!I307+'FR-16(7)(v)-5 DISTR Dem Alloc'!I307+'FR-16(7)(v)-3 PROD Comm Alloc'!I307</f>
        <v>2501</v>
      </c>
      <c r="J307" s="347">
        <f>'FR-16(7)(v)-6 DISTR Cust Alloc'!J307+'FR-16(7)(v)-5 DISTR Dem Alloc'!J307+'FR-16(7)(v)-3 PROD Comm Alloc'!J307</f>
        <v>922</v>
      </c>
      <c r="K307" s="345">
        <f>SUM(G307:J307)</f>
        <v>101112</v>
      </c>
      <c r="L307" s="345">
        <f>F307-K307</f>
        <v>0</v>
      </c>
    </row>
    <row r="308" spans="1:12" ht="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3">
        <f>'FR-16(7)(v)-1 Functional'!F308</f>
        <v>0</v>
      </c>
      <c r="G308" s="347">
        <f>'FR-16(7)(v)-6 DISTR Cust Alloc'!G308+'FR-16(7)(v)-5 DISTR Dem Alloc'!G308+'FR-16(7)(v)-3 PROD Comm Alloc'!G308</f>
        <v>0</v>
      </c>
      <c r="H308" s="347">
        <f>'FR-16(7)(v)-6 DISTR Cust Alloc'!H308+'FR-16(7)(v)-5 DISTR Dem Alloc'!H308+'FR-16(7)(v)-3 PROD Comm Alloc'!H308</f>
        <v>0</v>
      </c>
      <c r="I308" s="347">
        <f>'FR-16(7)(v)-6 DISTR Cust Alloc'!I308+'FR-16(7)(v)-5 DISTR Dem Alloc'!I308+'FR-16(7)(v)-3 PROD Comm Alloc'!I308</f>
        <v>0</v>
      </c>
      <c r="J308" s="347">
        <f>'FR-16(7)(v)-6 DISTR Cust Alloc'!J308+'FR-16(7)(v)-5 DISTR Dem Alloc'!J308+'FR-16(7)(v)-3 PROD Comm Alloc'!J308</f>
        <v>0</v>
      </c>
      <c r="K308" s="345">
        <f>SUM(G308:J308)</f>
        <v>0</v>
      </c>
      <c r="L308" s="345">
        <f>F308-K308</f>
        <v>0</v>
      </c>
    </row>
    <row r="309" spans="1:12" ht="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3">
        <f>'FR-16(7)(v)-1 Functional'!F309</f>
        <v>0</v>
      </c>
      <c r="G309" s="347">
        <f>'FR-16(7)(v)-6 DISTR Cust Alloc'!G309+'FR-16(7)(v)-5 DISTR Dem Alloc'!G309+'FR-16(7)(v)-3 PROD Comm Alloc'!G309</f>
        <v>0</v>
      </c>
      <c r="H309" s="347">
        <f>'FR-16(7)(v)-6 DISTR Cust Alloc'!H309+'FR-16(7)(v)-5 DISTR Dem Alloc'!H309+'FR-16(7)(v)-3 PROD Comm Alloc'!H309</f>
        <v>0</v>
      </c>
      <c r="I309" s="347">
        <f>'FR-16(7)(v)-6 DISTR Cust Alloc'!I309+'FR-16(7)(v)-5 DISTR Dem Alloc'!I309+'FR-16(7)(v)-3 PROD Comm Alloc'!I309</f>
        <v>0</v>
      </c>
      <c r="J309" s="347">
        <f>'FR-16(7)(v)-6 DISTR Cust Alloc'!J309+'FR-16(7)(v)-5 DISTR Dem Alloc'!J309+'FR-16(7)(v)-3 PROD Comm Alloc'!J309</f>
        <v>0</v>
      </c>
      <c r="K309" s="345">
        <f>SUM(G309:J309)</f>
        <v>0</v>
      </c>
      <c r="L309" s="345">
        <f>F309-K309</f>
        <v>0</v>
      </c>
    </row>
    <row r="310" spans="1:12" ht="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3">
        <f t="shared" ref="F310:L310" si="79">SUM(F306:F309)</f>
        <v>101112</v>
      </c>
      <c r="G310" s="573">
        <f t="shared" si="79"/>
        <v>65660</v>
      </c>
      <c r="H310" s="573">
        <f t="shared" si="79"/>
        <v>32029</v>
      </c>
      <c r="I310" s="573">
        <f t="shared" si="79"/>
        <v>2501</v>
      </c>
      <c r="J310" s="573">
        <f t="shared" si="79"/>
        <v>922</v>
      </c>
      <c r="K310" s="573">
        <f t="shared" si="79"/>
        <v>101112</v>
      </c>
      <c r="L310" s="573">
        <f t="shared" si="79"/>
        <v>0</v>
      </c>
    </row>
    <row r="311" spans="1:12" ht="13">
      <c r="A311" s="331">
        <v>16</v>
      </c>
      <c r="D311" s="342"/>
      <c r="E311" s="195"/>
      <c r="I311" s="330"/>
    </row>
    <row r="312" spans="1:12" ht="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345">
        <f>F312-SUM(H312:J312)</f>
        <v>0</v>
      </c>
      <c r="H312" s="345">
        <f>IF(WorkingCap="No",0,ROUND((H433-H348-H353)/8,0))</f>
        <v>0</v>
      </c>
      <c r="I312" s="345">
        <f>IF(WorkingCap="No",0,ROUND((I433-I348-I353)/8,0))</f>
        <v>0</v>
      </c>
      <c r="J312" s="345">
        <f>IF(WorkingCap="No",0,ROUND((J433-J348-J353)/8,0))</f>
        <v>0</v>
      </c>
      <c r="K312" s="345">
        <f>SUM(G312:J312)</f>
        <v>0</v>
      </c>
      <c r="L312" s="345">
        <f>F312-K312</f>
        <v>0</v>
      </c>
    </row>
    <row r="313" spans="1:12" ht="13">
      <c r="A313" s="331">
        <v>18</v>
      </c>
      <c r="B313" s="330" t="s">
        <v>37</v>
      </c>
      <c r="D313" s="342"/>
      <c r="E313" s="195"/>
      <c r="F313" s="345">
        <f t="shared" ref="F313:L313" si="80">F312</f>
        <v>0</v>
      </c>
      <c r="G313" s="664">
        <f t="shared" si="80"/>
        <v>0</v>
      </c>
      <c r="H313" s="664">
        <f t="shared" si="80"/>
        <v>0</v>
      </c>
      <c r="I313" s="664">
        <f t="shared" si="80"/>
        <v>0</v>
      </c>
      <c r="J313" s="345">
        <f t="shared" si="80"/>
        <v>0</v>
      </c>
      <c r="K313" s="345">
        <f t="shared" si="80"/>
        <v>0</v>
      </c>
      <c r="L313" s="345">
        <f t="shared" si="80"/>
        <v>0</v>
      </c>
    </row>
    <row r="314" spans="1:12" ht="13">
      <c r="A314" s="331">
        <v>19</v>
      </c>
      <c r="D314" s="342"/>
      <c r="E314" s="195"/>
      <c r="I314" s="330"/>
    </row>
    <row r="315" spans="1:12" ht="13">
      <c r="A315" s="331">
        <v>20</v>
      </c>
      <c r="B315" s="330" t="s">
        <v>38</v>
      </c>
      <c r="D315" s="342"/>
      <c r="E315" s="195"/>
      <c r="I315" s="330"/>
    </row>
    <row r="316" spans="1:12" ht="13">
      <c r="A316" s="331">
        <v>21</v>
      </c>
      <c r="C316" s="612" t="str">
        <f>'FR-16(7)(v)-1 Functional'!C316</f>
        <v>GAS STORED UNDERGROUND</v>
      </c>
      <c r="D316" s="342" t="str">
        <f>'FR-16(7)(v)-1 Functional'!D316</f>
        <v>K301</v>
      </c>
      <c r="E316" s="195"/>
      <c r="F316" s="473">
        <f>'FR-16(7)(v)-1 Functional'!F316</f>
        <v>1692954</v>
      </c>
      <c r="G316" s="347">
        <f>'FR-16(7)(v)-6 DISTR Cust Alloc'!G316+'FR-16(7)(v)-5 DISTR Dem Alloc'!G316+'FR-16(7)(v)-3 PROD Comm Alloc'!G316</f>
        <v>1067001</v>
      </c>
      <c r="H316" s="347">
        <f>'FR-16(7)(v)-6 DISTR Cust Alloc'!H316+'FR-16(7)(v)-5 DISTR Dem Alloc'!H316+'FR-16(7)(v)-3 PROD Comm Alloc'!H316</f>
        <v>625953</v>
      </c>
      <c r="I316" s="347">
        <f>'FR-16(7)(v)-6 DISTR Cust Alloc'!I316+'FR-16(7)(v)-5 DISTR Dem Alloc'!I316+'FR-16(7)(v)-3 PROD Comm Alloc'!I316</f>
        <v>0</v>
      </c>
      <c r="J316" s="347">
        <f>'FR-16(7)(v)-6 DISTR Cust Alloc'!J316+'FR-16(7)(v)-5 DISTR Dem Alloc'!J316+'FR-16(7)(v)-3 PROD Comm Alloc'!J316</f>
        <v>0</v>
      </c>
      <c r="K316" s="345">
        <f>SUM(G316:J316)</f>
        <v>1692954</v>
      </c>
      <c r="L316" s="345">
        <f>F316-K316</f>
        <v>0</v>
      </c>
    </row>
    <row r="317" spans="1:12" ht="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3">
        <f>'FR-16(7)(v)-1 Functional'!F317</f>
        <v>0</v>
      </c>
      <c r="G317" s="347">
        <f>'FR-16(7)(v)-6 DISTR Cust Alloc'!G317+'FR-16(7)(v)-5 DISTR Dem Alloc'!G317+'FR-16(7)(v)-3 PROD Comm Alloc'!G317</f>
        <v>0</v>
      </c>
      <c r="H317" s="347">
        <f>'FR-16(7)(v)-6 DISTR Cust Alloc'!H317+'FR-16(7)(v)-5 DISTR Dem Alloc'!H317+'FR-16(7)(v)-3 PROD Comm Alloc'!H317</f>
        <v>0</v>
      </c>
      <c r="I317" s="347">
        <f>'FR-16(7)(v)-6 DISTR Cust Alloc'!I317+'FR-16(7)(v)-5 DISTR Dem Alloc'!I317+'FR-16(7)(v)-3 PROD Comm Alloc'!I317</f>
        <v>0</v>
      </c>
      <c r="J317" s="347">
        <f>'FR-16(7)(v)-6 DISTR Cust Alloc'!J317+'FR-16(7)(v)-5 DISTR Dem Alloc'!J317+'FR-16(7)(v)-3 PROD Comm Alloc'!J317</f>
        <v>0</v>
      </c>
      <c r="K317" s="345">
        <f>SUM(G317:J317)</f>
        <v>0</v>
      </c>
      <c r="L317" s="345">
        <f>F317-K317</f>
        <v>0</v>
      </c>
    </row>
    <row r="318" spans="1:12" ht="13">
      <c r="A318" s="331">
        <v>23</v>
      </c>
      <c r="C318" s="505" t="str">
        <f>'FR-16(7)(v)-1 Functional'!C318</f>
        <v>RESERVED FOR FUTURE USE</v>
      </c>
      <c r="D318" s="342" t="str">
        <f>'FR-16(7)(v)-1 Functional'!D318</f>
        <v>D249</v>
      </c>
      <c r="E318" s="195"/>
      <c r="F318" s="473">
        <f>'FR-16(7)(v)-1 Functional'!F318</f>
        <v>0</v>
      </c>
      <c r="G318" s="347">
        <f>'FR-16(7)(v)-6 DISTR Cust Alloc'!G318+'FR-16(7)(v)-5 DISTR Dem Alloc'!G318+'FR-16(7)(v)-3 PROD Comm Alloc'!G318</f>
        <v>0</v>
      </c>
      <c r="H318" s="347">
        <f>'FR-16(7)(v)-6 DISTR Cust Alloc'!H318+'FR-16(7)(v)-5 DISTR Dem Alloc'!H318+'FR-16(7)(v)-3 PROD Comm Alloc'!H318</f>
        <v>0</v>
      </c>
      <c r="I318" s="347">
        <f>'FR-16(7)(v)-6 DISTR Cust Alloc'!I318+'FR-16(7)(v)-5 DISTR Dem Alloc'!I318+'FR-16(7)(v)-3 PROD Comm Alloc'!I318</f>
        <v>0</v>
      </c>
      <c r="J318" s="347">
        <f>'FR-16(7)(v)-6 DISTR Cust Alloc'!J318+'FR-16(7)(v)-5 DISTR Dem Alloc'!J318+'FR-16(7)(v)-3 PROD Comm Alloc'!J318</f>
        <v>0</v>
      </c>
      <c r="K318" s="345">
        <f>SUM(G318:J318)</f>
        <v>0</v>
      </c>
      <c r="L318" s="345">
        <f>F318-K318</f>
        <v>0</v>
      </c>
    </row>
    <row r="319" spans="1:12" ht="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L319" si="81">SUM(F315:F318)</f>
        <v>1692954</v>
      </c>
      <c r="G319" s="346">
        <f t="shared" si="81"/>
        <v>1067001</v>
      </c>
      <c r="H319" s="346">
        <f t="shared" si="81"/>
        <v>625953</v>
      </c>
      <c r="I319" s="346">
        <f t="shared" si="81"/>
        <v>0</v>
      </c>
      <c r="J319" s="346">
        <f t="shared" si="81"/>
        <v>0</v>
      </c>
      <c r="K319" s="346">
        <f t="shared" si="81"/>
        <v>1692954</v>
      </c>
      <c r="L319" s="346">
        <f t="shared" si="81"/>
        <v>0</v>
      </c>
    </row>
    <row r="320" spans="1:12" ht="13">
      <c r="A320" s="331">
        <v>25</v>
      </c>
      <c r="D320" s="342"/>
      <c r="E320" s="195"/>
      <c r="I320" s="330"/>
    </row>
    <row r="321" spans="1:12" ht="13">
      <c r="A321" s="331">
        <v>26</v>
      </c>
      <c r="B321" s="330" t="s">
        <v>39</v>
      </c>
      <c r="D321" s="342"/>
      <c r="E321" s="195"/>
      <c r="F321" s="345">
        <f t="shared" ref="F321:L321" si="82">F304+F310+F313+F319</f>
        <v>4001401</v>
      </c>
      <c r="G321" s="345">
        <f t="shared" si="82"/>
        <v>2526747</v>
      </c>
      <c r="H321" s="345">
        <f t="shared" si="82"/>
        <v>1423345</v>
      </c>
      <c r="I321" s="345">
        <f t="shared" si="82"/>
        <v>38714</v>
      </c>
      <c r="J321" s="345">
        <f t="shared" si="82"/>
        <v>12595</v>
      </c>
      <c r="K321" s="345">
        <f t="shared" si="82"/>
        <v>4001401</v>
      </c>
      <c r="L321" s="345">
        <f t="shared" si="82"/>
        <v>0</v>
      </c>
    </row>
    <row r="322" spans="1:12" ht="13">
      <c r="A322" s="331">
        <v>27</v>
      </c>
      <c r="B322" s="330" t="s">
        <v>40</v>
      </c>
      <c r="D322" s="342"/>
      <c r="E322" s="195"/>
      <c r="I322" s="330"/>
    </row>
    <row r="323" spans="1:12" ht="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L323" si="83">-F238</f>
        <v>-101091618.9041096</v>
      </c>
      <c r="G323" s="345">
        <f t="shared" si="83"/>
        <v>-64381699</v>
      </c>
      <c r="H323" s="345">
        <f t="shared" si="83"/>
        <v>-25224608</v>
      </c>
      <c r="I323" s="345">
        <f t="shared" si="83"/>
        <v>-8685325</v>
      </c>
      <c r="J323" s="345">
        <f t="shared" si="83"/>
        <v>-2799987</v>
      </c>
      <c r="K323" s="345">
        <f t="shared" si="83"/>
        <v>-101091619</v>
      </c>
      <c r="L323" s="345">
        <f t="shared" si="83"/>
        <v>9.5890402793884277E-2</v>
      </c>
    </row>
    <row r="324" spans="1:12" ht="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L324" si="84">F283</f>
        <v>506543</v>
      </c>
      <c r="G324" s="345">
        <f t="shared" si="84"/>
        <v>342822</v>
      </c>
      <c r="H324" s="345">
        <f t="shared" si="84"/>
        <v>121811</v>
      </c>
      <c r="I324" s="345">
        <f t="shared" si="84"/>
        <v>31933</v>
      </c>
      <c r="J324" s="345">
        <f t="shared" si="84"/>
        <v>9977</v>
      </c>
      <c r="K324" s="345">
        <f t="shared" si="84"/>
        <v>506543</v>
      </c>
      <c r="L324" s="345">
        <f t="shared" si="84"/>
        <v>0</v>
      </c>
    </row>
    <row r="325" spans="1:12" ht="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L325" si="85">F321</f>
        <v>4001401</v>
      </c>
      <c r="G325" s="345">
        <f t="shared" si="85"/>
        <v>2526747</v>
      </c>
      <c r="H325" s="345">
        <f t="shared" si="85"/>
        <v>1423345</v>
      </c>
      <c r="I325" s="345">
        <f t="shared" si="85"/>
        <v>38714</v>
      </c>
      <c r="J325" s="345">
        <f t="shared" si="85"/>
        <v>12595</v>
      </c>
      <c r="K325" s="345">
        <f t="shared" si="85"/>
        <v>4001401</v>
      </c>
      <c r="L325" s="345">
        <f t="shared" si="85"/>
        <v>0</v>
      </c>
    </row>
    <row r="326" spans="1:12" ht="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L326" si="86">SUM(F322:F325)</f>
        <v>-96583674.904109597</v>
      </c>
      <c r="G326" s="346">
        <f t="shared" si="86"/>
        <v>-61512130</v>
      </c>
      <c r="H326" s="346">
        <f t="shared" si="86"/>
        <v>-23679452</v>
      </c>
      <c r="I326" s="346">
        <f t="shared" si="86"/>
        <v>-8614678</v>
      </c>
      <c r="J326" s="346">
        <f t="shared" si="86"/>
        <v>-2777415</v>
      </c>
      <c r="K326" s="346">
        <f t="shared" si="86"/>
        <v>-96583675</v>
      </c>
      <c r="L326" s="346">
        <f t="shared" si="86"/>
        <v>9.5890402793884277E-2</v>
      </c>
    </row>
    <row r="327" spans="1:12" ht="13">
      <c r="A327" s="331">
        <v>32</v>
      </c>
      <c r="D327" s="342"/>
      <c r="E327" s="195"/>
      <c r="I327" s="330"/>
    </row>
    <row r="328" spans="1:12" ht="13">
      <c r="A328" s="331">
        <v>33</v>
      </c>
      <c r="B328" s="330" t="s">
        <v>41</v>
      </c>
      <c r="D328" s="342"/>
      <c r="E328" s="195"/>
      <c r="I328" s="330"/>
    </row>
    <row r="329" spans="1:12" ht="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L329" si="87">F191</f>
        <v>564904881</v>
      </c>
      <c r="G329" s="345">
        <f t="shared" si="87"/>
        <v>359908179</v>
      </c>
      <c r="H329" s="345">
        <f t="shared" si="87"/>
        <v>140924525</v>
      </c>
      <c r="I329" s="345">
        <f t="shared" si="87"/>
        <v>48454615</v>
      </c>
      <c r="J329" s="345">
        <f t="shared" si="87"/>
        <v>15617562</v>
      </c>
      <c r="K329" s="345">
        <f t="shared" si="87"/>
        <v>564904881</v>
      </c>
      <c r="L329" s="345">
        <f t="shared" si="87"/>
        <v>0</v>
      </c>
    </row>
    <row r="330" spans="1:12" ht="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L330" si="88">F326</f>
        <v>-96583674.904109597</v>
      </c>
      <c r="G330" s="345">
        <f t="shared" si="88"/>
        <v>-61512130</v>
      </c>
      <c r="H330" s="345">
        <f t="shared" si="88"/>
        <v>-23679452</v>
      </c>
      <c r="I330" s="345">
        <f t="shared" si="88"/>
        <v>-8614678</v>
      </c>
      <c r="J330" s="345">
        <f t="shared" si="88"/>
        <v>-2777415</v>
      </c>
      <c r="K330" s="345">
        <f t="shared" si="88"/>
        <v>-96583675</v>
      </c>
      <c r="L330" s="345">
        <f t="shared" si="88"/>
        <v>9.5890402793884277E-2</v>
      </c>
    </row>
    <row r="331" spans="1:12" ht="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L331" si="89">SUM(F328:F330)</f>
        <v>468321206.0958904</v>
      </c>
      <c r="G331" s="346">
        <f t="shared" si="89"/>
        <v>298396049</v>
      </c>
      <c r="H331" s="346">
        <f t="shared" si="89"/>
        <v>117245073</v>
      </c>
      <c r="I331" s="346">
        <f t="shared" si="89"/>
        <v>39839937</v>
      </c>
      <c r="J331" s="346">
        <f t="shared" si="89"/>
        <v>12840147</v>
      </c>
      <c r="K331" s="346">
        <f t="shared" si="89"/>
        <v>468321206</v>
      </c>
      <c r="L331" s="346">
        <f t="shared" si="89"/>
        <v>9.5890402793884277E-2</v>
      </c>
    </row>
    <row r="332" spans="1:12" ht="13">
      <c r="A332" s="331">
        <v>37</v>
      </c>
      <c r="D332" s="342"/>
      <c r="E332" s="195"/>
      <c r="I332" s="330"/>
    </row>
    <row r="333" spans="1:12" ht="13">
      <c r="A333" s="331">
        <v>38</v>
      </c>
      <c r="B333" s="330" t="s">
        <v>42</v>
      </c>
      <c r="D333" s="342"/>
      <c r="E333" s="195"/>
      <c r="F333" s="1273">
        <f>$F$688</f>
        <v>7.060000000000001E-2</v>
      </c>
      <c r="G333" s="1273">
        <f>F688</f>
        <v>7.060000000000001E-2</v>
      </c>
      <c r="H333" s="1273">
        <f>F688</f>
        <v>7.060000000000001E-2</v>
      </c>
      <c r="I333" s="1273">
        <f>F688</f>
        <v>7.060000000000001E-2</v>
      </c>
      <c r="J333" s="1273">
        <f>F688</f>
        <v>7.060000000000001E-2</v>
      </c>
      <c r="K333" s="1273">
        <f>F688</f>
        <v>7.060000000000001E-2</v>
      </c>
      <c r="L333" s="1273">
        <f>'FR-16(7)(v)-1 Functional'!F688</f>
        <v>7.060000000000001E-2</v>
      </c>
    </row>
    <row r="334" spans="1:12" ht="13">
      <c r="A334" s="331">
        <v>39</v>
      </c>
      <c r="B334" s="330" t="s">
        <v>43</v>
      </c>
      <c r="D334" s="342"/>
      <c r="E334" s="195"/>
      <c r="F334" s="345">
        <f>ROUND(F333*F331,0)</f>
        <v>33063477</v>
      </c>
      <c r="G334" s="345">
        <f>F334-SUM(H334:J334)</f>
        <v>21066761</v>
      </c>
      <c r="H334" s="471">
        <f>ROUND(H331*H333,0)</f>
        <v>8277502</v>
      </c>
      <c r="I334" s="471">
        <f>ROUND(I331*I333,0)</f>
        <v>2812700</v>
      </c>
      <c r="J334" s="471">
        <f>ROUND(J331*J333,0)</f>
        <v>906514</v>
      </c>
      <c r="K334" s="345">
        <f>SUM(G334:J334)</f>
        <v>33063477</v>
      </c>
      <c r="L334" s="345">
        <f>ROUND(L331*L333,0)</f>
        <v>0</v>
      </c>
    </row>
    <row r="335" spans="1:12" ht="13">
      <c r="B335" s="341"/>
      <c r="C335" s="195"/>
      <c r="D335" s="342"/>
      <c r="E335" s="195"/>
      <c r="G335" s="195"/>
      <c r="H335" s="195"/>
      <c r="I335" s="195"/>
      <c r="J335" s="342"/>
      <c r="K335" s="195"/>
      <c r="L335" s="195"/>
    </row>
    <row r="336" spans="1:12" ht="13">
      <c r="A336" s="341" t="str">
        <f>co_name</f>
        <v>DUKE ENERGY KENTUCKY, INC.</v>
      </c>
      <c r="C336" s="195"/>
      <c r="D336" s="342"/>
      <c r="E336" s="195"/>
      <c r="F336" s="342"/>
      <c r="G336" s="340"/>
      <c r="H336" s="340"/>
      <c r="I336" s="195"/>
      <c r="K336" s="359" t="str">
        <f>$K$1</f>
        <v>FR-16(7)(v)-8</v>
      </c>
      <c r="L336" s="195"/>
    </row>
    <row r="337" spans="1:12" ht="13">
      <c r="A337" s="341" t="str">
        <f>$A$2</f>
        <v>TOTAL CLASS ALLOCATED - GAS COST OF SERVICE</v>
      </c>
      <c r="C337" s="195"/>
      <c r="D337" s="342"/>
      <c r="E337" s="195"/>
      <c r="F337" s="342"/>
      <c r="G337" s="340"/>
      <c r="H337" s="340"/>
      <c r="I337" s="195"/>
      <c r="K337" s="359" t="str">
        <f>$K$2</f>
        <v>WITNESS RESPONSIBLE:</v>
      </c>
      <c r="L337" s="195"/>
    </row>
    <row r="338" spans="1:12" ht="13">
      <c r="A338" s="341" t="str">
        <f>case_name</f>
        <v>CASE NO: 2021-00190</v>
      </c>
      <c r="C338" s="195"/>
      <c r="D338" s="342"/>
      <c r="E338" s="195"/>
      <c r="F338" s="342"/>
      <c r="G338" s="340"/>
      <c r="H338" s="340"/>
      <c r="I338" s="195"/>
      <c r="K338" s="359" t="str">
        <f>Witness</f>
        <v>JAMES E. ZIOLKOWSKI</v>
      </c>
      <c r="L338" s="195"/>
    </row>
    <row r="339" spans="1:12" ht="13">
      <c r="A339" s="341" t="str">
        <f>data_filing</f>
        <v>DATA: 12 MONTH FORECASTED PERIOD</v>
      </c>
      <c r="C339" s="195"/>
      <c r="D339" s="342"/>
      <c r="E339" s="195"/>
      <c r="F339" s="342"/>
      <c r="G339" s="340"/>
      <c r="H339" s="340"/>
      <c r="I339" s="195"/>
      <c r="K339" s="359" t="str">
        <f>"PAGE "&amp;Pages2-7&amp;" OF "&amp;Pages2</f>
        <v>PAGE 8 OF 15</v>
      </c>
      <c r="L339" s="195"/>
    </row>
    <row r="340" spans="1:12" ht="13">
      <c r="A340" s="341" t="str">
        <f>type</f>
        <v xml:space="preserve">TYPE OF FILING: "X" ORIGINAL   UPDATED    REVISED  </v>
      </c>
      <c r="C340" s="195"/>
      <c r="D340" s="342"/>
      <c r="E340" s="195"/>
      <c r="F340" s="342"/>
      <c r="G340" s="340"/>
      <c r="H340" s="340"/>
      <c r="I340" s="195"/>
      <c r="J340" s="342"/>
      <c r="K340" s="195"/>
      <c r="L340" s="195"/>
    </row>
    <row r="341" spans="1:12" ht="13">
      <c r="B341" s="341"/>
      <c r="C341" s="195"/>
      <c r="D341" s="342"/>
      <c r="E341" s="195"/>
      <c r="F341" s="342"/>
      <c r="G341" s="195"/>
      <c r="H341" s="195"/>
      <c r="I341" s="195"/>
      <c r="J341" s="342"/>
      <c r="K341" s="195"/>
      <c r="L341" s="195"/>
    </row>
    <row r="342" spans="1:12" ht="13">
      <c r="B342" s="341"/>
      <c r="C342" s="195"/>
      <c r="D342" s="342"/>
      <c r="E342" s="195"/>
      <c r="F342" s="342" t="str">
        <f>$F$7</f>
        <v>TOTAL</v>
      </c>
      <c r="G342" s="195"/>
      <c r="H342" s="195"/>
      <c r="I342" s="195"/>
      <c r="J342" s="342"/>
      <c r="K342" s="195"/>
      <c r="L342" s="195"/>
    </row>
    <row r="343" spans="1:12" ht="13">
      <c r="A343" s="342" t="s">
        <v>907</v>
      </c>
      <c r="B343" s="195"/>
      <c r="C343" s="195"/>
      <c r="D343" s="342"/>
      <c r="E343" s="195"/>
      <c r="F343" s="342" t="str">
        <f>$F$8</f>
        <v>CLASS</v>
      </c>
      <c r="G343" s="352" t="s">
        <v>766</v>
      </c>
      <c r="H343" s="352" t="s">
        <v>1256</v>
      </c>
      <c r="I343" s="352" t="s">
        <v>974</v>
      </c>
      <c r="J343" s="352" t="s">
        <v>546</v>
      </c>
      <c r="K343" s="352" t="s">
        <v>229</v>
      </c>
      <c r="L343" s="342" t="s">
        <v>342</v>
      </c>
    </row>
    <row r="344" spans="1:12" ht="13">
      <c r="A344" s="344" t="s">
        <v>908</v>
      </c>
      <c r="B344" s="343" t="s">
        <v>44</v>
      </c>
      <c r="C344" s="343"/>
      <c r="D344" s="344" t="s">
        <v>337</v>
      </c>
      <c r="E344" s="343"/>
      <c r="F344" s="342" t="str">
        <f>$F$9</f>
        <v>ALLOCATED</v>
      </c>
      <c r="G344" s="353" t="s">
        <v>338</v>
      </c>
      <c r="H344" s="353" t="s">
        <v>404</v>
      </c>
      <c r="I344" s="353" t="s">
        <v>1257</v>
      </c>
      <c r="J344" s="353" t="s">
        <v>547</v>
      </c>
      <c r="K344" s="353" t="s">
        <v>341</v>
      </c>
      <c r="L344" s="344" t="s">
        <v>340</v>
      </c>
    </row>
    <row r="345" spans="1:12" ht="13">
      <c r="C345" s="572" t="s">
        <v>348</v>
      </c>
      <c r="D345" s="342"/>
      <c r="E345" s="195"/>
      <c r="F345" s="755"/>
      <c r="G345" s="627">
        <f>$G$10</f>
        <v>3</v>
      </c>
      <c r="H345" s="627">
        <f>$H$10</f>
        <v>4</v>
      </c>
      <c r="I345" s="627">
        <f>$I$10</f>
        <v>5</v>
      </c>
      <c r="J345" s="627">
        <f>$J$10</f>
        <v>6</v>
      </c>
    </row>
    <row r="346" spans="1:12" ht="13">
      <c r="A346" s="331">
        <v>1</v>
      </c>
      <c r="B346" s="330" t="s">
        <v>45</v>
      </c>
      <c r="D346" s="342"/>
      <c r="E346" s="195"/>
      <c r="I346" s="330"/>
    </row>
    <row r="347" spans="1:12" ht="13">
      <c r="A347" s="331">
        <v>2</v>
      </c>
      <c r="B347" s="330" t="s">
        <v>46</v>
      </c>
      <c r="D347" s="342"/>
      <c r="E347" s="195"/>
      <c r="I347" s="330"/>
    </row>
    <row r="348" spans="1:12" ht="13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3">
        <f>'FR-16(7)(v)-1 Functional'!F348</f>
        <v>41036376</v>
      </c>
      <c r="G348" s="347">
        <f>'FR-16(7)(v)-6 DISTR Cust Alloc'!G348+'FR-16(7)(v)-5 DISTR Dem Alloc'!G348+'FR-16(7)(v)-3 PROD Comm Alloc'!G348</f>
        <v>25863586</v>
      </c>
      <c r="H348" s="347">
        <f>'FR-16(7)(v)-6 DISTR Cust Alloc'!H348+'FR-16(7)(v)-5 DISTR Dem Alloc'!H348+'FR-16(7)(v)-3 PROD Comm Alloc'!H348</f>
        <v>15172790</v>
      </c>
      <c r="I348" s="347">
        <f>'FR-16(7)(v)-6 DISTR Cust Alloc'!I348+'FR-16(7)(v)-5 DISTR Dem Alloc'!I348+'FR-16(7)(v)-3 PROD Comm Alloc'!I348</f>
        <v>0</v>
      </c>
      <c r="J348" s="347">
        <f>'FR-16(7)(v)-6 DISTR Cust Alloc'!J348+'FR-16(7)(v)-5 DISTR Dem Alloc'!J348+'FR-16(7)(v)-3 PROD Comm Alloc'!J348</f>
        <v>0</v>
      </c>
      <c r="K348" s="345">
        <f>SUM(G348:J348)</f>
        <v>41036376</v>
      </c>
      <c r="L348" s="345">
        <f>F348-K348</f>
        <v>0</v>
      </c>
    </row>
    <row r="349" spans="1:12" ht="13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3">
        <f>'FR-16(7)(v)-1 Functional'!F349</f>
        <v>1244794</v>
      </c>
      <c r="G349" s="347">
        <f>'FR-16(7)(v)-6 DISTR Cust Alloc'!G349+'FR-16(7)(v)-5 DISTR Dem Alloc'!G349+'FR-16(7)(v)-3 PROD Comm Alloc'!G349</f>
        <v>542743</v>
      </c>
      <c r="H349" s="347">
        <f>'FR-16(7)(v)-6 DISTR Cust Alloc'!H349+'FR-16(7)(v)-5 DISTR Dem Alloc'!H349+'FR-16(7)(v)-3 PROD Comm Alloc'!H349</f>
        <v>318393</v>
      </c>
      <c r="I349" s="347">
        <f>'FR-16(7)(v)-6 DISTR Cust Alloc'!I349+'FR-16(7)(v)-5 DISTR Dem Alloc'!I349+'FR-16(7)(v)-3 PROD Comm Alloc'!I349</f>
        <v>223640</v>
      </c>
      <c r="J349" s="347">
        <f>'FR-16(7)(v)-6 DISTR Cust Alloc'!J349+'FR-16(7)(v)-5 DISTR Dem Alloc'!J349+'FR-16(7)(v)-3 PROD Comm Alloc'!J349</f>
        <v>160018</v>
      </c>
      <c r="K349" s="345">
        <f>SUM(G349:J349)</f>
        <v>1244794</v>
      </c>
      <c r="L349" s="345">
        <f>F349-K349</f>
        <v>0</v>
      </c>
    </row>
    <row r="350" spans="1:12" ht="13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L350" si="90">SUM(F348:F349)</f>
        <v>42281170</v>
      </c>
      <c r="G350" s="346">
        <f t="shared" si="90"/>
        <v>26406329</v>
      </c>
      <c r="H350" s="346">
        <f t="shared" si="90"/>
        <v>15491183</v>
      </c>
      <c r="I350" s="346">
        <f t="shared" si="90"/>
        <v>223640</v>
      </c>
      <c r="J350" s="346">
        <f t="shared" si="90"/>
        <v>160018</v>
      </c>
      <c r="K350" s="346">
        <f t="shared" si="90"/>
        <v>42281170</v>
      </c>
      <c r="L350" s="346">
        <f t="shared" si="90"/>
        <v>0</v>
      </c>
    </row>
    <row r="351" spans="1:12" ht="13">
      <c r="A351" s="331">
        <v>6</v>
      </c>
      <c r="D351" s="342"/>
      <c r="E351" s="195"/>
      <c r="I351" s="330"/>
    </row>
    <row r="352" spans="1:12" ht="13">
      <c r="A352" s="331">
        <v>7</v>
      </c>
      <c r="B352" s="357" t="s">
        <v>47</v>
      </c>
      <c r="C352" s="357"/>
      <c r="D352" s="342"/>
      <c r="E352" s="195"/>
      <c r="F352" s="345"/>
      <c r="G352" s="345"/>
      <c r="I352" s="330"/>
      <c r="J352" s="345"/>
      <c r="K352" s="345"/>
      <c r="L352" s="345"/>
    </row>
    <row r="353" spans="1:12" ht="13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3">
        <f>'FR-16(7)(v)-1 Functional'!F353</f>
        <v>0</v>
      </c>
      <c r="G353" s="347">
        <f>'FR-16(7)(v)-6 DISTR Cust Alloc'!G353+'FR-16(7)(v)-5 DISTR Dem Alloc'!G353+'FR-16(7)(v)-3 PROD Comm Alloc'!G353</f>
        <v>0</v>
      </c>
      <c r="H353" s="347">
        <f>'FR-16(7)(v)-6 DISTR Cust Alloc'!H353+'FR-16(7)(v)-5 DISTR Dem Alloc'!H353+'FR-16(7)(v)-3 PROD Comm Alloc'!H353</f>
        <v>0</v>
      </c>
      <c r="I353" s="347">
        <f>'FR-16(7)(v)-6 DISTR Cust Alloc'!I353+'FR-16(7)(v)-5 DISTR Dem Alloc'!I353+'FR-16(7)(v)-3 PROD Comm Alloc'!I353</f>
        <v>0</v>
      </c>
      <c r="J353" s="347">
        <f>'FR-16(7)(v)-6 DISTR Cust Alloc'!J353+'FR-16(7)(v)-5 DISTR Dem Alloc'!J353+'FR-16(7)(v)-3 PROD Comm Alloc'!J353</f>
        <v>0</v>
      </c>
      <c r="K353" s="345">
        <f>SUM(G353:J353)</f>
        <v>0</v>
      </c>
      <c r="L353" s="345">
        <f>F353-K353</f>
        <v>0</v>
      </c>
    </row>
    <row r="354" spans="1:12" ht="13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L354" si="91">SUM(F352:F353)</f>
        <v>0</v>
      </c>
      <c r="G354" s="346">
        <f t="shared" si="91"/>
        <v>0</v>
      </c>
      <c r="H354" s="346">
        <f t="shared" si="91"/>
        <v>0</v>
      </c>
      <c r="I354" s="346">
        <f t="shared" si="91"/>
        <v>0</v>
      </c>
      <c r="J354" s="346">
        <f t="shared" si="91"/>
        <v>0</v>
      </c>
      <c r="K354" s="346">
        <f t="shared" si="91"/>
        <v>0</v>
      </c>
      <c r="L354" s="346">
        <f t="shared" si="91"/>
        <v>0</v>
      </c>
    </row>
    <row r="355" spans="1:12" ht="13">
      <c r="A355" s="331">
        <v>10</v>
      </c>
      <c r="D355" s="342"/>
      <c r="E355" s="195"/>
      <c r="I355" s="330"/>
    </row>
    <row r="356" spans="1:12" ht="13">
      <c r="A356" s="331">
        <v>11</v>
      </c>
      <c r="B356" s="330" t="s">
        <v>1000</v>
      </c>
      <c r="D356" s="342"/>
      <c r="E356" s="195"/>
      <c r="I356" s="330"/>
    </row>
    <row r="357" spans="1:12" ht="13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3">
        <f>'FR-16(7)(v)-1 Functional'!F357</f>
        <v>0</v>
      </c>
      <c r="G357" s="347">
        <f>'FR-16(7)(v)-6 DISTR Cust Alloc'!G357+'FR-16(7)(v)-5 DISTR Dem Alloc'!G357+'FR-16(7)(v)-3 PROD Comm Alloc'!G357</f>
        <v>0</v>
      </c>
      <c r="H357" s="347">
        <f>'FR-16(7)(v)-6 DISTR Cust Alloc'!H357+'FR-16(7)(v)-5 DISTR Dem Alloc'!H357+'FR-16(7)(v)-3 PROD Comm Alloc'!H357</f>
        <v>0</v>
      </c>
      <c r="I357" s="347">
        <f>'FR-16(7)(v)-6 DISTR Cust Alloc'!I357+'FR-16(7)(v)-5 DISTR Dem Alloc'!I357+'FR-16(7)(v)-3 PROD Comm Alloc'!I357</f>
        <v>0</v>
      </c>
      <c r="J357" s="347">
        <f>'FR-16(7)(v)-6 DISTR Cust Alloc'!J357+'FR-16(7)(v)-5 DISTR Dem Alloc'!J357+'FR-16(7)(v)-3 PROD Comm Alloc'!J357</f>
        <v>0</v>
      </c>
      <c r="K357" s="345">
        <f>SUM(G357:J357)</f>
        <v>0</v>
      </c>
      <c r="L357" s="345">
        <f>F357-K357</f>
        <v>0</v>
      </c>
    </row>
    <row r="358" spans="1:12" ht="13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L358" si="92">SUM(F356:F357)</f>
        <v>0</v>
      </c>
      <c r="G358" s="346">
        <f t="shared" si="92"/>
        <v>0</v>
      </c>
      <c r="H358" s="346">
        <f t="shared" si="92"/>
        <v>0</v>
      </c>
      <c r="I358" s="346">
        <f t="shared" si="92"/>
        <v>0</v>
      </c>
      <c r="J358" s="346">
        <f t="shared" si="92"/>
        <v>0</v>
      </c>
      <c r="K358" s="346">
        <f t="shared" si="92"/>
        <v>0</v>
      </c>
      <c r="L358" s="346">
        <f t="shared" si="92"/>
        <v>0</v>
      </c>
    </row>
    <row r="359" spans="1:12" ht="13">
      <c r="A359" s="331">
        <v>14</v>
      </c>
      <c r="D359" s="342"/>
      <c r="E359" s="195"/>
      <c r="F359" s="345"/>
      <c r="G359" s="345"/>
      <c r="I359" s="330"/>
      <c r="J359" s="345"/>
      <c r="K359" s="345"/>
      <c r="L359" s="345"/>
    </row>
    <row r="360" spans="1:12" ht="13">
      <c r="A360" s="331">
        <v>15</v>
      </c>
      <c r="B360" s="330" t="s">
        <v>48</v>
      </c>
      <c r="D360" s="342"/>
      <c r="E360" s="195" t="s">
        <v>343</v>
      </c>
      <c r="F360" s="345">
        <f t="shared" ref="F360:L360" si="93">F358+F354+F350</f>
        <v>42281170</v>
      </c>
      <c r="G360" s="345">
        <f t="shared" si="93"/>
        <v>26406329</v>
      </c>
      <c r="H360" s="345">
        <f t="shared" si="93"/>
        <v>15491183</v>
      </c>
      <c r="I360" s="345">
        <f t="shared" si="93"/>
        <v>223640</v>
      </c>
      <c r="J360" s="345">
        <f t="shared" si="93"/>
        <v>160018</v>
      </c>
      <c r="K360" s="345">
        <f t="shared" si="93"/>
        <v>42281170</v>
      </c>
      <c r="L360" s="345">
        <f t="shared" si="93"/>
        <v>0</v>
      </c>
    </row>
    <row r="361" spans="1:12" ht="13">
      <c r="A361" s="331">
        <v>16</v>
      </c>
      <c r="D361" s="342"/>
      <c r="E361" s="195"/>
      <c r="I361" s="330"/>
    </row>
    <row r="362" spans="1:12" ht="13">
      <c r="A362" s="331">
        <v>17</v>
      </c>
      <c r="B362" s="330" t="s">
        <v>49</v>
      </c>
      <c r="D362" s="342"/>
      <c r="E362" s="195"/>
      <c r="I362" s="330"/>
    </row>
    <row r="363" spans="1:12" ht="13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1"/>
      <c r="G363" s="345"/>
      <c r="H363" s="345"/>
      <c r="I363" s="345"/>
      <c r="J363" s="345"/>
      <c r="K363" s="345"/>
      <c r="L363" s="345"/>
    </row>
    <row r="364" spans="1:12" ht="13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L364" si="94">SUM(F363)</f>
        <v>0</v>
      </c>
      <c r="G364" s="346">
        <f t="shared" si="94"/>
        <v>0</v>
      </c>
      <c r="H364" s="346">
        <f t="shared" si="94"/>
        <v>0</v>
      </c>
      <c r="I364" s="346">
        <f t="shared" si="94"/>
        <v>0</v>
      </c>
      <c r="J364" s="346">
        <f t="shared" si="94"/>
        <v>0</v>
      </c>
      <c r="K364" s="346">
        <f t="shared" si="94"/>
        <v>0</v>
      </c>
      <c r="L364" s="346">
        <f t="shared" si="94"/>
        <v>0</v>
      </c>
    </row>
    <row r="365" spans="1:12" ht="13">
      <c r="A365" s="331">
        <v>20</v>
      </c>
      <c r="D365" s="342"/>
      <c r="E365" s="195"/>
      <c r="I365" s="330"/>
    </row>
    <row r="366" spans="1:12" ht="13">
      <c r="A366" s="331">
        <v>21</v>
      </c>
      <c r="B366" s="330" t="s">
        <v>50</v>
      </c>
      <c r="D366" s="342"/>
      <c r="E366" s="195"/>
      <c r="I366" s="330"/>
    </row>
    <row r="367" spans="1:12" ht="13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3">
        <f>'FR-16(7)(v)-1 Functional'!F367</f>
        <v>258339</v>
      </c>
      <c r="G367" s="347">
        <f>'FR-16(7)(v)-6 DISTR Cust Alloc'!G367+'FR-16(7)(v)-5 DISTR Dem Alloc'!G367+'FR-16(7)(v)-3 PROD Comm Alloc'!G367</f>
        <v>131846</v>
      </c>
      <c r="H367" s="347">
        <f>'FR-16(7)(v)-6 DISTR Cust Alloc'!H367+'FR-16(7)(v)-5 DISTR Dem Alloc'!H367+'FR-16(7)(v)-3 PROD Comm Alloc'!H367</f>
        <v>80059</v>
      </c>
      <c r="I367" s="347">
        <f>'FR-16(7)(v)-6 DISTR Cust Alloc'!I367+'FR-16(7)(v)-5 DISTR Dem Alloc'!I367+'FR-16(7)(v)-3 PROD Comm Alloc'!I367</f>
        <v>35196</v>
      </c>
      <c r="J367" s="347">
        <f>'FR-16(7)(v)-6 DISTR Cust Alloc'!J367+'FR-16(7)(v)-5 DISTR Dem Alloc'!J367+'FR-16(7)(v)-3 PROD Comm Alloc'!J367</f>
        <v>11238</v>
      </c>
      <c r="K367" s="345">
        <f t="shared" ref="K367:K377" si="95">SUM(G367:J367)</f>
        <v>258339</v>
      </c>
      <c r="L367" s="345">
        <f t="shared" ref="L367:L377" si="96">F367-K367</f>
        <v>0</v>
      </c>
    </row>
    <row r="368" spans="1:12" ht="13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3">
        <f>'FR-16(7)(v)-1 Functional'!F368</f>
        <v>1332086</v>
      </c>
      <c r="G368" s="347">
        <f>'FR-16(7)(v)-6 DISTR Cust Alloc'!G368+'FR-16(7)(v)-5 DISTR Dem Alloc'!G368+'FR-16(7)(v)-3 PROD Comm Alloc'!G368</f>
        <v>858912</v>
      </c>
      <c r="H368" s="347">
        <f>'FR-16(7)(v)-6 DISTR Cust Alloc'!H368+'FR-16(7)(v)-5 DISTR Dem Alloc'!H368+'FR-16(7)(v)-3 PROD Comm Alloc'!H368</f>
        <v>320035</v>
      </c>
      <c r="I368" s="347">
        <f>'FR-16(7)(v)-6 DISTR Cust Alloc'!I368+'FR-16(7)(v)-5 DISTR Dem Alloc'!I368+'FR-16(7)(v)-3 PROD Comm Alloc'!I368</f>
        <v>115702</v>
      </c>
      <c r="J368" s="347">
        <f>'FR-16(7)(v)-6 DISTR Cust Alloc'!J368+'FR-16(7)(v)-5 DISTR Dem Alloc'!J368+'FR-16(7)(v)-3 PROD Comm Alloc'!J368</f>
        <v>37437</v>
      </c>
      <c r="K368" s="345">
        <f t="shared" si="95"/>
        <v>1332086</v>
      </c>
      <c r="L368" s="345">
        <f t="shared" si="96"/>
        <v>0</v>
      </c>
    </row>
    <row r="369" spans="1:12" ht="13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3">
        <f>'FR-16(7)(v)-1 Functional'!F369</f>
        <v>198982</v>
      </c>
      <c r="G369" s="347">
        <f>'FR-16(7)(v)-6 DISTR Cust Alloc'!G369+'FR-16(7)(v)-5 DISTR Dem Alloc'!G369+'FR-16(7)(v)-3 PROD Comm Alloc'!G369</f>
        <v>101552</v>
      </c>
      <c r="H369" s="347">
        <f>'FR-16(7)(v)-6 DISTR Cust Alloc'!H369+'FR-16(7)(v)-5 DISTR Dem Alloc'!H369+'FR-16(7)(v)-3 PROD Comm Alloc'!H369</f>
        <v>61665</v>
      </c>
      <c r="I369" s="347">
        <f>'FR-16(7)(v)-6 DISTR Cust Alloc'!I369+'FR-16(7)(v)-5 DISTR Dem Alloc'!I369+'FR-16(7)(v)-3 PROD Comm Alloc'!I369</f>
        <v>27109</v>
      </c>
      <c r="J369" s="347">
        <f>'FR-16(7)(v)-6 DISTR Cust Alloc'!J369+'FR-16(7)(v)-5 DISTR Dem Alloc'!J369+'FR-16(7)(v)-3 PROD Comm Alloc'!J369</f>
        <v>8656</v>
      </c>
      <c r="K369" s="345">
        <f t="shared" si="95"/>
        <v>198982</v>
      </c>
      <c r="L369" s="345">
        <f t="shared" si="96"/>
        <v>0</v>
      </c>
    </row>
    <row r="370" spans="1:12" ht="13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3">
        <f>'FR-16(7)(v)-1 Functional'!F370</f>
        <v>1294237</v>
      </c>
      <c r="G370" s="347">
        <f>'FR-16(7)(v)-6 DISTR Cust Alloc'!G370+'FR-16(7)(v)-5 DISTR Dem Alloc'!G370+'FR-16(7)(v)-3 PROD Comm Alloc'!G370</f>
        <v>660527</v>
      </c>
      <c r="H370" s="347">
        <f>'FR-16(7)(v)-6 DISTR Cust Alloc'!H370+'FR-16(7)(v)-5 DISTR Dem Alloc'!H370+'FR-16(7)(v)-3 PROD Comm Alloc'!H370</f>
        <v>401084</v>
      </c>
      <c r="I370" s="347">
        <f>'FR-16(7)(v)-6 DISTR Cust Alloc'!I370+'FR-16(7)(v)-5 DISTR Dem Alloc'!I370+'FR-16(7)(v)-3 PROD Comm Alloc'!I370</f>
        <v>176327</v>
      </c>
      <c r="J370" s="347">
        <f>'FR-16(7)(v)-6 DISTR Cust Alloc'!J370+'FR-16(7)(v)-5 DISTR Dem Alloc'!J370+'FR-16(7)(v)-3 PROD Comm Alloc'!J370</f>
        <v>56299</v>
      </c>
      <c r="K370" s="345">
        <f t="shared" si="95"/>
        <v>1294237</v>
      </c>
      <c r="L370" s="345">
        <f t="shared" si="96"/>
        <v>0</v>
      </c>
    </row>
    <row r="371" spans="1:12" ht="13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3">
        <f>'FR-16(7)(v)-1 Functional'!F371</f>
        <v>637813</v>
      </c>
      <c r="G371" s="347">
        <f>'FR-16(7)(v)-6 DISTR Cust Alloc'!G371+'FR-16(7)(v)-5 DISTR Dem Alloc'!G371+'FR-16(7)(v)-3 PROD Comm Alloc'!G371</f>
        <v>485478</v>
      </c>
      <c r="H371" s="347">
        <f>'FR-16(7)(v)-6 DISTR Cust Alloc'!H371+'FR-16(7)(v)-5 DISTR Dem Alloc'!H371+'FR-16(7)(v)-3 PROD Comm Alloc'!H371</f>
        <v>135873</v>
      </c>
      <c r="I371" s="347">
        <f>'FR-16(7)(v)-6 DISTR Cust Alloc'!I371+'FR-16(7)(v)-5 DISTR Dem Alloc'!I371+'FR-16(7)(v)-3 PROD Comm Alloc'!I371</f>
        <v>10288</v>
      </c>
      <c r="J371" s="347">
        <f>'FR-16(7)(v)-6 DISTR Cust Alloc'!J371+'FR-16(7)(v)-5 DISTR Dem Alloc'!J371+'FR-16(7)(v)-3 PROD Comm Alloc'!J371</f>
        <v>6174</v>
      </c>
      <c r="K371" s="345">
        <f t="shared" si="95"/>
        <v>637813</v>
      </c>
      <c r="L371" s="345">
        <f t="shared" si="96"/>
        <v>0</v>
      </c>
    </row>
    <row r="372" spans="1:12" ht="13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3">
        <f>'FR-16(7)(v)-1 Functional'!F372</f>
        <v>1128603</v>
      </c>
      <c r="G372" s="347">
        <f>'FR-16(7)(v)-6 DISTR Cust Alloc'!G372+'FR-16(7)(v)-5 DISTR Dem Alloc'!G372+'FR-16(7)(v)-3 PROD Comm Alloc'!G372</f>
        <v>575994</v>
      </c>
      <c r="H372" s="347">
        <f>'FR-16(7)(v)-6 DISTR Cust Alloc'!H372+'FR-16(7)(v)-5 DISTR Dem Alloc'!H372+'FR-16(7)(v)-3 PROD Comm Alloc'!H372</f>
        <v>349754</v>
      </c>
      <c r="I372" s="347">
        <f>'FR-16(7)(v)-6 DISTR Cust Alloc'!I372+'FR-16(7)(v)-5 DISTR Dem Alloc'!I372+'FR-16(7)(v)-3 PROD Comm Alloc'!I372</f>
        <v>153761</v>
      </c>
      <c r="J372" s="347">
        <f>'FR-16(7)(v)-6 DISTR Cust Alloc'!J372+'FR-16(7)(v)-5 DISTR Dem Alloc'!J372+'FR-16(7)(v)-3 PROD Comm Alloc'!J372</f>
        <v>49094</v>
      </c>
      <c r="K372" s="345">
        <f t="shared" si="95"/>
        <v>1128603</v>
      </c>
      <c r="L372" s="345">
        <f t="shared" si="96"/>
        <v>0</v>
      </c>
    </row>
    <row r="373" spans="1:12" ht="13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3">
        <f>'FR-16(7)(v)-1 Functional'!F373</f>
        <v>647372</v>
      </c>
      <c r="G373" s="347">
        <f>'FR-16(7)(v)-6 DISTR Cust Alloc'!G373+'FR-16(7)(v)-5 DISTR Dem Alloc'!G373+'FR-16(7)(v)-3 PROD Comm Alloc'!G373</f>
        <v>567118</v>
      </c>
      <c r="H373" s="347">
        <f>'FR-16(7)(v)-6 DISTR Cust Alloc'!H373+'FR-16(7)(v)-5 DISTR Dem Alloc'!H373+'FR-16(7)(v)-3 PROD Comm Alloc'!H373</f>
        <v>77969</v>
      </c>
      <c r="I373" s="347">
        <f>'FR-16(7)(v)-6 DISTR Cust Alloc'!I373+'FR-16(7)(v)-5 DISTR Dem Alloc'!I373+'FR-16(7)(v)-3 PROD Comm Alloc'!I373</f>
        <v>1236</v>
      </c>
      <c r="J373" s="347">
        <f>'FR-16(7)(v)-6 DISTR Cust Alloc'!J373+'FR-16(7)(v)-5 DISTR Dem Alloc'!J373+'FR-16(7)(v)-3 PROD Comm Alloc'!J373</f>
        <v>1049</v>
      </c>
      <c r="K373" s="345">
        <f t="shared" si="95"/>
        <v>647372</v>
      </c>
      <c r="L373" s="345">
        <f t="shared" si="96"/>
        <v>0</v>
      </c>
    </row>
    <row r="374" spans="1:12" ht="13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3">
        <f>'FR-16(7)(v)-1 Functional'!F374</f>
        <v>0</v>
      </c>
      <c r="G374" s="347">
        <f>'FR-16(7)(v)-6 DISTR Cust Alloc'!G374+'FR-16(7)(v)-5 DISTR Dem Alloc'!G374+'FR-16(7)(v)-3 PROD Comm Alloc'!G374</f>
        <v>0</v>
      </c>
      <c r="H374" s="347">
        <f>'FR-16(7)(v)-6 DISTR Cust Alloc'!H374+'FR-16(7)(v)-5 DISTR Dem Alloc'!H374+'FR-16(7)(v)-3 PROD Comm Alloc'!H374</f>
        <v>0</v>
      </c>
      <c r="I374" s="347">
        <f>'FR-16(7)(v)-6 DISTR Cust Alloc'!I374+'FR-16(7)(v)-5 DISTR Dem Alloc'!I374+'FR-16(7)(v)-3 PROD Comm Alloc'!I374</f>
        <v>0</v>
      </c>
      <c r="J374" s="347">
        <f>'FR-16(7)(v)-6 DISTR Cust Alloc'!J374+'FR-16(7)(v)-5 DISTR Dem Alloc'!J374+'FR-16(7)(v)-3 PROD Comm Alloc'!J374</f>
        <v>0</v>
      </c>
      <c r="K374" s="345">
        <f t="shared" si="95"/>
        <v>0</v>
      </c>
      <c r="L374" s="345">
        <f t="shared" si="96"/>
        <v>0</v>
      </c>
    </row>
    <row r="375" spans="1:12" ht="13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3">
        <f>'FR-16(7)(v)-1 Functional'!F375</f>
        <v>-53783</v>
      </c>
      <c r="G375" s="347">
        <f>'FR-16(7)(v)-6 DISTR Cust Alloc'!G375+'FR-16(7)(v)-5 DISTR Dem Alloc'!G375+'FR-16(7)(v)-3 PROD Comm Alloc'!G375</f>
        <v>0</v>
      </c>
      <c r="H375" s="347">
        <f>'FR-16(7)(v)-6 DISTR Cust Alloc'!H375+'FR-16(7)(v)-5 DISTR Dem Alloc'!H375+'FR-16(7)(v)-3 PROD Comm Alloc'!H375</f>
        <v>0</v>
      </c>
      <c r="I375" s="347">
        <f>'FR-16(7)(v)-6 DISTR Cust Alloc'!I375+'FR-16(7)(v)-5 DISTR Dem Alloc'!I375+'FR-16(7)(v)-3 PROD Comm Alloc'!I375</f>
        <v>-31351</v>
      </c>
      <c r="J375" s="347">
        <f>'FR-16(7)(v)-6 DISTR Cust Alloc'!J375+'FR-16(7)(v)-5 DISTR Dem Alloc'!J375+'FR-16(7)(v)-3 PROD Comm Alloc'!J375</f>
        <v>-22432</v>
      </c>
      <c r="K375" s="345">
        <f t="shared" si="95"/>
        <v>-53783</v>
      </c>
      <c r="L375" s="345">
        <f t="shared" si="96"/>
        <v>0</v>
      </c>
    </row>
    <row r="376" spans="1:12" ht="13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3">
        <f>'FR-16(7)(v)-1 Functional'!F376</f>
        <v>0</v>
      </c>
      <c r="G376" s="347">
        <f>'FR-16(7)(v)-6 DISTR Cust Alloc'!G376+'FR-16(7)(v)-5 DISTR Dem Alloc'!G376+'FR-16(7)(v)-3 PROD Comm Alloc'!G376</f>
        <v>0</v>
      </c>
      <c r="H376" s="347">
        <f>'FR-16(7)(v)-6 DISTR Cust Alloc'!H376+'FR-16(7)(v)-5 DISTR Dem Alloc'!H376+'FR-16(7)(v)-3 PROD Comm Alloc'!H376</f>
        <v>0</v>
      </c>
      <c r="I376" s="347">
        <f>'FR-16(7)(v)-6 DISTR Cust Alloc'!I376+'FR-16(7)(v)-5 DISTR Dem Alloc'!I376+'FR-16(7)(v)-3 PROD Comm Alloc'!I376</f>
        <v>0</v>
      </c>
      <c r="J376" s="347">
        <f>'FR-16(7)(v)-6 DISTR Cust Alloc'!J376+'FR-16(7)(v)-5 DISTR Dem Alloc'!J376+'FR-16(7)(v)-3 PROD Comm Alloc'!J376</f>
        <v>0</v>
      </c>
      <c r="K376" s="345">
        <f t="shared" si="95"/>
        <v>0</v>
      </c>
      <c r="L376" s="345">
        <f t="shared" si="96"/>
        <v>0</v>
      </c>
    </row>
    <row r="377" spans="1:12" ht="13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3">
        <f>'FR-16(7)(v)-1 Functional'!F377</f>
        <v>2870232</v>
      </c>
      <c r="G377" s="347">
        <f>'FR-16(7)(v)-6 DISTR Cust Alloc'!G377+'FR-16(7)(v)-5 DISTR Dem Alloc'!G377+'FR-16(7)(v)-3 PROD Comm Alloc'!G377</f>
        <v>1464852</v>
      </c>
      <c r="H377" s="347">
        <f>'FR-16(7)(v)-6 DISTR Cust Alloc'!H377+'FR-16(7)(v)-5 DISTR Dem Alloc'!H377+'FR-16(7)(v)-3 PROD Comm Alloc'!H377</f>
        <v>889485</v>
      </c>
      <c r="I377" s="347">
        <f>'FR-16(7)(v)-6 DISTR Cust Alloc'!I377+'FR-16(7)(v)-5 DISTR Dem Alloc'!I377+'FR-16(7)(v)-3 PROD Comm Alloc'!I377</f>
        <v>391040</v>
      </c>
      <c r="J377" s="347">
        <f>'FR-16(7)(v)-6 DISTR Cust Alloc'!J377+'FR-16(7)(v)-5 DISTR Dem Alloc'!J377+'FR-16(7)(v)-3 PROD Comm Alloc'!J377</f>
        <v>124855</v>
      </c>
      <c r="K377" s="345">
        <f t="shared" si="95"/>
        <v>2870232</v>
      </c>
      <c r="L377" s="345">
        <f t="shared" si="96"/>
        <v>0</v>
      </c>
    </row>
    <row r="378" spans="1:12" ht="13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L378" si="97">SUM(F366:F377)</f>
        <v>8313881</v>
      </c>
      <c r="G378" s="346">
        <f t="shared" si="97"/>
        <v>4846279</v>
      </c>
      <c r="H378" s="346">
        <f t="shared" si="97"/>
        <v>2315924</v>
      </c>
      <c r="I378" s="346">
        <f t="shared" si="97"/>
        <v>879308</v>
      </c>
      <c r="J378" s="346">
        <f t="shared" si="97"/>
        <v>272370</v>
      </c>
      <c r="K378" s="346">
        <f t="shared" si="97"/>
        <v>8313881</v>
      </c>
      <c r="L378" s="346">
        <f t="shared" si="97"/>
        <v>0</v>
      </c>
    </row>
    <row r="379" spans="1:12" ht="13">
      <c r="A379" s="331">
        <v>34</v>
      </c>
      <c r="C379" s="330" t="s">
        <v>343</v>
      </c>
      <c r="D379" s="342"/>
      <c r="E379" s="195"/>
      <c r="G379" s="351"/>
      <c r="I379" s="330"/>
    </row>
    <row r="380" spans="1:12" ht="13">
      <c r="A380" s="331">
        <v>35</v>
      </c>
      <c r="B380" s="330" t="s">
        <v>51</v>
      </c>
      <c r="D380" s="342"/>
      <c r="E380" s="195"/>
      <c r="F380" s="330" t="s">
        <v>343</v>
      </c>
      <c r="I380" s="330"/>
    </row>
    <row r="381" spans="1:12" ht="13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3">
        <f>'FR-16(7)(v)-1 Functional'!F381</f>
        <v>187499</v>
      </c>
      <c r="G381" s="347">
        <f>'FR-16(7)(v)-6 DISTR Cust Alloc'!G381+'FR-16(7)(v)-5 DISTR Dem Alloc'!G381+'FR-16(7)(v)-3 PROD Comm Alloc'!G381</f>
        <v>173125</v>
      </c>
      <c r="H381" s="347">
        <f>'FR-16(7)(v)-6 DISTR Cust Alloc'!H381+'FR-16(7)(v)-5 DISTR Dem Alloc'!H381+'FR-16(7)(v)-3 PROD Comm Alloc'!H381</f>
        <v>14136</v>
      </c>
      <c r="I381" s="347">
        <f>'FR-16(7)(v)-6 DISTR Cust Alloc'!I381+'FR-16(7)(v)-5 DISTR Dem Alloc'!I381+'FR-16(7)(v)-3 PROD Comm Alloc'!I381</f>
        <v>197</v>
      </c>
      <c r="J381" s="347">
        <f>'FR-16(7)(v)-6 DISTR Cust Alloc'!J381+'FR-16(7)(v)-5 DISTR Dem Alloc'!J381+'FR-16(7)(v)-3 PROD Comm Alloc'!J381</f>
        <v>41</v>
      </c>
      <c r="K381" s="345">
        <f t="shared" ref="K381:K388" si="98">SUM(G381:J381)</f>
        <v>187499</v>
      </c>
      <c r="L381" s="345">
        <f t="shared" ref="L381:L388" si="99">F381-K381</f>
        <v>0</v>
      </c>
    </row>
    <row r="382" spans="1:12" ht="13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3">
        <f>'FR-16(7)(v)-1 Functional'!F382</f>
        <v>950</v>
      </c>
      <c r="G382" s="347">
        <f>'FR-16(7)(v)-6 DISTR Cust Alloc'!G382+'FR-16(7)(v)-5 DISTR Dem Alloc'!G382+'FR-16(7)(v)-3 PROD Comm Alloc'!G382</f>
        <v>877</v>
      </c>
      <c r="H382" s="347">
        <f>'FR-16(7)(v)-6 DISTR Cust Alloc'!H382+'FR-16(7)(v)-5 DISTR Dem Alloc'!H382+'FR-16(7)(v)-3 PROD Comm Alloc'!H382</f>
        <v>72</v>
      </c>
      <c r="I382" s="347">
        <f>'FR-16(7)(v)-6 DISTR Cust Alloc'!I382+'FR-16(7)(v)-5 DISTR Dem Alloc'!I382+'FR-16(7)(v)-3 PROD Comm Alloc'!I382</f>
        <v>1</v>
      </c>
      <c r="J382" s="347">
        <f>'FR-16(7)(v)-6 DISTR Cust Alloc'!J382+'FR-16(7)(v)-5 DISTR Dem Alloc'!J382+'FR-16(7)(v)-3 PROD Comm Alloc'!J382</f>
        <v>0</v>
      </c>
      <c r="K382" s="345">
        <f t="shared" si="98"/>
        <v>950</v>
      </c>
      <c r="L382" s="345">
        <f t="shared" si="99"/>
        <v>0</v>
      </c>
    </row>
    <row r="383" spans="1:12" ht="13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3">
        <f>'FR-16(7)(v)-1 Functional'!F383</f>
        <v>4250853</v>
      </c>
      <c r="G383" s="347">
        <f>'FR-16(7)(v)-6 DISTR Cust Alloc'!G383+'FR-16(7)(v)-5 DISTR Dem Alloc'!G383+'FR-16(7)(v)-3 PROD Comm Alloc'!G383</f>
        <v>3924983</v>
      </c>
      <c r="H383" s="347">
        <f>'FR-16(7)(v)-6 DISTR Cust Alloc'!H383+'FR-16(7)(v)-5 DISTR Dem Alloc'!H383+'FR-16(7)(v)-3 PROD Comm Alloc'!H383</f>
        <v>320472</v>
      </c>
      <c r="I383" s="347">
        <f>'FR-16(7)(v)-6 DISTR Cust Alloc'!I383+'FR-16(7)(v)-5 DISTR Dem Alloc'!I383+'FR-16(7)(v)-3 PROD Comm Alloc'!I383</f>
        <v>4463</v>
      </c>
      <c r="J383" s="347">
        <f>'FR-16(7)(v)-6 DISTR Cust Alloc'!J383+'FR-16(7)(v)-5 DISTR Dem Alloc'!J383+'FR-16(7)(v)-3 PROD Comm Alloc'!J383</f>
        <v>935</v>
      </c>
      <c r="K383" s="345">
        <f t="shared" si="98"/>
        <v>4250853</v>
      </c>
      <c r="L383" s="345">
        <f t="shared" si="99"/>
        <v>0</v>
      </c>
    </row>
    <row r="384" spans="1:12" ht="13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3">
        <f>'FR-16(7)(v)-1 Functional'!F384</f>
        <v>-1227152</v>
      </c>
      <c r="G384" s="347">
        <f>'FR-16(7)(v)-6 DISTR Cust Alloc'!G384+'FR-16(7)(v)-5 DISTR Dem Alloc'!G384+'FR-16(7)(v)-3 PROD Comm Alloc'!G384</f>
        <v>-1133078</v>
      </c>
      <c r="H384" s="347">
        <f>'FR-16(7)(v)-6 DISTR Cust Alloc'!H384+'FR-16(7)(v)-5 DISTR Dem Alloc'!H384+'FR-16(7)(v)-3 PROD Comm Alloc'!H384</f>
        <v>-92515</v>
      </c>
      <c r="I384" s="347">
        <f>'FR-16(7)(v)-6 DISTR Cust Alloc'!I384+'FR-16(7)(v)-5 DISTR Dem Alloc'!I384+'FR-16(7)(v)-3 PROD Comm Alloc'!I384</f>
        <v>-1289</v>
      </c>
      <c r="J384" s="347">
        <f>'FR-16(7)(v)-6 DISTR Cust Alloc'!J384+'FR-16(7)(v)-5 DISTR Dem Alloc'!J384+'FR-16(7)(v)-3 PROD Comm Alloc'!J384</f>
        <v>-270</v>
      </c>
      <c r="K384" s="345">
        <f t="shared" si="98"/>
        <v>-1227152</v>
      </c>
      <c r="L384" s="345">
        <f t="shared" si="99"/>
        <v>0</v>
      </c>
    </row>
    <row r="385" spans="1:12" ht="13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3">
        <f>'FR-16(7)(v)-1 Functional'!F385</f>
        <v>-29240</v>
      </c>
      <c r="G385" s="347">
        <f>'FR-16(7)(v)-6 DISTR Cust Alloc'!G385+'FR-16(7)(v)-5 DISTR Dem Alloc'!G385+'FR-16(7)(v)-3 PROD Comm Alloc'!G385</f>
        <v>-26999</v>
      </c>
      <c r="H385" s="347">
        <f>'FR-16(7)(v)-6 DISTR Cust Alloc'!H385+'FR-16(7)(v)-5 DISTR Dem Alloc'!H385+'FR-16(7)(v)-3 PROD Comm Alloc'!H385</f>
        <v>-2204</v>
      </c>
      <c r="I385" s="347">
        <f>'FR-16(7)(v)-6 DISTR Cust Alloc'!I385+'FR-16(7)(v)-5 DISTR Dem Alloc'!I385+'FR-16(7)(v)-3 PROD Comm Alloc'!I385</f>
        <v>-31</v>
      </c>
      <c r="J385" s="347">
        <f>'FR-16(7)(v)-6 DISTR Cust Alloc'!J385+'FR-16(7)(v)-5 DISTR Dem Alloc'!J385+'FR-16(7)(v)-3 PROD Comm Alloc'!J385</f>
        <v>-6</v>
      </c>
      <c r="K385" s="345">
        <f t="shared" si="98"/>
        <v>-29240</v>
      </c>
      <c r="L385" s="345">
        <f t="shared" si="99"/>
        <v>0</v>
      </c>
    </row>
    <row r="386" spans="1:12" ht="13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3">
        <f>'FR-16(7)(v)-1 Functional'!F386</f>
        <v>1171882</v>
      </c>
      <c r="G386" s="347">
        <f>'FR-16(7)(v)-6 DISTR Cust Alloc'!G386+'FR-16(7)(v)-5 DISTR Dem Alloc'!G386+'FR-16(7)(v)-3 PROD Comm Alloc'!G386</f>
        <v>1082046</v>
      </c>
      <c r="H386" s="347">
        <f>'FR-16(7)(v)-6 DISTR Cust Alloc'!H386+'FR-16(7)(v)-5 DISTR Dem Alloc'!H386+'FR-16(7)(v)-3 PROD Comm Alloc'!H386</f>
        <v>88348</v>
      </c>
      <c r="I386" s="347">
        <f>'FR-16(7)(v)-6 DISTR Cust Alloc'!I386+'FR-16(7)(v)-5 DISTR Dem Alloc'!I386+'FR-16(7)(v)-3 PROD Comm Alloc'!I386</f>
        <v>1230</v>
      </c>
      <c r="J386" s="347">
        <f>'FR-16(7)(v)-6 DISTR Cust Alloc'!J386+'FR-16(7)(v)-5 DISTR Dem Alloc'!J386+'FR-16(7)(v)-3 PROD Comm Alloc'!J386</f>
        <v>258</v>
      </c>
      <c r="K386" s="345">
        <f t="shared" si="98"/>
        <v>1171882</v>
      </c>
      <c r="L386" s="345">
        <f t="shared" si="99"/>
        <v>0</v>
      </c>
    </row>
    <row r="387" spans="1:12" ht="13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3">
        <f>'FR-16(7)(v)-1 Functional'!F387</f>
        <v>0</v>
      </c>
      <c r="G387" s="347">
        <f>'FR-16(7)(v)-6 DISTR Cust Alloc'!G387+'FR-16(7)(v)-5 DISTR Dem Alloc'!G387+'FR-16(7)(v)-3 PROD Comm Alloc'!G387</f>
        <v>0</v>
      </c>
      <c r="H387" s="347">
        <f>'FR-16(7)(v)-6 DISTR Cust Alloc'!H387+'FR-16(7)(v)-5 DISTR Dem Alloc'!H387+'FR-16(7)(v)-3 PROD Comm Alloc'!H387</f>
        <v>0</v>
      </c>
      <c r="I387" s="347">
        <f>'FR-16(7)(v)-6 DISTR Cust Alloc'!I387+'FR-16(7)(v)-5 DISTR Dem Alloc'!I387+'FR-16(7)(v)-3 PROD Comm Alloc'!I387</f>
        <v>0</v>
      </c>
      <c r="J387" s="347">
        <f>'FR-16(7)(v)-6 DISTR Cust Alloc'!J387+'FR-16(7)(v)-5 DISTR Dem Alloc'!J387+'FR-16(7)(v)-3 PROD Comm Alloc'!J387</f>
        <v>0</v>
      </c>
      <c r="K387" s="345">
        <f t="shared" si="98"/>
        <v>0</v>
      </c>
      <c r="L387" s="345">
        <f t="shared" si="99"/>
        <v>0</v>
      </c>
    </row>
    <row r="388" spans="1:12" ht="13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3">
        <f>'FR-16(7)(v)-1 Functional'!F388</f>
        <v>0</v>
      </c>
      <c r="G388" s="347">
        <f>'FR-16(7)(v)-6 DISTR Cust Alloc'!G388+'FR-16(7)(v)-5 DISTR Dem Alloc'!G388+'FR-16(7)(v)-3 PROD Comm Alloc'!G388</f>
        <v>0</v>
      </c>
      <c r="H388" s="347">
        <f>'FR-16(7)(v)-6 DISTR Cust Alloc'!H388+'FR-16(7)(v)-5 DISTR Dem Alloc'!H388+'FR-16(7)(v)-3 PROD Comm Alloc'!H388</f>
        <v>0</v>
      </c>
      <c r="I388" s="347">
        <f>'FR-16(7)(v)-6 DISTR Cust Alloc'!I388+'FR-16(7)(v)-5 DISTR Dem Alloc'!I388+'FR-16(7)(v)-3 PROD Comm Alloc'!I388</f>
        <v>0</v>
      </c>
      <c r="J388" s="347">
        <f>'FR-16(7)(v)-6 DISTR Cust Alloc'!J388+'FR-16(7)(v)-5 DISTR Dem Alloc'!J388+'FR-16(7)(v)-3 PROD Comm Alloc'!J388</f>
        <v>0</v>
      </c>
      <c r="K388" s="345">
        <f t="shared" si="98"/>
        <v>0</v>
      </c>
      <c r="L388" s="345">
        <f t="shared" si="99"/>
        <v>0</v>
      </c>
    </row>
    <row r="389" spans="1:12" ht="13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L389" si="100">SUM(F380:F388)</f>
        <v>4354792</v>
      </c>
      <c r="G389" s="346">
        <f t="shared" si="100"/>
        <v>4020954</v>
      </c>
      <c r="H389" s="346">
        <f t="shared" si="100"/>
        <v>328309</v>
      </c>
      <c r="I389" s="346">
        <f t="shared" si="100"/>
        <v>4571</v>
      </c>
      <c r="J389" s="346">
        <f t="shared" si="100"/>
        <v>958</v>
      </c>
      <c r="K389" s="346">
        <f t="shared" si="100"/>
        <v>4354792</v>
      </c>
      <c r="L389" s="346">
        <f t="shared" si="100"/>
        <v>0</v>
      </c>
    </row>
    <row r="390" spans="1:12" ht="13">
      <c r="B390" s="341"/>
      <c r="C390" s="195"/>
      <c r="D390" s="342"/>
      <c r="E390" s="195"/>
      <c r="G390" s="195"/>
      <c r="H390" s="195"/>
      <c r="I390" s="195"/>
      <c r="J390" s="342"/>
      <c r="K390" s="195"/>
      <c r="L390" s="195"/>
    </row>
    <row r="391" spans="1:12" ht="13">
      <c r="A391" s="341" t="str">
        <f>co_name</f>
        <v>DUKE ENERGY KENTUCKY, INC.</v>
      </c>
      <c r="C391" s="195"/>
      <c r="D391" s="342"/>
      <c r="E391" s="195"/>
      <c r="F391" s="342"/>
      <c r="G391" s="340"/>
      <c r="H391" s="340"/>
      <c r="I391" s="195"/>
      <c r="K391" s="359" t="str">
        <f>$K$1</f>
        <v>FR-16(7)(v)-8</v>
      </c>
      <c r="L391" s="195"/>
    </row>
    <row r="392" spans="1:12" ht="13">
      <c r="A392" s="341" t="str">
        <f>$A$2</f>
        <v>TOTAL CLASS ALLOCATED - GAS COST OF SERVICE</v>
      </c>
      <c r="C392" s="195"/>
      <c r="D392" s="342"/>
      <c r="E392" s="195"/>
      <c r="F392" s="342"/>
      <c r="G392" s="340"/>
      <c r="H392" s="340"/>
      <c r="I392" s="195"/>
      <c r="K392" s="359" t="str">
        <f>$K$2</f>
        <v>WITNESS RESPONSIBLE:</v>
      </c>
      <c r="L392" s="195"/>
    </row>
    <row r="393" spans="1:12" ht="13">
      <c r="A393" s="341" t="str">
        <f>case_name</f>
        <v>CASE NO: 2021-00190</v>
      </c>
      <c r="C393" s="195"/>
      <c r="D393" s="342"/>
      <c r="E393" s="195"/>
      <c r="F393" s="342"/>
      <c r="G393" s="340"/>
      <c r="H393" s="340"/>
      <c r="I393" s="195"/>
      <c r="K393" s="359" t="str">
        <f>Witness</f>
        <v>JAMES E. ZIOLKOWSKI</v>
      </c>
      <c r="L393" s="195"/>
    </row>
    <row r="394" spans="1:12" ht="13">
      <c r="A394" s="341" t="str">
        <f>data_filing</f>
        <v>DATA: 12 MONTH FORECASTED PERIOD</v>
      </c>
      <c r="C394" s="195"/>
      <c r="D394" s="342"/>
      <c r="E394" s="195"/>
      <c r="F394" s="342"/>
      <c r="G394" s="340"/>
      <c r="H394" s="340"/>
      <c r="I394" s="195"/>
      <c r="K394" s="359" t="str">
        <f>"PAGE "&amp;Pages2-6&amp;" OF "&amp;Pages2</f>
        <v>PAGE 9 OF 15</v>
      </c>
      <c r="L394" s="195"/>
    </row>
    <row r="395" spans="1:12" ht="13">
      <c r="A395" s="341" t="str">
        <f>type</f>
        <v xml:space="preserve">TYPE OF FILING: "X" ORIGINAL   UPDATED    REVISED  </v>
      </c>
      <c r="C395" s="195"/>
      <c r="D395" s="342"/>
      <c r="E395" s="195"/>
      <c r="F395" s="342"/>
      <c r="G395" s="340"/>
      <c r="H395" s="340"/>
      <c r="I395" s="195"/>
      <c r="J395" s="342"/>
      <c r="K395" s="195"/>
      <c r="L395" s="195"/>
    </row>
    <row r="396" spans="1:12" ht="13">
      <c r="B396" s="341"/>
      <c r="C396" s="195"/>
      <c r="D396" s="342"/>
      <c r="E396" s="195"/>
      <c r="F396" s="342"/>
      <c r="G396" s="195"/>
      <c r="H396" s="195"/>
      <c r="I396" s="195"/>
      <c r="J396" s="342"/>
      <c r="K396" s="195"/>
      <c r="L396" s="195"/>
    </row>
    <row r="397" spans="1:12" ht="13">
      <c r="B397" s="341"/>
      <c r="C397" s="195"/>
      <c r="D397" s="342"/>
      <c r="E397" s="195"/>
      <c r="F397" s="342" t="str">
        <f>$F$7</f>
        <v>TOTAL</v>
      </c>
      <c r="G397" s="195"/>
      <c r="H397" s="195"/>
      <c r="I397" s="195"/>
      <c r="J397" s="342"/>
      <c r="K397" s="195"/>
      <c r="L397" s="195"/>
    </row>
    <row r="398" spans="1:12" ht="13">
      <c r="A398" s="342" t="s">
        <v>907</v>
      </c>
      <c r="B398" s="195"/>
      <c r="C398" s="195"/>
      <c r="D398" s="342"/>
      <c r="E398" s="195"/>
      <c r="F398" s="342" t="str">
        <f>$F$8</f>
        <v>CLASS</v>
      </c>
      <c r="G398" s="352" t="s">
        <v>766</v>
      </c>
      <c r="H398" s="352" t="s">
        <v>1256</v>
      </c>
      <c r="I398" s="352" t="s">
        <v>974</v>
      </c>
      <c r="J398" s="352" t="s">
        <v>546</v>
      </c>
      <c r="K398" s="352" t="s">
        <v>229</v>
      </c>
      <c r="L398" s="342" t="s">
        <v>342</v>
      </c>
    </row>
    <row r="399" spans="1:12" ht="13">
      <c r="A399" s="344" t="s">
        <v>908</v>
      </c>
      <c r="B399" s="343" t="s">
        <v>44</v>
      </c>
      <c r="C399" s="343"/>
      <c r="D399" s="344" t="s">
        <v>337</v>
      </c>
      <c r="E399" s="343"/>
      <c r="F399" s="342" t="str">
        <f>$F$9</f>
        <v>ALLOCATED</v>
      </c>
      <c r="G399" s="353" t="s">
        <v>338</v>
      </c>
      <c r="H399" s="353" t="s">
        <v>404</v>
      </c>
      <c r="I399" s="353" t="s">
        <v>1257</v>
      </c>
      <c r="J399" s="353" t="s">
        <v>547</v>
      </c>
      <c r="K399" s="353" t="s">
        <v>341</v>
      </c>
      <c r="L399" s="344" t="s">
        <v>340</v>
      </c>
    </row>
    <row r="400" spans="1:12" ht="13">
      <c r="C400" s="572" t="s">
        <v>557</v>
      </c>
      <c r="D400" s="342"/>
      <c r="E400" s="195"/>
      <c r="F400" s="755"/>
      <c r="G400" s="627">
        <f>$G$10</f>
        <v>3</v>
      </c>
      <c r="H400" s="627">
        <f>$H$10</f>
        <v>4</v>
      </c>
      <c r="I400" s="627">
        <f>$I$10</f>
        <v>5</v>
      </c>
      <c r="J400" s="627">
        <f>$J$10</f>
        <v>6</v>
      </c>
    </row>
    <row r="401" spans="1:12" ht="13">
      <c r="A401" s="331">
        <v>1</v>
      </c>
      <c r="B401" s="330" t="s">
        <v>52</v>
      </c>
      <c r="D401" s="342"/>
      <c r="E401" s="195"/>
      <c r="I401" s="330"/>
    </row>
    <row r="402" spans="1:12" ht="13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3">
        <f>'FR-16(7)(v)-1 Functional'!F402</f>
        <v>389010</v>
      </c>
      <c r="G402" s="347">
        <f>'FR-16(7)(v)-6 DISTR Cust Alloc'!G402+'FR-16(7)(v)-5 DISTR Dem Alloc'!G402+'FR-16(7)(v)-3 PROD Comm Alloc'!G402</f>
        <v>359189</v>
      </c>
      <c r="H402" s="347">
        <f>'FR-16(7)(v)-6 DISTR Cust Alloc'!H402+'FR-16(7)(v)-5 DISTR Dem Alloc'!H402+'FR-16(7)(v)-3 PROD Comm Alloc'!H402</f>
        <v>29327</v>
      </c>
      <c r="I402" s="347">
        <f>'FR-16(7)(v)-6 DISTR Cust Alloc'!I402+'FR-16(7)(v)-5 DISTR Dem Alloc'!I402+'FR-16(7)(v)-3 PROD Comm Alloc'!I402</f>
        <v>408</v>
      </c>
      <c r="J402" s="347">
        <f>'FR-16(7)(v)-6 DISTR Cust Alloc'!J402+'FR-16(7)(v)-5 DISTR Dem Alloc'!J402+'FR-16(7)(v)-3 PROD Comm Alloc'!J402</f>
        <v>86</v>
      </c>
      <c r="K402" s="345">
        <f>SUM(G402:J402)</f>
        <v>389010</v>
      </c>
      <c r="L402" s="345">
        <f>F402-K402</f>
        <v>0</v>
      </c>
    </row>
    <row r="403" spans="1:12" ht="13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L403" si="101">SUM(F402:F402)</f>
        <v>389010</v>
      </c>
      <c r="G403" s="346">
        <f t="shared" si="101"/>
        <v>359189</v>
      </c>
      <c r="H403" s="346">
        <f t="shared" si="101"/>
        <v>29327</v>
      </c>
      <c r="I403" s="346">
        <f t="shared" si="101"/>
        <v>408</v>
      </c>
      <c r="J403" s="346">
        <f t="shared" si="101"/>
        <v>86</v>
      </c>
      <c r="K403" s="346">
        <f t="shared" si="101"/>
        <v>389010</v>
      </c>
      <c r="L403" s="346">
        <f t="shared" si="101"/>
        <v>0</v>
      </c>
    </row>
    <row r="404" spans="1:12" ht="13">
      <c r="A404" s="331">
        <v>4</v>
      </c>
      <c r="D404" s="342"/>
      <c r="E404" s="195"/>
      <c r="F404" s="345"/>
      <c r="G404" s="345"/>
      <c r="I404" s="330"/>
      <c r="J404" s="345"/>
      <c r="K404" s="345"/>
      <c r="L404" s="345"/>
    </row>
    <row r="405" spans="1:12" ht="13">
      <c r="A405" s="331">
        <v>5</v>
      </c>
      <c r="B405" s="330" t="s">
        <v>53</v>
      </c>
      <c r="D405" s="342"/>
      <c r="E405" s="195"/>
      <c r="F405" s="345"/>
      <c r="G405" s="345"/>
      <c r="I405" s="330"/>
      <c r="J405" s="345"/>
      <c r="K405" s="345"/>
      <c r="L405" s="345"/>
    </row>
    <row r="406" spans="1:12" ht="13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3">
        <f>'FR-16(7)(v)-1 Functional'!F406</f>
        <v>399560</v>
      </c>
      <c r="G406" s="347">
        <f>'FR-16(7)(v)-6 DISTR Cust Alloc'!G406+'FR-16(7)(v)-5 DISTR Dem Alloc'!G406+'FR-16(7)(v)-3 PROD Comm Alloc'!G406</f>
        <v>368850</v>
      </c>
      <c r="H406" s="347">
        <f>'FR-16(7)(v)-6 DISTR Cust Alloc'!H406+'FR-16(7)(v)-5 DISTR Dem Alloc'!H406+'FR-16(7)(v)-3 PROD Comm Alloc'!H406</f>
        <v>30099</v>
      </c>
      <c r="I406" s="347">
        <f>'FR-16(7)(v)-6 DISTR Cust Alloc'!I406+'FR-16(7)(v)-5 DISTR Dem Alloc'!I406+'FR-16(7)(v)-3 PROD Comm Alloc'!I406</f>
        <v>459</v>
      </c>
      <c r="J406" s="347">
        <f>'FR-16(7)(v)-6 DISTR Cust Alloc'!J406+'FR-16(7)(v)-5 DISTR Dem Alloc'!J406+'FR-16(7)(v)-3 PROD Comm Alloc'!J406</f>
        <v>152</v>
      </c>
      <c r="K406" s="345">
        <f>SUM(G406:J406)</f>
        <v>399560</v>
      </c>
      <c r="L406" s="345">
        <f>F406-K406</f>
        <v>0</v>
      </c>
    </row>
    <row r="407" spans="1:12" ht="13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L407" si="102">SUM(F405:F406)</f>
        <v>399560</v>
      </c>
      <c r="G407" s="346">
        <f t="shared" si="102"/>
        <v>368850</v>
      </c>
      <c r="H407" s="346">
        <f t="shared" si="102"/>
        <v>30099</v>
      </c>
      <c r="I407" s="346">
        <f t="shared" si="102"/>
        <v>459</v>
      </c>
      <c r="J407" s="346">
        <f t="shared" si="102"/>
        <v>152</v>
      </c>
      <c r="K407" s="346">
        <f t="shared" si="102"/>
        <v>399560</v>
      </c>
      <c r="L407" s="346">
        <f t="shared" si="102"/>
        <v>0</v>
      </c>
    </row>
    <row r="408" spans="1:12" ht="13">
      <c r="A408" s="331">
        <v>8</v>
      </c>
      <c r="D408" s="342"/>
      <c r="E408" s="195"/>
      <c r="I408" s="330"/>
    </row>
    <row r="409" spans="1:12" ht="13">
      <c r="A409" s="331">
        <v>9</v>
      </c>
      <c r="B409" s="330" t="s">
        <v>54</v>
      </c>
      <c r="D409" s="342"/>
      <c r="E409" s="195"/>
      <c r="I409" s="330"/>
    </row>
    <row r="410" spans="1:12" ht="13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3">
        <f>'FR-16(7)(v)-1 Functional'!F410</f>
        <v>658571</v>
      </c>
      <c r="G410" s="347">
        <f>'FR-16(7)(v)-6 DISTR Cust Alloc'!G410+'FR-16(7)(v)-5 DISTR Dem Alloc'!G410+'FR-16(7)(v)-3 PROD Comm Alloc'!G410</f>
        <v>411311</v>
      </c>
      <c r="H410" s="347">
        <f>'FR-16(7)(v)-6 DISTR Cust Alloc'!H410+'FR-16(7)(v)-5 DISTR Dem Alloc'!H410+'FR-16(7)(v)-3 PROD Comm Alloc'!H410</f>
        <v>241287</v>
      </c>
      <c r="I410" s="347">
        <f>'FR-16(7)(v)-6 DISTR Cust Alloc'!I410+'FR-16(7)(v)-5 DISTR Dem Alloc'!I410+'FR-16(7)(v)-3 PROD Comm Alloc'!I410</f>
        <v>3484</v>
      </c>
      <c r="J410" s="347">
        <f>'FR-16(7)(v)-6 DISTR Cust Alloc'!J410+'FR-16(7)(v)-5 DISTR Dem Alloc'!J410+'FR-16(7)(v)-3 PROD Comm Alloc'!J410</f>
        <v>2489</v>
      </c>
      <c r="K410" s="345">
        <f t="shared" ref="K410:K415" si="103">SUM(G410:J410)</f>
        <v>658571</v>
      </c>
      <c r="L410" s="345">
        <f t="shared" ref="L410:L415" si="104">F410-K410</f>
        <v>0</v>
      </c>
    </row>
    <row r="411" spans="1:12" ht="13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3">
        <f>'FR-16(7)(v)-1 Functional'!F411</f>
        <v>485224</v>
      </c>
      <c r="G411" s="347">
        <f>'FR-16(7)(v)-6 DISTR Cust Alloc'!G411+'FR-16(7)(v)-5 DISTR Dem Alloc'!G411+'FR-16(7)(v)-3 PROD Comm Alloc'!G411</f>
        <v>305817</v>
      </c>
      <c r="H411" s="347">
        <f>'FR-16(7)(v)-6 DISTR Cust Alloc'!H411+'FR-16(7)(v)-5 DISTR Dem Alloc'!H411+'FR-16(7)(v)-3 PROD Comm Alloc'!H411</f>
        <v>179407</v>
      </c>
      <c r="I411" s="347">
        <f>'FR-16(7)(v)-6 DISTR Cust Alloc'!I411+'FR-16(7)(v)-5 DISTR Dem Alloc'!I411+'FR-16(7)(v)-3 PROD Comm Alloc'!I411</f>
        <v>0</v>
      </c>
      <c r="J411" s="347">
        <f>'FR-16(7)(v)-6 DISTR Cust Alloc'!J411+'FR-16(7)(v)-5 DISTR Dem Alloc'!J411+'FR-16(7)(v)-3 PROD Comm Alloc'!J411</f>
        <v>0</v>
      </c>
      <c r="K411" s="345">
        <f t="shared" si="103"/>
        <v>485224</v>
      </c>
      <c r="L411" s="345">
        <f t="shared" si="104"/>
        <v>0</v>
      </c>
    </row>
    <row r="412" spans="1:12" ht="13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3">
        <f>'FR-16(7)(v)-1 Functional'!F412</f>
        <v>4337864</v>
      </c>
      <c r="G412" s="347">
        <f>'FR-16(7)(v)-6 DISTR Cust Alloc'!G412+'FR-16(7)(v)-5 DISTR Dem Alloc'!G412+'FR-16(7)(v)-3 PROD Comm Alloc'!G412</f>
        <v>2528567</v>
      </c>
      <c r="H412" s="347">
        <f>'FR-16(7)(v)-6 DISTR Cust Alloc'!H412+'FR-16(7)(v)-5 DISTR Dem Alloc'!H412+'FR-16(7)(v)-3 PROD Comm Alloc'!H412</f>
        <v>1208365</v>
      </c>
      <c r="I412" s="347">
        <f>'FR-16(7)(v)-6 DISTR Cust Alloc'!I412+'FR-16(7)(v)-5 DISTR Dem Alloc'!I412+'FR-16(7)(v)-3 PROD Comm Alloc'!I412</f>
        <v>458806</v>
      </c>
      <c r="J412" s="347">
        <f>'FR-16(7)(v)-6 DISTR Cust Alloc'!J412+'FR-16(7)(v)-5 DISTR Dem Alloc'!J412+'FR-16(7)(v)-3 PROD Comm Alloc'!J412</f>
        <v>142126</v>
      </c>
      <c r="K412" s="345">
        <f t="shared" si="103"/>
        <v>4337864</v>
      </c>
      <c r="L412" s="345">
        <f t="shared" si="104"/>
        <v>0</v>
      </c>
    </row>
    <row r="413" spans="1:12" ht="13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3">
        <f>'FR-16(7)(v)-1 Functional'!F413</f>
        <v>1716742</v>
      </c>
      <c r="G413" s="347">
        <f>'FR-16(7)(v)-6 DISTR Cust Alloc'!G413+'FR-16(7)(v)-5 DISTR Dem Alloc'!G413+'FR-16(7)(v)-3 PROD Comm Alloc'!G413</f>
        <v>1585136</v>
      </c>
      <c r="H413" s="347">
        <f>'FR-16(7)(v)-6 DISTR Cust Alloc'!H413+'FR-16(7)(v)-5 DISTR Dem Alloc'!H413+'FR-16(7)(v)-3 PROD Comm Alloc'!H413</f>
        <v>129425</v>
      </c>
      <c r="I413" s="347">
        <f>'FR-16(7)(v)-6 DISTR Cust Alloc'!I413+'FR-16(7)(v)-5 DISTR Dem Alloc'!I413+'FR-16(7)(v)-3 PROD Comm Alloc'!I413</f>
        <v>1803</v>
      </c>
      <c r="J413" s="347">
        <f>'FR-16(7)(v)-6 DISTR Cust Alloc'!J413+'FR-16(7)(v)-5 DISTR Dem Alloc'!J413+'FR-16(7)(v)-3 PROD Comm Alloc'!J413</f>
        <v>378</v>
      </c>
      <c r="K413" s="345">
        <f t="shared" si="103"/>
        <v>1716742</v>
      </c>
      <c r="L413" s="345">
        <f t="shared" si="104"/>
        <v>0</v>
      </c>
    </row>
    <row r="414" spans="1:12" ht="13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3">
        <f>'FR-16(7)(v)-1 Functional'!F414</f>
        <v>166198</v>
      </c>
      <c r="G414" s="347">
        <f>'FR-16(7)(v)-6 DISTR Cust Alloc'!G414+'FR-16(7)(v)-5 DISTR Dem Alloc'!G414+'FR-16(7)(v)-3 PROD Comm Alloc'!G414</f>
        <v>153456</v>
      </c>
      <c r="H414" s="347">
        <f>'FR-16(7)(v)-6 DISTR Cust Alloc'!H414+'FR-16(7)(v)-5 DISTR Dem Alloc'!H414+'FR-16(7)(v)-3 PROD Comm Alloc'!H414</f>
        <v>12530</v>
      </c>
      <c r="I414" s="347">
        <f>'FR-16(7)(v)-6 DISTR Cust Alloc'!I414+'FR-16(7)(v)-5 DISTR Dem Alloc'!I414+'FR-16(7)(v)-3 PROD Comm Alloc'!I414</f>
        <v>175</v>
      </c>
      <c r="J414" s="347">
        <f>'FR-16(7)(v)-6 DISTR Cust Alloc'!J414+'FR-16(7)(v)-5 DISTR Dem Alloc'!J414+'FR-16(7)(v)-3 PROD Comm Alloc'!J414</f>
        <v>37</v>
      </c>
      <c r="K414" s="345">
        <f t="shared" si="103"/>
        <v>166198</v>
      </c>
      <c r="L414" s="345">
        <f t="shared" si="104"/>
        <v>0</v>
      </c>
    </row>
    <row r="415" spans="1:12" ht="13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3">
        <f>'FR-16(7)(v)-1 Functional'!F415</f>
        <v>0</v>
      </c>
      <c r="G415" s="347">
        <f>'FR-16(7)(v)-6 DISTR Cust Alloc'!G415+'FR-16(7)(v)-5 DISTR Dem Alloc'!G415+'FR-16(7)(v)-3 PROD Comm Alloc'!G415</f>
        <v>0</v>
      </c>
      <c r="H415" s="347">
        <f>'FR-16(7)(v)-6 DISTR Cust Alloc'!H415+'FR-16(7)(v)-5 DISTR Dem Alloc'!H415+'FR-16(7)(v)-3 PROD Comm Alloc'!H415</f>
        <v>0</v>
      </c>
      <c r="I415" s="347">
        <f>'FR-16(7)(v)-6 DISTR Cust Alloc'!I415+'FR-16(7)(v)-5 DISTR Dem Alloc'!I415+'FR-16(7)(v)-3 PROD Comm Alloc'!I415</f>
        <v>0</v>
      </c>
      <c r="J415" s="347">
        <f>'FR-16(7)(v)-6 DISTR Cust Alloc'!J415+'FR-16(7)(v)-5 DISTR Dem Alloc'!J415+'FR-16(7)(v)-3 PROD Comm Alloc'!J415</f>
        <v>0</v>
      </c>
      <c r="K415" s="496">
        <f t="shared" si="103"/>
        <v>0</v>
      </c>
      <c r="L415" s="496">
        <f t="shared" si="104"/>
        <v>0</v>
      </c>
    </row>
    <row r="416" spans="1:12" ht="13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7">
        <f t="shared" ref="F416:L416" si="105">SUM(F410:F415)</f>
        <v>7364599</v>
      </c>
      <c r="G416" s="497">
        <f t="shared" si="105"/>
        <v>4984287</v>
      </c>
      <c r="H416" s="497">
        <f t="shared" si="105"/>
        <v>1771014</v>
      </c>
      <c r="I416" s="497">
        <f t="shared" si="105"/>
        <v>464268</v>
      </c>
      <c r="J416" s="497">
        <f t="shared" si="105"/>
        <v>145030</v>
      </c>
      <c r="K416" s="471">
        <f t="shared" si="105"/>
        <v>7364599</v>
      </c>
      <c r="L416" s="471">
        <f t="shared" si="105"/>
        <v>0</v>
      </c>
    </row>
    <row r="417" spans="1:12" ht="13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3">
        <f>'FR-16(7)(v)-1 Functional'!F417</f>
        <v>70692</v>
      </c>
      <c r="G417" s="347">
        <f>'FR-16(7)(v)-6 DISTR Cust Alloc'!G417+'FR-16(7)(v)-5 DISTR Dem Alloc'!G417+'FR-16(7)(v)-3 PROD Comm Alloc'!G417</f>
        <v>47844</v>
      </c>
      <c r="H417" s="347">
        <f>'FR-16(7)(v)-6 DISTR Cust Alloc'!H417+'FR-16(7)(v)-5 DISTR Dem Alloc'!H417+'FR-16(7)(v)-3 PROD Comm Alloc'!H417</f>
        <v>17000</v>
      </c>
      <c r="I417" s="347">
        <f>'FR-16(7)(v)-6 DISTR Cust Alloc'!I417+'FR-16(7)(v)-5 DISTR Dem Alloc'!I417+'FR-16(7)(v)-3 PROD Comm Alloc'!I417</f>
        <v>4456</v>
      </c>
      <c r="J417" s="347">
        <f>'FR-16(7)(v)-6 DISTR Cust Alloc'!J417+'FR-16(7)(v)-5 DISTR Dem Alloc'!J417+'FR-16(7)(v)-3 PROD Comm Alloc'!J417</f>
        <v>1392</v>
      </c>
      <c r="K417" s="345">
        <f t="shared" ref="K417:K423" si="106">SUM(G417:J417)</f>
        <v>70692</v>
      </c>
      <c r="L417" s="345">
        <f t="shared" ref="L417:L430" si="107">F417-K417</f>
        <v>0</v>
      </c>
    </row>
    <row r="418" spans="1:12" ht="13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3">
        <f>'FR-16(7)(v)-1 Functional'!F418</f>
        <v>-583357</v>
      </c>
      <c r="G418" s="347">
        <f>'FR-16(7)(v)-6 DISTR Cust Alloc'!G418+'FR-16(7)(v)-5 DISTR Dem Alloc'!G418+'FR-16(7)(v)-3 PROD Comm Alloc'!G418</f>
        <v>-394809</v>
      </c>
      <c r="H418" s="347">
        <f>'FR-16(7)(v)-6 DISTR Cust Alloc'!H418+'FR-16(7)(v)-5 DISTR Dem Alloc'!H418+'FR-16(7)(v)-3 PROD Comm Alloc'!H418</f>
        <v>-140284</v>
      </c>
      <c r="I418" s="347">
        <f>'FR-16(7)(v)-6 DISTR Cust Alloc'!I418+'FR-16(7)(v)-5 DISTR Dem Alloc'!I418+'FR-16(7)(v)-3 PROD Comm Alloc'!I418</f>
        <v>-36775</v>
      </c>
      <c r="J418" s="347">
        <f>'FR-16(7)(v)-6 DISTR Cust Alloc'!J418+'FR-16(7)(v)-5 DISTR Dem Alloc'!J418+'FR-16(7)(v)-3 PROD Comm Alloc'!J418</f>
        <v>-11489</v>
      </c>
      <c r="K418" s="345">
        <f t="shared" si="106"/>
        <v>-583357</v>
      </c>
      <c r="L418" s="345">
        <f t="shared" si="107"/>
        <v>0</v>
      </c>
    </row>
    <row r="419" spans="1:12" ht="13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3">
        <f>'FR-16(7)(v)-1 Functional'!F419</f>
        <v>-202083</v>
      </c>
      <c r="G419" s="347">
        <f>'FR-16(7)(v)-6 DISTR Cust Alloc'!G419+'FR-16(7)(v)-5 DISTR Dem Alloc'!G419+'FR-16(7)(v)-3 PROD Comm Alloc'!G419</f>
        <v>-136768</v>
      </c>
      <c r="H419" s="347">
        <f>'FR-16(7)(v)-6 DISTR Cust Alloc'!H419+'FR-16(7)(v)-5 DISTR Dem Alloc'!H419+'FR-16(7)(v)-3 PROD Comm Alloc'!H419</f>
        <v>-48596</v>
      </c>
      <c r="I419" s="347">
        <f>'FR-16(7)(v)-6 DISTR Cust Alloc'!I419+'FR-16(7)(v)-5 DISTR Dem Alloc'!I419+'FR-16(7)(v)-3 PROD Comm Alloc'!I419</f>
        <v>-12740</v>
      </c>
      <c r="J419" s="347">
        <f>'FR-16(7)(v)-6 DISTR Cust Alloc'!J419+'FR-16(7)(v)-5 DISTR Dem Alloc'!J419+'FR-16(7)(v)-3 PROD Comm Alloc'!J419</f>
        <v>-3979</v>
      </c>
      <c r="K419" s="345">
        <f t="shared" si="106"/>
        <v>-202083</v>
      </c>
      <c r="L419" s="345">
        <f t="shared" si="107"/>
        <v>0</v>
      </c>
    </row>
    <row r="420" spans="1:12" ht="13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3">
        <f>'FR-16(7)(v)-1 Functional'!F420</f>
        <v>0</v>
      </c>
      <c r="G420" s="347">
        <f>'FR-16(7)(v)-6 DISTR Cust Alloc'!G420+'FR-16(7)(v)-5 DISTR Dem Alloc'!G420+'FR-16(7)(v)-3 PROD Comm Alloc'!G420</f>
        <v>0</v>
      </c>
      <c r="H420" s="347">
        <f>'FR-16(7)(v)-6 DISTR Cust Alloc'!H420+'FR-16(7)(v)-5 DISTR Dem Alloc'!H420+'FR-16(7)(v)-3 PROD Comm Alloc'!H420</f>
        <v>0</v>
      </c>
      <c r="I420" s="347">
        <f>'FR-16(7)(v)-6 DISTR Cust Alloc'!I420+'FR-16(7)(v)-5 DISTR Dem Alloc'!I420+'FR-16(7)(v)-3 PROD Comm Alloc'!I420</f>
        <v>0</v>
      </c>
      <c r="J420" s="347">
        <f>'FR-16(7)(v)-6 DISTR Cust Alloc'!J420+'FR-16(7)(v)-5 DISTR Dem Alloc'!J420+'FR-16(7)(v)-3 PROD Comm Alloc'!J420</f>
        <v>0</v>
      </c>
      <c r="K420" s="345">
        <f t="shared" si="106"/>
        <v>0</v>
      </c>
      <c r="L420" s="345">
        <f t="shared" si="107"/>
        <v>0</v>
      </c>
    </row>
    <row r="421" spans="1:12" ht="13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3">
        <f>'FR-16(7)(v)-1 Functional'!F421</f>
        <v>407760</v>
      </c>
      <c r="G421" s="347">
        <f>'FR-16(7)(v)-6 DISTR Cust Alloc'!G421+'FR-16(7)(v)-5 DISTR Dem Alloc'!G421+'FR-16(7)(v)-3 PROD Comm Alloc'!G421</f>
        <v>275967</v>
      </c>
      <c r="H421" s="347">
        <f>'FR-16(7)(v)-6 DISTR Cust Alloc'!H421+'FR-16(7)(v)-5 DISTR Dem Alloc'!H421+'FR-16(7)(v)-3 PROD Comm Alloc'!H421</f>
        <v>98057</v>
      </c>
      <c r="I421" s="347">
        <f>'FR-16(7)(v)-6 DISTR Cust Alloc'!I421+'FR-16(7)(v)-5 DISTR Dem Alloc'!I421+'FR-16(7)(v)-3 PROD Comm Alloc'!I421</f>
        <v>25706</v>
      </c>
      <c r="J421" s="347">
        <f>'FR-16(7)(v)-6 DISTR Cust Alloc'!J421+'FR-16(7)(v)-5 DISTR Dem Alloc'!J421+'FR-16(7)(v)-3 PROD Comm Alloc'!J421</f>
        <v>8030</v>
      </c>
      <c r="K421" s="345">
        <f t="shared" si="106"/>
        <v>407760</v>
      </c>
      <c r="L421" s="345">
        <f t="shared" si="107"/>
        <v>0</v>
      </c>
    </row>
    <row r="422" spans="1:12" ht="13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3">
        <f>'FR-16(7)(v)-1 Functional'!F422</f>
        <v>0</v>
      </c>
      <c r="G422" s="347">
        <f>'FR-16(7)(v)-6 DISTR Cust Alloc'!G422+'FR-16(7)(v)-5 DISTR Dem Alloc'!G422+'FR-16(7)(v)-3 PROD Comm Alloc'!G422</f>
        <v>0</v>
      </c>
      <c r="H422" s="347">
        <f>'FR-16(7)(v)-6 DISTR Cust Alloc'!H422+'FR-16(7)(v)-5 DISTR Dem Alloc'!H422+'FR-16(7)(v)-3 PROD Comm Alloc'!H422</f>
        <v>0</v>
      </c>
      <c r="I422" s="347">
        <f>'FR-16(7)(v)-6 DISTR Cust Alloc'!I422+'FR-16(7)(v)-5 DISTR Dem Alloc'!I422+'FR-16(7)(v)-3 PROD Comm Alloc'!I422</f>
        <v>0</v>
      </c>
      <c r="J422" s="347">
        <f>'FR-16(7)(v)-6 DISTR Cust Alloc'!J422+'FR-16(7)(v)-5 DISTR Dem Alloc'!J422+'FR-16(7)(v)-3 PROD Comm Alloc'!J422</f>
        <v>0</v>
      </c>
      <c r="K422" s="345">
        <f t="shared" si="106"/>
        <v>0</v>
      </c>
      <c r="L422" s="345">
        <f t="shared" si="107"/>
        <v>0</v>
      </c>
    </row>
    <row r="423" spans="1:12" ht="13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3">
        <f>'FR-16(7)(v)-1 Functional'!F423</f>
        <v>0</v>
      </c>
      <c r="G423" s="347">
        <f>'FR-16(7)(v)-6 DISTR Cust Alloc'!G423+'FR-16(7)(v)-5 DISTR Dem Alloc'!G423+'FR-16(7)(v)-3 PROD Comm Alloc'!G423</f>
        <v>0</v>
      </c>
      <c r="H423" s="347">
        <f>'FR-16(7)(v)-6 DISTR Cust Alloc'!H423+'FR-16(7)(v)-5 DISTR Dem Alloc'!H423+'FR-16(7)(v)-3 PROD Comm Alloc'!H423</f>
        <v>0</v>
      </c>
      <c r="I423" s="347">
        <f>'FR-16(7)(v)-6 DISTR Cust Alloc'!I423+'FR-16(7)(v)-5 DISTR Dem Alloc'!I423+'FR-16(7)(v)-3 PROD Comm Alloc'!I423</f>
        <v>0</v>
      </c>
      <c r="J423" s="347">
        <f>'FR-16(7)(v)-6 DISTR Cust Alloc'!J423+'FR-16(7)(v)-5 DISTR Dem Alloc'!J423+'FR-16(7)(v)-3 PROD Comm Alloc'!J423</f>
        <v>0</v>
      </c>
      <c r="K423" s="345">
        <f t="shared" si="106"/>
        <v>0</v>
      </c>
      <c r="L423" s="345">
        <f t="shared" si="107"/>
        <v>0</v>
      </c>
    </row>
    <row r="424" spans="1:12" ht="13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3">
        <f>'FR-16(7)(v)-1 Functional'!F424</f>
        <v>0</v>
      </c>
      <c r="G424" s="347">
        <f>'FR-16(7)(v)-6 DISTR Cust Alloc'!G424+'FR-16(7)(v)-5 DISTR Dem Alloc'!G424+'FR-16(7)(v)-3 PROD Comm Alloc'!G424</f>
        <v>0</v>
      </c>
      <c r="H424" s="347">
        <f>'FR-16(7)(v)-6 DISTR Cust Alloc'!H424+'FR-16(7)(v)-5 DISTR Dem Alloc'!H424+'FR-16(7)(v)-3 PROD Comm Alloc'!H424</f>
        <v>0</v>
      </c>
      <c r="I424" s="347">
        <f>'FR-16(7)(v)-6 DISTR Cust Alloc'!I424+'FR-16(7)(v)-5 DISTR Dem Alloc'!I424+'FR-16(7)(v)-3 PROD Comm Alloc'!I424</f>
        <v>0</v>
      </c>
      <c r="J424" s="347">
        <f>'FR-16(7)(v)-6 DISTR Cust Alloc'!J424+'FR-16(7)(v)-5 DISTR Dem Alloc'!J424+'FR-16(7)(v)-3 PROD Comm Alloc'!J424</f>
        <v>0</v>
      </c>
      <c r="K424" s="345">
        <f t="shared" ref="K424:K430" si="108">SUM(G424:J424)</f>
        <v>0</v>
      </c>
      <c r="L424" s="345">
        <f t="shared" si="107"/>
        <v>0</v>
      </c>
    </row>
    <row r="425" spans="1:12" ht="13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3">
        <f>'FR-16(7)(v)-1 Functional'!F425</f>
        <v>0</v>
      </c>
      <c r="G425" s="347">
        <f>'FR-16(7)(v)-6 DISTR Cust Alloc'!G425+'FR-16(7)(v)-5 DISTR Dem Alloc'!G425+'FR-16(7)(v)-3 PROD Comm Alloc'!G425</f>
        <v>0</v>
      </c>
      <c r="H425" s="347">
        <f>'FR-16(7)(v)-6 DISTR Cust Alloc'!H425+'FR-16(7)(v)-5 DISTR Dem Alloc'!H425+'FR-16(7)(v)-3 PROD Comm Alloc'!H425</f>
        <v>0</v>
      </c>
      <c r="I425" s="347">
        <f>'FR-16(7)(v)-6 DISTR Cust Alloc'!I425+'FR-16(7)(v)-5 DISTR Dem Alloc'!I425+'FR-16(7)(v)-3 PROD Comm Alloc'!I425</f>
        <v>0</v>
      </c>
      <c r="J425" s="347">
        <f>'FR-16(7)(v)-6 DISTR Cust Alloc'!J425+'FR-16(7)(v)-5 DISTR Dem Alloc'!J425+'FR-16(7)(v)-3 PROD Comm Alloc'!J425</f>
        <v>0</v>
      </c>
      <c r="K425" s="345">
        <f t="shared" si="108"/>
        <v>0</v>
      </c>
      <c r="L425" s="345">
        <f t="shared" si="107"/>
        <v>0</v>
      </c>
    </row>
    <row r="426" spans="1:12" ht="13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3">
        <f>'FR-16(7)(v)-1 Functional'!F426</f>
        <v>0</v>
      </c>
      <c r="G426" s="347">
        <f>'FR-16(7)(v)-6 DISTR Cust Alloc'!G426+'FR-16(7)(v)-5 DISTR Dem Alloc'!G426+'FR-16(7)(v)-3 PROD Comm Alloc'!G426</f>
        <v>0</v>
      </c>
      <c r="H426" s="347">
        <f>'FR-16(7)(v)-6 DISTR Cust Alloc'!H426+'FR-16(7)(v)-5 DISTR Dem Alloc'!H426+'FR-16(7)(v)-3 PROD Comm Alloc'!H426</f>
        <v>0</v>
      </c>
      <c r="I426" s="347">
        <f>'FR-16(7)(v)-6 DISTR Cust Alloc'!I426+'FR-16(7)(v)-5 DISTR Dem Alloc'!I426+'FR-16(7)(v)-3 PROD Comm Alloc'!I426</f>
        <v>0</v>
      </c>
      <c r="J426" s="347">
        <f>'FR-16(7)(v)-6 DISTR Cust Alloc'!J426+'FR-16(7)(v)-5 DISTR Dem Alloc'!J426+'FR-16(7)(v)-3 PROD Comm Alloc'!J426</f>
        <v>0</v>
      </c>
      <c r="K426" s="345">
        <f t="shared" si="108"/>
        <v>0</v>
      </c>
      <c r="L426" s="345">
        <f t="shared" si="107"/>
        <v>0</v>
      </c>
    </row>
    <row r="427" spans="1:12" ht="13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3">
        <f>'FR-16(7)(v)-1 Functional'!F427</f>
        <v>0</v>
      </c>
      <c r="G427" s="347">
        <f>'FR-16(7)(v)-6 DISTR Cust Alloc'!G427+'FR-16(7)(v)-5 DISTR Dem Alloc'!G427+'FR-16(7)(v)-3 PROD Comm Alloc'!G427</f>
        <v>0</v>
      </c>
      <c r="H427" s="347">
        <f>'FR-16(7)(v)-6 DISTR Cust Alloc'!H427+'FR-16(7)(v)-5 DISTR Dem Alloc'!H427+'FR-16(7)(v)-3 PROD Comm Alloc'!H427</f>
        <v>0</v>
      </c>
      <c r="I427" s="347">
        <f>'FR-16(7)(v)-6 DISTR Cust Alloc'!I427+'FR-16(7)(v)-5 DISTR Dem Alloc'!I427+'FR-16(7)(v)-3 PROD Comm Alloc'!I427</f>
        <v>0</v>
      </c>
      <c r="J427" s="347">
        <f>'FR-16(7)(v)-6 DISTR Cust Alloc'!J427+'FR-16(7)(v)-5 DISTR Dem Alloc'!J427+'FR-16(7)(v)-3 PROD Comm Alloc'!J427</f>
        <v>0</v>
      </c>
      <c r="K427" s="345">
        <f t="shared" si="108"/>
        <v>0</v>
      </c>
      <c r="L427" s="345">
        <f t="shared" si="107"/>
        <v>0</v>
      </c>
    </row>
    <row r="428" spans="1:12" ht="13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3">
        <f>'FR-16(7)(v)-1 Functional'!F428</f>
        <v>0</v>
      </c>
      <c r="G428" s="347">
        <f>'FR-16(7)(v)-6 DISTR Cust Alloc'!G428+'FR-16(7)(v)-5 DISTR Dem Alloc'!G428+'FR-16(7)(v)-3 PROD Comm Alloc'!G428</f>
        <v>0</v>
      </c>
      <c r="H428" s="347">
        <f>'FR-16(7)(v)-6 DISTR Cust Alloc'!H428+'FR-16(7)(v)-5 DISTR Dem Alloc'!H428+'FR-16(7)(v)-3 PROD Comm Alloc'!H428</f>
        <v>0</v>
      </c>
      <c r="I428" s="347">
        <f>'FR-16(7)(v)-6 DISTR Cust Alloc'!I428+'FR-16(7)(v)-5 DISTR Dem Alloc'!I428+'FR-16(7)(v)-3 PROD Comm Alloc'!I428</f>
        <v>0</v>
      </c>
      <c r="J428" s="347">
        <f>'FR-16(7)(v)-6 DISTR Cust Alloc'!J428+'FR-16(7)(v)-5 DISTR Dem Alloc'!J428+'FR-16(7)(v)-3 PROD Comm Alloc'!J428</f>
        <v>0</v>
      </c>
      <c r="K428" s="345">
        <f t="shared" si="108"/>
        <v>0</v>
      </c>
      <c r="L428" s="345">
        <f t="shared" si="107"/>
        <v>0</v>
      </c>
    </row>
    <row r="429" spans="1:12" ht="13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3">
        <f>'FR-16(7)(v)-1 Functional'!F429</f>
        <v>0</v>
      </c>
      <c r="G429" s="347">
        <f>'FR-16(7)(v)-6 DISTR Cust Alloc'!G429+'FR-16(7)(v)-5 DISTR Dem Alloc'!G429+'FR-16(7)(v)-3 PROD Comm Alloc'!G429</f>
        <v>0</v>
      </c>
      <c r="H429" s="347">
        <f>'FR-16(7)(v)-6 DISTR Cust Alloc'!H429+'FR-16(7)(v)-5 DISTR Dem Alloc'!H429+'FR-16(7)(v)-3 PROD Comm Alloc'!H429</f>
        <v>0</v>
      </c>
      <c r="I429" s="347">
        <f>'FR-16(7)(v)-6 DISTR Cust Alloc'!I429+'FR-16(7)(v)-5 DISTR Dem Alloc'!I429+'FR-16(7)(v)-3 PROD Comm Alloc'!I429</f>
        <v>0</v>
      </c>
      <c r="J429" s="347">
        <f>'FR-16(7)(v)-6 DISTR Cust Alloc'!J429+'FR-16(7)(v)-5 DISTR Dem Alloc'!J429+'FR-16(7)(v)-3 PROD Comm Alloc'!J429</f>
        <v>0</v>
      </c>
      <c r="K429" s="345">
        <f t="shared" si="108"/>
        <v>0</v>
      </c>
      <c r="L429" s="345">
        <f t="shared" si="107"/>
        <v>0</v>
      </c>
    </row>
    <row r="430" spans="1:12" ht="13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3">
        <f>'FR-16(7)(v)-1 Functional'!F430</f>
        <v>0</v>
      </c>
      <c r="G430" s="347">
        <f>'FR-16(7)(v)-6 DISTR Cust Alloc'!G430+'FR-16(7)(v)-5 DISTR Dem Alloc'!G430+'FR-16(7)(v)-3 PROD Comm Alloc'!G430</f>
        <v>0</v>
      </c>
      <c r="H430" s="347">
        <f>'FR-16(7)(v)-6 DISTR Cust Alloc'!H430+'FR-16(7)(v)-5 DISTR Dem Alloc'!H430+'FR-16(7)(v)-3 PROD Comm Alloc'!H430</f>
        <v>0</v>
      </c>
      <c r="I430" s="347">
        <f>'FR-16(7)(v)-6 DISTR Cust Alloc'!I430+'FR-16(7)(v)-5 DISTR Dem Alloc'!I430+'FR-16(7)(v)-3 PROD Comm Alloc'!I430</f>
        <v>0</v>
      </c>
      <c r="J430" s="347">
        <f>'FR-16(7)(v)-6 DISTR Cust Alloc'!J430+'FR-16(7)(v)-5 DISTR Dem Alloc'!J430+'FR-16(7)(v)-3 PROD Comm Alloc'!J430</f>
        <v>0</v>
      </c>
      <c r="K430" s="345">
        <f t="shared" si="108"/>
        <v>0</v>
      </c>
      <c r="L430" s="345">
        <f t="shared" si="107"/>
        <v>0</v>
      </c>
    </row>
    <row r="431" spans="1:12" ht="13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L431" si="109">SUM(F416:F430)</f>
        <v>7057611</v>
      </c>
      <c r="G431" s="346">
        <f t="shared" si="109"/>
        <v>4776521</v>
      </c>
      <c r="H431" s="346">
        <f t="shared" si="109"/>
        <v>1697191</v>
      </c>
      <c r="I431" s="346">
        <f t="shared" si="109"/>
        <v>444915</v>
      </c>
      <c r="J431" s="346">
        <f t="shared" si="109"/>
        <v>138984</v>
      </c>
      <c r="K431" s="346">
        <f t="shared" si="109"/>
        <v>7057611</v>
      </c>
      <c r="L431" s="346">
        <f t="shared" si="109"/>
        <v>0</v>
      </c>
    </row>
    <row r="432" spans="1:12" ht="13">
      <c r="A432" s="331">
        <v>32</v>
      </c>
      <c r="D432" s="342"/>
      <c r="E432" s="195"/>
      <c r="F432" s="333"/>
      <c r="G432" s="345"/>
      <c r="I432" s="330"/>
      <c r="J432" s="345"/>
      <c r="K432" s="345"/>
      <c r="L432" s="345"/>
    </row>
    <row r="433" spans="1:12" ht="13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L433" si="110">F431+F407+F403+F389+F378+F364+F360</f>
        <v>62796024</v>
      </c>
      <c r="G433" s="345">
        <f t="shared" si="110"/>
        <v>40778122</v>
      </c>
      <c r="H433" s="345">
        <f t="shared" si="110"/>
        <v>19892033</v>
      </c>
      <c r="I433" s="345">
        <f t="shared" si="110"/>
        <v>1553301</v>
      </c>
      <c r="J433" s="345">
        <f t="shared" si="110"/>
        <v>572568</v>
      </c>
      <c r="K433" s="345">
        <f t="shared" si="110"/>
        <v>62796024</v>
      </c>
      <c r="L433" s="345">
        <f t="shared" si="110"/>
        <v>0</v>
      </c>
    </row>
    <row r="434" spans="1:12" ht="13">
      <c r="B434" s="341"/>
      <c r="C434" s="195"/>
      <c r="D434" s="342"/>
      <c r="E434" s="195"/>
      <c r="G434" s="195"/>
      <c r="H434" s="340"/>
      <c r="I434" s="340"/>
      <c r="J434" s="352"/>
      <c r="K434" s="195"/>
      <c r="L434" s="195"/>
    </row>
    <row r="435" spans="1:12" ht="13">
      <c r="A435" s="341" t="str">
        <f>co_name</f>
        <v>DUKE ENERGY KENTUCKY, INC.</v>
      </c>
      <c r="C435" s="195"/>
      <c r="D435" s="342"/>
      <c r="E435" s="195"/>
      <c r="F435" s="342"/>
      <c r="G435" s="340"/>
      <c r="H435" s="340"/>
      <c r="I435" s="195"/>
      <c r="K435" s="359" t="str">
        <f>$K$1</f>
        <v>FR-16(7)(v)-8</v>
      </c>
      <c r="L435" s="195"/>
    </row>
    <row r="436" spans="1:12" ht="13">
      <c r="A436" s="341" t="str">
        <f>$A$2</f>
        <v>TOTAL CLASS ALLOCATED - GAS COST OF SERVICE</v>
      </c>
      <c r="C436" s="195"/>
      <c r="D436" s="342"/>
      <c r="E436" s="195"/>
      <c r="F436" s="342"/>
      <c r="G436" s="340"/>
      <c r="H436" s="340"/>
      <c r="I436" s="195"/>
      <c r="K436" s="359" t="str">
        <f>$K$2</f>
        <v>WITNESS RESPONSIBLE:</v>
      </c>
      <c r="L436" s="195"/>
    </row>
    <row r="437" spans="1:12" ht="13">
      <c r="A437" s="341" t="str">
        <f>case_name</f>
        <v>CASE NO: 2021-00190</v>
      </c>
      <c r="C437" s="195"/>
      <c r="D437" s="342"/>
      <c r="E437" s="195"/>
      <c r="F437" s="342"/>
      <c r="G437" s="340"/>
      <c r="H437" s="340"/>
      <c r="I437" s="195"/>
      <c r="K437" s="359" t="str">
        <f>Witness</f>
        <v>JAMES E. ZIOLKOWSKI</v>
      </c>
      <c r="L437" s="195"/>
    </row>
    <row r="438" spans="1:12" ht="13">
      <c r="A438" s="341" t="str">
        <f>data_filing</f>
        <v>DATA: 12 MONTH FORECASTED PERIOD</v>
      </c>
      <c r="C438" s="195"/>
      <c r="D438" s="342"/>
      <c r="E438" s="195"/>
      <c r="F438" s="342"/>
      <c r="G438" s="340"/>
      <c r="H438" s="340"/>
      <c r="I438" s="195"/>
      <c r="K438" s="359" t="str">
        <f>"PAGE "&amp;Pages2-5&amp;" OF "&amp;Pages2</f>
        <v>PAGE 10 OF 15</v>
      </c>
      <c r="L438" s="195"/>
    </row>
    <row r="439" spans="1:12" ht="13">
      <c r="A439" s="341" t="str">
        <f>type</f>
        <v xml:space="preserve">TYPE OF FILING: "X" ORIGINAL   UPDATED    REVISED  </v>
      </c>
      <c r="C439" s="195"/>
      <c r="D439" s="342"/>
      <c r="E439" s="195"/>
      <c r="F439" s="342"/>
      <c r="G439" s="340"/>
      <c r="H439" s="340"/>
      <c r="I439" s="195"/>
      <c r="J439" s="342"/>
      <c r="K439" s="195"/>
      <c r="L439" s="195"/>
    </row>
    <row r="440" spans="1:12" ht="13">
      <c r="B440" s="341"/>
      <c r="C440" s="195"/>
      <c r="D440" s="342"/>
      <c r="E440" s="195"/>
      <c r="F440" s="342"/>
      <c r="G440" s="195"/>
      <c r="H440" s="340"/>
      <c r="I440" s="340"/>
      <c r="J440" s="352"/>
      <c r="K440" s="195"/>
      <c r="L440" s="195"/>
    </row>
    <row r="441" spans="1:12" ht="13">
      <c r="B441" s="341"/>
      <c r="C441" s="195"/>
      <c r="D441" s="342"/>
      <c r="E441" s="195"/>
      <c r="F441" s="342" t="str">
        <f>$F$7</f>
        <v>TOTAL</v>
      </c>
      <c r="G441" s="195"/>
      <c r="H441" s="340"/>
      <c r="I441" s="340"/>
      <c r="J441" s="352"/>
      <c r="K441" s="195"/>
      <c r="L441" s="195"/>
    </row>
    <row r="442" spans="1:12" ht="13">
      <c r="A442" s="342" t="s">
        <v>907</v>
      </c>
      <c r="B442" s="195"/>
      <c r="C442" s="195"/>
      <c r="D442" s="342"/>
      <c r="E442" s="195"/>
      <c r="F442" s="342" t="str">
        <f>$F$8</f>
        <v>CLASS</v>
      </c>
      <c r="G442" s="352" t="s">
        <v>766</v>
      </c>
      <c r="H442" s="352" t="s">
        <v>1256</v>
      </c>
      <c r="I442" s="352" t="s">
        <v>974</v>
      </c>
      <c r="J442" s="352" t="s">
        <v>546</v>
      </c>
      <c r="K442" s="352" t="s">
        <v>229</v>
      </c>
      <c r="L442" s="342" t="s">
        <v>342</v>
      </c>
    </row>
    <row r="443" spans="1:12" ht="13">
      <c r="A443" s="344" t="s">
        <v>908</v>
      </c>
      <c r="B443" s="343" t="s">
        <v>55</v>
      </c>
      <c r="C443" s="343"/>
      <c r="D443" s="344" t="s">
        <v>337</v>
      </c>
      <c r="E443" s="343"/>
      <c r="F443" s="342" t="str">
        <f>$F$9</f>
        <v>ALLOCATED</v>
      </c>
      <c r="G443" s="353" t="s">
        <v>338</v>
      </c>
      <c r="H443" s="353" t="s">
        <v>404</v>
      </c>
      <c r="I443" s="353" t="s">
        <v>1257</v>
      </c>
      <c r="J443" s="353" t="s">
        <v>547</v>
      </c>
      <c r="K443" s="353" t="s">
        <v>341</v>
      </c>
      <c r="L443" s="344" t="s">
        <v>340</v>
      </c>
    </row>
    <row r="444" spans="1:12" ht="13">
      <c r="C444" s="572" t="s">
        <v>349</v>
      </c>
      <c r="D444" s="342"/>
      <c r="E444" s="195"/>
      <c r="F444" s="756"/>
      <c r="G444" s="627">
        <f>$G$10</f>
        <v>3</v>
      </c>
      <c r="H444" s="627">
        <f>$H$10</f>
        <v>4</v>
      </c>
      <c r="I444" s="627">
        <f>$I$10</f>
        <v>5</v>
      </c>
      <c r="J444" s="627">
        <f>$J$10</f>
        <v>6</v>
      </c>
      <c r="K444" s="504"/>
      <c r="L444" s="504"/>
    </row>
    <row r="445" spans="1:12" ht="13">
      <c r="A445" s="331">
        <v>1</v>
      </c>
      <c r="B445" s="351" t="s">
        <v>56</v>
      </c>
      <c r="C445" s="351"/>
      <c r="D445" s="342"/>
      <c r="E445" s="195"/>
      <c r="H445" s="351"/>
      <c r="J445" s="351"/>
    </row>
    <row r="446" spans="1:12" ht="13">
      <c r="A446" s="331">
        <v>2</v>
      </c>
      <c r="B446" s="351"/>
      <c r="C446" s="505" t="str">
        <f>'FR-16(7)(v)-1 Functional'!C446</f>
        <v>PRODUCTION DEPRECIATION</v>
      </c>
      <c r="D446" s="342" t="str">
        <f>'FR-16(7)(v)-1 Functional'!D446</f>
        <v>P229</v>
      </c>
      <c r="E446" s="195"/>
      <c r="F446" s="473">
        <f>'FR-16(7)(v)-1 Functional'!F446</f>
        <v>333766</v>
      </c>
      <c r="G446" s="347">
        <f>'FR-16(7)(v)-6 DISTR Cust Alloc'!G446+'FR-16(7)(v)-5 DISTR Dem Alloc'!G446+'FR-16(7)(v)-3 PROD Comm Alloc'!G446</f>
        <v>178304</v>
      </c>
      <c r="H446" s="347">
        <f>'FR-16(7)(v)-6 DISTR Cust Alloc'!H446+'FR-16(7)(v)-5 DISTR Dem Alloc'!H446+'FR-16(7)(v)-3 PROD Comm Alloc'!H446</f>
        <v>108334</v>
      </c>
      <c r="I446" s="347">
        <f>'FR-16(7)(v)-6 DISTR Cust Alloc'!I446+'FR-16(7)(v)-5 DISTR Dem Alloc'!I446+'FR-16(7)(v)-3 PROD Comm Alloc'!I446</f>
        <v>47128</v>
      </c>
      <c r="J446" s="347">
        <f>'FR-16(7)(v)-6 DISTR Cust Alloc'!J446+'FR-16(7)(v)-5 DISTR Dem Alloc'!J446+'FR-16(7)(v)-3 PROD Comm Alloc'!J446</f>
        <v>0</v>
      </c>
      <c r="K446" s="345">
        <f>SUM(G446:J446)</f>
        <v>333766</v>
      </c>
      <c r="L446" s="345">
        <f>F446-K446</f>
        <v>0</v>
      </c>
    </row>
    <row r="447" spans="1:12" ht="13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L447" si="111">SUM(F446:F446)</f>
        <v>333766</v>
      </c>
      <c r="G447" s="474">
        <f t="shared" si="111"/>
        <v>178304</v>
      </c>
      <c r="H447" s="346">
        <f t="shared" si="111"/>
        <v>108334</v>
      </c>
      <c r="I447" s="346">
        <f t="shared" si="111"/>
        <v>47128</v>
      </c>
      <c r="J447" s="346">
        <f t="shared" si="111"/>
        <v>0</v>
      </c>
      <c r="K447" s="346">
        <f t="shared" si="111"/>
        <v>333766</v>
      </c>
      <c r="L447" s="346">
        <f t="shared" si="111"/>
        <v>0</v>
      </c>
    </row>
    <row r="448" spans="1:12" ht="13">
      <c r="A448" s="331">
        <v>4</v>
      </c>
      <c r="B448" s="351"/>
      <c r="C448" s="351"/>
      <c r="D448" s="342"/>
      <c r="E448" s="195"/>
      <c r="F448" s="351"/>
      <c r="H448" s="351"/>
      <c r="J448" s="351"/>
    </row>
    <row r="449" spans="1:12" ht="13">
      <c r="A449" s="331">
        <v>5</v>
      </c>
      <c r="B449" s="505" t="s">
        <v>57</v>
      </c>
      <c r="C449" s="505"/>
      <c r="D449" s="342"/>
      <c r="E449" s="195"/>
      <c r="F449" s="347"/>
      <c r="G449" s="345"/>
      <c r="H449" s="351"/>
      <c r="J449" s="347"/>
      <c r="K449" s="345"/>
      <c r="L449" s="345"/>
    </row>
    <row r="450" spans="1:12" ht="13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L450" si="112">SUM(F449)</f>
        <v>0</v>
      </c>
      <c r="G450" s="756">
        <f t="shared" si="112"/>
        <v>0</v>
      </c>
      <c r="H450" s="756">
        <f t="shared" si="112"/>
        <v>0</v>
      </c>
      <c r="I450" s="346">
        <f t="shared" si="112"/>
        <v>0</v>
      </c>
      <c r="J450" s="346">
        <f t="shared" si="112"/>
        <v>0</v>
      </c>
      <c r="K450" s="346">
        <f t="shared" si="112"/>
        <v>0</v>
      </c>
      <c r="L450" s="346">
        <f t="shared" si="112"/>
        <v>0</v>
      </c>
    </row>
    <row r="451" spans="1:12" ht="13">
      <c r="A451" s="331">
        <v>7</v>
      </c>
      <c r="B451" s="351"/>
      <c r="C451" s="351"/>
      <c r="D451" s="342"/>
      <c r="E451" s="195"/>
      <c r="F451" s="351"/>
      <c r="H451" s="351"/>
      <c r="J451" s="351"/>
    </row>
    <row r="452" spans="1:12" ht="13">
      <c r="A452" s="331">
        <v>8</v>
      </c>
      <c r="B452" s="351" t="s">
        <v>58</v>
      </c>
      <c r="C452" s="351"/>
      <c r="D452" s="342"/>
      <c r="E452" s="195"/>
      <c r="F452" s="351"/>
      <c r="H452" s="351"/>
      <c r="J452" s="351"/>
    </row>
    <row r="453" spans="1:12" ht="13">
      <c r="A453" s="331">
        <v>9</v>
      </c>
      <c r="B453" s="351"/>
      <c r="C453" s="505" t="str">
        <f>'FR-16(7)(v)-1 Functional'!C453</f>
        <v>DISTRIBUTION DEPRECIATION</v>
      </c>
      <c r="D453" s="342" t="str">
        <f>'FR-16(7)(v)-1 Functional'!D453</f>
        <v>D249</v>
      </c>
      <c r="E453" s="195"/>
      <c r="F453" s="473">
        <f>'FR-16(7)(v)-1 Functional'!F453</f>
        <v>15192352</v>
      </c>
      <c r="G453" s="347">
        <f>'FR-16(7)(v)-6 DISTR Cust Alloc'!G453+'FR-16(7)(v)-5 DISTR Dem Alloc'!G453+'FR-16(7)(v)-3 PROD Comm Alloc'!G453</f>
        <v>9670005</v>
      </c>
      <c r="H453" s="347">
        <f>'FR-16(7)(v)-6 DISTR Cust Alloc'!H453+'FR-16(7)(v)-5 DISTR Dem Alloc'!H453+'FR-16(7)(v)-3 PROD Comm Alloc'!H453</f>
        <v>3794113</v>
      </c>
      <c r="I453" s="347">
        <f>'FR-16(7)(v)-6 DISTR Cust Alloc'!I453+'FR-16(7)(v)-5 DISTR Dem Alloc'!I453+'FR-16(7)(v)-3 PROD Comm Alloc'!I453</f>
        <v>1302308</v>
      </c>
      <c r="J453" s="347">
        <f>'FR-16(7)(v)-6 DISTR Cust Alloc'!J453+'FR-16(7)(v)-5 DISTR Dem Alloc'!J453+'FR-16(7)(v)-3 PROD Comm Alloc'!J453</f>
        <v>425926</v>
      </c>
      <c r="K453" s="345">
        <f>SUM(G453:J453)</f>
        <v>15192352</v>
      </c>
      <c r="L453" s="345">
        <f>F453-K453</f>
        <v>0</v>
      </c>
    </row>
    <row r="454" spans="1:12" ht="13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L454" si="113">SUM(F453:F453)</f>
        <v>15192352</v>
      </c>
      <c r="G454" s="474">
        <f t="shared" si="113"/>
        <v>9670005</v>
      </c>
      <c r="H454" s="346">
        <f t="shared" si="113"/>
        <v>3794113</v>
      </c>
      <c r="I454" s="346">
        <f t="shared" si="113"/>
        <v>1302308</v>
      </c>
      <c r="J454" s="346">
        <f t="shared" si="113"/>
        <v>425926</v>
      </c>
      <c r="K454" s="346">
        <f t="shared" si="113"/>
        <v>15192352</v>
      </c>
      <c r="L454" s="346">
        <f t="shared" si="113"/>
        <v>0</v>
      </c>
    </row>
    <row r="455" spans="1:12" ht="13">
      <c r="A455" s="331">
        <v>11</v>
      </c>
      <c r="B455" s="351"/>
      <c r="C455" s="351"/>
      <c r="D455" s="342"/>
      <c r="E455" s="195"/>
      <c r="F455" s="351" t="s">
        <v>343</v>
      </c>
      <c r="H455" s="351"/>
      <c r="J455" s="351"/>
    </row>
    <row r="456" spans="1:12" ht="13">
      <c r="A456" s="331">
        <v>12</v>
      </c>
      <c r="B456" s="351" t="s">
        <v>59</v>
      </c>
      <c r="C456" s="351"/>
      <c r="D456" s="342"/>
      <c r="E456" s="195"/>
      <c r="F456" s="351"/>
      <c r="H456" s="351"/>
      <c r="J456" s="351"/>
    </row>
    <row r="457" spans="1:12" ht="13">
      <c r="A457" s="331">
        <v>13</v>
      </c>
      <c r="B457" s="351"/>
      <c r="C457" s="505" t="str">
        <f>'FR-16(7)(v)-1 Functional'!C457</f>
        <v>GENERAL DEPRECIATION</v>
      </c>
      <c r="D457" s="342" t="str">
        <f>'FR-16(7)(v)-1 Functional'!D457</f>
        <v>G229</v>
      </c>
      <c r="E457" s="195"/>
      <c r="F457" s="473">
        <f>'FR-16(7)(v)-1 Functional'!F457</f>
        <v>3525076</v>
      </c>
      <c r="G457" s="347">
        <f>'FR-16(7)(v)-6 DISTR Cust Alloc'!G457+'FR-16(7)(v)-5 DISTR Dem Alloc'!G457+'FR-16(7)(v)-3 PROD Comm Alloc'!G457</f>
        <v>2345253</v>
      </c>
      <c r="H457" s="347">
        <f>'FR-16(7)(v)-6 DISTR Cust Alloc'!H457+'FR-16(7)(v)-5 DISTR Dem Alloc'!H457+'FR-16(7)(v)-3 PROD Comm Alloc'!H457</f>
        <v>823944</v>
      </c>
      <c r="I457" s="347">
        <f>'FR-16(7)(v)-6 DISTR Cust Alloc'!I457+'FR-16(7)(v)-5 DISTR Dem Alloc'!I457+'FR-16(7)(v)-3 PROD Comm Alloc'!I457</f>
        <v>286773</v>
      </c>
      <c r="J457" s="347">
        <f>'FR-16(7)(v)-6 DISTR Cust Alloc'!J457+'FR-16(7)(v)-5 DISTR Dem Alloc'!J457+'FR-16(7)(v)-3 PROD Comm Alloc'!J457</f>
        <v>69106</v>
      </c>
      <c r="K457" s="345">
        <f>SUM(G457:J457)</f>
        <v>3525076</v>
      </c>
      <c r="L457" s="345">
        <f>F457-K457</f>
        <v>0</v>
      </c>
    </row>
    <row r="458" spans="1:12" ht="13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L458" si="114">SUM(F457:F457)</f>
        <v>3525076</v>
      </c>
      <c r="G458" s="474">
        <f t="shared" si="114"/>
        <v>2345253</v>
      </c>
      <c r="H458" s="346">
        <f t="shared" si="114"/>
        <v>823944</v>
      </c>
      <c r="I458" s="346">
        <f t="shared" si="114"/>
        <v>286773</v>
      </c>
      <c r="J458" s="346">
        <f t="shared" si="114"/>
        <v>69106</v>
      </c>
      <c r="K458" s="346">
        <f t="shared" si="114"/>
        <v>3525076</v>
      </c>
      <c r="L458" s="346">
        <f t="shared" si="114"/>
        <v>0</v>
      </c>
    </row>
    <row r="459" spans="1:12" ht="13">
      <c r="A459" s="331">
        <v>15</v>
      </c>
      <c r="B459" s="351"/>
      <c r="C459" s="351"/>
      <c r="D459" s="342"/>
      <c r="E459" s="195"/>
      <c r="F459" s="351"/>
      <c r="H459" s="351"/>
      <c r="J459" s="351"/>
    </row>
    <row r="460" spans="1:12" ht="13">
      <c r="A460" s="331">
        <v>16</v>
      </c>
      <c r="B460" s="351" t="s">
        <v>60</v>
      </c>
      <c r="C460" s="351"/>
      <c r="D460" s="342"/>
      <c r="E460" s="195"/>
      <c r="F460" s="470"/>
      <c r="G460" s="345"/>
      <c r="H460" s="347"/>
      <c r="I460" s="347"/>
      <c r="J460" s="347"/>
      <c r="K460" s="345"/>
      <c r="L460" s="345"/>
    </row>
    <row r="461" spans="1:12" ht="13">
      <c r="A461" s="331">
        <v>17</v>
      </c>
      <c r="B461" s="351"/>
      <c r="C461" s="505" t="str">
        <f>'FR-16(7)(v)-1 Functional'!C461</f>
        <v>COMMON DEPRECIATION</v>
      </c>
      <c r="D461" s="342" t="str">
        <f>'FR-16(7)(v)-1 Functional'!D461</f>
        <v>C229</v>
      </c>
      <c r="E461" s="195"/>
      <c r="F461" s="473">
        <f>'FR-16(7)(v)-1 Functional'!F461</f>
        <v>-46959.495999999999</v>
      </c>
      <c r="G461" s="347">
        <f>'FR-16(7)(v)-6 DISTR Cust Alloc'!G461+'FR-16(7)(v)-5 DISTR Dem Alloc'!G461+'FR-16(7)(v)-3 PROD Comm Alloc'!G461</f>
        <v>-31242</v>
      </c>
      <c r="H461" s="347">
        <f>'FR-16(7)(v)-6 DISTR Cust Alloc'!H461+'FR-16(7)(v)-5 DISTR Dem Alloc'!H461+'FR-16(7)(v)-3 PROD Comm Alloc'!H461</f>
        <v>-10976</v>
      </c>
      <c r="I461" s="347">
        <f>'FR-16(7)(v)-6 DISTR Cust Alloc'!I461+'FR-16(7)(v)-5 DISTR Dem Alloc'!I461+'FR-16(7)(v)-3 PROD Comm Alloc'!I461</f>
        <v>-3820</v>
      </c>
      <c r="J461" s="347">
        <f>'FR-16(7)(v)-6 DISTR Cust Alloc'!J461+'FR-16(7)(v)-5 DISTR Dem Alloc'!J461+'FR-16(7)(v)-3 PROD Comm Alloc'!J461</f>
        <v>-921</v>
      </c>
      <c r="K461" s="345">
        <f>SUM(G461:J461)</f>
        <v>-46959</v>
      </c>
      <c r="L461" s="345">
        <f>F461-K461</f>
        <v>-0.49599999999918509</v>
      </c>
    </row>
    <row r="462" spans="1:12" ht="13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L462" si="115">SUM(F461:F461)</f>
        <v>-46959.495999999999</v>
      </c>
      <c r="G462" s="474">
        <f t="shared" si="115"/>
        <v>-31242</v>
      </c>
      <c r="H462" s="346">
        <f t="shared" si="115"/>
        <v>-10976</v>
      </c>
      <c r="I462" s="346">
        <f t="shared" si="115"/>
        <v>-3820</v>
      </c>
      <c r="J462" s="346">
        <f t="shared" si="115"/>
        <v>-921</v>
      </c>
      <c r="K462" s="346">
        <f t="shared" si="115"/>
        <v>-46959</v>
      </c>
      <c r="L462" s="346">
        <f t="shared" si="115"/>
        <v>-0.49599999999918509</v>
      </c>
    </row>
    <row r="463" spans="1:12" ht="13">
      <c r="A463" s="331">
        <v>19</v>
      </c>
      <c r="B463" s="351"/>
      <c r="C463" s="351"/>
      <c r="D463" s="342"/>
      <c r="E463" s="195"/>
      <c r="H463" s="351"/>
      <c r="J463" s="351"/>
    </row>
    <row r="464" spans="1:12" ht="13">
      <c r="A464" s="331">
        <v>20</v>
      </c>
      <c r="B464" s="351"/>
      <c r="C464" s="351"/>
      <c r="D464" s="342"/>
      <c r="E464" s="195"/>
      <c r="H464" s="351"/>
      <c r="J464" s="351"/>
    </row>
    <row r="465" spans="1:13" ht="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L465" si="116">F462+F458+F454+F450+F447</f>
        <v>19004234.504000001</v>
      </c>
      <c r="G465" s="345">
        <f t="shared" si="116"/>
        <v>12162320</v>
      </c>
      <c r="H465" s="347">
        <f t="shared" si="116"/>
        <v>4715415</v>
      </c>
      <c r="I465" s="347">
        <f t="shared" si="116"/>
        <v>1632389</v>
      </c>
      <c r="J465" s="347">
        <f t="shared" si="116"/>
        <v>494111</v>
      </c>
      <c r="K465" s="345">
        <f t="shared" si="116"/>
        <v>19004235</v>
      </c>
      <c r="L465" s="345">
        <f t="shared" si="116"/>
        <v>-0.49599999999918509</v>
      </c>
    </row>
    <row r="466" spans="1:13" ht="13">
      <c r="B466" s="341"/>
      <c r="C466" s="195"/>
      <c r="D466" s="342"/>
      <c r="E466" s="195"/>
      <c r="G466" s="195"/>
      <c r="H466" s="195"/>
      <c r="I466" s="195"/>
      <c r="J466" s="342"/>
      <c r="K466" s="195"/>
      <c r="L466" s="195"/>
    </row>
    <row r="467" spans="1:13" ht="13">
      <c r="A467" s="341" t="str">
        <f>co_name</f>
        <v>DUKE ENERGY KENTUCKY, INC.</v>
      </c>
      <c r="C467" s="195"/>
      <c r="D467" s="342"/>
      <c r="E467" s="195"/>
      <c r="F467" s="342"/>
      <c r="G467" s="340"/>
      <c r="H467" s="340"/>
      <c r="I467" s="195"/>
      <c r="K467" s="359" t="str">
        <f>$K$1</f>
        <v>FR-16(7)(v)-8</v>
      </c>
      <c r="L467" s="195"/>
    </row>
    <row r="468" spans="1:13" ht="13">
      <c r="A468" s="341" t="str">
        <f>$A$2</f>
        <v>TOTAL CLASS ALLOCATED - GAS COST OF SERVICE</v>
      </c>
      <c r="C468" s="195"/>
      <c r="D468" s="342"/>
      <c r="E468" s="195"/>
      <c r="F468" s="342"/>
      <c r="G468" s="340"/>
      <c r="H468" s="340"/>
      <c r="I468" s="195"/>
      <c r="K468" s="359" t="str">
        <f>$K$2</f>
        <v>WITNESS RESPONSIBLE:</v>
      </c>
      <c r="L468" s="195"/>
    </row>
    <row r="469" spans="1:13" ht="13">
      <c r="A469" s="341" t="str">
        <f>case_name</f>
        <v>CASE NO: 2021-00190</v>
      </c>
      <c r="C469" s="195"/>
      <c r="D469" s="342"/>
      <c r="E469" s="195"/>
      <c r="F469" s="342"/>
      <c r="G469" s="340"/>
      <c r="H469" s="340"/>
      <c r="I469" s="195"/>
      <c r="K469" s="359" t="str">
        <f>Witness</f>
        <v>JAMES E. ZIOLKOWSKI</v>
      </c>
      <c r="L469" s="195"/>
    </row>
    <row r="470" spans="1:13" ht="13">
      <c r="A470" s="341" t="str">
        <f>data_filing</f>
        <v>DATA: 12 MONTH FORECASTED PERIOD</v>
      </c>
      <c r="C470" s="195"/>
      <c r="D470" s="342"/>
      <c r="E470" s="195"/>
      <c r="F470" s="342"/>
      <c r="G470" s="340"/>
      <c r="H470" s="340"/>
      <c r="I470" s="195"/>
      <c r="K470" s="359" t="str">
        <f>"PAGE "&amp;Pages2-4&amp;" OF "&amp;Pages2</f>
        <v>PAGE 11 OF 15</v>
      </c>
      <c r="L470" s="195"/>
    </row>
    <row r="471" spans="1:13" ht="13">
      <c r="A471" s="341" t="str">
        <f>type</f>
        <v xml:space="preserve">TYPE OF FILING: "X" ORIGINAL   UPDATED    REVISED  </v>
      </c>
      <c r="C471" s="195"/>
      <c r="D471" s="342"/>
      <c r="E471" s="195"/>
      <c r="F471" s="342"/>
      <c r="G471" s="340"/>
      <c r="H471" s="340"/>
      <c r="I471" s="195"/>
      <c r="J471" s="342"/>
      <c r="K471" s="195"/>
      <c r="L471" s="195"/>
    </row>
    <row r="472" spans="1:13" ht="13">
      <c r="B472" s="341"/>
      <c r="C472" s="195"/>
      <c r="D472" s="342"/>
      <c r="E472" s="195"/>
      <c r="F472" s="342"/>
      <c r="G472" s="195"/>
      <c r="H472" s="195"/>
      <c r="I472" s="195"/>
      <c r="J472" s="342"/>
      <c r="K472" s="195"/>
      <c r="L472" s="195"/>
    </row>
    <row r="473" spans="1:13" ht="13">
      <c r="B473" s="341"/>
      <c r="C473" s="195"/>
      <c r="D473" s="342"/>
      <c r="E473" s="195"/>
      <c r="F473" s="342" t="str">
        <f>$F$7</f>
        <v>TOTAL</v>
      </c>
      <c r="G473" s="195"/>
      <c r="H473" s="195"/>
      <c r="I473" s="195"/>
      <c r="J473" s="342"/>
      <c r="K473" s="195"/>
      <c r="L473" s="195"/>
    </row>
    <row r="474" spans="1:13" ht="13">
      <c r="A474" s="342" t="s">
        <v>907</v>
      </c>
      <c r="B474" s="195"/>
      <c r="C474" s="195"/>
      <c r="D474" s="342"/>
      <c r="E474" s="195"/>
      <c r="F474" s="342" t="str">
        <f>$F$8</f>
        <v>CLASS</v>
      </c>
      <c r="G474" s="352" t="s">
        <v>766</v>
      </c>
      <c r="H474" s="352" t="s">
        <v>1256</v>
      </c>
      <c r="I474" s="352" t="s">
        <v>974</v>
      </c>
      <c r="J474" s="352" t="s">
        <v>546</v>
      </c>
      <c r="K474" s="352" t="s">
        <v>229</v>
      </c>
      <c r="L474" s="342" t="s">
        <v>342</v>
      </c>
    </row>
    <row r="475" spans="1:13" ht="13">
      <c r="A475" s="344" t="s">
        <v>908</v>
      </c>
      <c r="B475" s="343" t="s">
        <v>62</v>
      </c>
      <c r="C475" s="343"/>
      <c r="D475" s="344" t="s">
        <v>337</v>
      </c>
      <c r="E475" s="343"/>
      <c r="F475" s="342" t="str">
        <f>$F$9</f>
        <v>ALLOCATED</v>
      </c>
      <c r="G475" s="353" t="s">
        <v>338</v>
      </c>
      <c r="H475" s="353" t="s">
        <v>404</v>
      </c>
      <c r="I475" s="353" t="s">
        <v>1257</v>
      </c>
      <c r="J475" s="353" t="s">
        <v>547</v>
      </c>
      <c r="K475" s="353" t="s">
        <v>341</v>
      </c>
      <c r="L475" s="344" t="s">
        <v>340</v>
      </c>
      <c r="M475" s="363"/>
    </row>
    <row r="476" spans="1:13" ht="13">
      <c r="C476" s="572" t="s">
        <v>350</v>
      </c>
      <c r="D476" s="342"/>
      <c r="E476" s="195"/>
      <c r="F476" s="756"/>
      <c r="G476" s="627">
        <f>$G$10</f>
        <v>3</v>
      </c>
      <c r="H476" s="627">
        <f>$H$10</f>
        <v>4</v>
      </c>
      <c r="I476" s="627">
        <f>$I$10</f>
        <v>5</v>
      </c>
      <c r="J476" s="627">
        <f>$J$10</f>
        <v>6</v>
      </c>
      <c r="K476" s="504"/>
      <c r="L476" s="504"/>
    </row>
    <row r="477" spans="1:13" ht="13">
      <c r="A477" s="331">
        <v>1</v>
      </c>
      <c r="B477" s="330" t="s">
        <v>63</v>
      </c>
      <c r="D477" s="342"/>
      <c r="E477" s="195"/>
      <c r="I477" s="330"/>
    </row>
    <row r="478" spans="1:13" ht="13">
      <c r="A478" s="331">
        <v>2</v>
      </c>
      <c r="B478" s="330" t="s">
        <v>64</v>
      </c>
      <c r="D478" s="342"/>
      <c r="E478" s="195"/>
      <c r="I478" s="330"/>
    </row>
    <row r="479" spans="1:13" ht="13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3">
        <f>'FR-16(7)(v)-1 Functional'!F479</f>
        <v>4066038</v>
      </c>
      <c r="G479" s="347">
        <f>'FR-16(7)(v)-6 DISTR Cust Alloc'!$G$479+'FR-16(7)(v)-5 DISTR Dem Alloc'!$G$479+'FR-16(7)(v)-3 PROD Comm Alloc'!$G$479</f>
        <v>2590517</v>
      </c>
      <c r="H479" s="347">
        <f>'FR-16(7)(v)-6 DISTR Cust Alloc'!$H$479+'FR-16(7)(v)-5 DISTR Dem Alloc'!$H$479+'FR-16(7)(v)-3 PROD Comm Alloc'!$H$479</f>
        <v>1014339</v>
      </c>
      <c r="I479" s="347">
        <f>'FR-16(7)(v)-6 DISTR Cust Alloc'!$I$479+'FR-16(7)(v)-5 DISTR Dem Alloc'!$I$479+'FR-16(7)(v)-3 PROD Comm Alloc'!$I$479</f>
        <v>348764</v>
      </c>
      <c r="J479" s="347">
        <f>'FR-16(7)(v)-6 DISTR Cust Alloc'!$J$479+'FR-16(7)(v)-5 DISTR Dem Alloc'!$J$479+'FR-16(7)(v)-3 PROD Comm Alloc'!$J$479</f>
        <v>112418</v>
      </c>
      <c r="K479" s="345">
        <f>SUM($G$479:$J$479)</f>
        <v>4066038</v>
      </c>
      <c r="L479" s="345">
        <f>F479-$K$479</f>
        <v>0</v>
      </c>
    </row>
    <row r="480" spans="1:13" ht="13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3">
        <f>'FR-16(7)(v)-1 Functional'!F480</f>
        <v>0</v>
      </c>
      <c r="G480" s="347">
        <f>'FR-16(7)(v)-6 DISTR Cust Alloc'!$G$480+'FR-16(7)(v)-5 DISTR Dem Alloc'!$G$480+'FR-16(7)(v)-3 PROD Comm Alloc'!$G$480</f>
        <v>0</v>
      </c>
      <c r="H480" s="347">
        <f>'FR-16(7)(v)-6 DISTR Cust Alloc'!$H$480+'FR-16(7)(v)-5 DISTR Dem Alloc'!$H$480+'FR-16(7)(v)-3 PROD Comm Alloc'!$H$480</f>
        <v>0</v>
      </c>
      <c r="I480" s="347">
        <f>'FR-16(7)(v)-6 DISTR Cust Alloc'!$I$480+'FR-16(7)(v)-5 DISTR Dem Alloc'!$I$480+'FR-16(7)(v)-3 PROD Comm Alloc'!$I$480</f>
        <v>0</v>
      </c>
      <c r="J480" s="347">
        <f>'FR-16(7)(v)-6 DISTR Cust Alloc'!$J$480+'FR-16(7)(v)-5 DISTR Dem Alloc'!$J$480+'FR-16(7)(v)-3 PROD Comm Alloc'!$J$480</f>
        <v>0</v>
      </c>
      <c r="K480" s="345">
        <f>SUM($G$480:$J$480)</f>
        <v>0</v>
      </c>
      <c r="L480" s="345">
        <f>F480-$K$480</f>
        <v>0</v>
      </c>
    </row>
    <row r="481" spans="1:12" ht="13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4066038</v>
      </c>
      <c r="G481" s="474">
        <f>SUM($G$479:$G$480)</f>
        <v>2590517</v>
      </c>
      <c r="H481" s="346">
        <f>SUM($H$479:$H$480)</f>
        <v>1014339</v>
      </c>
      <c r="I481" s="346">
        <f>SUM($I$479:$I$480)</f>
        <v>348764</v>
      </c>
      <c r="J481" s="346">
        <f>SUM($J$479:$J$480)</f>
        <v>112418</v>
      </c>
      <c r="K481" s="346">
        <f>SUM($K$479:$K$480)</f>
        <v>4066038</v>
      </c>
      <c r="L481" s="346">
        <f>SUM($L$479:$L$480)</f>
        <v>0</v>
      </c>
    </row>
    <row r="482" spans="1:12" ht="13">
      <c r="A482" s="331">
        <v>6</v>
      </c>
      <c r="D482" s="342"/>
      <c r="E482" s="195"/>
      <c r="F482" s="351"/>
      <c r="I482" s="330"/>
    </row>
    <row r="483" spans="1:12" ht="13">
      <c r="A483" s="331">
        <v>7</v>
      </c>
      <c r="B483" s="330" t="s">
        <v>65</v>
      </c>
      <c r="D483" s="342"/>
      <c r="E483" s="195"/>
      <c r="F483" s="351"/>
      <c r="I483" s="330"/>
    </row>
    <row r="484" spans="1:12" ht="13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3">
        <f>'FR-16(7)(v)-1 Functional'!F484</f>
        <v>620302</v>
      </c>
      <c r="G484" s="347">
        <f>'FR-16(7)(v)-6 DISTR Cust Alloc'!$G$484+'FR-16(7)(v)-5 DISTR Dem Alloc'!$G$484+'FR-16(7)(v)-3 PROD Comm Alloc'!$G$484</f>
        <v>419813</v>
      </c>
      <c r="H484" s="347">
        <f>'FR-16(7)(v)-6 DISTR Cust Alloc'!$H$484+'FR-16(7)(v)-5 DISTR Dem Alloc'!$H$484+'FR-16(7)(v)-3 PROD Comm Alloc'!$H$484</f>
        <v>149168</v>
      </c>
      <c r="I484" s="347">
        <f>'FR-16(7)(v)-6 DISTR Cust Alloc'!$I$484+'FR-16(7)(v)-5 DISTR Dem Alloc'!$I$484+'FR-16(7)(v)-3 PROD Comm Alloc'!$I$484</f>
        <v>39105</v>
      </c>
      <c r="J484" s="347">
        <f>'FR-16(7)(v)-6 DISTR Cust Alloc'!$J$484+'FR-16(7)(v)-5 DISTR Dem Alloc'!$J$484+'FR-16(7)(v)-3 PROD Comm Alloc'!$J$484</f>
        <v>12216</v>
      </c>
      <c r="K484" s="345">
        <f>SUM($G$484:$J$484)</f>
        <v>620302</v>
      </c>
      <c r="L484" s="345">
        <f>F484-$K$484</f>
        <v>0</v>
      </c>
    </row>
    <row r="485" spans="1:12" ht="13">
      <c r="A485" s="331">
        <v>9</v>
      </c>
      <c r="C485" s="330" t="str">
        <f>'FR-16(7)(v)-1 Functional'!C485</f>
        <v>UNEMPLOYMENT COMPENSATION</v>
      </c>
      <c r="D485" s="342" t="str">
        <f>'FR-16(7)(v)-1 Functional'!D485</f>
        <v>AG39</v>
      </c>
      <c r="E485" s="195"/>
      <c r="F485" s="473">
        <f>'FR-16(7)(v)-1 Functional'!F485</f>
        <v>0</v>
      </c>
      <c r="G485" s="347">
        <f>'FR-16(7)(v)-6 DISTR Cust Alloc'!$G$485+'FR-16(7)(v)-5 DISTR Dem Alloc'!$G$485+'FR-16(7)(v)-3 PROD Comm Alloc'!$G$485</f>
        <v>0</v>
      </c>
      <c r="H485" s="347">
        <f>'FR-16(7)(v)-6 DISTR Cust Alloc'!$H$485+'FR-16(7)(v)-5 DISTR Dem Alloc'!$H$485+'FR-16(7)(v)-3 PROD Comm Alloc'!$H$485</f>
        <v>0</v>
      </c>
      <c r="I485" s="347">
        <f>'FR-16(7)(v)-6 DISTR Cust Alloc'!$I$485+'FR-16(7)(v)-5 DISTR Dem Alloc'!$I$485+'FR-16(7)(v)-3 PROD Comm Alloc'!$I$485</f>
        <v>0</v>
      </c>
      <c r="J485" s="347">
        <f>'FR-16(7)(v)-6 DISTR Cust Alloc'!$J$485+'FR-16(7)(v)-5 DISTR Dem Alloc'!$J$485+'FR-16(7)(v)-3 PROD Comm Alloc'!$J$485</f>
        <v>0</v>
      </c>
      <c r="K485" s="345">
        <f>SUM($G$485:$J$485)</f>
        <v>0</v>
      </c>
      <c r="L485" s="345">
        <f>F485-$K$485</f>
        <v>0</v>
      </c>
    </row>
    <row r="486" spans="1:12" ht="13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3">
        <f>'FR-16(7)(v)-1 Functional'!F486</f>
        <v>0</v>
      </c>
      <c r="G486" s="347">
        <f>'FR-16(7)(v)-6 DISTR Cust Alloc'!$G$486+'FR-16(7)(v)-5 DISTR Dem Alloc'!$G$486+'FR-16(7)(v)-3 PROD Comm Alloc'!$G$486</f>
        <v>0</v>
      </c>
      <c r="H486" s="347">
        <f>'FR-16(7)(v)-6 DISTR Cust Alloc'!$H$486+'FR-16(7)(v)-5 DISTR Dem Alloc'!$H$486+'FR-16(7)(v)-3 PROD Comm Alloc'!$H$486</f>
        <v>0</v>
      </c>
      <c r="I486" s="347">
        <f>'FR-16(7)(v)-6 DISTR Cust Alloc'!$I$486+'FR-16(7)(v)-5 DISTR Dem Alloc'!$I$486+'FR-16(7)(v)-3 PROD Comm Alloc'!$I$486</f>
        <v>0</v>
      </c>
      <c r="J486" s="347">
        <f>'FR-16(7)(v)-6 DISTR Cust Alloc'!$J$486+'FR-16(7)(v)-5 DISTR Dem Alloc'!$J$486+'FR-16(7)(v)-3 PROD Comm Alloc'!$J$486</f>
        <v>0</v>
      </c>
      <c r="K486" s="345">
        <f>SUM($G$486:$J$486)</f>
        <v>0</v>
      </c>
      <c r="L486" s="345">
        <f>F486-$K$486</f>
        <v>0</v>
      </c>
    </row>
    <row r="487" spans="1:12" ht="13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3">
        <f>'FR-16(7)(v)-1 Functional'!F487</f>
        <v>0</v>
      </c>
      <c r="G487" s="347">
        <f>'FR-16(7)(v)-6 DISTR Cust Alloc'!$G$487+'FR-16(7)(v)-5 DISTR Dem Alloc'!$G$487+'FR-16(7)(v)-3 PROD Comm Alloc'!$G$487</f>
        <v>0</v>
      </c>
      <c r="H487" s="347">
        <f>'FR-16(7)(v)-6 DISTR Cust Alloc'!$H$487+'FR-16(7)(v)-5 DISTR Dem Alloc'!$H$487+'FR-16(7)(v)-3 PROD Comm Alloc'!$H$487</f>
        <v>0</v>
      </c>
      <c r="I487" s="347">
        <f>'FR-16(7)(v)-6 DISTR Cust Alloc'!$I$487+'FR-16(7)(v)-5 DISTR Dem Alloc'!$I$487+'FR-16(7)(v)-3 PROD Comm Alloc'!$I$487</f>
        <v>0</v>
      </c>
      <c r="J487" s="347">
        <f>'FR-16(7)(v)-6 DISTR Cust Alloc'!$J$487+'FR-16(7)(v)-5 DISTR Dem Alloc'!$J$487+'FR-16(7)(v)-3 PROD Comm Alloc'!$J$487</f>
        <v>0</v>
      </c>
      <c r="K487" s="345">
        <f>SUM($G$487:$J$487)</f>
        <v>0</v>
      </c>
      <c r="L487" s="345">
        <f>F487-$K$487</f>
        <v>0</v>
      </c>
    </row>
    <row r="488" spans="1:12" ht="13">
      <c r="A488" s="331">
        <v>12</v>
      </c>
      <c r="C488" s="330" t="str">
        <f>'FR-16(7)(v)-1 Functional'!C488</f>
        <v xml:space="preserve">  TOTAL MISCELLANEOUS TAXES</v>
      </c>
      <c r="D488" s="352"/>
      <c r="E488" s="195"/>
      <c r="F488" s="346">
        <f>SUM(F484:F487)</f>
        <v>620302</v>
      </c>
      <c r="G488" s="474">
        <f>SUM($G$484:$G$487)</f>
        <v>419813</v>
      </c>
      <c r="H488" s="346">
        <f>SUM($H$484:$H$487)</f>
        <v>149168</v>
      </c>
      <c r="I488" s="346">
        <f>SUM($I$484:$I$487)</f>
        <v>39105</v>
      </c>
      <c r="J488" s="346">
        <f>SUM($J$484:$J$487)</f>
        <v>12216</v>
      </c>
      <c r="K488" s="346">
        <f>SUM($K$484:$K$487)</f>
        <v>620302</v>
      </c>
      <c r="L488" s="346">
        <f>SUM($L$484:$L$487)</f>
        <v>0</v>
      </c>
    </row>
    <row r="489" spans="1:12" ht="13">
      <c r="A489" s="331">
        <v>13</v>
      </c>
      <c r="D489" s="342"/>
      <c r="E489" s="195"/>
      <c r="F489" s="351"/>
      <c r="I489" s="330"/>
    </row>
    <row r="490" spans="1:12" ht="13">
      <c r="A490" s="331">
        <v>14</v>
      </c>
      <c r="B490" s="330" t="s">
        <v>66</v>
      </c>
      <c r="D490" s="342"/>
      <c r="E490" s="195"/>
      <c r="F490" s="351"/>
      <c r="I490" s="330"/>
    </row>
    <row r="491" spans="1:12" ht="13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3">
        <f>'FR-16(7)(v)-1 Functional'!F491</f>
        <v>30456</v>
      </c>
      <c r="G491" s="347">
        <f>'FR-16(7)(v)-6 DISTR Cust Alloc'!$G$491+'FR-16(7)(v)-5 DISTR Dem Alloc'!$G$491+'FR-16(7)(v)-3 PROD Comm Alloc'!$G$491</f>
        <v>20614</v>
      </c>
      <c r="H491" s="347">
        <f>'FR-16(7)(v)-6 DISTR Cust Alloc'!$H$491+'FR-16(7)(v)-5 DISTR Dem Alloc'!$H$491+'FR-16(7)(v)-3 PROD Comm Alloc'!$H$491</f>
        <v>7324</v>
      </c>
      <c r="I491" s="347">
        <f>'FR-16(7)(v)-6 DISTR Cust Alloc'!$I$491+'FR-16(7)(v)-5 DISTR Dem Alloc'!$I$491+'FR-16(7)(v)-3 PROD Comm Alloc'!$I$491</f>
        <v>1919</v>
      </c>
      <c r="J491" s="347">
        <f>'FR-16(7)(v)-6 DISTR Cust Alloc'!$J$491+'FR-16(7)(v)-5 DISTR Dem Alloc'!$J$491+'FR-16(7)(v)-3 PROD Comm Alloc'!$J$491</f>
        <v>599</v>
      </c>
      <c r="K491" s="345">
        <f>SUM($G$491:$J$491)</f>
        <v>30456</v>
      </c>
      <c r="L491" s="345">
        <f>F491-$K$491</f>
        <v>0</v>
      </c>
    </row>
    <row r="492" spans="1:12" ht="13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3">
        <f>'FR-16(7)(v)-1 Functional'!F492</f>
        <v>0</v>
      </c>
      <c r="G492" s="347">
        <f>'FR-16(7)(v)-6 DISTR Cust Alloc'!$G$492+'FR-16(7)(v)-5 DISTR Dem Alloc'!$G$492+'FR-16(7)(v)-3 PROD Comm Alloc'!$G$492</f>
        <v>0</v>
      </c>
      <c r="H492" s="347">
        <f>'FR-16(7)(v)-6 DISTR Cust Alloc'!$H$492+'FR-16(7)(v)-5 DISTR Dem Alloc'!$H$492+'FR-16(7)(v)-3 PROD Comm Alloc'!$H$492</f>
        <v>0</v>
      </c>
      <c r="I492" s="347">
        <f>'FR-16(7)(v)-6 DISTR Cust Alloc'!$I$492+'FR-16(7)(v)-5 DISTR Dem Alloc'!$I$492+'FR-16(7)(v)-3 PROD Comm Alloc'!$I$492</f>
        <v>0</v>
      </c>
      <c r="J492" s="347">
        <f>'FR-16(7)(v)-6 DISTR Cust Alloc'!$J$492+'FR-16(7)(v)-5 DISTR Dem Alloc'!$J$492+'FR-16(7)(v)-3 PROD Comm Alloc'!$J$492</f>
        <v>0</v>
      </c>
      <c r="K492" s="345">
        <f>SUM($G$492:$J$492)</f>
        <v>0</v>
      </c>
      <c r="L492" s="345">
        <f>F492-$K$492</f>
        <v>0</v>
      </c>
    </row>
    <row r="493" spans="1:12" ht="13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4">
        <f>SUM(F491:F492)</f>
        <v>30456</v>
      </c>
      <c r="G493" s="474">
        <f>SUM($G$491:$G$492)</f>
        <v>20614</v>
      </c>
      <c r="H493" s="346">
        <f>SUM($H$491:$H$492)</f>
        <v>7324</v>
      </c>
      <c r="I493" s="346">
        <f>SUM($I$491:$I$492)</f>
        <v>1919</v>
      </c>
      <c r="J493" s="346">
        <f>SUM($J$491:$J$492)</f>
        <v>599</v>
      </c>
      <c r="K493" s="346">
        <f>SUM($K$491:$K$492)</f>
        <v>30456</v>
      </c>
      <c r="L493" s="346">
        <f>SUM($L$491:$L$492)</f>
        <v>0</v>
      </c>
    </row>
    <row r="494" spans="1:12" ht="13">
      <c r="A494" s="331">
        <v>18</v>
      </c>
      <c r="D494" s="342"/>
      <c r="E494" s="195"/>
      <c r="I494" s="330"/>
    </row>
    <row r="495" spans="1:12" ht="13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4716796</v>
      </c>
      <c r="G495" s="345">
        <f>$G$488+$G$481+$G$493</f>
        <v>3030944</v>
      </c>
      <c r="H495" s="345">
        <f>$H$488+$H$481+$H$493</f>
        <v>1170831</v>
      </c>
      <c r="I495" s="345">
        <f>$I$488+$I$481+$I$493</f>
        <v>389788</v>
      </c>
      <c r="J495" s="345">
        <f>$J$488+$J$481+$J$493</f>
        <v>125233</v>
      </c>
      <c r="K495" s="345">
        <f>$K$488+$K$481+$K$493</f>
        <v>4716796</v>
      </c>
      <c r="L495" s="345">
        <f>$L$488+$L$481+$L$493</f>
        <v>0</v>
      </c>
    </row>
    <row r="496" spans="1:12" ht="13">
      <c r="A496" s="331">
        <v>20</v>
      </c>
      <c r="D496" s="342"/>
      <c r="E496" s="195"/>
      <c r="I496" s="330"/>
    </row>
    <row r="497" spans="1:12" ht="13">
      <c r="A497" s="331">
        <v>21</v>
      </c>
      <c r="B497" s="330" t="s">
        <v>40</v>
      </c>
      <c r="D497" s="342"/>
      <c r="E497" s="195"/>
      <c r="I497" s="330"/>
    </row>
    <row r="498" spans="1:12" ht="13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L498" si="117">F433</f>
        <v>62796024</v>
      </c>
      <c r="G498" s="345">
        <f t="shared" si="117"/>
        <v>40778122</v>
      </c>
      <c r="H498" s="345">
        <f t="shared" si="117"/>
        <v>19892033</v>
      </c>
      <c r="I498" s="345">
        <f t="shared" si="117"/>
        <v>1553301</v>
      </c>
      <c r="J498" s="345">
        <f t="shared" si="117"/>
        <v>572568</v>
      </c>
      <c r="K498" s="345">
        <f t="shared" si="117"/>
        <v>62796024</v>
      </c>
      <c r="L498" s="345">
        <f t="shared" si="117"/>
        <v>0</v>
      </c>
    </row>
    <row r="499" spans="1:12" ht="13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L499" si="118">F465</f>
        <v>19004234.504000001</v>
      </c>
      <c r="G499" s="345">
        <f t="shared" si="118"/>
        <v>12162320</v>
      </c>
      <c r="H499" s="345">
        <f t="shared" si="118"/>
        <v>4715415</v>
      </c>
      <c r="I499" s="345">
        <f t="shared" si="118"/>
        <v>1632389</v>
      </c>
      <c r="J499" s="345">
        <f t="shared" si="118"/>
        <v>494111</v>
      </c>
      <c r="K499" s="345">
        <f t="shared" si="118"/>
        <v>19004235</v>
      </c>
      <c r="L499" s="345">
        <f t="shared" si="118"/>
        <v>-0.49599999999918509</v>
      </c>
    </row>
    <row r="500" spans="1:12" ht="13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4716796</v>
      </c>
      <c r="G500" s="345">
        <f>$G$495</f>
        <v>3030944</v>
      </c>
      <c r="H500" s="345">
        <f>$H$495</f>
        <v>1170831</v>
      </c>
      <c r="I500" s="345">
        <f>$I$495</f>
        <v>389788</v>
      </c>
      <c r="J500" s="345">
        <f>$J$495</f>
        <v>125233</v>
      </c>
      <c r="K500" s="345">
        <f>$K$495</f>
        <v>4716796</v>
      </c>
      <c r="L500" s="345">
        <f>$L$495</f>
        <v>0</v>
      </c>
    </row>
    <row r="501" spans="1:12" ht="13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86517054.504000008</v>
      </c>
      <c r="G501" s="474">
        <f>SUM($G$498:$G$500)</f>
        <v>55971386</v>
      </c>
      <c r="H501" s="346">
        <f>SUM($H$498:$H$500)</f>
        <v>25778279</v>
      </c>
      <c r="I501" s="346">
        <f>SUM($I$498:$I$500)</f>
        <v>3575478</v>
      </c>
      <c r="J501" s="346">
        <f>SUM($J$498:$J$500)</f>
        <v>1191912</v>
      </c>
      <c r="K501" s="346">
        <f>SUM($K$498:$K$500)</f>
        <v>86517055</v>
      </c>
      <c r="L501" s="346">
        <f>SUM($L$498:$L$500)</f>
        <v>-0.49599999999918509</v>
      </c>
    </row>
    <row r="502" spans="1:12" ht="13">
      <c r="B502" s="341"/>
      <c r="C502" s="195"/>
      <c r="D502" s="342"/>
      <c r="E502" s="195"/>
      <c r="G502" s="195"/>
      <c r="H502" s="195"/>
      <c r="I502" s="195"/>
      <c r="J502" s="342"/>
      <c r="K502" s="195"/>
      <c r="L502" s="195"/>
    </row>
    <row r="503" spans="1:12" ht="13">
      <c r="A503" s="341" t="str">
        <f>co_name</f>
        <v>DUKE ENERGY KENTUCKY, INC.</v>
      </c>
      <c r="C503" s="195"/>
      <c r="D503" s="342"/>
      <c r="E503" s="195"/>
      <c r="F503" s="342"/>
      <c r="G503" s="340"/>
      <c r="H503" s="340"/>
      <c r="I503" s="195"/>
      <c r="K503" s="359" t="str">
        <f>$K$1</f>
        <v>FR-16(7)(v)-8</v>
      </c>
      <c r="L503" s="195"/>
    </row>
    <row r="504" spans="1:12" ht="13">
      <c r="A504" s="341" t="str">
        <f>$A$2</f>
        <v>TOTAL CLASS ALLOCATED - GAS COST OF SERVICE</v>
      </c>
      <c r="C504" s="195"/>
      <c r="D504" s="342"/>
      <c r="E504" s="195"/>
      <c r="F504" s="342"/>
      <c r="G504" s="340"/>
      <c r="H504" s="340"/>
      <c r="I504" s="195"/>
      <c r="K504" s="359" t="str">
        <f>$K$2</f>
        <v>WITNESS RESPONSIBLE:</v>
      </c>
      <c r="L504" s="195"/>
    </row>
    <row r="505" spans="1:12" ht="13">
      <c r="A505" s="341" t="str">
        <f>case_name</f>
        <v>CASE NO: 2021-00190</v>
      </c>
      <c r="C505" s="195"/>
      <c r="D505" s="342"/>
      <c r="E505" s="195"/>
      <c r="F505" s="342"/>
      <c r="G505" s="340"/>
      <c r="H505" s="340"/>
      <c r="I505" s="195"/>
      <c r="K505" s="359" t="str">
        <f>Witness</f>
        <v>JAMES E. ZIOLKOWSKI</v>
      </c>
      <c r="L505" s="195"/>
    </row>
    <row r="506" spans="1:12" ht="13">
      <c r="A506" s="341" t="str">
        <f>data_filing</f>
        <v>DATA: 12 MONTH FORECASTED PERIOD</v>
      </c>
      <c r="C506" s="195"/>
      <c r="D506" s="342"/>
      <c r="E506" s="195"/>
      <c r="F506" s="342"/>
      <c r="G506" s="340"/>
      <c r="H506" s="340"/>
      <c r="I506" s="195"/>
      <c r="K506" s="359" t="str">
        <f>"PAGE "&amp;Pages2-3&amp;" OF "&amp;Pages2</f>
        <v>PAGE 12 OF 15</v>
      </c>
      <c r="L506" s="195"/>
    </row>
    <row r="507" spans="1:12" ht="13">
      <c r="A507" s="341" t="str">
        <f>type</f>
        <v xml:space="preserve">TYPE OF FILING: "X" ORIGINAL   UPDATED    REVISED  </v>
      </c>
      <c r="C507" s="195"/>
      <c r="D507" s="342"/>
      <c r="E507" s="195"/>
      <c r="F507" s="342"/>
      <c r="G507" s="340"/>
      <c r="H507" s="340"/>
      <c r="I507" s="195"/>
      <c r="J507" s="342"/>
      <c r="K507" s="195"/>
      <c r="L507" s="195"/>
    </row>
    <row r="508" spans="1:12" ht="13">
      <c r="B508" s="341"/>
      <c r="C508" s="195"/>
      <c r="D508" s="342"/>
      <c r="E508" s="195"/>
      <c r="F508" s="342"/>
      <c r="G508" s="195"/>
      <c r="H508" s="195"/>
      <c r="I508" s="195"/>
      <c r="J508" s="342"/>
      <c r="K508" s="195"/>
      <c r="L508" s="195"/>
    </row>
    <row r="509" spans="1:12" ht="13">
      <c r="B509" s="341"/>
      <c r="C509" s="195"/>
      <c r="D509" s="342"/>
      <c r="E509" s="195"/>
      <c r="F509" s="342" t="str">
        <f>$F$7</f>
        <v>TOTAL</v>
      </c>
      <c r="G509" s="195"/>
      <c r="H509" s="195"/>
      <c r="I509" s="195"/>
      <c r="J509" s="342"/>
      <c r="K509" s="195"/>
      <c r="L509" s="195"/>
    </row>
    <row r="510" spans="1:12" ht="13">
      <c r="A510" s="342" t="s">
        <v>907</v>
      </c>
      <c r="B510" s="195"/>
      <c r="C510" s="195"/>
      <c r="D510" s="342"/>
      <c r="E510" s="195"/>
      <c r="F510" s="342" t="str">
        <f>$F$8</f>
        <v>CLASS</v>
      </c>
      <c r="G510" s="352" t="s">
        <v>766</v>
      </c>
      <c r="H510" s="352" t="s">
        <v>1256</v>
      </c>
      <c r="I510" s="352" t="s">
        <v>974</v>
      </c>
      <c r="J510" s="352" t="s">
        <v>546</v>
      </c>
      <c r="K510" s="352" t="s">
        <v>229</v>
      </c>
      <c r="L510" s="342" t="s">
        <v>342</v>
      </c>
    </row>
    <row r="511" spans="1:12" ht="13">
      <c r="A511" s="344" t="s">
        <v>908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2" t="str">
        <f>$F$9</f>
        <v>ALLOCATED</v>
      </c>
      <c r="G511" s="353" t="s">
        <v>338</v>
      </c>
      <c r="H511" s="353" t="s">
        <v>404</v>
      </c>
      <c r="I511" s="353" t="s">
        <v>1257</v>
      </c>
      <c r="J511" s="353" t="s">
        <v>547</v>
      </c>
      <c r="K511" s="353" t="s">
        <v>341</v>
      </c>
      <c r="L511" s="344" t="s">
        <v>340</v>
      </c>
    </row>
    <row r="512" spans="1:12" ht="13">
      <c r="C512" s="572" t="s">
        <v>351</v>
      </c>
      <c r="D512" s="342"/>
      <c r="E512" s="195"/>
      <c r="F512" s="755"/>
      <c r="G512" s="627">
        <f>$G$10</f>
        <v>3</v>
      </c>
      <c r="H512" s="627">
        <f>$H$10</f>
        <v>4</v>
      </c>
      <c r="I512" s="627">
        <f>$I$10</f>
        <v>5</v>
      </c>
      <c r="J512" s="627">
        <f>$J$10</f>
        <v>6</v>
      </c>
    </row>
    <row r="513" spans="1:12" ht="13">
      <c r="A513" s="331">
        <v>1</v>
      </c>
      <c r="B513" s="330" t="s">
        <v>69</v>
      </c>
      <c r="D513" s="342"/>
      <c r="E513" s="195"/>
      <c r="I513" s="330"/>
    </row>
    <row r="514" spans="1:12" ht="13">
      <c r="A514" s="331">
        <v>2</v>
      </c>
      <c r="B514" s="330" t="s">
        <v>70</v>
      </c>
      <c r="D514" s="342"/>
      <c r="E514" s="195"/>
      <c r="F514" s="330" t="s">
        <v>343</v>
      </c>
      <c r="I514" s="330"/>
    </row>
    <row r="515" spans="1:12" ht="13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3">
        <f>'FR-16(7)(v)-1 Functional'!F515</f>
        <v>8610382</v>
      </c>
      <c r="G515" s="347">
        <f>'FR-16(7)(v)-6 DISTR Cust Alloc'!$G$515+'FR-16(7)(v)-5 DISTR Dem Alloc'!$G$515+'FR-16(7)(v)-3 PROD Comm Alloc'!$G$515</f>
        <v>5486208</v>
      </c>
      <c r="H515" s="347">
        <f>'FR-16(7)(v)-6 DISTR Cust Alloc'!$H$515+'FR-16(7)(v)-5 DISTR Dem Alloc'!$H$515+'FR-16(7)(v)-3 PROD Comm Alloc'!$H$515</f>
        <v>2155633</v>
      </c>
      <c r="I515" s="347">
        <f>'FR-16(7)(v)-6 DISTR Cust Alloc'!$I$515+'FR-16(7)(v)-5 DISTR Dem Alloc'!$I$515+'FR-16(7)(v)-3 PROD Comm Alloc'!$I$515</f>
        <v>732468</v>
      </c>
      <c r="J515" s="347">
        <f>'FR-16(7)(v)-6 DISTR Cust Alloc'!$J$515+'FR-16(7)(v)-5 DISTR Dem Alloc'!$J$515+'FR-16(7)(v)-3 PROD Comm Alloc'!$J$515</f>
        <v>236073</v>
      </c>
      <c r="K515" s="345">
        <f>SUM($G$515:$J$515)</f>
        <v>8610382</v>
      </c>
      <c r="L515" s="345">
        <f>F515-$K$515</f>
        <v>0</v>
      </c>
    </row>
    <row r="516" spans="1:12" ht="13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8610382</v>
      </c>
      <c r="G516" s="474">
        <f>$G$515</f>
        <v>5486208</v>
      </c>
      <c r="H516" s="346">
        <f>$H$515</f>
        <v>2155633</v>
      </c>
      <c r="I516" s="346">
        <f>$I$515</f>
        <v>732468</v>
      </c>
      <c r="J516" s="346">
        <f>$J$515</f>
        <v>236073</v>
      </c>
      <c r="K516" s="346">
        <f>$K$515</f>
        <v>8610382</v>
      </c>
      <c r="L516" s="346">
        <f>$L$515</f>
        <v>0</v>
      </c>
    </row>
    <row r="517" spans="1:12" ht="13">
      <c r="A517" s="331">
        <v>5</v>
      </c>
      <c r="D517" s="342"/>
      <c r="E517" s="195"/>
      <c r="F517" s="351"/>
      <c r="I517" s="330"/>
    </row>
    <row r="518" spans="1:12" ht="13">
      <c r="A518" s="331">
        <v>6</v>
      </c>
      <c r="B518" s="330" t="s">
        <v>71</v>
      </c>
      <c r="D518" s="342"/>
      <c r="E518" s="195"/>
      <c r="F518" s="351"/>
      <c r="I518" s="330"/>
    </row>
    <row r="519" spans="1:12" ht="13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3">
        <f>'FR-16(7)(v)-1 Functional'!F519</f>
        <v>9503788</v>
      </c>
      <c r="G519" s="347">
        <f>'FR-16(7)(v)-6 DISTR Cust Alloc'!$G$519+'FR-16(7)(v)-5 DISTR Dem Alloc'!$G$519+'FR-16(7)(v)-3 PROD Comm Alloc'!$G$519</f>
        <v>6082267</v>
      </c>
      <c r="H519" s="347">
        <f>'FR-16(7)(v)-6 DISTR Cust Alloc'!$H$519+'FR-16(7)(v)-5 DISTR Dem Alloc'!$H$519+'FR-16(7)(v)-3 PROD Comm Alloc'!$H$519</f>
        <v>2358112</v>
      </c>
      <c r="I519" s="347">
        <f>'FR-16(7)(v)-6 DISTR Cust Alloc'!$I$519+'FR-16(7)(v)-5 DISTR Dem Alloc'!$I$519+'FR-16(7)(v)-3 PROD Comm Alloc'!$I$519</f>
        <v>816302</v>
      </c>
      <c r="J519" s="347">
        <f>'FR-16(7)(v)-6 DISTR Cust Alloc'!$J$519+'FR-16(7)(v)-5 DISTR Dem Alloc'!$J$519+'FR-16(7)(v)-3 PROD Comm Alloc'!$J$519</f>
        <v>247107</v>
      </c>
      <c r="K519" s="345">
        <f>SUM($G$519:$J$519)</f>
        <v>9503788</v>
      </c>
      <c r="L519" s="345">
        <f>F519-$K$519</f>
        <v>0</v>
      </c>
    </row>
    <row r="520" spans="1:12" ht="13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3">
        <f>'FR-16(7)(v)-1 Functional'!F520</f>
        <v>-234602</v>
      </c>
      <c r="G520" s="347">
        <f>'FR-16(7)(v)-6 DISTR Cust Alloc'!$G$520+'FR-16(7)(v)-5 DISTR Dem Alloc'!$G$520+'FR-16(7)(v)-3 PROD Comm Alloc'!$G$520</f>
        <v>-158777</v>
      </c>
      <c r="H520" s="347">
        <f>'FR-16(7)(v)-6 DISTR Cust Alloc'!$H$520+'FR-16(7)(v)-5 DISTR Dem Alloc'!$H$520+'FR-16(7)(v)-3 PROD Comm Alloc'!$H$520</f>
        <v>-56416</v>
      </c>
      <c r="I520" s="347">
        <f>'FR-16(7)(v)-6 DISTR Cust Alloc'!$I$520+'FR-16(7)(v)-5 DISTR Dem Alloc'!$I$520+'FR-16(7)(v)-3 PROD Comm Alloc'!$I$520</f>
        <v>-14789</v>
      </c>
      <c r="J520" s="347">
        <f>'FR-16(7)(v)-6 DISTR Cust Alloc'!$J$520+'FR-16(7)(v)-5 DISTR Dem Alloc'!$J$520+'FR-16(7)(v)-3 PROD Comm Alloc'!$J$520</f>
        <v>-4620</v>
      </c>
      <c r="K520" s="345">
        <f>SUM($G$520:$J$520)</f>
        <v>-234602</v>
      </c>
      <c r="L520" s="345">
        <f>F520-$K$520</f>
        <v>0</v>
      </c>
    </row>
    <row r="521" spans="1:12" ht="13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3">
        <f>'FR-16(7)(v)-1 Functional'!F521</f>
        <v>-2045654</v>
      </c>
      <c r="G521" s="347">
        <f>'FR-16(7)(v)-6 DISTR Cust Alloc'!$G$521+'FR-16(7)(v)-5 DISTR Dem Alloc'!$G$521+'FR-16(7)(v)-3 PROD Comm Alloc'!$G$521</f>
        <v>-1309185</v>
      </c>
      <c r="H521" s="347">
        <f>'FR-16(7)(v)-6 DISTR Cust Alloc'!$H$521+'FR-16(7)(v)-5 DISTR Dem Alloc'!$H$521+'FR-16(7)(v)-3 PROD Comm Alloc'!$H$521</f>
        <v>-507575</v>
      </c>
      <c r="I521" s="347">
        <f>'FR-16(7)(v)-6 DISTR Cust Alloc'!$I$521+'FR-16(7)(v)-5 DISTR Dem Alloc'!$I$521+'FR-16(7)(v)-3 PROD Comm Alloc'!$I$521</f>
        <v>-175706</v>
      </c>
      <c r="J521" s="347">
        <f>'FR-16(7)(v)-6 DISTR Cust Alloc'!$J$521+'FR-16(7)(v)-5 DISTR Dem Alloc'!$J$521+'FR-16(7)(v)-3 PROD Comm Alloc'!$J$521</f>
        <v>-53188</v>
      </c>
      <c r="K521" s="345">
        <f>SUM($G$521:$J$521)</f>
        <v>-2045654</v>
      </c>
      <c r="L521" s="345">
        <f>F521-$K$521</f>
        <v>0</v>
      </c>
    </row>
    <row r="522" spans="1:12" ht="13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7223532</v>
      </c>
      <c r="G522" s="474">
        <f>SUM($G$519:$G$521)</f>
        <v>4614305</v>
      </c>
      <c r="H522" s="346">
        <f>SUM($H$519:$H$521)</f>
        <v>1794121</v>
      </c>
      <c r="I522" s="346">
        <f>SUM($I$519:$I$521)</f>
        <v>625807</v>
      </c>
      <c r="J522" s="346">
        <f>SUM($J$519:$J$521)</f>
        <v>189299</v>
      </c>
      <c r="K522" s="346">
        <f>SUM($K$519:$K$521)</f>
        <v>7223532</v>
      </c>
      <c r="L522" s="346">
        <f>SUM($L$519:$L$521)</f>
        <v>0</v>
      </c>
    </row>
    <row r="523" spans="1:12" ht="13">
      <c r="A523" s="331">
        <v>11</v>
      </c>
      <c r="D523" s="342"/>
      <c r="E523" s="195"/>
      <c r="F523" s="351"/>
      <c r="I523" s="330"/>
    </row>
    <row r="524" spans="1:12" ht="13">
      <c r="A524" s="331">
        <v>12</v>
      </c>
      <c r="B524" s="330" t="s">
        <v>72</v>
      </c>
      <c r="D524" s="342"/>
      <c r="E524" s="195"/>
      <c r="F524" s="347">
        <f>F522+F516</f>
        <v>15833914</v>
      </c>
      <c r="G524" s="345">
        <f>$G$522+$G$516</f>
        <v>10100513</v>
      </c>
      <c r="H524" s="345">
        <f>$H$522+$H$516</f>
        <v>3949754</v>
      </c>
      <c r="I524" s="345">
        <f>$I$522+$I$516</f>
        <v>1358275</v>
      </c>
      <c r="J524" s="345">
        <f>$J$522+$J$516</f>
        <v>425372</v>
      </c>
      <c r="K524" s="345">
        <f>$K$522+$K$516</f>
        <v>15833914</v>
      </c>
      <c r="L524" s="345">
        <f>$L$522+$L$516</f>
        <v>0</v>
      </c>
    </row>
    <row r="525" spans="1:12" ht="13">
      <c r="A525" s="331">
        <v>13</v>
      </c>
      <c r="D525" s="342"/>
      <c r="E525" s="195"/>
      <c r="F525" s="351"/>
      <c r="I525" s="330"/>
    </row>
    <row r="526" spans="1:12" ht="13">
      <c r="A526" s="331">
        <v>14</v>
      </c>
      <c r="B526" s="338" t="s">
        <v>541</v>
      </c>
      <c r="D526" s="342"/>
      <c r="E526" s="195"/>
      <c r="F526" s="351"/>
      <c r="I526" s="330"/>
    </row>
    <row r="527" spans="1:12" ht="13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3">
        <f>'FR-16(7)(v)-1 Functional'!F527</f>
        <v>1417793</v>
      </c>
      <c r="G527" s="347">
        <f>'FR-16(7)(v)-6 DISTR Cust Alloc'!$G$527+'FR-16(7)(v)-5 DISTR Dem Alloc'!$G$527+'FR-16(7)(v)-3 PROD Comm Alloc'!$G$527</f>
        <v>920683</v>
      </c>
      <c r="H527" s="347">
        <f>'FR-16(7)(v)-6 DISTR Cust Alloc'!$H$527+'FR-16(7)(v)-5 DISTR Dem Alloc'!$H$527+'FR-16(7)(v)-3 PROD Comm Alloc'!$H$527</f>
        <v>449116</v>
      </c>
      <c r="I527" s="347">
        <f>'FR-16(7)(v)-6 DISTR Cust Alloc'!$I$527+'FR-16(7)(v)-5 DISTR Dem Alloc'!$I$527+'FR-16(7)(v)-3 PROD Comm Alloc'!$I$527</f>
        <v>35069</v>
      </c>
      <c r="J527" s="347">
        <f>'FR-16(7)(v)-6 DISTR Cust Alloc'!$J$527+'FR-16(7)(v)-5 DISTR Dem Alloc'!$J$527+'FR-16(7)(v)-3 PROD Comm Alloc'!$J$527</f>
        <v>12925</v>
      </c>
      <c r="K527" s="345">
        <f>SUM($G$527:$J$527)</f>
        <v>1417793</v>
      </c>
      <c r="L527" s="345">
        <f>F527-$K$527</f>
        <v>0</v>
      </c>
    </row>
    <row r="528" spans="1:12" ht="13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3">
        <f>'FR-16(7)(v)-1 Functional'!F528</f>
        <v>15664</v>
      </c>
      <c r="G528" s="347">
        <f>'FR-16(7)(v)-6 DISTR Cust Alloc'!$G$528+'FR-16(7)(v)-5 DISTR Dem Alloc'!$G$528+'FR-16(7)(v)-3 PROD Comm Alloc'!$G$528</f>
        <v>10602</v>
      </c>
      <c r="H528" s="347">
        <f>'FR-16(7)(v)-6 DISTR Cust Alloc'!$H$528+'FR-16(7)(v)-5 DISTR Dem Alloc'!$H$528+'FR-16(7)(v)-3 PROD Comm Alloc'!$H$528</f>
        <v>3767</v>
      </c>
      <c r="I528" s="347">
        <f>'FR-16(7)(v)-6 DISTR Cust Alloc'!$I$528+'FR-16(7)(v)-5 DISTR Dem Alloc'!$I$528+'FR-16(7)(v)-3 PROD Comm Alloc'!$I$528</f>
        <v>987</v>
      </c>
      <c r="J528" s="347">
        <f>'FR-16(7)(v)-6 DISTR Cust Alloc'!$J$528+'FR-16(7)(v)-5 DISTR Dem Alloc'!$J$528+'FR-16(7)(v)-3 PROD Comm Alloc'!$J$528</f>
        <v>308</v>
      </c>
      <c r="K528" s="345">
        <f>SUM($G$528:$J$528)</f>
        <v>15664</v>
      </c>
      <c r="L528" s="345">
        <f>F528-$K$528</f>
        <v>0</v>
      </c>
    </row>
    <row r="529" spans="1:12" ht="13">
      <c r="A529" s="331">
        <v>17</v>
      </c>
      <c r="C529" s="612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3">
        <f>'FR-16(7)(v)-1 Functional'!F529</f>
        <v>0</v>
      </c>
      <c r="G529" s="347">
        <f>'FR-16(7)(v)-6 DISTR Cust Alloc'!$G$529+'FR-16(7)(v)-5 DISTR Dem Alloc'!$G$529+'FR-16(7)(v)-3 PROD Comm Alloc'!$G$529</f>
        <v>0</v>
      </c>
      <c r="H529" s="347">
        <f>'FR-16(7)(v)-6 DISTR Cust Alloc'!$H$529+'FR-16(7)(v)-5 DISTR Dem Alloc'!$H$529+'FR-16(7)(v)-3 PROD Comm Alloc'!$H$529</f>
        <v>0</v>
      </c>
      <c r="I529" s="347">
        <f>'FR-16(7)(v)-6 DISTR Cust Alloc'!$I$529+'FR-16(7)(v)-5 DISTR Dem Alloc'!$I$529+'FR-16(7)(v)-3 PROD Comm Alloc'!$I$529</f>
        <v>0</v>
      </c>
      <c r="J529" s="347">
        <f>'FR-16(7)(v)-6 DISTR Cust Alloc'!$J$529+'FR-16(7)(v)-5 DISTR Dem Alloc'!$J$529+'FR-16(7)(v)-3 PROD Comm Alloc'!$J$529</f>
        <v>0</v>
      </c>
      <c r="K529" s="345">
        <f>SUM($G$529:$J$529)</f>
        <v>0</v>
      </c>
      <c r="L529" s="345">
        <f>F529-$K$529</f>
        <v>0</v>
      </c>
    </row>
    <row r="530" spans="1:12" ht="13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3">
        <f>'FR-16(7)(v)-1 Functional'!F530</f>
        <v>-72079</v>
      </c>
      <c r="G530" s="347">
        <f>'FR-16(7)(v)-6 DISTR Cust Alloc'!$G$530+'FR-16(7)(v)-5 DISTR Dem Alloc'!$G$530+'FR-16(7)(v)-3 PROD Comm Alloc'!$G$530</f>
        <v>-36063</v>
      </c>
      <c r="H530" s="347">
        <f>'FR-16(7)(v)-6 DISTR Cust Alloc'!$H$530+'FR-16(7)(v)-5 DISTR Dem Alloc'!$H$530+'FR-16(7)(v)-3 PROD Comm Alloc'!$H$530</f>
        <v>-21156</v>
      </c>
      <c r="I530" s="347">
        <f>'FR-16(7)(v)-6 DISTR Cust Alloc'!$I$530+'FR-16(7)(v)-5 DISTR Dem Alloc'!$I$530+'FR-16(7)(v)-3 PROD Comm Alloc'!$I$530</f>
        <v>-14860</v>
      </c>
      <c r="J530" s="347">
        <f>'FR-16(7)(v)-6 DISTR Cust Alloc'!$J$530+'FR-16(7)(v)-5 DISTR Dem Alloc'!$J$530+'FR-16(7)(v)-3 PROD Comm Alloc'!$J$530</f>
        <v>0</v>
      </c>
      <c r="K530" s="345">
        <f>SUM($G$530:$J$530)</f>
        <v>-72079</v>
      </c>
      <c r="L530" s="345">
        <f>F530-$K$530</f>
        <v>0</v>
      </c>
    </row>
    <row r="531" spans="1:12" ht="13">
      <c r="A531" s="331">
        <v>19</v>
      </c>
      <c r="C531" s="357" t="s">
        <v>1418</v>
      </c>
      <c r="D531" s="342" t="str">
        <f>'FR-16(7)(v)-1 Functional'!D531</f>
        <v>AG39</v>
      </c>
      <c r="E531" s="195"/>
      <c r="F531" s="473">
        <f>'FR-16(7)(v)-1 Functional'!F531</f>
        <v>-630436</v>
      </c>
      <c r="G531" s="347">
        <f>'FR-16(7)(v)-6 DISTR Cust Alloc'!$G$531+'FR-16(7)(v)-5 DISTR Dem Alloc'!$G$531+'FR-16(7)(v)-3 PROD Comm Alloc'!$G$531</f>
        <v>-426672</v>
      </c>
      <c r="H531" s="347">
        <f>'FR-16(7)(v)-6 DISTR Cust Alloc'!$H$531+'FR-16(7)(v)-5 DISTR Dem Alloc'!$H$531+'FR-16(7)(v)-3 PROD Comm Alloc'!$H$531</f>
        <v>-151605</v>
      </c>
      <c r="I531" s="347">
        <f>'FR-16(7)(v)-6 DISTR Cust Alloc'!$I$531+'FR-16(7)(v)-5 DISTR Dem Alloc'!$I$531+'FR-16(7)(v)-3 PROD Comm Alloc'!$I$531</f>
        <v>-39744</v>
      </c>
      <c r="J531" s="347">
        <f>'FR-16(7)(v)-6 DISTR Cust Alloc'!$J$531+'FR-16(7)(v)-5 DISTR Dem Alloc'!$J$531+'FR-16(7)(v)-3 PROD Comm Alloc'!$J$531</f>
        <v>-12415</v>
      </c>
      <c r="K531" s="345">
        <f>SUM($G$531:$J$531)</f>
        <v>-630436</v>
      </c>
      <c r="L531" s="345">
        <f>F531-$K$531</f>
        <v>0</v>
      </c>
    </row>
    <row r="532" spans="1:12" ht="13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730942</v>
      </c>
      <c r="G532" s="474">
        <f>SUM($G$527:$G$531)</f>
        <v>468550</v>
      </c>
      <c r="H532" s="346">
        <f>SUM($H$527:$H$531)</f>
        <v>280122</v>
      </c>
      <c r="I532" s="346">
        <f>SUM($I$527:$I$531)</f>
        <v>-18548</v>
      </c>
      <c r="J532" s="346">
        <f>SUM($J$527:$J$531)</f>
        <v>818</v>
      </c>
      <c r="K532" s="346">
        <f>SUM($K$527:$K$531)</f>
        <v>730942</v>
      </c>
      <c r="L532" s="346">
        <f>SUM($L$527:$L$531)</f>
        <v>0</v>
      </c>
    </row>
    <row r="533" spans="1:12" ht="13">
      <c r="A533" s="331">
        <v>21</v>
      </c>
      <c r="D533" s="342"/>
      <c r="E533" s="195"/>
      <c r="F533" s="351"/>
      <c r="I533" s="330"/>
    </row>
    <row r="534" spans="1:12" ht="13">
      <c r="A534" s="331">
        <v>22</v>
      </c>
      <c r="B534" s="330" t="s">
        <v>418</v>
      </c>
      <c r="D534" s="342"/>
      <c r="E534" s="195"/>
      <c r="F534" s="351"/>
      <c r="I534" s="330"/>
    </row>
    <row r="535" spans="1:12" ht="13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3">
        <f>'FR-16(7)(v)-1 Functional'!F535</f>
        <v>60747</v>
      </c>
      <c r="G535" s="347">
        <f>'FR-16(7)(v)-6 DISTR Cust Alloc'!$G$535+'FR-16(7)(v)-5 DISTR Dem Alloc'!$G$535+'FR-16(7)(v)-3 PROD Comm Alloc'!$G$535</f>
        <v>38702</v>
      </c>
      <c r="H535" s="347">
        <f>'FR-16(7)(v)-6 DISTR Cust Alloc'!$H$535+'FR-16(7)(v)-5 DISTR Dem Alloc'!$H$535+'FR-16(7)(v)-3 PROD Comm Alloc'!$H$535</f>
        <v>15154</v>
      </c>
      <c r="I535" s="347">
        <f>'FR-16(7)(v)-6 DISTR Cust Alloc'!$I$535+'FR-16(7)(v)-5 DISTR Dem Alloc'!$I$535+'FR-16(7)(v)-3 PROD Comm Alloc'!$I$535</f>
        <v>5211</v>
      </c>
      <c r="J535" s="347">
        <f>'FR-16(7)(v)-6 DISTR Cust Alloc'!$J$535+'FR-16(7)(v)-5 DISTR Dem Alloc'!$J$535+'FR-16(7)(v)-3 PROD Comm Alloc'!$J$535</f>
        <v>1680</v>
      </c>
      <c r="K535" s="506">
        <f>SUM($G$535:$J$535)</f>
        <v>60747</v>
      </c>
      <c r="L535" s="506">
        <f>F535-$K$535</f>
        <v>0</v>
      </c>
    </row>
    <row r="536" spans="1:12" ht="13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60747</v>
      </c>
      <c r="G536" s="474">
        <f>SUM($G$535:$G$535)</f>
        <v>38702</v>
      </c>
      <c r="H536" s="346">
        <f>SUM($H$535:$H$535)</f>
        <v>15154</v>
      </c>
      <c r="I536" s="346">
        <f>SUM($I$535:$I$535)</f>
        <v>5211</v>
      </c>
      <c r="J536" s="346">
        <f>SUM($J$535:$J$535)</f>
        <v>1680</v>
      </c>
      <c r="K536" s="346">
        <f>SUM($K$535:$K$535)</f>
        <v>60747</v>
      </c>
      <c r="L536" s="346">
        <f>SUM($L$535:$L$535)</f>
        <v>0</v>
      </c>
    </row>
    <row r="537" spans="1:12" ht="13">
      <c r="A537" s="331">
        <v>25</v>
      </c>
      <c r="D537" s="342"/>
      <c r="E537" s="195"/>
      <c r="F537" s="504"/>
      <c r="G537" s="664"/>
      <c r="H537" s="504"/>
      <c r="I537" s="504"/>
      <c r="J537" s="504"/>
      <c r="K537" s="504"/>
      <c r="L537" s="504"/>
    </row>
    <row r="538" spans="1:12" ht="15.5">
      <c r="A538" s="331">
        <v>26</v>
      </c>
      <c r="B538" s="330" t="s">
        <v>73</v>
      </c>
      <c r="D538" s="729"/>
      <c r="E538" s="1"/>
      <c r="F538" s="504"/>
      <c r="G538" s="664"/>
      <c r="H538" s="504"/>
      <c r="I538" s="504"/>
      <c r="J538" s="504"/>
      <c r="K538" s="504"/>
      <c r="L538" s="504"/>
    </row>
    <row r="539" spans="1:12" ht="13">
      <c r="A539" s="331">
        <v>27</v>
      </c>
      <c r="C539" s="330" t="str">
        <f>'FR-16(7)(v)-1 Functional'!C539</f>
        <v>PROV INVEST TAX CREDIT</v>
      </c>
      <c r="D539" s="342" t="s">
        <v>315</v>
      </c>
      <c r="F539" s="473">
        <f>'FR-16(7)(v)-1 Functional'!F539</f>
        <v>0</v>
      </c>
      <c r="G539" s="347">
        <f>'FR-16(7)(v)-6 DISTR Cust Alloc'!$G$539+'FR-16(7)(v)-5 DISTR Dem Alloc'!$G$539+'FR-16(7)(v)-3 PROD Comm Alloc'!$G$539</f>
        <v>0</v>
      </c>
      <c r="H539" s="347">
        <f>'FR-16(7)(v)-6 DISTR Cust Alloc'!$H$539+'FR-16(7)(v)-5 DISTR Dem Alloc'!$H$539+'FR-16(7)(v)-3 PROD Comm Alloc'!$H$539</f>
        <v>0</v>
      </c>
      <c r="I539" s="347">
        <f>'FR-16(7)(v)-6 DISTR Cust Alloc'!$I$539+'FR-16(7)(v)-5 DISTR Dem Alloc'!$I$539+'FR-16(7)(v)-3 PROD Comm Alloc'!$I$539</f>
        <v>0</v>
      </c>
      <c r="J539" s="347">
        <f>'FR-16(7)(v)-6 DISTR Cust Alloc'!$J$539+'FR-16(7)(v)-5 DISTR Dem Alloc'!$J$539+'FR-16(7)(v)-3 PROD Comm Alloc'!$J$539</f>
        <v>0</v>
      </c>
      <c r="K539" s="506">
        <f>SUM($G$539:$J$539)</f>
        <v>0</v>
      </c>
      <c r="L539" s="506">
        <f>F539-$K$539</f>
        <v>0</v>
      </c>
    </row>
    <row r="540" spans="1:12" ht="15.5">
      <c r="A540" s="331">
        <v>28</v>
      </c>
      <c r="C540" s="337" t="str">
        <f>'FR-16(7)(v)-1 Functional'!C540</f>
        <v xml:space="preserve">  TEST YEAR INV TAX CREDIT</v>
      </c>
      <c r="D540" s="729"/>
      <c r="E540" s="1"/>
      <c r="F540" s="346">
        <f>SUM(F539:F539)</f>
        <v>0</v>
      </c>
      <c r="G540" s="474">
        <f>SUM($G$539:$G$539)</f>
        <v>0</v>
      </c>
      <c r="H540" s="474">
        <f>SUM($H$539:$H$539)</f>
        <v>0</v>
      </c>
      <c r="I540" s="474">
        <f>SUM($I$539:$I$539)</f>
        <v>0</v>
      </c>
      <c r="J540" s="474">
        <f>SUM($J$539:$J$539)</f>
        <v>0</v>
      </c>
      <c r="K540" s="474">
        <f>SUM($K$539:$K$539)</f>
        <v>0</v>
      </c>
      <c r="L540" s="474">
        <f>SUM($L$539:$L$539)</f>
        <v>0</v>
      </c>
    </row>
    <row r="541" spans="1:12" ht="15.5">
      <c r="A541" s="331">
        <v>29</v>
      </c>
      <c r="B541" s="192"/>
      <c r="C541" s="192"/>
      <c r="D541" s="729"/>
      <c r="E541" s="1"/>
      <c r="F541" s="504"/>
      <c r="G541" s="664"/>
      <c r="H541" s="504"/>
      <c r="I541" s="504"/>
      <c r="J541" s="504"/>
      <c r="K541" s="504"/>
      <c r="L541" s="504"/>
    </row>
    <row r="542" spans="1:12" ht="15.5">
      <c r="A542" s="331">
        <v>30</v>
      </c>
      <c r="B542" s="330" t="s">
        <v>40</v>
      </c>
      <c r="C542" s="192"/>
      <c r="D542" s="729"/>
      <c r="E542" s="1"/>
      <c r="F542" s="504"/>
      <c r="G542" s="664"/>
      <c r="H542" s="504"/>
      <c r="I542" s="504"/>
      <c r="J542" s="504"/>
      <c r="K542" s="504"/>
      <c r="L542" s="504"/>
    </row>
    <row r="543" spans="1:12" ht="13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730942</v>
      </c>
      <c r="G543" s="345">
        <f>$G$532</f>
        <v>468550</v>
      </c>
      <c r="H543" s="345">
        <f>$H$532</f>
        <v>280122</v>
      </c>
      <c r="I543" s="345">
        <f>$I$532</f>
        <v>-18548</v>
      </c>
      <c r="J543" s="345">
        <f>$J$532</f>
        <v>818</v>
      </c>
      <c r="K543" s="345">
        <f>$K$532</f>
        <v>730942</v>
      </c>
      <c r="L543" s="345">
        <f>$L$532</f>
        <v>0</v>
      </c>
    </row>
    <row r="544" spans="1:12" ht="13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-60747</v>
      </c>
      <c r="G544" s="345">
        <f>-$G$536</f>
        <v>-38702</v>
      </c>
      <c r="H544" s="345">
        <f>-$H$536</f>
        <v>-15154</v>
      </c>
      <c r="I544" s="345">
        <f>-$I$536</f>
        <v>-5211</v>
      </c>
      <c r="J544" s="345">
        <f>-$J$536</f>
        <v>-1680</v>
      </c>
      <c r="K544" s="345">
        <f>-$K$536</f>
        <v>-60747</v>
      </c>
      <c r="L544" s="345">
        <f>-$L$536</f>
        <v>0</v>
      </c>
    </row>
    <row r="545" spans="1:12" ht="13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670195</v>
      </c>
      <c r="G545" s="474">
        <f>SUM($G$543:$G$544)</f>
        <v>429848</v>
      </c>
      <c r="H545" s="346">
        <f>SUM($H$543:$H$544)</f>
        <v>264968</v>
      </c>
      <c r="I545" s="346">
        <f>SUM($I$543:$I$544)</f>
        <v>-23759</v>
      </c>
      <c r="J545" s="346">
        <f>SUM($J$543:$J$544)</f>
        <v>-862</v>
      </c>
      <c r="K545" s="346">
        <f>SUM($K$543:$K$544)</f>
        <v>670195</v>
      </c>
      <c r="L545" s="346">
        <f>SUM($L$543:$L$544)</f>
        <v>0</v>
      </c>
    </row>
    <row r="546" spans="1:12" ht="13">
      <c r="A546" s="331">
        <v>34</v>
      </c>
      <c r="D546" s="342"/>
      <c r="E546" s="195"/>
      <c r="F546" s="351"/>
      <c r="I546" s="330"/>
    </row>
    <row r="547" spans="1:12" ht="13">
      <c r="A547" s="331">
        <v>35</v>
      </c>
      <c r="B547" s="330" t="s">
        <v>74</v>
      </c>
      <c r="D547" s="342"/>
      <c r="E547" s="195"/>
      <c r="F547" s="351"/>
      <c r="I547" s="330"/>
    </row>
    <row r="548" spans="1:12" ht="13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L548" si="119">F334</f>
        <v>33063477</v>
      </c>
      <c r="G548" s="345">
        <f t="shared" si="119"/>
        <v>21066761</v>
      </c>
      <c r="H548" s="345">
        <f t="shared" si="119"/>
        <v>8277502</v>
      </c>
      <c r="I548" s="345">
        <f t="shared" si="119"/>
        <v>2812700</v>
      </c>
      <c r="J548" s="345">
        <f t="shared" si="119"/>
        <v>906514</v>
      </c>
      <c r="K548" s="345">
        <f t="shared" si="119"/>
        <v>33063477</v>
      </c>
      <c r="L548" s="345">
        <f t="shared" si="119"/>
        <v>0</v>
      </c>
    </row>
    <row r="549" spans="1:12" ht="13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-15833914</v>
      </c>
      <c r="G549" s="345">
        <f>-$G$524</f>
        <v>-10100513</v>
      </c>
      <c r="H549" s="345">
        <f>-$H$524</f>
        <v>-3949754</v>
      </c>
      <c r="I549" s="345">
        <f>-$I$524</f>
        <v>-1358275</v>
      </c>
      <c r="J549" s="345">
        <f>-$J$524</f>
        <v>-425372</v>
      </c>
      <c r="K549" s="345">
        <f>-$K$524</f>
        <v>-15833914</v>
      </c>
      <c r="L549" s="345">
        <f>-$L$524</f>
        <v>0</v>
      </c>
    </row>
    <row r="550" spans="1:12" ht="13">
      <c r="A550" s="331">
        <v>38</v>
      </c>
      <c r="C550" s="330" t="s">
        <v>1419</v>
      </c>
      <c r="D550" s="342"/>
      <c r="E550" s="195"/>
      <c r="F550" s="347">
        <f>F591</f>
        <v>632684</v>
      </c>
      <c r="G550" s="347">
        <f t="shared" ref="G550:L550" ca="1" si="120">G591</f>
        <v>402437</v>
      </c>
      <c r="H550" s="347">
        <f t="shared" si="120"/>
        <v>157834</v>
      </c>
      <c r="I550" s="347">
        <f t="shared" ca="1" si="120"/>
        <v>54328</v>
      </c>
      <c r="J550" s="347">
        <f t="shared" si="120"/>
        <v>18085</v>
      </c>
      <c r="K550" s="347">
        <f t="shared" ca="1" si="120"/>
        <v>632684</v>
      </c>
      <c r="L550" s="347">
        <f t="shared" ca="1" si="120"/>
        <v>0</v>
      </c>
    </row>
    <row r="551" spans="1:12" ht="13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670195</v>
      </c>
      <c r="G551" s="345">
        <f>$G$545</f>
        <v>429848</v>
      </c>
      <c r="H551" s="345">
        <f>$H$545</f>
        <v>264968</v>
      </c>
      <c r="I551" s="345">
        <f>$I$545</f>
        <v>-23759</v>
      </c>
      <c r="J551" s="345">
        <f>$J$545</f>
        <v>-862</v>
      </c>
      <c r="K551" s="345">
        <f>$K$545</f>
        <v>670195</v>
      </c>
      <c r="L551" s="345">
        <f>$L$545</f>
        <v>0</v>
      </c>
    </row>
    <row r="552" spans="1:12" ht="13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>SUM(F548:F551)</f>
        <v>18532442</v>
      </c>
      <c r="G552" s="474">
        <f ca="1">SUM($G$548:$G$551)</f>
        <v>11798533</v>
      </c>
      <c r="H552" s="346">
        <f>SUM($H$548:$H$551)</f>
        <v>4750550</v>
      </c>
      <c r="I552" s="346">
        <f ca="1">SUM($I$548:$I$551)</f>
        <v>1484994</v>
      </c>
      <c r="J552" s="346">
        <f>SUM($J$548:$J$551)</f>
        <v>498365</v>
      </c>
      <c r="K552" s="346">
        <f ca="1">SUM($K$548:$K$551)</f>
        <v>18532442</v>
      </c>
      <c r="L552" s="346">
        <f ca="1">SUM($L$548:$L$551)</f>
        <v>0</v>
      </c>
    </row>
    <row r="553" spans="1:12" ht="13">
      <c r="A553" s="331">
        <v>41</v>
      </c>
      <c r="D553" s="342"/>
      <c r="E553" s="195"/>
      <c r="F553" s="351"/>
      <c r="I553" s="330"/>
    </row>
    <row r="554" spans="1:12" ht="13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348">
        <f>ROUND(G692/(1-G692),9)</f>
        <v>0.26582278500000001</v>
      </c>
      <c r="H554" s="348">
        <f>ROUND(H692/(1-H692),9)</f>
        <v>0.26582278500000001</v>
      </c>
      <c r="I554" s="348">
        <f>ROUND(I692/(1-I692),9)</f>
        <v>0.26582278500000001</v>
      </c>
      <c r="J554" s="348">
        <f>ROUND(J692/(1-J692),9)</f>
        <v>0.26582278500000001</v>
      </c>
      <c r="K554" s="348"/>
      <c r="L554" s="348">
        <f>ROUND(K692/(1-K692),9)</f>
        <v>0.26582278500000001</v>
      </c>
    </row>
    <row r="555" spans="1:12" ht="13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>ROUND(F554*F552,0)</f>
        <v>4926345</v>
      </c>
      <c r="G555" s="345">
        <f ca="1">F555-SUM($H$555:$J$555)</f>
        <v>3136319</v>
      </c>
      <c r="H555" s="345">
        <f>ROUND($H$552*$H$554,0)</f>
        <v>1262804</v>
      </c>
      <c r="I555" s="345">
        <f ca="1">ROUND($I$552*$I$554,0)</f>
        <v>394745</v>
      </c>
      <c r="J555" s="345">
        <f>ROUND($J$552*$J$554,0)</f>
        <v>132477</v>
      </c>
      <c r="K555" s="345">
        <f ca="1">SUM($G$555:$J$555)</f>
        <v>4926345</v>
      </c>
      <c r="L555" s="345">
        <f ca="1">ROUND($L$552*$L$554,0)</f>
        <v>0</v>
      </c>
    </row>
    <row r="556" spans="1:12" ht="13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670195</v>
      </c>
      <c r="G556" s="345">
        <f>$G$545</f>
        <v>429848</v>
      </c>
      <c r="H556" s="345">
        <f>$H$545</f>
        <v>264968</v>
      </c>
      <c r="I556" s="345">
        <f>$I$545</f>
        <v>-23759</v>
      </c>
      <c r="J556" s="345">
        <f>$J$545</f>
        <v>-862</v>
      </c>
      <c r="K556" s="345">
        <f>$K$545</f>
        <v>670195</v>
      </c>
      <c r="L556" s="345">
        <f>$L$545</f>
        <v>0</v>
      </c>
    </row>
    <row r="557" spans="1:12" ht="13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>SUM(F555:F556)</f>
        <v>5596540</v>
      </c>
      <c r="G557" s="346">
        <f ca="1">SUM($G$555:$G$556)</f>
        <v>3566167</v>
      </c>
      <c r="H557" s="346">
        <f>SUM($H$555:$H$556)</f>
        <v>1527772</v>
      </c>
      <c r="I557" s="346">
        <f ca="1">SUM($I$555:$I$556)</f>
        <v>370986</v>
      </c>
      <c r="J557" s="346">
        <f>SUM($J$555:$J$556)</f>
        <v>131615</v>
      </c>
      <c r="K557" s="346">
        <f ca="1">SUM($K$555:$K$556)</f>
        <v>5596540</v>
      </c>
      <c r="L557" s="346">
        <f ca="1">SUM($L$555:$L$556)</f>
        <v>0</v>
      </c>
    </row>
    <row r="558" spans="1:12" ht="13">
      <c r="A558" s="331">
        <v>46</v>
      </c>
      <c r="D558" s="342"/>
      <c r="E558" s="195"/>
      <c r="F558" s="351"/>
      <c r="I558" s="330"/>
    </row>
    <row r="559" spans="1:12" ht="13">
      <c r="A559" s="331">
        <v>47</v>
      </c>
      <c r="B559" s="330" t="s">
        <v>68</v>
      </c>
      <c r="D559" s="342"/>
      <c r="E559" s="195"/>
      <c r="F559" s="351"/>
      <c r="I559" s="330"/>
    </row>
    <row r="560" spans="1:12" ht="13">
      <c r="A560" s="331">
        <v>48</v>
      </c>
      <c r="B560" s="330" t="s">
        <v>75</v>
      </c>
      <c r="D560" s="342"/>
      <c r="E560" s="195"/>
      <c r="F560" s="351"/>
      <c r="I560" s="330"/>
    </row>
    <row r="561" spans="1:12" ht="13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>F555</f>
        <v>4926345</v>
      </c>
      <c r="G561" s="345">
        <f ca="1">$G$555</f>
        <v>3136319</v>
      </c>
      <c r="H561" s="345">
        <f>$H$555</f>
        <v>1262804</v>
      </c>
      <c r="I561" s="345">
        <f ca="1">$I$555</f>
        <v>394745</v>
      </c>
      <c r="J561" s="345">
        <f>$J$555</f>
        <v>132477</v>
      </c>
      <c r="K561" s="345">
        <f ca="1">$K$555</f>
        <v>4926345</v>
      </c>
      <c r="L561" s="345">
        <f ca="1">$L$555</f>
        <v>0</v>
      </c>
    </row>
    <row r="562" spans="1:12" ht="13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620">
        <f>-$G$540</f>
        <v>0</v>
      </c>
      <c r="H562" s="620">
        <f>-$H$540</f>
        <v>0</v>
      </c>
      <c r="I562" s="345">
        <f>-$I$540</f>
        <v>0</v>
      </c>
      <c r="J562" s="345">
        <f>-$J$540</f>
        <v>0</v>
      </c>
      <c r="K562" s="345">
        <f>-$K$540</f>
        <v>0</v>
      </c>
      <c r="L562" s="345">
        <f>-$L$540</f>
        <v>0</v>
      </c>
    </row>
    <row r="563" spans="1:12" ht="13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>SUM(F560:F562)</f>
        <v>4926345</v>
      </c>
      <c r="G563" s="346">
        <f ca="1">SUM($G$560:$G$562)</f>
        <v>3136319</v>
      </c>
      <c r="H563" s="346">
        <f>SUM($H$560:$H$562)</f>
        <v>1262804</v>
      </c>
      <c r="I563" s="346">
        <f ca="1">SUM($I$560:$I$562)</f>
        <v>394745</v>
      </c>
      <c r="J563" s="346">
        <f>SUM($J$560:$J$562)</f>
        <v>132477</v>
      </c>
      <c r="K563" s="346">
        <f ca="1">SUM($K$560:$K$562)</f>
        <v>4926345</v>
      </c>
      <c r="L563" s="346">
        <f ca="1">SUM($L$560:$L$562)</f>
        <v>0</v>
      </c>
    </row>
    <row r="564" spans="1:12" ht="13">
      <c r="A564" s="331">
        <v>52</v>
      </c>
      <c r="D564" s="342"/>
      <c r="E564" s="195"/>
      <c r="I564" s="330"/>
    </row>
    <row r="565" spans="1:12" ht="13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330">
        <f>ROUND((G693*(1-G692))+((1-G693)*(1-G692)*G694)+G692,5)</f>
        <v>0.24925</v>
      </c>
      <c r="H565" s="330">
        <f>ROUND((H693*(1-H692))+((1-H693)*(1-H692)*H694)+H692,5)</f>
        <v>0.24925</v>
      </c>
      <c r="I565" s="330">
        <f>ROUND((I693*(1-I692))+((1-I693)*(1-I692)*I694)+I692,7)</f>
        <v>0.24925120000000001</v>
      </c>
      <c r="J565" s="330">
        <f>ROUND((J693*(1-J692))+((1-J693)*(1-J692)*J694)+J692,5)</f>
        <v>0.24925</v>
      </c>
      <c r="L565" s="330">
        <f>ROUND((K693*(1-K692))+((1-K693)*(1-K692)*K694)+K692,5)</f>
        <v>0.24925</v>
      </c>
    </row>
    <row r="566" spans="1:12" ht="13">
      <c r="B566" s="341"/>
      <c r="C566" s="195"/>
      <c r="D566" s="342"/>
      <c r="E566" s="195"/>
      <c r="G566" s="195"/>
      <c r="H566" s="195"/>
      <c r="I566" s="195"/>
      <c r="J566" s="342"/>
      <c r="K566" s="195"/>
      <c r="L566" s="195"/>
    </row>
    <row r="567" spans="1:12" ht="13">
      <c r="A567" s="341" t="str">
        <f>co_name</f>
        <v>DUKE ENERGY KENTUCKY, INC.</v>
      </c>
      <c r="C567" s="195"/>
      <c r="D567" s="342"/>
      <c r="E567" s="195"/>
      <c r="F567" s="342"/>
      <c r="G567" s="340"/>
      <c r="H567" s="340"/>
      <c r="I567" s="195"/>
      <c r="K567" s="359" t="str">
        <f>$K$1</f>
        <v>FR-16(7)(v)-8</v>
      </c>
      <c r="L567" s="195"/>
    </row>
    <row r="568" spans="1:12" ht="13">
      <c r="A568" s="341" t="str">
        <f>$A$2</f>
        <v>TOTAL CLASS ALLOCATED - GAS COST OF SERVICE</v>
      </c>
      <c r="C568" s="195"/>
      <c r="D568" s="342"/>
      <c r="E568" s="195"/>
      <c r="F568" s="342"/>
      <c r="G568" s="340"/>
      <c r="H568" s="340"/>
      <c r="I568" s="195"/>
      <c r="K568" s="359" t="str">
        <f>$K$2</f>
        <v>WITNESS RESPONSIBLE:</v>
      </c>
      <c r="L568" s="195"/>
    </row>
    <row r="569" spans="1:12" ht="13">
      <c r="A569" s="341" t="str">
        <f>case_name</f>
        <v>CASE NO: 2021-00190</v>
      </c>
      <c r="C569" s="195"/>
      <c r="D569" s="342"/>
      <c r="E569" s="195"/>
      <c r="F569" s="342"/>
      <c r="G569" s="340"/>
      <c r="H569" s="340"/>
      <c r="I569" s="195"/>
      <c r="K569" s="359" t="str">
        <f>Witness</f>
        <v>JAMES E. ZIOLKOWSKI</v>
      </c>
      <c r="L569" s="195"/>
    </row>
    <row r="570" spans="1:12" ht="13">
      <c r="A570" s="341" t="str">
        <f>data_filing</f>
        <v>DATA: 12 MONTH FORECASTED PERIOD</v>
      </c>
      <c r="C570" s="195"/>
      <c r="D570" s="342"/>
      <c r="E570" s="195"/>
      <c r="F570" s="342"/>
      <c r="G570" s="340"/>
      <c r="H570" s="340"/>
      <c r="I570" s="195"/>
      <c r="K570" s="359" t="str">
        <f>"PAGE "&amp;Pages2-2&amp;" OF "&amp;Pages2</f>
        <v>PAGE 13 OF 15</v>
      </c>
      <c r="L570" s="195"/>
    </row>
    <row r="571" spans="1:12" ht="13">
      <c r="A571" s="341" t="str">
        <f>type</f>
        <v xml:space="preserve">TYPE OF FILING: "X" ORIGINAL   UPDATED    REVISED  </v>
      </c>
      <c r="C571" s="195"/>
      <c r="D571" s="342"/>
      <c r="E571" s="195"/>
      <c r="F571" s="342"/>
      <c r="G571" s="340"/>
      <c r="H571" s="340"/>
      <c r="I571" s="195"/>
      <c r="J571" s="342"/>
      <c r="K571" s="195"/>
      <c r="L571" s="195"/>
    </row>
    <row r="573" spans="1:12" ht="13">
      <c r="F573" s="342" t="str">
        <f>$F$7</f>
        <v>TOTAL</v>
      </c>
      <c r="G573" s="195"/>
      <c r="H573" s="195"/>
      <c r="I573" s="195"/>
      <c r="J573" s="342"/>
      <c r="K573" s="195"/>
      <c r="L573" s="195"/>
    </row>
    <row r="574" spans="1:12" ht="13">
      <c r="A574" s="342" t="s">
        <v>907</v>
      </c>
      <c r="B574" s="1352"/>
      <c r="C574" s="1083"/>
      <c r="D574" s="1083"/>
      <c r="E574" s="340"/>
      <c r="F574" s="342" t="str">
        <f>$F$8</f>
        <v>CLASS</v>
      </c>
      <c r="G574" s="352" t="s">
        <v>766</v>
      </c>
      <c r="H574" s="352" t="s">
        <v>1256</v>
      </c>
      <c r="I574" s="352" t="s">
        <v>974</v>
      </c>
      <c r="J574" s="352" t="s">
        <v>546</v>
      </c>
      <c r="K574" s="352" t="s">
        <v>229</v>
      </c>
      <c r="L574" s="342" t="s">
        <v>342</v>
      </c>
    </row>
    <row r="575" spans="1:12" ht="13">
      <c r="A575" s="344" t="s">
        <v>908</v>
      </c>
      <c r="B575" s="1354" t="s">
        <v>1376</v>
      </c>
      <c r="C575" s="1355"/>
      <c r="D575" s="1356" t="s">
        <v>1377</v>
      </c>
      <c r="E575" s="1357"/>
      <c r="F575" s="342" t="str">
        <f>$F$9</f>
        <v>ALLOCATED</v>
      </c>
      <c r="G575" s="353" t="s">
        <v>338</v>
      </c>
      <c r="H575" s="353" t="s">
        <v>404</v>
      </c>
      <c r="I575" s="353" t="s">
        <v>1257</v>
      </c>
      <c r="J575" s="353" t="s">
        <v>547</v>
      </c>
      <c r="K575" s="353" t="s">
        <v>341</v>
      </c>
      <c r="L575" s="344" t="s">
        <v>340</v>
      </c>
    </row>
    <row r="576" spans="1:12" ht="15.5">
      <c r="A576" s="1358"/>
      <c r="B576" s="1359"/>
      <c r="C576" s="1360" t="s">
        <v>1378</v>
      </c>
      <c r="D576" s="1361"/>
      <c r="E576" s="340"/>
      <c r="F576" s="755"/>
      <c r="G576" s="627">
        <f>$G$10</f>
        <v>3</v>
      </c>
      <c r="H576" s="627">
        <f>$H$10</f>
        <v>4</v>
      </c>
      <c r="I576" s="627">
        <f>$I$10</f>
        <v>5</v>
      </c>
      <c r="J576" s="627">
        <f>$J$10</f>
        <v>6</v>
      </c>
    </row>
    <row r="577" spans="1:12" ht="13">
      <c r="A577" s="961">
        <v>1</v>
      </c>
      <c r="B577" s="1365" t="s">
        <v>1379</v>
      </c>
      <c r="C577" s="1352"/>
      <c r="D577" s="1352"/>
      <c r="E577" s="340"/>
    </row>
    <row r="578" spans="1:12" ht="13">
      <c r="A578" s="961">
        <v>2</v>
      </c>
      <c r="B578" s="1369" t="s">
        <v>1380</v>
      </c>
      <c r="C578" s="1352"/>
      <c r="D578" s="1370" t="s">
        <v>315</v>
      </c>
      <c r="E578" s="340"/>
      <c r="F578" s="473">
        <f>'FR-16(7)(v)-1 Functional'!F578</f>
        <v>6777000</v>
      </c>
      <c r="G578" s="347">
        <f ca="1">'FR-16(7)(v)-6 DISTR Cust Alloc'!G578+'FR-16(7)(v)-5 DISTR Dem Alloc'!G578+'FR-16(7)(v)-3 PROD Comm Alloc'!G578</f>
        <v>4310711</v>
      </c>
      <c r="H578" s="347">
        <f>'FR-16(7)(v)-6 DISTR Cust Alloc'!H578+'FR-16(7)(v)-5 DISTR Dem Alloc'!H578+'FR-16(7)(v)-3 PROD Comm Alloc'!H578</f>
        <v>1690633</v>
      </c>
      <c r="I578" s="347">
        <f ca="1">'FR-16(7)(v)-6 DISTR Cust Alloc'!I578+'FR-16(7)(v)-5 DISTR Dem Alloc'!I578+'FR-16(7)(v)-3 PROD Comm Alloc'!I578</f>
        <v>581936</v>
      </c>
      <c r="J578" s="347">
        <f>'FR-16(7)(v)-6 DISTR Cust Alloc'!J578+'FR-16(7)(v)-5 DISTR Dem Alloc'!J578+'FR-16(7)(v)-3 PROD Comm Alloc'!J578</f>
        <v>193720</v>
      </c>
      <c r="K578" s="345">
        <f ca="1">SUM(G578:J578)</f>
        <v>6777000</v>
      </c>
      <c r="L578" s="345">
        <f ca="1">F578-K578</f>
        <v>0</v>
      </c>
    </row>
    <row r="579" spans="1:12" ht="13">
      <c r="A579" s="961">
        <v>3</v>
      </c>
      <c r="B579" s="1369" t="s">
        <v>1152</v>
      </c>
      <c r="C579" s="1371"/>
      <c r="D579" s="1370" t="s">
        <v>315</v>
      </c>
      <c r="E579" s="340"/>
      <c r="F579" s="1455">
        <f>'FR-16(7)(v)-1 Functional'!F579</f>
        <v>0</v>
      </c>
      <c r="G579" s="1453">
        <f>'FR-16(7)(v)-6 DISTR Cust Alloc'!G579+'FR-16(7)(v)-5 DISTR Dem Alloc'!G579+'FR-16(7)(v)-3 PROD Comm Alloc'!G579</f>
        <v>0</v>
      </c>
      <c r="H579" s="1453">
        <f>'FR-16(7)(v)-6 DISTR Cust Alloc'!H579+'FR-16(7)(v)-5 DISTR Dem Alloc'!H579+'FR-16(7)(v)-3 PROD Comm Alloc'!H579</f>
        <v>0</v>
      </c>
      <c r="I579" s="1453">
        <f>'FR-16(7)(v)-6 DISTR Cust Alloc'!I579+'FR-16(7)(v)-5 DISTR Dem Alloc'!I579+'FR-16(7)(v)-3 PROD Comm Alloc'!I579</f>
        <v>0</v>
      </c>
      <c r="J579" s="1453">
        <f>'FR-16(7)(v)-6 DISTR Cust Alloc'!J579+'FR-16(7)(v)-5 DISTR Dem Alloc'!J579+'FR-16(7)(v)-3 PROD Comm Alloc'!J579</f>
        <v>0</v>
      </c>
      <c r="K579" s="1454">
        <f>SUM(G579:J579)</f>
        <v>0</v>
      </c>
      <c r="L579" s="1454">
        <f>F579-K579</f>
        <v>0</v>
      </c>
    </row>
    <row r="580" spans="1:12" ht="13">
      <c r="A580" s="961">
        <v>4</v>
      </c>
      <c r="B580" s="1373" t="s">
        <v>1381</v>
      </c>
      <c r="C580" s="1352"/>
      <c r="D580" s="1374"/>
      <c r="E580" s="340"/>
      <c r="F580" s="333">
        <f>SUM(F578:F579)</f>
        <v>6777000</v>
      </c>
      <c r="G580" s="333">
        <f t="shared" ref="G580:L580" ca="1" si="121">SUM(G578:G579)</f>
        <v>4310711</v>
      </c>
      <c r="H580" s="333">
        <f t="shared" si="121"/>
        <v>1690633</v>
      </c>
      <c r="I580" s="333">
        <f t="shared" ca="1" si="121"/>
        <v>581936</v>
      </c>
      <c r="J580" s="333">
        <f t="shared" si="121"/>
        <v>193720</v>
      </c>
      <c r="K580" s="333">
        <f t="shared" ca="1" si="121"/>
        <v>6777000</v>
      </c>
      <c r="L580" s="333">
        <f t="shared" ca="1" si="121"/>
        <v>0</v>
      </c>
    </row>
    <row r="581" spans="1:12" ht="15.5">
      <c r="A581" s="961">
        <v>5</v>
      </c>
      <c r="B581" s="1358"/>
      <c r="C581" s="1361"/>
      <c r="D581" s="1375"/>
      <c r="E581" s="340"/>
    </row>
    <row r="582" spans="1:12" ht="13">
      <c r="A582" s="961">
        <v>6</v>
      </c>
      <c r="B582" s="1376" t="s">
        <v>1382</v>
      </c>
      <c r="C582" s="1352"/>
      <c r="D582" s="1374"/>
      <c r="E582" s="340"/>
    </row>
    <row r="583" spans="1:12" ht="13">
      <c r="A583" s="961">
        <v>7</v>
      </c>
      <c r="B583" s="1377" t="s">
        <v>1383</v>
      </c>
      <c r="C583" s="1352"/>
      <c r="D583" s="1374"/>
      <c r="E583" s="340"/>
    </row>
    <row r="584" spans="1:12" ht="13">
      <c r="A584" s="961">
        <v>8</v>
      </c>
      <c r="B584" s="1378" t="s">
        <v>1384</v>
      </c>
      <c r="C584" s="1371"/>
      <c r="D584" s="1370" t="s">
        <v>315</v>
      </c>
      <c r="E584" s="340"/>
      <c r="F584" s="1455">
        <f>'FR-16(7)(v)-1 Functional'!F584</f>
        <v>632684</v>
      </c>
      <c r="G584" s="1453">
        <f ca="1">'FR-16(7)(v)-6 DISTR Cust Alloc'!G584+'FR-16(7)(v)-5 DISTR Dem Alloc'!G584+'FR-16(7)(v)-3 PROD Comm Alloc'!G584</f>
        <v>402437</v>
      </c>
      <c r="H584" s="1453">
        <f>'FR-16(7)(v)-6 DISTR Cust Alloc'!H584+'FR-16(7)(v)-5 DISTR Dem Alloc'!H584+'FR-16(7)(v)-3 PROD Comm Alloc'!H584</f>
        <v>157834</v>
      </c>
      <c r="I584" s="1453">
        <f ca="1">'FR-16(7)(v)-6 DISTR Cust Alloc'!I584+'FR-16(7)(v)-5 DISTR Dem Alloc'!I584+'FR-16(7)(v)-3 PROD Comm Alloc'!I584</f>
        <v>54328</v>
      </c>
      <c r="J584" s="1453">
        <f>'FR-16(7)(v)-6 DISTR Cust Alloc'!J584+'FR-16(7)(v)-5 DISTR Dem Alloc'!J584+'FR-16(7)(v)-3 PROD Comm Alloc'!J584</f>
        <v>18085</v>
      </c>
      <c r="K584" s="1454">
        <f ca="1">SUM(G584:J584)</f>
        <v>632684</v>
      </c>
      <c r="L584" s="1454">
        <f ca="1">F584-K584</f>
        <v>0</v>
      </c>
    </row>
    <row r="585" spans="1:12" ht="13">
      <c r="A585" s="961">
        <v>9</v>
      </c>
      <c r="B585" s="1373" t="s">
        <v>1386</v>
      </c>
      <c r="C585" s="1352"/>
      <c r="D585" s="1374"/>
      <c r="E585" s="340"/>
      <c r="F585" s="333">
        <f>SUM(F584)</f>
        <v>632684</v>
      </c>
      <c r="G585" s="333">
        <f t="shared" ref="G585:L585" ca="1" si="122">SUM(G584)</f>
        <v>402437</v>
      </c>
      <c r="H585" s="333">
        <f t="shared" si="122"/>
        <v>157834</v>
      </c>
      <c r="I585" s="333">
        <f t="shared" ca="1" si="122"/>
        <v>54328</v>
      </c>
      <c r="J585" s="333">
        <f t="shared" si="122"/>
        <v>18085</v>
      </c>
      <c r="K585" s="333">
        <f t="shared" ca="1" si="122"/>
        <v>632684</v>
      </c>
      <c r="L585" s="333">
        <f t="shared" ca="1" si="122"/>
        <v>0</v>
      </c>
    </row>
    <row r="586" spans="1:12" ht="13">
      <c r="A586" s="961">
        <v>10</v>
      </c>
      <c r="B586" s="1082"/>
      <c r="C586" s="1352"/>
      <c r="D586" s="1374"/>
      <c r="E586" s="340"/>
    </row>
    <row r="587" spans="1:12" ht="13">
      <c r="A587" s="961">
        <v>11</v>
      </c>
      <c r="B587" s="1379" t="s">
        <v>1387</v>
      </c>
      <c r="C587" s="1380"/>
      <c r="D587" s="1381"/>
      <c r="E587" s="340"/>
    </row>
    <row r="588" spans="1:12" ht="13">
      <c r="A588" s="961">
        <v>12</v>
      </c>
      <c r="B588" s="1369" t="s">
        <v>1388</v>
      </c>
      <c r="C588" s="1371"/>
      <c r="D588" s="1370" t="s">
        <v>315</v>
      </c>
      <c r="E588" s="340"/>
      <c r="F588" s="1455">
        <f>'FR-16(7)(v)-1 Functional'!F588</f>
        <v>0</v>
      </c>
      <c r="G588" s="1453">
        <f ca="1">'FR-16(7)(v)-6 DISTR Cust Alloc'!G588+'FR-16(7)(v)-5 DISTR Dem Alloc'!G588+'FR-16(7)(v)-3 PROD Comm Alloc'!G588</f>
        <v>0</v>
      </c>
      <c r="H588" s="1453">
        <f>'FR-16(7)(v)-6 DISTR Cust Alloc'!H588+'FR-16(7)(v)-5 DISTR Dem Alloc'!H588+'FR-16(7)(v)-3 PROD Comm Alloc'!H588</f>
        <v>0</v>
      </c>
      <c r="I588" s="1453">
        <f ca="1">'FR-16(7)(v)-6 DISTR Cust Alloc'!I588+'FR-16(7)(v)-5 DISTR Dem Alloc'!I588+'FR-16(7)(v)-3 PROD Comm Alloc'!I588</f>
        <v>0</v>
      </c>
      <c r="J588" s="1453">
        <f>'FR-16(7)(v)-6 DISTR Cust Alloc'!J588+'FR-16(7)(v)-5 DISTR Dem Alloc'!J588+'FR-16(7)(v)-3 PROD Comm Alloc'!J588</f>
        <v>0</v>
      </c>
      <c r="K588" s="1454">
        <f ca="1">SUM(G588:J588)</f>
        <v>0</v>
      </c>
      <c r="L588" s="1454">
        <f ca="1">F588-K588</f>
        <v>0</v>
      </c>
    </row>
    <row r="589" spans="1:12" ht="13">
      <c r="A589" s="961">
        <v>13</v>
      </c>
      <c r="B589" s="1373" t="s">
        <v>1389</v>
      </c>
      <c r="C589" s="1352"/>
      <c r="D589" s="1374"/>
      <c r="E589" s="340"/>
    </row>
    <row r="590" spans="1:12" ht="13">
      <c r="A590" s="961">
        <v>14</v>
      </c>
      <c r="B590" s="1352"/>
      <c r="C590" s="1352"/>
      <c r="D590" s="1374"/>
      <c r="E590" s="340"/>
    </row>
    <row r="591" spans="1:12" ht="13">
      <c r="A591" s="961">
        <v>15</v>
      </c>
      <c r="B591" s="1352" t="s">
        <v>1390</v>
      </c>
      <c r="C591" s="1352"/>
      <c r="D591" s="1374"/>
      <c r="E591" s="340"/>
      <c r="F591" s="1280">
        <f>F589+F585</f>
        <v>632684</v>
      </c>
      <c r="G591" s="1280">
        <f t="shared" ref="G591:L591" ca="1" si="123">G589+G585</f>
        <v>402437</v>
      </c>
      <c r="H591" s="1280">
        <f t="shared" si="123"/>
        <v>157834</v>
      </c>
      <c r="I591" s="1280">
        <f t="shared" ca="1" si="123"/>
        <v>54328</v>
      </c>
      <c r="J591" s="1280">
        <f t="shared" si="123"/>
        <v>18085</v>
      </c>
      <c r="K591" s="1280">
        <f t="shared" ca="1" si="123"/>
        <v>632684</v>
      </c>
      <c r="L591" s="1280">
        <f t="shared" ca="1" si="123"/>
        <v>0</v>
      </c>
    </row>
    <row r="592" spans="1:12" ht="13">
      <c r="A592" s="961">
        <v>16</v>
      </c>
      <c r="B592" s="1352"/>
      <c r="C592" s="1352"/>
      <c r="D592" s="1374"/>
      <c r="E592" s="340"/>
    </row>
    <row r="593" spans="1:12" ht="13">
      <c r="A593" s="961">
        <v>17</v>
      </c>
      <c r="B593" s="1382" t="s">
        <v>68</v>
      </c>
      <c r="C593" s="1383"/>
      <c r="D593" s="961"/>
      <c r="E593" s="340"/>
    </row>
    <row r="594" spans="1:12" ht="13">
      <c r="A594" s="961">
        <v>18</v>
      </c>
      <c r="B594" s="1377" t="s">
        <v>1391</v>
      </c>
      <c r="C594" s="1352"/>
      <c r="D594" s="1374"/>
      <c r="E594" s="340"/>
    </row>
    <row r="595" spans="1:12" ht="13">
      <c r="A595" s="961">
        <v>19</v>
      </c>
      <c r="B595" s="1352" t="s">
        <v>43</v>
      </c>
      <c r="C595" s="1352"/>
      <c r="D595" s="1374"/>
      <c r="E595" s="340"/>
      <c r="F595" s="473">
        <f>F334</f>
        <v>33063477</v>
      </c>
      <c r="G595" s="473">
        <f t="shared" ref="G595:L595" si="124">G334</f>
        <v>21066761</v>
      </c>
      <c r="H595" s="473">
        <f t="shared" si="124"/>
        <v>8277502</v>
      </c>
      <c r="I595" s="473">
        <f t="shared" si="124"/>
        <v>2812700</v>
      </c>
      <c r="J595" s="473">
        <f t="shared" si="124"/>
        <v>906514</v>
      </c>
      <c r="K595" s="473">
        <f t="shared" si="124"/>
        <v>33063477</v>
      </c>
      <c r="L595" s="473">
        <f t="shared" si="124"/>
        <v>0</v>
      </c>
    </row>
    <row r="596" spans="1:12" ht="13">
      <c r="A596" s="961">
        <v>20</v>
      </c>
      <c r="B596" s="1352" t="s">
        <v>199</v>
      </c>
      <c r="C596" s="1352"/>
      <c r="D596" s="1374"/>
      <c r="E596" s="340"/>
      <c r="F596" s="473">
        <f>F557</f>
        <v>5596540</v>
      </c>
      <c r="G596" s="473">
        <f t="shared" ref="G596:L596" ca="1" si="125">G557</f>
        <v>3566167</v>
      </c>
      <c r="H596" s="473">
        <f t="shared" si="125"/>
        <v>1527772</v>
      </c>
      <c r="I596" s="473">
        <f t="shared" ca="1" si="125"/>
        <v>370986</v>
      </c>
      <c r="J596" s="473">
        <f t="shared" si="125"/>
        <v>131615</v>
      </c>
      <c r="K596" s="473">
        <f t="shared" ca="1" si="125"/>
        <v>5596540</v>
      </c>
      <c r="L596" s="473">
        <f t="shared" ca="1" si="125"/>
        <v>0</v>
      </c>
    </row>
    <row r="597" spans="1:12" ht="13">
      <c r="A597" s="961">
        <v>21</v>
      </c>
      <c r="B597" s="1352" t="s">
        <v>1392</v>
      </c>
      <c r="C597" s="1352"/>
      <c r="D597" s="1374"/>
      <c r="E597" s="340"/>
      <c r="F597" s="473">
        <f>-F524</f>
        <v>-15833914</v>
      </c>
      <c r="G597" s="473">
        <f t="shared" ref="G597:L597" si="126">-G524</f>
        <v>-10100513</v>
      </c>
      <c r="H597" s="473">
        <f t="shared" si="126"/>
        <v>-3949754</v>
      </c>
      <c r="I597" s="473">
        <f t="shared" si="126"/>
        <v>-1358275</v>
      </c>
      <c r="J597" s="473">
        <f t="shared" si="126"/>
        <v>-425372</v>
      </c>
      <c r="K597" s="473">
        <f t="shared" si="126"/>
        <v>-15833914</v>
      </c>
      <c r="L597" s="473">
        <f t="shared" si="126"/>
        <v>0</v>
      </c>
    </row>
    <row r="598" spans="1:12" ht="13">
      <c r="A598" s="961">
        <v>22</v>
      </c>
      <c r="B598" s="1352" t="s">
        <v>1393</v>
      </c>
      <c r="C598" s="1352"/>
      <c r="D598" s="1374"/>
      <c r="E598" s="340"/>
      <c r="F598" s="473">
        <f>-F580</f>
        <v>-6777000</v>
      </c>
      <c r="G598" s="473">
        <f t="shared" ref="G598:L598" ca="1" si="127">-G580</f>
        <v>-4310711</v>
      </c>
      <c r="H598" s="473">
        <f t="shared" si="127"/>
        <v>-1690633</v>
      </c>
      <c r="I598" s="473">
        <f t="shared" ca="1" si="127"/>
        <v>-581936</v>
      </c>
      <c r="J598" s="473">
        <f t="shared" si="127"/>
        <v>-193720</v>
      </c>
      <c r="K598" s="473">
        <f t="shared" ca="1" si="127"/>
        <v>-6777000</v>
      </c>
      <c r="L598" s="473">
        <f t="shared" ca="1" si="127"/>
        <v>0</v>
      </c>
    </row>
    <row r="599" spans="1:12" ht="13">
      <c r="A599" s="961">
        <v>23</v>
      </c>
      <c r="B599" s="1371" t="s">
        <v>1394</v>
      </c>
      <c r="C599" s="1371"/>
      <c r="D599" s="1374"/>
      <c r="E599" s="340"/>
      <c r="F599" s="1455">
        <f>F591</f>
        <v>632684</v>
      </c>
      <c r="G599" s="1455">
        <f t="shared" ref="G599:L599" ca="1" si="128">G591</f>
        <v>402437</v>
      </c>
      <c r="H599" s="1455">
        <f t="shared" si="128"/>
        <v>157834</v>
      </c>
      <c r="I599" s="1455">
        <f t="shared" ca="1" si="128"/>
        <v>54328</v>
      </c>
      <c r="J599" s="1455">
        <f t="shared" si="128"/>
        <v>18085</v>
      </c>
      <c r="K599" s="1455">
        <f t="shared" ca="1" si="128"/>
        <v>632684</v>
      </c>
      <c r="L599" s="1455">
        <f t="shared" ca="1" si="128"/>
        <v>0</v>
      </c>
    </row>
    <row r="600" spans="1:12" ht="13">
      <c r="A600" s="961">
        <v>24</v>
      </c>
      <c r="B600" s="1082" t="s">
        <v>1395</v>
      </c>
      <c r="C600" s="1352"/>
      <c r="D600" s="1374"/>
      <c r="E600" s="340"/>
      <c r="F600" s="1280">
        <f t="shared" ref="F600:L600" si="129">SUM(F595:F599)</f>
        <v>16681787</v>
      </c>
      <c r="G600" s="1280">
        <f t="shared" ca="1" si="129"/>
        <v>10624141</v>
      </c>
      <c r="H600" s="1280">
        <f t="shared" si="129"/>
        <v>4322721</v>
      </c>
      <c r="I600" s="1280">
        <f t="shared" ca="1" si="129"/>
        <v>1297803</v>
      </c>
      <c r="J600" s="1280">
        <f t="shared" si="129"/>
        <v>437122</v>
      </c>
      <c r="K600" s="1280">
        <f t="shared" ca="1" si="129"/>
        <v>16681787</v>
      </c>
      <c r="L600" s="1280">
        <f t="shared" ca="1" si="129"/>
        <v>0</v>
      </c>
    </row>
    <row r="601" spans="1:12" ht="13">
      <c r="A601" s="961">
        <v>25</v>
      </c>
      <c r="B601" s="1352"/>
      <c r="C601" s="1352"/>
      <c r="D601" s="1374"/>
      <c r="E601" s="340"/>
    </row>
    <row r="602" spans="1:12" ht="13">
      <c r="A602" s="961">
        <v>26</v>
      </c>
      <c r="B602" s="1352" t="s">
        <v>1396</v>
      </c>
      <c r="C602" s="1352"/>
      <c r="D602" s="1374"/>
      <c r="E602" s="340"/>
      <c r="F602" s="1389">
        <f t="shared" ref="F602:L602" si="130">ROUND(SIT/(1-SIT),8)</f>
        <v>5.2282660000000002E-2</v>
      </c>
      <c r="G602" s="1389">
        <f t="shared" si="130"/>
        <v>5.2282660000000002E-2</v>
      </c>
      <c r="H602" s="1389">
        <f t="shared" si="130"/>
        <v>5.2282660000000002E-2</v>
      </c>
      <c r="I602" s="1389">
        <f t="shared" si="130"/>
        <v>5.2282660000000002E-2</v>
      </c>
      <c r="J602" s="1389">
        <f t="shared" si="130"/>
        <v>5.2282660000000002E-2</v>
      </c>
      <c r="K602" s="1389">
        <f t="shared" si="130"/>
        <v>5.2282660000000002E-2</v>
      </c>
      <c r="L602" s="1389">
        <f t="shared" si="130"/>
        <v>5.2282660000000002E-2</v>
      </c>
    </row>
    <row r="603" spans="1:12" ht="13">
      <c r="A603" s="961">
        <v>27</v>
      </c>
      <c r="B603" s="1352" t="s">
        <v>1397</v>
      </c>
      <c r="C603" s="1352"/>
      <c r="D603" s="1393" t="s">
        <v>1398</v>
      </c>
      <c r="E603" s="340"/>
      <c r="F603" s="1394">
        <f t="shared" ref="F603:L603" si="131">ROUND(F600*F602,0)</f>
        <v>872168</v>
      </c>
      <c r="G603" s="1394">
        <f t="shared" ca="1" si="131"/>
        <v>555458</v>
      </c>
      <c r="H603" s="1394">
        <f t="shared" si="131"/>
        <v>226003</v>
      </c>
      <c r="I603" s="1394">
        <f t="shared" ca="1" si="131"/>
        <v>67853</v>
      </c>
      <c r="J603" s="1394">
        <f t="shared" si="131"/>
        <v>22854</v>
      </c>
      <c r="K603" s="1394">
        <f t="shared" ca="1" si="131"/>
        <v>872168</v>
      </c>
      <c r="L603" s="1394">
        <f t="shared" ca="1" si="131"/>
        <v>0</v>
      </c>
    </row>
    <row r="604" spans="1:12" ht="13">
      <c r="A604" s="961">
        <v>28</v>
      </c>
      <c r="B604" s="1371" t="s">
        <v>1399</v>
      </c>
      <c r="C604" s="1371"/>
      <c r="D604" s="1374"/>
      <c r="E604" s="1395"/>
      <c r="F604" s="1394">
        <f t="shared" ref="F604:L604" si="132">F591</f>
        <v>632684</v>
      </c>
      <c r="G604" s="1394">
        <f t="shared" ca="1" si="132"/>
        <v>402437</v>
      </c>
      <c r="H604" s="1394">
        <f t="shared" si="132"/>
        <v>157834</v>
      </c>
      <c r="I604" s="1394">
        <f t="shared" ca="1" si="132"/>
        <v>54328</v>
      </c>
      <c r="J604" s="1394">
        <f t="shared" si="132"/>
        <v>18085</v>
      </c>
      <c r="K604" s="1394">
        <f t="shared" ca="1" si="132"/>
        <v>632684</v>
      </c>
      <c r="L604" s="1394">
        <f t="shared" ca="1" si="132"/>
        <v>0</v>
      </c>
    </row>
    <row r="605" spans="1:12" ht="13">
      <c r="A605" s="961">
        <v>29</v>
      </c>
      <c r="B605" s="1082" t="s">
        <v>1400</v>
      </c>
      <c r="C605" s="1352"/>
      <c r="D605" s="1374"/>
      <c r="E605" s="340"/>
      <c r="F605" s="1399">
        <f t="shared" ref="F605:L605" si="133">F604+F603</f>
        <v>1504852</v>
      </c>
      <c r="G605" s="1399">
        <f t="shared" ca="1" si="133"/>
        <v>957895</v>
      </c>
      <c r="H605" s="1399">
        <f t="shared" si="133"/>
        <v>383837</v>
      </c>
      <c r="I605" s="1399">
        <f t="shared" ca="1" si="133"/>
        <v>122181</v>
      </c>
      <c r="J605" s="1399">
        <f t="shared" si="133"/>
        <v>40939</v>
      </c>
      <c r="K605" s="1399">
        <f t="shared" ca="1" si="133"/>
        <v>1504852</v>
      </c>
      <c r="L605" s="1399">
        <f t="shared" ca="1" si="133"/>
        <v>0</v>
      </c>
    </row>
    <row r="606" spans="1:12" ht="13">
      <c r="A606" s="961">
        <v>30</v>
      </c>
      <c r="B606" s="1352"/>
      <c r="C606" s="1352"/>
      <c r="D606" s="1374"/>
      <c r="E606" s="340"/>
    </row>
    <row r="607" spans="1:12" ht="13">
      <c r="A607" s="961">
        <v>31</v>
      </c>
      <c r="B607" s="1352" t="s">
        <v>1401</v>
      </c>
      <c r="C607" s="1352"/>
      <c r="D607" s="1374"/>
      <c r="E607" s="340"/>
    </row>
    <row r="608" spans="1:12" ht="13">
      <c r="A608" s="961">
        <v>32</v>
      </c>
      <c r="B608" s="1352" t="s">
        <v>1397</v>
      </c>
      <c r="C608" s="1352"/>
      <c r="D608" s="1374"/>
      <c r="E608" s="340"/>
      <c r="F608" s="1394">
        <f t="shared" ref="F608:L608" si="134">F603</f>
        <v>872168</v>
      </c>
      <c r="G608" s="1394">
        <f t="shared" ca="1" si="134"/>
        <v>555458</v>
      </c>
      <c r="H608" s="1394">
        <f t="shared" si="134"/>
        <v>226003</v>
      </c>
      <c r="I608" s="1394">
        <f t="shared" ca="1" si="134"/>
        <v>67853</v>
      </c>
      <c r="J608" s="1394">
        <f t="shared" si="134"/>
        <v>22854</v>
      </c>
      <c r="K608" s="1394">
        <f t="shared" ca="1" si="134"/>
        <v>872168</v>
      </c>
      <c r="L608" s="1394">
        <f t="shared" ca="1" si="134"/>
        <v>0</v>
      </c>
    </row>
    <row r="609" spans="1:12" ht="13">
      <c r="A609" s="961">
        <v>33</v>
      </c>
      <c r="B609" s="1371" t="s">
        <v>1387</v>
      </c>
      <c r="C609" s="1371"/>
      <c r="D609" s="1374"/>
      <c r="E609" s="340"/>
      <c r="F609" s="1394">
        <f t="shared" ref="F609:L609" si="135">F589</f>
        <v>0</v>
      </c>
      <c r="G609" s="1394">
        <f t="shared" si="135"/>
        <v>0</v>
      </c>
      <c r="H609" s="1394">
        <f t="shared" si="135"/>
        <v>0</v>
      </c>
      <c r="I609" s="1394">
        <f t="shared" si="135"/>
        <v>0</v>
      </c>
      <c r="J609" s="1394">
        <f t="shared" si="135"/>
        <v>0</v>
      </c>
      <c r="K609" s="1394">
        <f t="shared" si="135"/>
        <v>0</v>
      </c>
      <c r="L609" s="1394">
        <f t="shared" si="135"/>
        <v>0</v>
      </c>
    </row>
    <row r="610" spans="1:12" ht="13">
      <c r="A610" s="961">
        <v>34</v>
      </c>
      <c r="B610" s="1082" t="s">
        <v>1402</v>
      </c>
      <c r="C610" s="1352"/>
      <c r="D610" s="1374"/>
      <c r="E610" s="340"/>
      <c r="F610" s="1399">
        <f t="shared" ref="F610:L610" si="136">F608+F609</f>
        <v>872168</v>
      </c>
      <c r="G610" s="1399">
        <f t="shared" ca="1" si="136"/>
        <v>555458</v>
      </c>
      <c r="H610" s="1399">
        <f t="shared" si="136"/>
        <v>226003</v>
      </c>
      <c r="I610" s="1399">
        <f t="shared" ca="1" si="136"/>
        <v>67853</v>
      </c>
      <c r="J610" s="1399">
        <f t="shared" si="136"/>
        <v>22854</v>
      </c>
      <c r="K610" s="1399">
        <f t="shared" ca="1" si="136"/>
        <v>872168</v>
      </c>
      <c r="L610" s="1399">
        <f t="shared" ca="1" si="136"/>
        <v>0</v>
      </c>
    </row>
    <row r="611" spans="1:12" ht="13">
      <c r="A611" s="961">
        <v>35</v>
      </c>
      <c r="B611" s="1352"/>
      <c r="C611" s="1352"/>
      <c r="D611" s="1352"/>
      <c r="E611" s="340"/>
    </row>
    <row r="612" spans="1:12" ht="13">
      <c r="A612" s="961">
        <v>36</v>
      </c>
      <c r="B612" s="1352" t="s">
        <v>76</v>
      </c>
      <c r="C612" s="1352"/>
      <c r="D612" s="1352"/>
      <c r="E612" s="340"/>
      <c r="F612" s="1403">
        <f t="shared" ref="F612:L612" si="137">(SIT*(1-FIT))+((1-SIT)*(1-FIT)*RevTax)+FIT</f>
        <v>0.24925115</v>
      </c>
      <c r="G612" s="1403">
        <f t="shared" si="137"/>
        <v>0.24925115</v>
      </c>
      <c r="H612" s="1403">
        <f t="shared" si="137"/>
        <v>0.24925115</v>
      </c>
      <c r="I612" s="1403">
        <f t="shared" si="137"/>
        <v>0.24925115</v>
      </c>
      <c r="J612" s="1403">
        <f t="shared" si="137"/>
        <v>0.24925115</v>
      </c>
      <c r="K612" s="1403">
        <f t="shared" si="137"/>
        <v>0.24925115</v>
      </c>
      <c r="L612" s="1403">
        <f t="shared" si="137"/>
        <v>0.24925115</v>
      </c>
    </row>
    <row r="614" spans="1:12" ht="13">
      <c r="A614" s="341" t="str">
        <f>co_name</f>
        <v>DUKE ENERGY KENTUCKY, INC.</v>
      </c>
      <c r="C614" s="195"/>
      <c r="D614" s="342"/>
      <c r="E614" s="195"/>
      <c r="F614" s="342"/>
      <c r="G614" s="340"/>
      <c r="H614" s="340"/>
      <c r="I614" s="195"/>
      <c r="K614" s="359" t="str">
        <f>$K$1</f>
        <v>FR-16(7)(v)-8</v>
      </c>
      <c r="L614" s="195"/>
    </row>
    <row r="615" spans="1:12" ht="13">
      <c r="A615" s="341" t="str">
        <f>$A$2</f>
        <v>TOTAL CLASS ALLOCATED - GAS COST OF SERVICE</v>
      </c>
      <c r="C615" s="195"/>
      <c r="D615" s="342"/>
      <c r="E615" s="195"/>
      <c r="F615" s="342"/>
      <c r="G615" s="340"/>
      <c r="H615" s="340"/>
      <c r="I615" s="195"/>
      <c r="K615" s="359" t="str">
        <f>$K$2</f>
        <v>WITNESS RESPONSIBLE:</v>
      </c>
      <c r="L615" s="195"/>
    </row>
    <row r="616" spans="1:12" ht="13">
      <c r="A616" s="341" t="str">
        <f>case_name</f>
        <v>CASE NO: 2021-00190</v>
      </c>
      <c r="C616" s="195"/>
      <c r="D616" s="342"/>
      <c r="E616" s="195"/>
      <c r="F616" s="342"/>
      <c r="G616" s="340"/>
      <c r="H616" s="340"/>
      <c r="I616" s="195"/>
      <c r="K616" s="359" t="str">
        <f>Witness</f>
        <v>JAMES E. ZIOLKOWSKI</v>
      </c>
      <c r="L616" s="195"/>
    </row>
    <row r="617" spans="1:12" ht="13">
      <c r="A617" s="341" t="str">
        <f>data_filing</f>
        <v>DATA: 12 MONTH FORECASTED PERIOD</v>
      </c>
      <c r="C617" s="195"/>
      <c r="D617" s="342"/>
      <c r="E617" s="195"/>
      <c r="F617" s="342"/>
      <c r="G617" s="340"/>
      <c r="H617" s="340"/>
      <c r="I617" s="195"/>
      <c r="K617" s="359" t="str">
        <f>"PAGE "&amp;Pages2-1&amp;" OF "&amp;Pages2</f>
        <v>PAGE 14 OF 15</v>
      </c>
      <c r="L617" s="195"/>
    </row>
    <row r="618" spans="1:12" ht="13">
      <c r="A618" s="341" t="str">
        <f>type</f>
        <v xml:space="preserve">TYPE OF FILING: "X" ORIGINAL   UPDATED    REVISED  </v>
      </c>
      <c r="C618" s="195"/>
      <c r="D618" s="342"/>
      <c r="E618" s="195"/>
      <c r="F618" s="342"/>
      <c r="G618" s="340"/>
      <c r="H618" s="340"/>
      <c r="I618" s="195"/>
      <c r="J618" s="342"/>
      <c r="K618" s="195"/>
      <c r="L618" s="195"/>
    </row>
    <row r="619" spans="1:12" ht="13">
      <c r="B619" s="341"/>
      <c r="C619" s="195"/>
      <c r="D619" s="342"/>
      <c r="E619" s="195"/>
      <c r="F619" s="342"/>
      <c r="G619" s="195"/>
      <c r="H619" s="195"/>
      <c r="I619" s="195"/>
      <c r="J619" s="342"/>
      <c r="K619" s="195"/>
      <c r="L619" s="195"/>
    </row>
    <row r="620" spans="1:12" ht="13">
      <c r="B620" s="341"/>
      <c r="C620" s="195"/>
      <c r="D620" s="342"/>
      <c r="E620" s="195"/>
      <c r="F620" s="342" t="str">
        <f>$F$7</f>
        <v>TOTAL</v>
      </c>
      <c r="G620" s="195"/>
      <c r="H620" s="195"/>
      <c r="I620" s="195"/>
      <c r="J620" s="342"/>
      <c r="K620" s="195"/>
      <c r="L620" s="195"/>
    </row>
    <row r="621" spans="1:12" ht="13">
      <c r="A621" s="342" t="s">
        <v>907</v>
      </c>
      <c r="B621" s="195"/>
      <c r="C621" s="195"/>
      <c r="D621" s="342"/>
      <c r="E621" s="195"/>
      <c r="F621" s="342" t="str">
        <f>$F$8</f>
        <v>CLASS</v>
      </c>
      <c r="G621" s="352" t="s">
        <v>766</v>
      </c>
      <c r="H621" s="352" t="s">
        <v>1256</v>
      </c>
      <c r="I621" s="352" t="s">
        <v>974</v>
      </c>
      <c r="J621" s="352" t="s">
        <v>546</v>
      </c>
      <c r="K621" s="352" t="s">
        <v>229</v>
      </c>
      <c r="L621" s="342" t="s">
        <v>342</v>
      </c>
    </row>
    <row r="622" spans="1:12" ht="13">
      <c r="A622" s="344" t="s">
        <v>908</v>
      </c>
      <c r="B622" s="343" t="s">
        <v>77</v>
      </c>
      <c r="C622" s="343"/>
      <c r="D622" s="344" t="s">
        <v>337</v>
      </c>
      <c r="E622" s="343"/>
      <c r="F622" s="342" t="str">
        <f>$F$9</f>
        <v>ALLOCATED</v>
      </c>
      <c r="G622" s="353" t="s">
        <v>338</v>
      </c>
      <c r="H622" s="353" t="s">
        <v>404</v>
      </c>
      <c r="I622" s="353" t="s">
        <v>1257</v>
      </c>
      <c r="J622" s="353" t="s">
        <v>547</v>
      </c>
      <c r="K622" s="353" t="s">
        <v>341</v>
      </c>
      <c r="L622" s="344" t="s">
        <v>340</v>
      </c>
    </row>
    <row r="623" spans="1:12" ht="13">
      <c r="C623" s="572" t="s">
        <v>352</v>
      </c>
      <c r="D623" s="342"/>
      <c r="E623" s="195"/>
      <c r="F623" s="755"/>
      <c r="G623" s="627">
        <f>$G$10</f>
        <v>3</v>
      </c>
      <c r="H623" s="627">
        <f>$H$10</f>
        <v>4</v>
      </c>
      <c r="I623" s="627">
        <f>$I$10</f>
        <v>5</v>
      </c>
      <c r="J623" s="627">
        <f>$J$10</f>
        <v>6</v>
      </c>
    </row>
    <row r="624" spans="1:12" ht="13">
      <c r="A624" s="331">
        <v>1</v>
      </c>
      <c r="B624" s="330" t="s">
        <v>78</v>
      </c>
      <c r="D624" s="342"/>
      <c r="E624" s="195"/>
      <c r="I624" s="330"/>
    </row>
    <row r="625" spans="1:12" ht="13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3">
        <f>'FR-16(7)(v)-1 Functional'!F625</f>
        <v>51468</v>
      </c>
      <c r="G625" s="347">
        <f>'FR-16(7)(v)-6 DISTR Cust Alloc'!$G$625+'FR-16(7)(v)-5 DISTR Dem Alloc'!$G$625+'FR-16(7)(v)-3 PROD Comm Alloc'!$G$625</f>
        <v>47523</v>
      </c>
      <c r="H625" s="347">
        <f>'FR-16(7)(v)-6 DISTR Cust Alloc'!$H$625+'FR-16(7)(v)-5 DISTR Dem Alloc'!$H$625+'FR-16(7)(v)-3 PROD Comm Alloc'!$H$625</f>
        <v>3880</v>
      </c>
      <c r="I625" s="347">
        <f>'FR-16(7)(v)-6 DISTR Cust Alloc'!$I$625+'FR-16(7)(v)-5 DISTR Dem Alloc'!$I$625+'FR-16(7)(v)-3 PROD Comm Alloc'!$I$625</f>
        <v>54</v>
      </c>
      <c r="J625" s="347">
        <f>'FR-16(7)(v)-6 DISTR Cust Alloc'!$J$625+'FR-16(7)(v)-5 DISTR Dem Alloc'!$J$625+'FR-16(7)(v)-3 PROD Comm Alloc'!$J$625</f>
        <v>11</v>
      </c>
      <c r="K625" s="345">
        <f>SUM($G$625:$J$625)</f>
        <v>51468</v>
      </c>
      <c r="L625" s="345">
        <f>F625-K625</f>
        <v>0</v>
      </c>
    </row>
    <row r="626" spans="1:12" ht="13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3">
        <f>'FR-16(7)(v)-1 Functional'!F626</f>
        <v>0</v>
      </c>
      <c r="G626" s="347">
        <f>'FR-16(7)(v)-6 DISTR Cust Alloc'!$G$626+'FR-16(7)(v)-5 DISTR Dem Alloc'!$G$626+'FR-16(7)(v)-3 PROD Comm Alloc'!$G$626</f>
        <v>0</v>
      </c>
      <c r="H626" s="347">
        <f>'FR-16(7)(v)-6 DISTR Cust Alloc'!$H$626+'FR-16(7)(v)-5 DISTR Dem Alloc'!$H$626+'FR-16(7)(v)-3 PROD Comm Alloc'!$H$626</f>
        <v>0</v>
      </c>
      <c r="I626" s="347">
        <f>'FR-16(7)(v)-6 DISTR Cust Alloc'!$I$626+'FR-16(7)(v)-5 DISTR Dem Alloc'!$I$626+'FR-16(7)(v)-3 PROD Comm Alloc'!$I$626</f>
        <v>0</v>
      </c>
      <c r="J626" s="347">
        <f>'FR-16(7)(v)-6 DISTR Cust Alloc'!$J$626+'FR-16(7)(v)-5 DISTR Dem Alloc'!$J$626+'FR-16(7)(v)-3 PROD Comm Alloc'!$J$626</f>
        <v>0</v>
      </c>
      <c r="K626" s="345">
        <f>SUM($G$626:$J$626)</f>
        <v>0</v>
      </c>
      <c r="L626" s="345">
        <f>F626-K626</f>
        <v>0</v>
      </c>
    </row>
    <row r="627" spans="1:12" ht="13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3">
        <f>'FR-16(7)(v)-1 Functional'!F627</f>
        <v>528</v>
      </c>
      <c r="G627" s="347">
        <f>'FR-16(7)(v)-6 DISTR Cust Alloc'!$G$627+'FR-16(7)(v)-5 DISTR Dem Alloc'!$G$627+'FR-16(7)(v)-3 PROD Comm Alloc'!$G$627</f>
        <v>487</v>
      </c>
      <c r="H627" s="347">
        <f>'FR-16(7)(v)-6 DISTR Cust Alloc'!$H$627+'FR-16(7)(v)-5 DISTR Dem Alloc'!$H$627+'FR-16(7)(v)-3 PROD Comm Alloc'!$H$627</f>
        <v>40</v>
      </c>
      <c r="I627" s="347">
        <f>'FR-16(7)(v)-6 DISTR Cust Alloc'!$I$627+'FR-16(7)(v)-5 DISTR Dem Alloc'!$I$627+'FR-16(7)(v)-3 PROD Comm Alloc'!$I$627</f>
        <v>1</v>
      </c>
      <c r="J627" s="347">
        <f>'FR-16(7)(v)-6 DISTR Cust Alloc'!$J$627+'FR-16(7)(v)-5 DISTR Dem Alloc'!$J$627+'FR-16(7)(v)-3 PROD Comm Alloc'!$J$627</f>
        <v>0</v>
      </c>
      <c r="K627" s="345">
        <f>SUM($G$627:$J$627)</f>
        <v>528</v>
      </c>
      <c r="L627" s="345">
        <f>F627-K627</f>
        <v>0</v>
      </c>
    </row>
    <row r="628" spans="1:12" ht="13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3">
        <f>'FR-16(7)(v)-1 Functional'!F628</f>
        <v>0</v>
      </c>
      <c r="G628" s="347">
        <f>'FR-16(7)(v)-6 DISTR Cust Alloc'!$G$628+'FR-16(7)(v)-5 DISTR Dem Alloc'!$G$628+'FR-16(7)(v)-3 PROD Comm Alloc'!$G$628</f>
        <v>0</v>
      </c>
      <c r="H628" s="347">
        <f>'FR-16(7)(v)-6 DISTR Cust Alloc'!$H$628+'FR-16(7)(v)-5 DISTR Dem Alloc'!$H$628+'FR-16(7)(v)-3 PROD Comm Alloc'!$H$628</f>
        <v>0</v>
      </c>
      <c r="I628" s="347">
        <f>'FR-16(7)(v)-6 DISTR Cust Alloc'!$I$628+'FR-16(7)(v)-5 DISTR Dem Alloc'!$I$628+'FR-16(7)(v)-3 PROD Comm Alloc'!$I$628</f>
        <v>0</v>
      </c>
      <c r="J628" s="347">
        <f>'FR-16(7)(v)-6 DISTR Cust Alloc'!$J$628+'FR-16(7)(v)-5 DISTR Dem Alloc'!$J$628+'FR-16(7)(v)-3 PROD Comm Alloc'!$J$628</f>
        <v>0</v>
      </c>
      <c r="K628" s="345">
        <f>SUM($G$628:$J$628)</f>
        <v>0</v>
      </c>
      <c r="L628" s="345">
        <f>F628-K628</f>
        <v>0</v>
      </c>
    </row>
    <row r="629" spans="1:12" ht="13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3">
        <f>'FR-16(7)(v)-1 Functional'!F629</f>
        <v>258228</v>
      </c>
      <c r="G629" s="347">
        <f>'FR-16(7)(v)-6 DISTR Cust Alloc'!$G$629+'FR-16(7)(v)-5 DISTR Dem Alloc'!$G$629+'FR-16(7)(v)-3 PROD Comm Alloc'!$G$629</f>
        <v>174767</v>
      </c>
      <c r="H629" s="347">
        <f>'FR-16(7)(v)-6 DISTR Cust Alloc'!$H$629+'FR-16(7)(v)-5 DISTR Dem Alloc'!$H$629+'FR-16(7)(v)-3 PROD Comm Alloc'!$H$629</f>
        <v>62097</v>
      </c>
      <c r="I629" s="347">
        <f>'FR-16(7)(v)-6 DISTR Cust Alloc'!$I$629+'FR-16(7)(v)-5 DISTR Dem Alloc'!$I$629+'FR-16(7)(v)-3 PROD Comm Alloc'!$I$629</f>
        <v>16278</v>
      </c>
      <c r="J629" s="347">
        <f>'FR-16(7)(v)-6 DISTR Cust Alloc'!$J$629+'FR-16(7)(v)-5 DISTR Dem Alloc'!$J$629+'FR-16(7)(v)-3 PROD Comm Alloc'!$J$629</f>
        <v>5086</v>
      </c>
      <c r="K629" s="345">
        <f>SUM($G$629:$J$629)</f>
        <v>258228</v>
      </c>
      <c r="L629" s="345">
        <f>F629-K629</f>
        <v>0</v>
      </c>
    </row>
    <row r="630" spans="1:12" ht="13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310224</v>
      </c>
      <c r="G630" s="346">
        <f>SUM($G$625:$G$629)</f>
        <v>222777</v>
      </c>
      <c r="H630" s="346">
        <f>SUM($H$625:$H$629)</f>
        <v>66017</v>
      </c>
      <c r="I630" s="346">
        <f>SUM($I$625:$I$629)</f>
        <v>16333</v>
      </c>
      <c r="J630" s="346">
        <f>SUM($J$625:$J$629)</f>
        <v>5097</v>
      </c>
      <c r="K630" s="346">
        <f>SUM($K$625:$K$629)</f>
        <v>310224</v>
      </c>
      <c r="L630" s="346">
        <f>SUM($L$625:$L$629)</f>
        <v>0</v>
      </c>
    </row>
    <row r="631" spans="1:12" ht="13">
      <c r="A631" s="331">
        <v>8</v>
      </c>
      <c r="D631" s="342"/>
      <c r="E631" s="195"/>
      <c r="I631" s="330"/>
    </row>
    <row r="632" spans="1:12" ht="13">
      <c r="A632" s="331">
        <v>9</v>
      </c>
      <c r="B632" s="330" t="s">
        <v>77</v>
      </c>
      <c r="D632" s="342"/>
      <c r="E632" s="195"/>
      <c r="I632" s="330"/>
    </row>
    <row r="633" spans="1:12" ht="13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86517054.504000008</v>
      </c>
      <c r="G633" s="345">
        <f>$G$501</f>
        <v>55971386</v>
      </c>
      <c r="H633" s="345">
        <f>$H$501</f>
        <v>25778279</v>
      </c>
      <c r="I633" s="345">
        <f>$I$501</f>
        <v>3575478</v>
      </c>
      <c r="J633" s="345">
        <f>$J$501</f>
        <v>1191912</v>
      </c>
      <c r="K633" s="345">
        <f>$K$501</f>
        <v>86517055</v>
      </c>
      <c r="L633" s="345">
        <f>$L$501</f>
        <v>-0.49599999999918509</v>
      </c>
    </row>
    <row r="634" spans="1:12" ht="13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 t="shared" ref="F634:L634" si="138">F334</f>
        <v>33063477</v>
      </c>
      <c r="G634" s="345">
        <f t="shared" si="138"/>
        <v>21066761</v>
      </c>
      <c r="H634" s="345">
        <f t="shared" si="138"/>
        <v>8277502</v>
      </c>
      <c r="I634" s="345">
        <f t="shared" si="138"/>
        <v>2812700</v>
      </c>
      <c r="J634" s="345">
        <f t="shared" si="138"/>
        <v>906514</v>
      </c>
      <c r="K634" s="345">
        <f t="shared" si="138"/>
        <v>33063477</v>
      </c>
      <c r="L634" s="345">
        <f t="shared" si="138"/>
        <v>0</v>
      </c>
    </row>
    <row r="635" spans="1:12" ht="13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>F557</f>
        <v>5596540</v>
      </c>
      <c r="G635" s="345">
        <f ca="1">$G$557</f>
        <v>3566167</v>
      </c>
      <c r="H635" s="345">
        <f>$H$557</f>
        <v>1527772</v>
      </c>
      <c r="I635" s="345">
        <f ca="1">$I$557</f>
        <v>370986</v>
      </c>
      <c r="J635" s="345">
        <f>$J$557</f>
        <v>131615</v>
      </c>
      <c r="K635" s="345">
        <f ca="1">$K$557</f>
        <v>5596540</v>
      </c>
      <c r="L635" s="345">
        <f ca="1">$L$557</f>
        <v>0</v>
      </c>
    </row>
    <row r="636" spans="1:12" ht="13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-310224</v>
      </c>
      <c r="G636" s="345">
        <f>-$G$630</f>
        <v>-222777</v>
      </c>
      <c r="H636" s="345">
        <f>-$H$630</f>
        <v>-66017</v>
      </c>
      <c r="I636" s="345">
        <f>-$I$630</f>
        <v>-16333</v>
      </c>
      <c r="J636" s="345">
        <f>-$J$630</f>
        <v>-5097</v>
      </c>
      <c r="K636" s="345">
        <f>-$K$630</f>
        <v>-310224</v>
      </c>
      <c r="L636" s="345">
        <f>-$L$630</f>
        <v>0</v>
      </c>
    </row>
    <row r="637" spans="1:12" ht="13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>SUM(F632:F636)</f>
        <v>124866847.50400001</v>
      </c>
      <c r="G637" s="346">
        <f ca="1">SUM($G$632:$G$636)</f>
        <v>80381537</v>
      </c>
      <c r="H637" s="346">
        <f>SUM($H$632:$H$636)</f>
        <v>35517536</v>
      </c>
      <c r="I637" s="346">
        <f ca="1">SUM($I$632:$I$636)</f>
        <v>6742831</v>
      </c>
      <c r="J637" s="346">
        <f>SUM($J$632:$J$636)</f>
        <v>2224944</v>
      </c>
      <c r="K637" s="346">
        <f ca="1">SUM($K$632:$K$636)</f>
        <v>124866848</v>
      </c>
      <c r="L637" s="346">
        <f ca="1">$K$637-F637</f>
        <v>0.49599999189376831</v>
      </c>
    </row>
    <row r="638" spans="1:12" ht="13">
      <c r="A638" s="331">
        <v>15</v>
      </c>
      <c r="D638" s="342"/>
      <c r="E638" s="195"/>
      <c r="I638" s="330"/>
    </row>
    <row r="639" spans="1:12" ht="13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310224</v>
      </c>
      <c r="G639" s="345">
        <f>-$G$636</f>
        <v>222777</v>
      </c>
      <c r="H639" s="345">
        <f>-$H$636</f>
        <v>66017</v>
      </c>
      <c r="I639" s="345">
        <f>-$I$636</f>
        <v>16333</v>
      </c>
      <c r="J639" s="345">
        <f>-$J$636</f>
        <v>5097</v>
      </c>
      <c r="K639" s="345">
        <f>-$K$636</f>
        <v>310224</v>
      </c>
      <c r="L639" s="345">
        <f>-$L$636</f>
        <v>0</v>
      </c>
    </row>
    <row r="640" spans="1:12" ht="13">
      <c r="A640" s="331">
        <v>17</v>
      </c>
      <c r="C640" s="357" t="str">
        <f>'FR-16(7)(v)-1 Functional'!C640</f>
        <v>LESS: REVS EXCL FROM REV TAX CALC</v>
      </c>
      <c r="D640" s="342"/>
      <c r="E640" s="195"/>
      <c r="F640" s="473">
        <f>SUM(G640:J640)</f>
        <v>0</v>
      </c>
      <c r="G640" s="347">
        <f>'FR-16(7)(v)-6 DISTR Cust Alloc'!G640+'FR-16(7)(v)-5 DISTR Dem Alloc'!G640+'FR-16(7)(v)-3 PROD Comm Alloc'!G640</f>
        <v>0</v>
      </c>
      <c r="H640" s="347">
        <f>'FR-16(7)(v)-6 DISTR Cust Alloc'!H640+'FR-16(7)(v)-5 DISTR Dem Alloc'!H640+'FR-16(7)(v)-3 PROD Comm Alloc'!H640</f>
        <v>0</v>
      </c>
      <c r="I640" s="347">
        <f>'FR-16(7)(v)-6 DISTR Cust Alloc'!I640+'FR-16(7)(v)-5 DISTR Dem Alloc'!I640+'FR-16(7)(v)-3 PROD Comm Alloc'!I640</f>
        <v>0</v>
      </c>
      <c r="J640" s="347">
        <f>'FR-16(7)(v)-6 DISTR Cust Alloc'!J640+'FR-16(7)(v)-5 DISTR Dem Alloc'!J640+'FR-16(7)(v)-3 PROD Comm Alloc'!J640</f>
        <v>0</v>
      </c>
      <c r="K640" s="345">
        <f>SUM(G640:J640)</f>
        <v>0</v>
      </c>
      <c r="L640" s="345">
        <f>F640-K640</f>
        <v>0</v>
      </c>
    </row>
    <row r="641" spans="1:12" ht="13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310224</v>
      </c>
      <c r="G641" s="346">
        <f>$G$639-G640</f>
        <v>222777</v>
      </c>
      <c r="H641" s="346">
        <f>$H$639-H640</f>
        <v>66017</v>
      </c>
      <c r="I641" s="346">
        <f>$I$639-I640</f>
        <v>16333</v>
      </c>
      <c r="J641" s="346">
        <f>$J$639-J640</f>
        <v>5097</v>
      </c>
      <c r="K641" s="346">
        <f>$K$639-K640</f>
        <v>310224</v>
      </c>
      <c r="L641" s="346">
        <f>$L$639-L640</f>
        <v>0</v>
      </c>
    </row>
    <row r="642" spans="1:12" ht="13">
      <c r="A642" s="331">
        <v>19</v>
      </c>
      <c r="D642" s="342"/>
      <c r="E642" s="195"/>
      <c r="I642" s="330"/>
    </row>
    <row r="643" spans="1:12" ht="13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L643" si="139">ROUND(F694/(1-F694),8)</f>
        <v>0</v>
      </c>
      <c r="G643" s="348">
        <f t="shared" si="139"/>
        <v>0</v>
      </c>
      <c r="H643" s="348">
        <f t="shared" si="139"/>
        <v>0</v>
      </c>
      <c r="I643" s="348">
        <f t="shared" si="139"/>
        <v>0</v>
      </c>
      <c r="J643" s="348">
        <f t="shared" si="139"/>
        <v>0</v>
      </c>
      <c r="K643" s="348">
        <f t="shared" si="139"/>
        <v>0</v>
      </c>
      <c r="L643" s="348">
        <f t="shared" si="139"/>
        <v>0</v>
      </c>
    </row>
    <row r="644" spans="1:12" ht="13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345">
        <f>F644-SUM(H644:J644)</f>
        <v>0</v>
      </c>
      <c r="H644" s="345">
        <f>ROUND(H643*H641,0)</f>
        <v>0</v>
      </c>
      <c r="I644" s="345">
        <f>ROUND(I643*I641,0)</f>
        <v>0</v>
      </c>
      <c r="J644" s="345">
        <f>ROUND(J643*J641,0)</f>
        <v>0</v>
      </c>
      <c r="K644" s="345">
        <f>SUM(G644:J644)</f>
        <v>0</v>
      </c>
      <c r="L644" s="345">
        <f>ROUND(L643*L641,0)</f>
        <v>0</v>
      </c>
    </row>
    <row r="645" spans="1:12" ht="13">
      <c r="A645" s="331">
        <v>22</v>
      </c>
      <c r="C645" s="330" t="str">
        <f>'FR-16(7)(v)-1 Functional'!C645</f>
        <v>REVENUE TAX ON COST OF SERVICE</v>
      </c>
      <c r="D645" s="342"/>
      <c r="E645" s="195"/>
      <c r="F645" s="506">
        <f>ROUND(F643*F637,0)</f>
        <v>0</v>
      </c>
      <c r="G645" s="506">
        <f ca="1">F645-SUM(H645:J645)</f>
        <v>0</v>
      </c>
      <c r="H645" s="506">
        <f>ROUND(H643*$H$637,0)</f>
        <v>0</v>
      </c>
      <c r="I645" s="506">
        <f ca="1">ROUND(I643*$I$637,0)</f>
        <v>0</v>
      </c>
      <c r="J645" s="506">
        <f>ROUND(J643*$J$637,0)</f>
        <v>0</v>
      </c>
      <c r="K645" s="345">
        <f ca="1">SUM(G645:J645)</f>
        <v>0</v>
      </c>
      <c r="L645" s="506">
        <f ca="1">ROUND(L643*$L$637,0)</f>
        <v>0</v>
      </c>
    </row>
    <row r="646" spans="1:12" ht="13">
      <c r="A646" s="331">
        <v>23</v>
      </c>
      <c r="C646" s="357" t="str">
        <f>'FR-16(7)(v)-1 Functional'!C646</f>
        <v>TOTAL REVENUE TAX</v>
      </c>
      <c r="D646" s="342"/>
      <c r="E646" s="195"/>
      <c r="F646" s="504">
        <f>F645+F644</f>
        <v>0</v>
      </c>
      <c r="G646" s="504">
        <f ca="1">G645+G644</f>
        <v>0</v>
      </c>
      <c r="H646" s="504">
        <f>H645+H644</f>
        <v>0</v>
      </c>
      <c r="I646" s="504">
        <f ca="1">I645+I644</f>
        <v>0</v>
      </c>
      <c r="J646" s="504">
        <f>J645+J644</f>
        <v>0</v>
      </c>
      <c r="K646" s="345">
        <f ca="1">SUM(G646:J646)</f>
        <v>0</v>
      </c>
      <c r="L646" s="504">
        <f ca="1">L645+L644</f>
        <v>0</v>
      </c>
    </row>
    <row r="647" spans="1:12" ht="13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>F646+F637</f>
        <v>124866847.50400001</v>
      </c>
      <c r="G647" s="346">
        <f ca="1">G646+$G$637</f>
        <v>80381537</v>
      </c>
      <c r="H647" s="346">
        <f>H646+$H$637</f>
        <v>35517536</v>
      </c>
      <c r="I647" s="346">
        <f ca="1">I646+$I$637</f>
        <v>6742831</v>
      </c>
      <c r="J647" s="346">
        <f>J646+$J$637</f>
        <v>2224944</v>
      </c>
      <c r="K647" s="346">
        <f ca="1">K646+$K$637</f>
        <v>124866848</v>
      </c>
      <c r="L647" s="346">
        <f ca="1">L646+$L$637</f>
        <v>0.49599999189376831</v>
      </c>
    </row>
    <row r="648" spans="1:12" ht="13">
      <c r="A648" s="331">
        <v>25</v>
      </c>
      <c r="D648" s="342"/>
      <c r="E648" s="195"/>
      <c r="I648" s="330"/>
    </row>
    <row r="649" spans="1:12" ht="13">
      <c r="A649" s="331">
        <v>26</v>
      </c>
      <c r="B649" s="330" t="s">
        <v>1172</v>
      </c>
      <c r="D649" s="342"/>
      <c r="E649" s="195"/>
      <c r="F649" s="473">
        <f>SUM(G649:J649)</f>
        <v>126434590</v>
      </c>
      <c r="G649" s="347">
        <f>'FR-16(7)(v)-6 DISTR Cust Alloc'!G649+'FR-16(7)(v)-5 DISTR Dem Alloc'!G649+'FR-16(7)(v)-3 PROD Comm Alloc'!G649</f>
        <v>85341377</v>
      </c>
      <c r="H649" s="347">
        <f>'FR-16(7)(v)-6 DISTR Cust Alloc'!H649+'FR-16(7)(v)-5 DISTR Dem Alloc'!H649+'FR-16(7)(v)-3 PROD Comm Alloc'!H649</f>
        <v>32736157</v>
      </c>
      <c r="I649" s="347">
        <f>'FR-16(7)(v)-6 DISTR Cust Alloc'!I649+'FR-16(7)(v)-5 DISTR Dem Alloc'!I649+'FR-16(7)(v)-3 PROD Comm Alloc'!I649</f>
        <v>6308299</v>
      </c>
      <c r="J649" s="347">
        <f>'FR-16(7)(v)-6 DISTR Cust Alloc'!J649+'FR-16(7)(v)-5 DISTR Dem Alloc'!J649+'FR-16(7)(v)-3 PROD Comm Alloc'!J649</f>
        <v>2048757</v>
      </c>
      <c r="K649" s="345">
        <f>SUM(G649:J649)</f>
        <v>126434590</v>
      </c>
      <c r="L649" s="345">
        <f>F649-K649</f>
        <v>0</v>
      </c>
    </row>
    <row r="650" spans="1:12" ht="13">
      <c r="A650" s="331">
        <v>27</v>
      </c>
      <c r="B650" s="330" t="s">
        <v>79</v>
      </c>
      <c r="D650" s="342"/>
      <c r="E650" s="195"/>
      <c r="F650" s="345">
        <f t="shared" ref="F650:L650" si="140">-F647</f>
        <v>-124866847.50400001</v>
      </c>
      <c r="G650" s="345">
        <f t="shared" ca="1" si="140"/>
        <v>-80381537</v>
      </c>
      <c r="H650" s="345">
        <f t="shared" si="140"/>
        <v>-35517536</v>
      </c>
      <c r="I650" s="345">
        <f t="shared" ca="1" si="140"/>
        <v>-6742831</v>
      </c>
      <c r="J650" s="345">
        <f t="shared" si="140"/>
        <v>-2224944</v>
      </c>
      <c r="K650" s="345">
        <f t="shared" ca="1" si="140"/>
        <v>-124866848</v>
      </c>
      <c r="L650" s="345">
        <f t="shared" ca="1" si="140"/>
        <v>-0.49599999189376831</v>
      </c>
    </row>
    <row r="651" spans="1:12" ht="13">
      <c r="A651" s="331">
        <v>28</v>
      </c>
      <c r="B651" s="330" t="s">
        <v>80</v>
      </c>
      <c r="D651" s="342"/>
      <c r="E651" s="195"/>
      <c r="F651" s="345">
        <f>F650+F649</f>
        <v>1567742.4959999919</v>
      </c>
      <c r="G651" s="345">
        <f ca="1">G650+G649</f>
        <v>4959840</v>
      </c>
      <c r="H651" s="345">
        <f>H650+H649</f>
        <v>-2781379</v>
      </c>
      <c r="I651" s="345">
        <f ca="1">I650+I649</f>
        <v>-434532</v>
      </c>
      <c r="J651" s="345">
        <f>J650+J649</f>
        <v>-176187</v>
      </c>
      <c r="K651" s="345">
        <f ca="1">SUM(G651:J651)</f>
        <v>1567742</v>
      </c>
      <c r="L651" s="345">
        <f ca="1">L650+L649</f>
        <v>-0.49599999189376831</v>
      </c>
    </row>
    <row r="652" spans="1:12" ht="13">
      <c r="A652" s="331">
        <v>29</v>
      </c>
      <c r="B652" s="330" t="s">
        <v>76</v>
      </c>
      <c r="D652" s="342"/>
      <c r="E652" s="195"/>
      <c r="F652" s="348">
        <f>F565</f>
        <v>0.24925</v>
      </c>
      <c r="G652" s="348">
        <f>$G$565</f>
        <v>0.24925</v>
      </c>
      <c r="H652" s="348">
        <f>$H$565</f>
        <v>0.24925</v>
      </c>
      <c r="I652" s="348">
        <f>$I$565</f>
        <v>0.24925120000000001</v>
      </c>
      <c r="J652" s="348">
        <f>$J$565</f>
        <v>0.24925</v>
      </c>
      <c r="K652" s="348">
        <f>$L$565</f>
        <v>0.24925</v>
      </c>
      <c r="L652" s="348">
        <f>$L$565</f>
        <v>0.24925</v>
      </c>
    </row>
    <row r="653" spans="1:12" ht="13">
      <c r="A653" s="331">
        <v>30</v>
      </c>
      <c r="B653" s="330" t="s">
        <v>81</v>
      </c>
      <c r="D653" s="342"/>
      <c r="E653" s="195"/>
      <c r="F653" s="345">
        <f>ROUND(F652*F651,0)</f>
        <v>390760</v>
      </c>
      <c r="G653" s="345">
        <f ca="1">F653-SUM(H653:J653)</f>
        <v>1236242</v>
      </c>
      <c r="H653" s="345">
        <f>ROUND(H652*H651,0)</f>
        <v>-693259</v>
      </c>
      <c r="I653" s="345">
        <f ca="1">ROUND(I652*I651,0)</f>
        <v>-108308</v>
      </c>
      <c r="J653" s="345">
        <f>ROUND(J652*J651,0)</f>
        <v>-43915</v>
      </c>
      <c r="K653" s="345">
        <f ca="1">SUM(G653:J653)</f>
        <v>390760</v>
      </c>
      <c r="L653" s="345">
        <f t="shared" ref="L653:L654" ca="1" si="141">F653-K653</f>
        <v>0</v>
      </c>
    </row>
    <row r="654" spans="1:12" ht="13">
      <c r="A654" s="331">
        <v>31</v>
      </c>
      <c r="B654" s="330" t="s">
        <v>82</v>
      </c>
      <c r="D654" s="342"/>
      <c r="E654" s="195"/>
      <c r="F654" s="345">
        <f>F651-F653</f>
        <v>1176982.4959999919</v>
      </c>
      <c r="G654" s="345">
        <f ca="1">G651-G653</f>
        <v>3723598</v>
      </c>
      <c r="H654" s="345">
        <f>H651-H653</f>
        <v>-2088120</v>
      </c>
      <c r="I654" s="345">
        <f ca="1">I651-I653</f>
        <v>-326224</v>
      </c>
      <c r="J654" s="345">
        <f>J651-J653</f>
        <v>-132272</v>
      </c>
      <c r="K654" s="345">
        <f ca="1">SUM(G654:J654)</f>
        <v>1176982</v>
      </c>
      <c r="L654" s="345">
        <f t="shared" ca="1" si="141"/>
        <v>0.49599999189376831</v>
      </c>
    </row>
    <row r="655" spans="1:12" ht="13">
      <c r="A655" s="526"/>
      <c r="B655" s="578"/>
      <c r="C655" s="578"/>
      <c r="D655" s="730"/>
      <c r="E655" s="578"/>
      <c r="F655" s="526"/>
      <c r="G655" s="526"/>
      <c r="H655" s="526"/>
      <c r="I655" s="526"/>
      <c r="J655" s="526"/>
      <c r="K655" s="526"/>
      <c r="L655" s="526"/>
    </row>
    <row r="656" spans="1:12" ht="13">
      <c r="A656" s="341" t="str">
        <f>co_name</f>
        <v>DUKE ENERGY KENTUCKY, INC.</v>
      </c>
      <c r="C656" s="195"/>
      <c r="D656" s="342"/>
      <c r="E656" s="195"/>
      <c r="F656" s="342"/>
      <c r="G656" s="340"/>
      <c r="H656" s="340"/>
      <c r="I656" s="195"/>
      <c r="K656" s="359" t="str">
        <f>$K$1</f>
        <v>FR-16(7)(v)-8</v>
      </c>
      <c r="L656" s="195"/>
    </row>
    <row r="657" spans="1:12" ht="13">
      <c r="A657" s="341" t="str">
        <f>$A$2</f>
        <v>TOTAL CLASS ALLOCATED - GAS COST OF SERVICE</v>
      </c>
      <c r="C657" s="195"/>
      <c r="D657" s="342"/>
      <c r="E657" s="195"/>
      <c r="F657" s="342"/>
      <c r="G657" s="340"/>
      <c r="H657" s="340"/>
      <c r="I657" s="195"/>
      <c r="K657" s="359" t="str">
        <f>$K$2</f>
        <v>WITNESS RESPONSIBLE:</v>
      </c>
      <c r="L657" s="195"/>
    </row>
    <row r="658" spans="1:12" ht="13">
      <c r="A658" s="341" t="str">
        <f>case_name</f>
        <v>CASE NO: 2021-00190</v>
      </c>
      <c r="C658" s="195"/>
      <c r="D658" s="342"/>
      <c r="E658" s="195"/>
      <c r="F658" s="342"/>
      <c r="G658" s="340"/>
      <c r="H658" s="340"/>
      <c r="I658" s="195"/>
      <c r="K658" s="359" t="str">
        <f>Witness</f>
        <v>JAMES E. ZIOLKOWSKI</v>
      </c>
      <c r="L658" s="195"/>
    </row>
    <row r="659" spans="1:12" ht="13">
      <c r="A659" s="341" t="str">
        <f>data_filing</f>
        <v>DATA: 12 MONTH FORECASTED PERIOD</v>
      </c>
      <c r="C659" s="195"/>
      <c r="D659" s="342"/>
      <c r="E659" s="195"/>
      <c r="F659" s="342"/>
      <c r="G659" s="340"/>
      <c r="H659" s="340"/>
      <c r="I659" s="195"/>
      <c r="K659" s="359" t="str">
        <f>"PAGE "&amp;Pages2&amp;" OF "&amp;Pages2</f>
        <v>PAGE 15 OF 15</v>
      </c>
      <c r="L659" s="195"/>
    </row>
    <row r="660" spans="1:12" ht="13">
      <c r="A660" s="341" t="str">
        <f>type</f>
        <v xml:space="preserve">TYPE OF FILING: "X" ORIGINAL   UPDATED    REVISED  </v>
      </c>
      <c r="C660" s="195"/>
      <c r="D660" s="342"/>
      <c r="E660" s="195"/>
      <c r="F660" s="342"/>
      <c r="G660" s="340"/>
      <c r="H660" s="340"/>
      <c r="I660" s="195"/>
      <c r="J660" s="342"/>
      <c r="K660" s="195"/>
      <c r="L660" s="195"/>
    </row>
    <row r="661" spans="1:12" ht="13">
      <c r="B661" s="341"/>
      <c r="C661" s="195"/>
      <c r="D661" s="342"/>
      <c r="E661" s="195"/>
      <c r="F661" s="342"/>
      <c r="G661" s="195"/>
      <c r="H661" s="195"/>
      <c r="I661" s="195"/>
      <c r="J661" s="342"/>
      <c r="K661" s="195"/>
      <c r="L661" s="195"/>
    </row>
    <row r="662" spans="1:12" ht="13">
      <c r="B662" s="341"/>
      <c r="C662" s="195"/>
      <c r="D662" s="342"/>
      <c r="E662" s="195"/>
      <c r="F662" s="342" t="s">
        <v>229</v>
      </c>
      <c r="G662" s="195"/>
      <c r="H662" s="195"/>
      <c r="I662" s="195"/>
      <c r="J662" s="342"/>
      <c r="K662" s="195"/>
      <c r="L662" s="195"/>
    </row>
    <row r="663" spans="1:12" ht="13">
      <c r="A663" s="342" t="s">
        <v>907</v>
      </c>
      <c r="B663" s="195"/>
      <c r="C663" s="195"/>
      <c r="D663" s="342"/>
      <c r="E663" s="195"/>
      <c r="F663" s="342" t="str">
        <f>$F$8</f>
        <v>CLASS</v>
      </c>
      <c r="G663" s="352" t="s">
        <v>766</v>
      </c>
      <c r="H663" s="352" t="s">
        <v>1256</v>
      </c>
      <c r="I663" s="352" t="s">
        <v>974</v>
      </c>
      <c r="J663" s="352" t="s">
        <v>546</v>
      </c>
      <c r="K663" s="352" t="s">
        <v>229</v>
      </c>
      <c r="L663" s="342" t="s">
        <v>342</v>
      </c>
    </row>
    <row r="664" spans="1:12" ht="13">
      <c r="A664" s="344" t="s">
        <v>908</v>
      </c>
      <c r="B664" s="343" t="s">
        <v>83</v>
      </c>
      <c r="C664" s="343"/>
      <c r="D664" s="344" t="s">
        <v>337</v>
      </c>
      <c r="E664" s="343"/>
      <c r="F664" s="342" t="str">
        <f>$F$9</f>
        <v>ALLOCATED</v>
      </c>
      <c r="G664" s="353" t="s">
        <v>338</v>
      </c>
      <c r="H664" s="353" t="s">
        <v>404</v>
      </c>
      <c r="I664" s="353" t="s">
        <v>1257</v>
      </c>
      <c r="J664" s="353" t="s">
        <v>547</v>
      </c>
      <c r="K664" s="353" t="s">
        <v>341</v>
      </c>
      <c r="L664" s="344" t="s">
        <v>340</v>
      </c>
    </row>
    <row r="665" spans="1:12" ht="13">
      <c r="C665" s="572" t="s">
        <v>353</v>
      </c>
      <c r="D665" s="342"/>
      <c r="E665" s="195"/>
      <c r="F665" s="755"/>
      <c r="G665" s="627">
        <f>$G$10</f>
        <v>3</v>
      </c>
      <c r="H665" s="627">
        <f>$H$10</f>
        <v>4</v>
      </c>
      <c r="I665" s="627">
        <f>$I$10</f>
        <v>5</v>
      </c>
      <c r="J665" s="627">
        <f>$J$10</f>
        <v>6</v>
      </c>
    </row>
    <row r="666" spans="1:12" ht="13">
      <c r="A666" s="331">
        <v>1</v>
      </c>
      <c r="B666" s="330" t="s">
        <v>84</v>
      </c>
      <c r="D666" s="342"/>
      <c r="E666" s="195"/>
      <c r="I666" s="330"/>
    </row>
    <row r="667" spans="1:12" ht="13">
      <c r="A667" s="331">
        <v>2</v>
      </c>
      <c r="B667" s="330" t="s">
        <v>85</v>
      </c>
      <c r="D667" s="342"/>
      <c r="E667" s="195"/>
      <c r="G667" s="513" t="s">
        <v>339</v>
      </c>
      <c r="I667" s="330"/>
    </row>
    <row r="668" spans="1:12" ht="13">
      <c r="A668" s="331">
        <v>3</v>
      </c>
      <c r="C668" s="330" t="str">
        <f>'FR-16(7)(v)-1 Functional'!C668</f>
        <v>LONG TERM DEBT</v>
      </c>
      <c r="D668" s="342"/>
      <c r="E668" s="195"/>
      <c r="F668" s="473">
        <f>'FR-16(7)(v)-1 Functional'!$F$668</f>
        <v>794320510</v>
      </c>
      <c r="G668" s="348">
        <f>IF($F$673=0,0,ROUND(F668/$F$673,5))</f>
        <v>0.46721000000000001</v>
      </c>
      <c r="I668" s="330"/>
    </row>
    <row r="669" spans="1:12" ht="13">
      <c r="A669" s="331">
        <v>4</v>
      </c>
      <c r="C669" s="330" t="str">
        <f>'FR-16(7)(v)-1 Functional'!C669</f>
        <v>PREFERRED STOCK</v>
      </c>
      <c r="D669" s="342"/>
      <c r="E669" s="195"/>
      <c r="F669" s="473">
        <f>'FR-16(7)(v)-1 Functional'!$F$669</f>
        <v>0</v>
      </c>
      <c r="G669" s="348">
        <f>IF($F$673=0,0,ROUND(F669/$F$673,5))</f>
        <v>0</v>
      </c>
      <c r="I669" s="330"/>
    </row>
    <row r="670" spans="1:12" ht="13">
      <c r="A670" s="331">
        <v>5</v>
      </c>
      <c r="C670" s="330" t="str">
        <f>'FR-16(7)(v)-1 Functional'!C670</f>
        <v>COMMON STOCK</v>
      </c>
      <c r="D670" s="342"/>
      <c r="E670" s="195"/>
      <c r="F670" s="473">
        <f>'FR-16(7)(v)-1 Functional'!$F$670</f>
        <v>861861344</v>
      </c>
      <c r="G670" s="348">
        <f>1-G668-G669-G671-G672</f>
        <v>0.50695000000000001</v>
      </c>
      <c r="I670" s="330"/>
    </row>
    <row r="671" spans="1:12" ht="13">
      <c r="A671" s="331">
        <v>6</v>
      </c>
      <c r="C671" s="330" t="str">
        <f>'FR-16(7)(v)-1 Functional'!C671</f>
        <v>SHORT TERM DEBT</v>
      </c>
      <c r="D671" s="342"/>
      <c r="E671" s="195"/>
      <c r="F671" s="473">
        <f>'FR-16(7)(v)-1 Functional'!$F$671</f>
        <v>43936209</v>
      </c>
      <c r="G671" s="348">
        <f>IF($F$673=0,0,ROUND(F671/$F$673,5))</f>
        <v>2.5839999999999998E-2</v>
      </c>
      <c r="I671" s="330"/>
    </row>
    <row r="672" spans="1:12" ht="13">
      <c r="A672" s="331">
        <v>7</v>
      </c>
      <c r="C672" s="330" t="str">
        <f>'FR-16(7)(v)-1 Functional'!C672</f>
        <v>UNAMORTIZED DISCOUNT</v>
      </c>
      <c r="D672" s="342"/>
      <c r="E672" s="195"/>
      <c r="F672" s="473">
        <f>'FR-16(7)(v)-1 Functional'!$F$672</f>
        <v>0</v>
      </c>
      <c r="G672" s="348">
        <f>IF($F$673=0,0,ROUND(F672/$F$673,5))</f>
        <v>0</v>
      </c>
      <c r="I672" s="330"/>
    </row>
    <row r="673" spans="1:9" ht="13">
      <c r="A673" s="331">
        <v>8</v>
      </c>
      <c r="C673" s="330" t="str">
        <f>'FR-16(7)(v)-1 Functional'!C673</f>
        <v xml:space="preserve">  TOTAL</v>
      </c>
      <c r="D673" s="342"/>
      <c r="E673" s="195"/>
      <c r="F673" s="474">
        <f>SUM(F667:F672)</f>
        <v>1700118063</v>
      </c>
      <c r="G673" s="515">
        <f>SUM(G668:G672)</f>
        <v>1</v>
      </c>
      <c r="I673" s="330"/>
    </row>
    <row r="674" spans="1:9" ht="13">
      <c r="A674" s="331">
        <v>9</v>
      </c>
      <c r="D674" s="342"/>
      <c r="E674" s="195"/>
      <c r="I674" s="330"/>
    </row>
    <row r="675" spans="1:9" ht="13">
      <c r="A675" s="331">
        <v>10</v>
      </c>
      <c r="B675" s="330" t="s">
        <v>86</v>
      </c>
      <c r="D675" s="342"/>
      <c r="E675" s="195"/>
      <c r="I675" s="330"/>
    </row>
    <row r="676" spans="1:9" ht="13">
      <c r="A676" s="331">
        <v>11</v>
      </c>
      <c r="C676" s="330" t="str">
        <f>'FR-16(7)(v)-1 Functional'!C676</f>
        <v>LONG TERM DEBT</v>
      </c>
      <c r="D676" s="342"/>
      <c r="E676" s="195"/>
      <c r="F676" s="580">
        <f>'FR-16(7)(v)-1 Functional'!$F$676</f>
        <v>3.8429999999999999E-2</v>
      </c>
      <c r="G676" s="516"/>
      <c r="I676" s="330"/>
    </row>
    <row r="677" spans="1:9" ht="13">
      <c r="A677" s="331">
        <v>12</v>
      </c>
      <c r="C677" s="330" t="str">
        <f>'FR-16(7)(v)-1 Functional'!C677</f>
        <v>PREFERRED STOCK</v>
      </c>
      <c r="D677" s="342"/>
      <c r="E677" s="195"/>
      <c r="F677" s="580">
        <f>'FR-16(7)(v)-1 Functional'!$F$677</f>
        <v>0</v>
      </c>
      <c r="G677" s="516"/>
      <c r="I677" s="330"/>
    </row>
    <row r="678" spans="1:9" ht="13">
      <c r="A678" s="331">
        <v>13</v>
      </c>
      <c r="C678" s="330" t="str">
        <f>'FR-16(7)(v)-1 Functional'!C678</f>
        <v>COMMON STOCK</v>
      </c>
      <c r="D678" s="342"/>
      <c r="E678" s="195"/>
      <c r="F678" s="580">
        <f>'FR-16(7)(v)-1 Functional'!$F$678</f>
        <v>0.10299999999999999</v>
      </c>
      <c r="G678" s="516"/>
      <c r="I678" s="330"/>
    </row>
    <row r="679" spans="1:9" ht="13">
      <c r="A679" s="331">
        <v>14</v>
      </c>
      <c r="C679" s="330" t="str">
        <f>'FR-16(7)(v)-1 Functional'!C679</f>
        <v>SHORT TERM DEBT</v>
      </c>
      <c r="D679" s="342"/>
      <c r="E679" s="195"/>
      <c r="F679" s="580">
        <f>'FR-16(7)(v)-1 Functional'!$F$679</f>
        <v>1.6670000000000001E-2</v>
      </c>
      <c r="G679" s="516"/>
      <c r="I679" s="330"/>
    </row>
    <row r="680" spans="1:9" ht="13">
      <c r="A680" s="331">
        <v>15</v>
      </c>
      <c r="C680" s="330" t="str">
        <f>'FR-16(7)(v)-1 Functional'!C680</f>
        <v>UNAMORTIZED DISCOUNT</v>
      </c>
      <c r="D680" s="342"/>
      <c r="E680" s="195"/>
      <c r="F680" s="580">
        <f>'FR-16(7)(v)-1 Functional'!$F$680</f>
        <v>0</v>
      </c>
      <c r="G680" s="516"/>
      <c r="I680" s="330"/>
    </row>
    <row r="681" spans="1:9" ht="13">
      <c r="A681" s="331">
        <v>16</v>
      </c>
      <c r="D681" s="342"/>
      <c r="E681" s="195"/>
      <c r="I681" s="330"/>
    </row>
    <row r="682" spans="1:9" ht="13">
      <c r="A682" s="331">
        <v>17</v>
      </c>
      <c r="B682" s="330" t="s">
        <v>87</v>
      </c>
      <c r="D682" s="342"/>
      <c r="E682" s="195"/>
      <c r="I682" s="330"/>
    </row>
    <row r="683" spans="1:9" ht="13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G683" s="514"/>
      <c r="I683" s="330"/>
    </row>
    <row r="684" spans="1:9" ht="13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G684" s="514"/>
      <c r="I684" s="330"/>
    </row>
    <row r="685" spans="1:9" ht="13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G685" s="514"/>
      <c r="I685" s="330"/>
    </row>
    <row r="686" spans="1:9" ht="13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G686" s="514"/>
      <c r="I686" s="330"/>
    </row>
    <row r="687" spans="1:9" ht="13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G687" s="514"/>
      <c r="H687" s="351"/>
      <c r="I687" s="330"/>
    </row>
    <row r="688" spans="1:9" ht="13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7">
        <f>SUM(F683:F687)</f>
        <v>7.060000000000001E-2</v>
      </c>
      <c r="G688" s="518"/>
      <c r="H688" s="351"/>
      <c r="I688" s="330"/>
    </row>
    <row r="689" spans="1:12" ht="13">
      <c r="A689" s="331">
        <v>24</v>
      </c>
      <c r="D689" s="342"/>
      <c r="E689" s="195"/>
      <c r="H689" s="351"/>
      <c r="I689" s="330"/>
    </row>
    <row r="690" spans="1:12" ht="13">
      <c r="A690" s="331">
        <v>25</v>
      </c>
      <c r="B690" s="330" t="s">
        <v>88</v>
      </c>
      <c r="D690" s="342"/>
      <c r="E690" s="195"/>
      <c r="H690" s="351"/>
      <c r="I690" s="330"/>
    </row>
    <row r="691" spans="1:12" ht="13">
      <c r="A691" s="331">
        <v>26</v>
      </c>
      <c r="C691" s="330" t="str">
        <f>'FR-16(7)(v)-1 Functional'!C691</f>
        <v>SHORT TERM DEBT COST</v>
      </c>
      <c r="D691" s="342"/>
      <c r="E691" s="195"/>
      <c r="F691" s="760">
        <v>0</v>
      </c>
      <c r="G691" s="519">
        <f t="shared" ref="G691:L691" si="142">$F$691</f>
        <v>0</v>
      </c>
      <c r="H691" s="519">
        <f t="shared" si="142"/>
        <v>0</v>
      </c>
      <c r="I691" s="519">
        <f t="shared" si="142"/>
        <v>0</v>
      </c>
      <c r="J691" s="519">
        <f t="shared" si="142"/>
        <v>0</v>
      </c>
      <c r="K691" s="519">
        <f t="shared" si="142"/>
        <v>0</v>
      </c>
      <c r="L691" s="519">
        <f t="shared" si="142"/>
        <v>0</v>
      </c>
    </row>
    <row r="692" spans="1:12" ht="13">
      <c r="A692" s="331">
        <v>27</v>
      </c>
      <c r="C692" s="330" t="str">
        <f>'FR-16(7)(v)-1 Functional'!C692</f>
        <v>FEDERAL INCOME TAX RATE</v>
      </c>
      <c r="D692" s="342"/>
      <c r="E692" s="195"/>
      <c r="F692" s="519">
        <f t="shared" ref="F692:L692" si="143">FIT</f>
        <v>0.21</v>
      </c>
      <c r="G692" s="519">
        <f t="shared" si="143"/>
        <v>0.21</v>
      </c>
      <c r="H692" s="519">
        <f t="shared" si="143"/>
        <v>0.21</v>
      </c>
      <c r="I692" s="519">
        <f t="shared" si="143"/>
        <v>0.21</v>
      </c>
      <c r="J692" s="519">
        <f t="shared" si="143"/>
        <v>0.21</v>
      </c>
      <c r="K692" s="519">
        <f t="shared" si="143"/>
        <v>0.21</v>
      </c>
      <c r="L692" s="519">
        <f t="shared" si="143"/>
        <v>0.21</v>
      </c>
    </row>
    <row r="693" spans="1:12" ht="13">
      <c r="A693" s="331">
        <v>28</v>
      </c>
      <c r="C693" s="330" t="str">
        <f>'FR-16(7)(v)-1 Functional'!C693</f>
        <v>STATE INCOME TAX RATE</v>
      </c>
      <c r="D693" s="342"/>
      <c r="E693" s="195"/>
      <c r="F693" s="519">
        <f t="shared" ref="F693:L693" si="144">SIT</f>
        <v>4.9685000000000007E-2</v>
      </c>
      <c r="G693" s="519">
        <f t="shared" si="144"/>
        <v>4.9685000000000007E-2</v>
      </c>
      <c r="H693" s="519">
        <f t="shared" si="144"/>
        <v>4.9685000000000007E-2</v>
      </c>
      <c r="I693" s="519">
        <f t="shared" si="144"/>
        <v>4.9685000000000007E-2</v>
      </c>
      <c r="J693" s="519">
        <f t="shared" si="144"/>
        <v>4.9685000000000007E-2</v>
      </c>
      <c r="K693" s="519">
        <f t="shared" si="144"/>
        <v>4.9685000000000007E-2</v>
      </c>
      <c r="L693" s="519">
        <f t="shared" si="144"/>
        <v>4.9685000000000007E-2</v>
      </c>
    </row>
    <row r="694" spans="1:12" ht="13">
      <c r="A694" s="331">
        <v>29</v>
      </c>
      <c r="C694" s="330" t="str">
        <f>'FR-16(7)(v)-1 Functional'!C694</f>
        <v>REVENUE TAX RATE</v>
      </c>
      <c r="D694" s="342"/>
      <c r="E694" s="195"/>
      <c r="F694" s="516">
        <v>0</v>
      </c>
      <c r="G694" s="519">
        <f t="shared" ref="G694:L694" si="145">RevTax</f>
        <v>0</v>
      </c>
      <c r="H694" s="519">
        <f t="shared" si="145"/>
        <v>0</v>
      </c>
      <c r="I694" s="519">
        <f t="shared" si="145"/>
        <v>0</v>
      </c>
      <c r="J694" s="519">
        <f t="shared" si="145"/>
        <v>0</v>
      </c>
      <c r="K694" s="519">
        <f t="shared" si="145"/>
        <v>0</v>
      </c>
      <c r="L694" s="519">
        <f t="shared" si="145"/>
        <v>0</v>
      </c>
    </row>
    <row r="696" spans="1:12" ht="13">
      <c r="A696" s="341"/>
      <c r="C696" s="195"/>
      <c r="D696" s="342"/>
      <c r="E696" s="195"/>
      <c r="F696" s="342"/>
      <c r="G696" s="340"/>
      <c r="H696" s="340"/>
      <c r="I696" s="195"/>
      <c r="J696" s="342"/>
      <c r="K696" s="195"/>
    </row>
    <row r="697" spans="1:12" ht="13">
      <c r="A697" s="341"/>
      <c r="C697" s="195"/>
      <c r="D697" s="342"/>
      <c r="E697" s="195"/>
      <c r="F697" s="342"/>
      <c r="G697" s="340"/>
      <c r="H697" s="340"/>
      <c r="I697" s="195"/>
      <c r="J697" s="342"/>
      <c r="K697" s="195"/>
    </row>
    <row r="698" spans="1:12" ht="13">
      <c r="A698" s="341"/>
      <c r="C698" s="195"/>
      <c r="D698" s="342"/>
      <c r="E698" s="195"/>
      <c r="F698" s="342"/>
      <c r="G698" s="340"/>
      <c r="H698" s="340"/>
      <c r="I698" s="195"/>
      <c r="J698" s="342"/>
      <c r="K698" s="195"/>
    </row>
    <row r="699" spans="1:12" ht="13">
      <c r="A699" s="341"/>
      <c r="C699" s="195"/>
      <c r="D699" s="342"/>
      <c r="E699" s="195"/>
      <c r="F699" s="342"/>
      <c r="G699" s="340"/>
      <c r="H699" s="340"/>
      <c r="I699" s="195"/>
      <c r="J699" s="342"/>
      <c r="K699" s="195"/>
    </row>
    <row r="700" spans="1:12" ht="13">
      <c r="A700" s="341"/>
      <c r="C700" s="195"/>
      <c r="D700" s="342"/>
      <c r="E700" s="195"/>
      <c r="F700" s="342"/>
      <c r="G700" s="340"/>
      <c r="H700" s="340"/>
      <c r="I700" s="195"/>
      <c r="J700" s="342"/>
      <c r="K700" s="195"/>
    </row>
    <row r="747" spans="1:11" ht="13">
      <c r="A747" s="341"/>
      <c r="C747" s="195"/>
      <c r="D747" s="342"/>
      <c r="E747" s="195"/>
      <c r="F747" s="342"/>
      <c r="G747" s="340"/>
      <c r="H747" s="340"/>
      <c r="I747" s="195"/>
      <c r="J747" s="342"/>
      <c r="K747" s="195"/>
    </row>
    <row r="748" spans="1:11" ht="13">
      <c r="A748" s="341"/>
      <c r="C748" s="195"/>
      <c r="D748" s="342"/>
      <c r="E748" s="195"/>
      <c r="F748" s="342"/>
      <c r="G748" s="340"/>
      <c r="H748" s="340"/>
      <c r="I748" s="195"/>
      <c r="J748" s="342"/>
      <c r="K748" s="195"/>
    </row>
    <row r="749" spans="1:11" ht="13">
      <c r="A749" s="341"/>
      <c r="C749" s="195"/>
      <c r="D749" s="342"/>
      <c r="E749" s="195"/>
      <c r="F749" s="342"/>
      <c r="G749" s="340"/>
      <c r="H749" s="340"/>
      <c r="I749" s="195"/>
      <c r="J749" s="342"/>
      <c r="K749" s="195"/>
    </row>
    <row r="750" spans="1:11" ht="13">
      <c r="A750" s="341"/>
      <c r="C750" s="195"/>
      <c r="D750" s="342"/>
      <c r="E750" s="195"/>
      <c r="F750" s="342"/>
      <c r="G750" s="340"/>
      <c r="H750" s="340"/>
      <c r="I750" s="195"/>
      <c r="J750" s="342"/>
      <c r="K750" s="195"/>
    </row>
    <row r="751" spans="1:11" ht="13">
      <c r="A751" s="341"/>
      <c r="C751" s="195"/>
      <c r="D751" s="342"/>
      <c r="E751" s="195"/>
      <c r="F751" s="342"/>
      <c r="G751" s="340"/>
      <c r="H751" s="340"/>
      <c r="I751" s="195"/>
      <c r="J751" s="342"/>
      <c r="K751" s="195"/>
    </row>
    <row r="805" spans="1:11" ht="13">
      <c r="A805" s="341"/>
      <c r="C805" s="195"/>
      <c r="D805" s="342"/>
      <c r="E805" s="195"/>
      <c r="F805" s="342"/>
      <c r="G805" s="340"/>
      <c r="H805" s="340"/>
      <c r="I805" s="195"/>
      <c r="J805" s="342"/>
      <c r="K805" s="195"/>
    </row>
    <row r="806" spans="1:11" ht="13">
      <c r="A806" s="341"/>
      <c r="C806" s="195"/>
      <c r="D806" s="342"/>
      <c r="E806" s="195"/>
      <c r="F806" s="342"/>
      <c r="G806" s="340"/>
      <c r="H806" s="340"/>
      <c r="I806" s="195"/>
      <c r="J806" s="342"/>
      <c r="K806" s="195"/>
    </row>
    <row r="807" spans="1:11" ht="13">
      <c r="A807" s="341"/>
      <c r="C807" s="195"/>
      <c r="D807" s="342"/>
      <c r="E807" s="195"/>
      <c r="F807" s="342"/>
      <c r="G807" s="340"/>
      <c r="H807" s="340"/>
      <c r="I807" s="195"/>
      <c r="J807" s="342"/>
      <c r="K807" s="195"/>
    </row>
    <row r="808" spans="1:11" ht="13">
      <c r="A808" s="341"/>
      <c r="C808" s="195"/>
      <c r="D808" s="342"/>
      <c r="E808" s="195"/>
      <c r="F808" s="342"/>
      <c r="G808" s="340"/>
      <c r="H808" s="340"/>
      <c r="I808" s="195"/>
      <c r="J808" s="342"/>
      <c r="K808" s="195"/>
    </row>
    <row r="809" spans="1:11" ht="13">
      <c r="A809" s="341"/>
      <c r="C809" s="195"/>
      <c r="D809" s="342"/>
      <c r="E809" s="195"/>
      <c r="F809" s="342"/>
      <c r="G809" s="340"/>
      <c r="H809" s="340"/>
      <c r="I809" s="195"/>
      <c r="J809" s="342"/>
      <c r="K809" s="195"/>
    </row>
    <row r="861" spans="1:12" ht="20">
      <c r="A861" s="1184" t="s">
        <v>1193</v>
      </c>
    </row>
    <row r="863" spans="1:12" ht="13">
      <c r="A863" s="342" t="s">
        <v>907</v>
      </c>
      <c r="B863" s="195"/>
      <c r="C863" s="195"/>
      <c r="D863" s="342"/>
      <c r="E863" s="195"/>
      <c r="F863" s="342" t="str">
        <f>$F$8</f>
        <v>CLASS</v>
      </c>
      <c r="G863" s="342" t="s">
        <v>417</v>
      </c>
      <c r="H863" s="342" t="s">
        <v>857</v>
      </c>
      <c r="I863" s="342" t="s">
        <v>858</v>
      </c>
      <c r="J863" s="342" t="s">
        <v>546</v>
      </c>
      <c r="K863" s="342" t="s">
        <v>229</v>
      </c>
      <c r="L863" s="342" t="s">
        <v>342</v>
      </c>
    </row>
    <row r="864" spans="1:12" ht="13">
      <c r="A864" s="344" t="s">
        <v>908</v>
      </c>
      <c r="B864" s="343" t="s">
        <v>99</v>
      </c>
      <c r="C864" s="343"/>
      <c r="D864" s="344" t="s">
        <v>337</v>
      </c>
      <c r="E864" s="343"/>
      <c r="F864" s="342" t="str">
        <f>$F$9</f>
        <v>ALLOCATED</v>
      </c>
      <c r="G864" s="344" t="s">
        <v>338</v>
      </c>
      <c r="H864" s="344" t="s">
        <v>404</v>
      </c>
      <c r="I864" s="344" t="s">
        <v>404</v>
      </c>
      <c r="J864" s="344" t="s">
        <v>547</v>
      </c>
      <c r="K864" s="344" t="s">
        <v>341</v>
      </c>
      <c r="L864" s="344" t="s">
        <v>340</v>
      </c>
    </row>
    <row r="865" spans="1:12" ht="13">
      <c r="B865" s="195"/>
      <c r="C865" s="572" t="s">
        <v>4</v>
      </c>
      <c r="D865" s="342"/>
      <c r="E865" s="195"/>
      <c r="F865" s="755"/>
      <c r="G865" s="627">
        <f>$G$10</f>
        <v>3</v>
      </c>
      <c r="H865" s="627">
        <f>$H$10</f>
        <v>4</v>
      </c>
      <c r="I865" s="627">
        <f>$I$10</f>
        <v>5</v>
      </c>
      <c r="J865" s="627">
        <f>$J$10</f>
        <v>6</v>
      </c>
    </row>
    <row r="866" spans="1:12" ht="13">
      <c r="A866" s="331">
        <v>1</v>
      </c>
      <c r="B866" s="330" t="s">
        <v>100</v>
      </c>
      <c r="D866" s="342"/>
      <c r="E866" s="195"/>
      <c r="I866" s="330"/>
    </row>
    <row r="867" spans="1:12" ht="13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L867" si="146">F647</f>
        <v>124866847.50400001</v>
      </c>
      <c r="G867" s="345">
        <f t="shared" ca="1" si="146"/>
        <v>80381537</v>
      </c>
      <c r="H867" s="345">
        <f t="shared" si="146"/>
        <v>35517536</v>
      </c>
      <c r="I867" s="345">
        <f t="shared" ca="1" si="146"/>
        <v>6742831</v>
      </c>
      <c r="J867" s="345">
        <f t="shared" si="146"/>
        <v>2224944</v>
      </c>
      <c r="K867" s="345">
        <f t="shared" ca="1" si="146"/>
        <v>124866848</v>
      </c>
      <c r="L867" s="345">
        <f t="shared" ca="1" si="146"/>
        <v>0.49599999189376831</v>
      </c>
    </row>
    <row r="868" spans="1:12" ht="13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310224</v>
      </c>
      <c r="G868" s="345">
        <f>$G$630</f>
        <v>222777</v>
      </c>
      <c r="H868" s="345">
        <f>$H$630</f>
        <v>66017</v>
      </c>
      <c r="I868" s="345">
        <f>$I$630</f>
        <v>16333</v>
      </c>
      <c r="J868" s="345">
        <f>$J$630</f>
        <v>5097</v>
      </c>
      <c r="K868" s="345">
        <f>$K$630</f>
        <v>310224</v>
      </c>
      <c r="L868" s="345">
        <f>$L$630</f>
        <v>0</v>
      </c>
    </row>
    <row r="869" spans="1:12" ht="13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L869" si="147">SUM(F866:F868)</f>
        <v>125177071.50400001</v>
      </c>
      <c r="G869" s="346">
        <f t="shared" ca="1" si="147"/>
        <v>80604314</v>
      </c>
      <c r="H869" s="346">
        <f t="shared" si="147"/>
        <v>35583553</v>
      </c>
      <c r="I869" s="346">
        <f t="shared" ca="1" si="147"/>
        <v>6759164</v>
      </c>
      <c r="J869" s="346">
        <f t="shared" si="147"/>
        <v>2230041</v>
      </c>
      <c r="K869" s="346">
        <f t="shared" ca="1" si="147"/>
        <v>125177072</v>
      </c>
      <c r="L869" s="346">
        <f t="shared" ca="1" si="147"/>
        <v>0.49599999189376831</v>
      </c>
    </row>
    <row r="870" spans="1:12" ht="13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-86517054.504000008</v>
      </c>
      <c r="G870" s="345">
        <f>-$G$501</f>
        <v>-55971386</v>
      </c>
      <c r="H870" s="345">
        <f>-$H$501</f>
        <v>-25778279</v>
      </c>
      <c r="I870" s="345">
        <f>-$I$501</f>
        <v>-3575478</v>
      </c>
      <c r="J870" s="345">
        <f>-$J$501</f>
        <v>-1191912</v>
      </c>
      <c r="K870" s="506">
        <f>-$K$501</f>
        <v>-86517055</v>
      </c>
      <c r="L870" s="345">
        <f>-$L$501</f>
        <v>0.49599999999918509</v>
      </c>
    </row>
    <row r="871" spans="1:12" ht="13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>-ROUND(F694*F867,0)</f>
        <v>0</v>
      </c>
      <c r="G871" s="345">
        <f ca="1">F871-SUM(H871:J871)</f>
        <v>0</v>
      </c>
      <c r="H871" s="345">
        <f>-ROUND(H694*H867,0)</f>
        <v>0</v>
      </c>
      <c r="I871" s="345">
        <f ca="1">-ROUND(I694*I867,0)</f>
        <v>0</v>
      </c>
      <c r="J871" s="345">
        <f>-ROUND(J694*J867,0)</f>
        <v>0</v>
      </c>
      <c r="K871" s="504">
        <f ca="1">SUM(G871:J871)</f>
        <v>0</v>
      </c>
      <c r="L871" s="345">
        <f ca="1">-ROUND('FR-16(7)(v)-1 Functional'!K694*L867,0)</f>
        <v>0</v>
      </c>
    </row>
    <row r="872" spans="1:12" ht="13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>SUM(F869:F871)</f>
        <v>38660017</v>
      </c>
      <c r="G872" s="346">
        <f ca="1">SUM(G869:G871)</f>
        <v>24632928</v>
      </c>
      <c r="H872" s="346">
        <f>SUM(H869:H871)</f>
        <v>9805274</v>
      </c>
      <c r="I872" s="346">
        <f ca="1">SUM(I869:I871)</f>
        <v>3183686</v>
      </c>
      <c r="J872" s="346">
        <f>SUM(J869:J871)</f>
        <v>1038129</v>
      </c>
      <c r="K872" s="346">
        <f ca="1">SUM(G872:J872)</f>
        <v>38660017</v>
      </c>
      <c r="L872" s="346">
        <f ca="1">SUM(L869:L871)</f>
        <v>0.9919999918929534</v>
      </c>
    </row>
    <row r="873" spans="1:12" ht="13">
      <c r="A873" s="331">
        <v>8</v>
      </c>
      <c r="D873" s="342"/>
      <c r="E873" s="195"/>
      <c r="I873" s="330"/>
    </row>
    <row r="874" spans="1:12" ht="13">
      <c r="A874" s="331">
        <v>9</v>
      </c>
      <c r="B874" s="330" t="s">
        <v>101</v>
      </c>
      <c r="D874" s="342"/>
      <c r="E874" s="195"/>
      <c r="I874" s="330"/>
    </row>
    <row r="875" spans="1:12" ht="13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-8610382</v>
      </c>
      <c r="G875" s="345">
        <f>-$G$516</f>
        <v>-5486208</v>
      </c>
      <c r="H875" s="345">
        <f>-$H$516</f>
        <v>-2155633</v>
      </c>
      <c r="I875" s="345">
        <f>-$I$516</f>
        <v>-732468</v>
      </c>
      <c r="J875" s="345">
        <f>-$J$516</f>
        <v>-236073</v>
      </c>
      <c r="K875" s="345">
        <f>-$K$516</f>
        <v>-8610382</v>
      </c>
      <c r="L875" s="345">
        <f>-$L$516</f>
        <v>0</v>
      </c>
    </row>
    <row r="876" spans="1:12" ht="13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-7223532</v>
      </c>
      <c r="G876" s="345">
        <f>-$G$522</f>
        <v>-4614305</v>
      </c>
      <c r="H876" s="345">
        <f>-$H$522</f>
        <v>-1794121</v>
      </c>
      <c r="I876" s="345">
        <f>-$I$522</f>
        <v>-625807</v>
      </c>
      <c r="J876" s="345">
        <f>-$J$522</f>
        <v>-189299</v>
      </c>
      <c r="K876" s="345">
        <f>-$K$522</f>
        <v>-7223532</v>
      </c>
      <c r="L876" s="345">
        <f>-$L$522</f>
        <v>0</v>
      </c>
    </row>
    <row r="877" spans="1:12" ht="13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>SUM(F874:F876)+F872</f>
        <v>22826103</v>
      </c>
      <c r="G877" s="346">
        <f ca="1">SUM(G874:G876)+G872</f>
        <v>14532415</v>
      </c>
      <c r="H877" s="346">
        <f>SUM(H874:H876)+H872</f>
        <v>5855520</v>
      </c>
      <c r="I877" s="346">
        <f ca="1">SUM(I874:I876)+I872</f>
        <v>1825411</v>
      </c>
      <c r="J877" s="346">
        <f>SUM(J874:J876)+J872</f>
        <v>612757</v>
      </c>
      <c r="K877" s="346">
        <f ca="1">SUM(G877:J877)</f>
        <v>22826103</v>
      </c>
      <c r="L877" s="346">
        <f ca="1">SUM(L874:L876)+L872</f>
        <v>0.9919999918929534</v>
      </c>
    </row>
    <row r="878" spans="1:12" ht="13">
      <c r="A878" s="331">
        <v>13</v>
      </c>
      <c r="D878" s="342"/>
      <c r="E878" s="195"/>
      <c r="I878" s="330"/>
    </row>
    <row r="879" spans="1:12" ht="13">
      <c r="A879" s="331">
        <v>14</v>
      </c>
      <c r="B879" s="330" t="s">
        <v>99</v>
      </c>
      <c r="D879" s="342"/>
      <c r="E879" s="195"/>
      <c r="I879" s="330"/>
    </row>
    <row r="880" spans="1:12" ht="13">
      <c r="A880" s="331">
        <v>15</v>
      </c>
      <c r="B880" s="330" t="s">
        <v>74</v>
      </c>
      <c r="D880" s="342"/>
      <c r="E880" s="195"/>
      <c r="I880" s="330"/>
    </row>
    <row r="881" spans="1:12" ht="13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L881" si="148">F877</f>
        <v>22826103</v>
      </c>
      <c r="G881" s="345">
        <f t="shared" ca="1" si="148"/>
        <v>14532415</v>
      </c>
      <c r="H881" s="345">
        <f t="shared" si="148"/>
        <v>5855520</v>
      </c>
      <c r="I881" s="345">
        <f t="shared" ca="1" si="148"/>
        <v>1825411</v>
      </c>
      <c r="J881" s="345">
        <f t="shared" si="148"/>
        <v>612757</v>
      </c>
      <c r="K881" s="345">
        <f t="shared" ca="1" si="148"/>
        <v>22826103</v>
      </c>
      <c r="L881" s="345">
        <f t="shared" ca="1" si="148"/>
        <v>0.9919999918929534</v>
      </c>
    </row>
    <row r="882" spans="1:12" ht="13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L882" si="149">SUM(F881:F881)</f>
        <v>22826103</v>
      </c>
      <c r="G882" s="345">
        <f t="shared" ca="1" si="149"/>
        <v>14532415</v>
      </c>
      <c r="H882" s="345">
        <f t="shared" si="149"/>
        <v>5855520</v>
      </c>
      <c r="I882" s="345">
        <f t="shared" ca="1" si="149"/>
        <v>1825411</v>
      </c>
      <c r="J882" s="345">
        <f t="shared" si="149"/>
        <v>612757</v>
      </c>
      <c r="K882" s="345">
        <f t="shared" ca="1" si="149"/>
        <v>22826103</v>
      </c>
      <c r="L882" s="345">
        <f t="shared" ca="1" si="149"/>
        <v>0.9919999918929534</v>
      </c>
    </row>
    <row r="883" spans="1:12" ht="13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348">
        <f>G692</f>
        <v>0.21</v>
      </c>
      <c r="H883" s="348">
        <f>H692</f>
        <v>0.21</v>
      </c>
      <c r="I883" s="348">
        <f>I692</f>
        <v>0.21</v>
      </c>
      <c r="J883" s="348">
        <f>J692</f>
        <v>0.21</v>
      </c>
      <c r="K883" s="348"/>
      <c r="L883" s="348">
        <f>'FR-16(7)(v)-1 Functional'!K692</f>
        <v>0.21</v>
      </c>
    </row>
    <row r="884" spans="1:12" ht="13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>ROUND(F883*F882,0)</f>
        <v>4793482</v>
      </c>
      <c r="G884" s="345">
        <f ca="1">F884-SUM(H884:J884)</f>
        <v>3051808</v>
      </c>
      <c r="H884" s="345">
        <f>ROUND(H883*H882,0)</f>
        <v>1229659</v>
      </c>
      <c r="I884" s="345">
        <f ca="1">ROUND(I883*I882,0)</f>
        <v>383336</v>
      </c>
      <c r="J884" s="345">
        <f>ROUND(J883*J882,0)</f>
        <v>128679</v>
      </c>
      <c r="K884" s="345">
        <f ca="1">SUM(G884:J884)</f>
        <v>4793482</v>
      </c>
      <c r="L884" s="345">
        <f ca="1">ROUND(L883*L882,0)</f>
        <v>0</v>
      </c>
    </row>
    <row r="885" spans="1:12" ht="13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730942</v>
      </c>
      <c r="G885" s="345">
        <f>$G$532</f>
        <v>468550</v>
      </c>
      <c r="H885" s="345">
        <f>$H$532</f>
        <v>280122</v>
      </c>
      <c r="I885" s="345">
        <f>$I$532</f>
        <v>-18548</v>
      </c>
      <c r="J885" s="345">
        <f>$J$532</f>
        <v>818</v>
      </c>
      <c r="K885" s="345">
        <f>$K$532</f>
        <v>730942</v>
      </c>
      <c r="L885" s="345">
        <f>$L$532</f>
        <v>0</v>
      </c>
    </row>
    <row r="886" spans="1:12" ht="13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-60747</v>
      </c>
      <c r="G886" s="345">
        <f>-$G$536</f>
        <v>-38702</v>
      </c>
      <c r="H886" s="345">
        <f>-$H$536</f>
        <v>-15154</v>
      </c>
      <c r="I886" s="345">
        <f>-$I$536</f>
        <v>-5211</v>
      </c>
      <c r="J886" s="345">
        <f>-$J$536</f>
        <v>-1680</v>
      </c>
      <c r="K886" s="345">
        <f>-$K$536</f>
        <v>-60747</v>
      </c>
      <c r="L886" s="345">
        <f>-$L$536</f>
        <v>0</v>
      </c>
    </row>
    <row r="887" spans="1:12" ht="13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L887" si="150">SUM(F884:F886)</f>
        <v>5463677</v>
      </c>
      <c r="G887" s="346">
        <f t="shared" ca="1" si="150"/>
        <v>3481656</v>
      </c>
      <c r="H887" s="346">
        <f t="shared" si="150"/>
        <v>1494627</v>
      </c>
      <c r="I887" s="346">
        <f t="shared" ca="1" si="150"/>
        <v>359577</v>
      </c>
      <c r="J887" s="346">
        <f t="shared" si="150"/>
        <v>127817</v>
      </c>
      <c r="K887" s="346">
        <f t="shared" ca="1" si="150"/>
        <v>5463677</v>
      </c>
      <c r="L887" s="346">
        <f t="shared" ca="1" si="150"/>
        <v>0</v>
      </c>
    </row>
    <row r="888" spans="1:12" ht="13">
      <c r="A888" s="331">
        <v>23</v>
      </c>
      <c r="D888" s="342"/>
      <c r="E888" s="195"/>
      <c r="I888" s="330"/>
    </row>
    <row r="889" spans="1:12" ht="13">
      <c r="A889" s="331">
        <v>24</v>
      </c>
      <c r="B889" s="330" t="s">
        <v>75</v>
      </c>
      <c r="D889" s="342"/>
      <c r="E889" s="195"/>
      <c r="I889" s="330"/>
    </row>
    <row r="890" spans="1:12" ht="13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L890" si="151">F884</f>
        <v>4793482</v>
      </c>
      <c r="G890" s="345">
        <f t="shared" ca="1" si="151"/>
        <v>3051808</v>
      </c>
      <c r="H890" s="345">
        <f t="shared" si="151"/>
        <v>1229659</v>
      </c>
      <c r="I890" s="345">
        <f t="shared" ca="1" si="151"/>
        <v>383336</v>
      </c>
      <c r="J890" s="345">
        <f t="shared" si="151"/>
        <v>128679</v>
      </c>
      <c r="K890" s="345">
        <f t="shared" ca="1" si="151"/>
        <v>4793482</v>
      </c>
      <c r="L890" s="345">
        <f t="shared" ca="1" si="151"/>
        <v>0</v>
      </c>
    </row>
    <row r="891" spans="1:12" ht="13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620">
        <f>-$G$540</f>
        <v>0</v>
      </c>
      <c r="H891" s="620">
        <f>-$H$540</f>
        <v>0</v>
      </c>
      <c r="I891" s="345">
        <f>-$I$540</f>
        <v>0</v>
      </c>
      <c r="J891" s="345">
        <f>-$J$540</f>
        <v>0</v>
      </c>
      <c r="K891" s="345">
        <f>-$K$540</f>
        <v>0</v>
      </c>
      <c r="L891" s="345">
        <f>-$L$540</f>
        <v>0</v>
      </c>
    </row>
    <row r="892" spans="1:12" ht="13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L892" si="152">SUM(F889:F891)</f>
        <v>4793482</v>
      </c>
      <c r="G892" s="346">
        <f t="shared" ca="1" si="152"/>
        <v>3051808</v>
      </c>
      <c r="H892" s="346">
        <f t="shared" si="152"/>
        <v>1229659</v>
      </c>
      <c r="I892" s="346">
        <f t="shared" ca="1" si="152"/>
        <v>383336</v>
      </c>
      <c r="J892" s="346">
        <f t="shared" si="152"/>
        <v>128679</v>
      </c>
      <c r="K892" s="346">
        <f t="shared" ca="1" si="152"/>
        <v>4793482</v>
      </c>
      <c r="L892" s="346">
        <f t="shared" ca="1" si="152"/>
        <v>0</v>
      </c>
    </row>
    <row r="893" spans="1:12" ht="13">
      <c r="A893" s="331">
        <v>28</v>
      </c>
      <c r="D893" s="342"/>
      <c r="E893" s="195"/>
      <c r="I893" s="330"/>
    </row>
    <row r="894" spans="1:12" ht="13">
      <c r="A894" s="331">
        <v>29</v>
      </c>
      <c r="B894" s="330" t="s">
        <v>40</v>
      </c>
      <c r="D894" s="342"/>
      <c r="E894" s="195"/>
      <c r="I894" s="330"/>
    </row>
    <row r="895" spans="1:12" ht="13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L895" si="153">F872</f>
        <v>38660017</v>
      </c>
      <c r="G895" s="345">
        <f t="shared" ca="1" si="153"/>
        <v>24632928</v>
      </c>
      <c r="H895" s="345">
        <f t="shared" si="153"/>
        <v>9805274</v>
      </c>
      <c r="I895" s="345">
        <f t="shared" ca="1" si="153"/>
        <v>3183686</v>
      </c>
      <c r="J895" s="345">
        <f t="shared" si="153"/>
        <v>1038129</v>
      </c>
      <c r="K895" s="345">
        <f t="shared" ca="1" si="153"/>
        <v>38660017</v>
      </c>
      <c r="L895" s="345">
        <f t="shared" ca="1" si="153"/>
        <v>0.9919999918929534</v>
      </c>
    </row>
    <row r="896" spans="1:12" ht="13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L896" si="154">-F887</f>
        <v>-5463677</v>
      </c>
      <c r="G896" s="345">
        <f t="shared" ca="1" si="154"/>
        <v>-3481656</v>
      </c>
      <c r="H896" s="345">
        <f t="shared" si="154"/>
        <v>-1494627</v>
      </c>
      <c r="I896" s="345">
        <f t="shared" ca="1" si="154"/>
        <v>-359577</v>
      </c>
      <c r="J896" s="345">
        <f t="shared" si="154"/>
        <v>-127817</v>
      </c>
      <c r="K896" s="345">
        <f t="shared" ca="1" si="154"/>
        <v>-5463677</v>
      </c>
      <c r="L896" s="345">
        <f t="shared" ca="1" si="154"/>
        <v>0</v>
      </c>
    </row>
    <row r="897" spans="1:14" ht="13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L897" si="155">SUM(F894:F896)</f>
        <v>33196340</v>
      </c>
      <c r="G897" s="346">
        <f t="shared" ca="1" si="155"/>
        <v>21151272</v>
      </c>
      <c r="H897" s="346">
        <f t="shared" si="155"/>
        <v>8310647</v>
      </c>
      <c r="I897" s="346">
        <f t="shared" ca="1" si="155"/>
        <v>2824109</v>
      </c>
      <c r="J897" s="346">
        <f t="shared" si="155"/>
        <v>910312</v>
      </c>
      <c r="K897" s="346">
        <f t="shared" ca="1" si="155"/>
        <v>33196340</v>
      </c>
      <c r="L897" s="346">
        <f t="shared" ca="1" si="155"/>
        <v>0.9919999918929534</v>
      </c>
    </row>
    <row r="898" spans="1:14" ht="13">
      <c r="A898" s="331">
        <v>33</v>
      </c>
      <c r="D898" s="342"/>
      <c r="E898" s="195"/>
      <c r="I898" s="330"/>
    </row>
    <row r="899" spans="1:14" ht="13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L899" si="156">IF(F331=0,0,ROUND(F897/F331,5))</f>
        <v>7.0879999999999999E-2</v>
      </c>
      <c r="G899" s="348">
        <f t="shared" ca="1" si="156"/>
        <v>7.0879999999999999E-2</v>
      </c>
      <c r="H899" s="348">
        <f t="shared" si="156"/>
        <v>7.0879999999999999E-2</v>
      </c>
      <c r="I899" s="348">
        <f t="shared" ca="1" si="156"/>
        <v>7.0889999999999995E-2</v>
      </c>
      <c r="J899" s="348">
        <f t="shared" si="156"/>
        <v>7.0900000000000005E-2</v>
      </c>
      <c r="K899" s="348">
        <f t="shared" ca="1" si="156"/>
        <v>7.0879999999999999E-2</v>
      </c>
      <c r="L899" s="348">
        <f t="shared" ca="1" si="156"/>
        <v>10.345140000000001</v>
      </c>
    </row>
    <row r="900" spans="1:14" ht="13">
      <c r="N900" s="195"/>
    </row>
  </sheetData>
  <pageMargins left="1" right="1" top="1" bottom="1" header="1" footer="0.5"/>
  <pageSetup scale="63" orientation="landscape" blackAndWhite="1" r:id="rId1"/>
  <headerFooter alignWithMargins="0"/>
  <rowBreaks count="13" manualBreakCount="13">
    <brk id="44" max="11" man="1"/>
    <brk id="101" max="11" man="1"/>
    <brk id="151" max="11" man="1"/>
    <brk id="191" max="11" man="1"/>
    <brk id="238" max="11" man="1"/>
    <brk id="283" max="11" man="1"/>
    <brk id="334" max="11" man="1"/>
    <brk id="389" max="11" man="1"/>
    <brk id="433" max="11" man="1"/>
    <brk id="465" max="11" man="1"/>
    <brk id="501" max="11" man="1"/>
    <brk id="565" max="11" man="1"/>
    <brk id="655" max="11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1">
    <tabColor rgb="FFFFFF00"/>
    <pageSetUpPr fitToPage="1"/>
  </sheetPr>
  <dimension ref="A1:N899"/>
  <sheetViews>
    <sheetView zoomScale="80" zoomScaleNormal="80" zoomScaleSheetLayoutView="80" zoomScalePageLayoutView="90" workbookViewId="0"/>
  </sheetViews>
  <sheetFormatPr defaultColWidth="8.765625" defaultRowHeight="12.5"/>
  <cols>
    <col min="1" max="1" width="6.4609375" style="330" customWidth="1"/>
    <col min="2" max="2" width="3.53515625" style="330" customWidth="1"/>
    <col min="3" max="3" width="41.765625" style="330" customWidth="1"/>
    <col min="4" max="4" width="8.23046875" style="331" customWidth="1"/>
    <col min="5" max="5" width="8.765625" style="330" customWidth="1"/>
    <col min="6" max="6" width="14" style="330" customWidth="1"/>
    <col min="7" max="8" width="11.765625" style="330" customWidth="1"/>
    <col min="9" max="9" width="13.765625" style="330" customWidth="1"/>
    <col min="10" max="11" width="11.765625" style="330" customWidth="1"/>
    <col min="12" max="16384" width="8.765625" style="330"/>
  </cols>
  <sheetData>
    <row r="1" spans="1:11" ht="13">
      <c r="A1" s="341" t="str">
        <f>co_name</f>
        <v>DUKE ENERGY KENTUCKY, INC.</v>
      </c>
      <c r="C1" s="195"/>
      <c r="D1" s="342"/>
      <c r="E1" s="195"/>
      <c r="F1" s="195"/>
      <c r="G1" s="195"/>
      <c r="H1" s="195"/>
      <c r="I1" s="195"/>
      <c r="J1" s="577" t="s">
        <v>1460</v>
      </c>
      <c r="K1" s="195"/>
    </row>
    <row r="2" spans="1:11" ht="13">
      <c r="A2" s="577" t="s">
        <v>1205</v>
      </c>
      <c r="C2" s="195"/>
      <c r="D2" s="342"/>
      <c r="E2" s="195"/>
      <c r="F2" s="195"/>
      <c r="G2" s="195"/>
      <c r="H2" s="195"/>
      <c r="I2" s="195"/>
      <c r="J2" s="577" t="s">
        <v>435</v>
      </c>
      <c r="K2" s="195"/>
    </row>
    <row r="3" spans="1:11" ht="13">
      <c r="A3" s="341" t="str">
        <f>case_name</f>
        <v>CASE NO: 2021-00190</v>
      </c>
      <c r="C3" s="195"/>
      <c r="D3" s="342"/>
      <c r="E3" s="195"/>
      <c r="F3" s="195"/>
      <c r="G3" s="195"/>
      <c r="H3" s="195"/>
      <c r="I3" s="195"/>
      <c r="J3" s="195" t="str">
        <f>Witness</f>
        <v>JAMES E. ZIOLKOWSKI</v>
      </c>
      <c r="K3" s="195"/>
    </row>
    <row r="4" spans="1:11" ht="13">
      <c r="A4" s="341" t="str">
        <f>data_filing</f>
        <v>DATA: 12 MONTH FORECASTED PERIOD</v>
      </c>
      <c r="C4" s="195"/>
      <c r="D4" s="342"/>
      <c r="E4" s="195"/>
      <c r="F4" s="195"/>
      <c r="G4" s="195"/>
      <c r="H4" s="195"/>
      <c r="I4" s="195"/>
      <c r="J4" s="195" t="str">
        <f>"PAGE "&amp;Pages2-14&amp;" OF "&amp;Pages2</f>
        <v>PAGE 1 OF 15</v>
      </c>
      <c r="K4" s="195"/>
    </row>
    <row r="5" spans="1:11" ht="13">
      <c r="A5" s="341" t="str">
        <f>type</f>
        <v xml:space="preserve">TYPE OF FILING: "X" ORIGINAL   UPDATED    REVISED  </v>
      </c>
      <c r="C5" s="195"/>
      <c r="D5" s="342"/>
      <c r="E5" s="195"/>
      <c r="F5" s="195"/>
      <c r="G5" s="195"/>
      <c r="H5" s="195"/>
      <c r="I5" s="195"/>
      <c r="J5" s="195"/>
      <c r="K5" s="195"/>
    </row>
    <row r="6" spans="1:11" ht="13">
      <c r="A6" s="341"/>
      <c r="C6" s="195"/>
      <c r="D6" s="342"/>
      <c r="E6" s="195"/>
      <c r="F6" s="195"/>
      <c r="G6" s="195"/>
      <c r="H6" s="195"/>
      <c r="I6" s="195"/>
      <c r="J6" s="195"/>
      <c r="K6" s="195"/>
    </row>
    <row r="7" spans="1:11" ht="13">
      <c r="A7" s="341"/>
      <c r="C7" s="195"/>
      <c r="D7" s="342"/>
      <c r="E7" s="195"/>
      <c r="F7" s="195"/>
      <c r="G7" s="195"/>
      <c r="H7" s="195"/>
      <c r="I7" s="195"/>
      <c r="J7" s="195"/>
      <c r="K7" s="195"/>
    </row>
    <row r="8" spans="1:11" ht="13">
      <c r="A8" s="342" t="s">
        <v>907</v>
      </c>
      <c r="B8" s="195"/>
      <c r="C8" s="195"/>
      <c r="D8" s="342"/>
      <c r="E8" s="195"/>
      <c r="F8" s="342" t="s">
        <v>229</v>
      </c>
      <c r="G8" s="539" t="s">
        <v>995</v>
      </c>
      <c r="H8" s="527"/>
      <c r="I8" s="528"/>
      <c r="J8" s="342" t="s">
        <v>229</v>
      </c>
      <c r="K8" s="342" t="s">
        <v>342</v>
      </c>
    </row>
    <row r="9" spans="1:11" ht="13">
      <c r="A9" s="344" t="s">
        <v>908</v>
      </c>
      <c r="B9" s="343" t="s">
        <v>102</v>
      </c>
      <c r="C9" s="343"/>
      <c r="D9" s="344" t="s">
        <v>337</v>
      </c>
      <c r="E9" s="343"/>
      <c r="F9" s="822" t="s">
        <v>338</v>
      </c>
      <c r="G9" s="540" t="s">
        <v>840</v>
      </c>
      <c r="H9" s="529" t="s">
        <v>841</v>
      </c>
      <c r="I9" s="530" t="s">
        <v>842</v>
      </c>
      <c r="J9" s="344" t="s">
        <v>341</v>
      </c>
      <c r="K9" s="344" t="s">
        <v>340</v>
      </c>
    </row>
    <row r="10" spans="1:11" ht="13">
      <c r="C10" s="572" t="s">
        <v>354</v>
      </c>
      <c r="D10" s="342"/>
      <c r="E10" s="195"/>
      <c r="G10" s="779">
        <v>3</v>
      </c>
      <c r="H10" s="780">
        <v>4</v>
      </c>
      <c r="I10" s="781">
        <v>5</v>
      </c>
    </row>
    <row r="11" spans="1:11" ht="13">
      <c r="A11" s="331">
        <v>1</v>
      </c>
      <c r="B11" s="330" t="s">
        <v>100</v>
      </c>
      <c r="D11" s="342"/>
      <c r="E11" s="195"/>
      <c r="G11" s="541"/>
      <c r="H11" s="531"/>
      <c r="I11" s="532"/>
    </row>
    <row r="12" spans="1:11" ht="13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>F101</f>
        <v>493438868</v>
      </c>
      <c r="G12" s="542">
        <f>G101</f>
        <v>241079082</v>
      </c>
      <c r="H12" s="533">
        <f>H101</f>
        <v>6103706</v>
      </c>
      <c r="I12" s="534">
        <f>I101</f>
        <v>246256080</v>
      </c>
      <c r="J12" s="345">
        <f>J101</f>
        <v>493438868</v>
      </c>
      <c r="K12" s="345">
        <f>F12-J12</f>
        <v>0</v>
      </c>
    </row>
    <row r="13" spans="1:11" ht="13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>-F151</f>
        <v>-133530689</v>
      </c>
      <c r="G13" s="542">
        <f>-G151</f>
        <v>-65692443</v>
      </c>
      <c r="H13" s="533">
        <f>-H151</f>
        <v>-3336302</v>
      </c>
      <c r="I13" s="534">
        <f>-I151</f>
        <v>-64501944</v>
      </c>
      <c r="J13" s="345">
        <f>-J151</f>
        <v>-133530689</v>
      </c>
      <c r="K13" s="345">
        <f>F13-J13</f>
        <v>0</v>
      </c>
    </row>
    <row r="14" spans="1:11" ht="13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>F326</f>
        <v>-61512130</v>
      </c>
      <c r="G14" s="542">
        <f>G326</f>
        <v>-31171348</v>
      </c>
      <c r="H14" s="533">
        <f>H326</f>
        <v>1850503</v>
      </c>
      <c r="I14" s="534">
        <f>I326</f>
        <v>-32191285</v>
      </c>
      <c r="J14" s="345">
        <f>J326</f>
        <v>-61512130</v>
      </c>
      <c r="K14" s="345">
        <f>F14-J14</f>
        <v>0</v>
      </c>
    </row>
    <row r="15" spans="1:11" ht="13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0">SUM(F12:F14)</f>
        <v>298396049</v>
      </c>
      <c r="G15" s="543">
        <f t="shared" si="0"/>
        <v>144215291</v>
      </c>
      <c r="H15" s="535">
        <f t="shared" si="0"/>
        <v>4617907</v>
      </c>
      <c r="I15" s="536">
        <f t="shared" si="0"/>
        <v>149562851</v>
      </c>
      <c r="J15" s="346">
        <f t="shared" si="0"/>
        <v>298396049</v>
      </c>
      <c r="K15" s="346">
        <f t="shared" si="0"/>
        <v>0</v>
      </c>
    </row>
    <row r="16" spans="1:11" ht="13">
      <c r="A16" s="331">
        <v>6</v>
      </c>
      <c r="D16" s="342"/>
      <c r="E16" s="195"/>
      <c r="G16" s="541"/>
      <c r="H16" s="531"/>
      <c r="I16" s="532"/>
    </row>
    <row r="17" spans="1:11" ht="13">
      <c r="A17" s="331">
        <v>7</v>
      </c>
      <c r="B17" s="330" t="s">
        <v>98</v>
      </c>
      <c r="D17" s="342"/>
      <c r="E17" s="195"/>
      <c r="G17" s="541"/>
      <c r="H17" s="531"/>
      <c r="I17" s="532"/>
    </row>
    <row r="18" spans="1:11" ht="13">
      <c r="A18" s="331">
        <v>8</v>
      </c>
      <c r="C18" s="330" t="str">
        <f>'FR-16(7)(v)-1 Functional'!C18</f>
        <v>TOTAL O&amp;M EXPENSE</v>
      </c>
      <c r="D18" s="342"/>
      <c r="E18" s="195"/>
      <c r="F18" s="345">
        <f>F433</f>
        <v>40778122</v>
      </c>
      <c r="G18" s="542">
        <f>G433</f>
        <v>5047060</v>
      </c>
      <c r="H18" s="533">
        <f>H433</f>
        <v>27093565</v>
      </c>
      <c r="I18" s="534">
        <f>I433</f>
        <v>8637497</v>
      </c>
      <c r="J18" s="345">
        <f>J433</f>
        <v>40778122</v>
      </c>
      <c r="K18" s="345">
        <f t="shared" ref="K18:K24" si="1">F18-J18</f>
        <v>0</v>
      </c>
    </row>
    <row r="19" spans="1:11" ht="13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>F465</f>
        <v>12162320</v>
      </c>
      <c r="G19" s="542">
        <f>G465</f>
        <v>5602813</v>
      </c>
      <c r="H19" s="533">
        <f>H465</f>
        <v>477044</v>
      </c>
      <c r="I19" s="534">
        <f>I465</f>
        <v>6082463</v>
      </c>
      <c r="J19" s="345">
        <f>J465</f>
        <v>12162320</v>
      </c>
      <c r="K19" s="345">
        <f t="shared" si="1"/>
        <v>0</v>
      </c>
    </row>
    <row r="20" spans="1:11" ht="13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3030944</v>
      </c>
      <c r="G20" s="542">
        <f>$G$495</f>
        <v>1417503</v>
      </c>
      <c r="H20" s="533">
        <f>$H$495</f>
        <v>83279</v>
      </c>
      <c r="I20" s="534">
        <f>$I$495</f>
        <v>1530162</v>
      </c>
      <c r="J20" s="345">
        <f>$J$495</f>
        <v>3030944</v>
      </c>
      <c r="K20" s="345">
        <f t="shared" si="1"/>
        <v>0</v>
      </c>
    </row>
    <row r="21" spans="1:11" ht="13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>SUM(F17:F20)</f>
        <v>55971386</v>
      </c>
      <c r="G21" s="543">
        <f>SUM(G17:G20)</f>
        <v>12067376</v>
      </c>
      <c r="H21" s="535">
        <f>SUM(H17:H20)</f>
        <v>27653888</v>
      </c>
      <c r="I21" s="536">
        <f>SUM(I17:I20)</f>
        <v>16250122</v>
      </c>
      <c r="J21" s="346">
        <f>SUM(J17:J20)</f>
        <v>55971386</v>
      </c>
      <c r="K21" s="346">
        <f t="shared" si="1"/>
        <v>0</v>
      </c>
    </row>
    <row r="22" spans="1:11" ht="13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 ca="1">F557</f>
        <v>3566167</v>
      </c>
      <c r="G22" s="542">
        <f ca="1">$G$557</f>
        <v>1367879</v>
      </c>
      <c r="H22" s="533">
        <f ca="1">$H$557</f>
        <v>672918</v>
      </c>
      <c r="I22" s="534">
        <f ca="1">$I$557</f>
        <v>1525370</v>
      </c>
      <c r="J22" s="345">
        <f ca="1">$J$557</f>
        <v>3566167</v>
      </c>
      <c r="K22" s="345">
        <f t="shared" ca="1" si="1"/>
        <v>0</v>
      </c>
    </row>
    <row r="23" spans="1:11" ht="13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 ca="1">F605</f>
        <v>957895</v>
      </c>
      <c r="G23" s="542">
        <f ca="1">G605</f>
        <v>354954</v>
      </c>
      <c r="H23" s="533">
        <f ca="1">H605</f>
        <v>39193</v>
      </c>
      <c r="I23" s="534">
        <f ca="1">I605</f>
        <v>563748</v>
      </c>
      <c r="J23" s="345">
        <f ca="1">J605</f>
        <v>957895</v>
      </c>
      <c r="K23" s="345">
        <f t="shared" ca="1" si="1"/>
        <v>0</v>
      </c>
    </row>
    <row r="24" spans="1:11" ht="13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 ca="1">SUM(F21:F23)</f>
        <v>60495448</v>
      </c>
      <c r="G24" s="543">
        <f ca="1">SUM(G21:G23)</f>
        <v>13790209</v>
      </c>
      <c r="H24" s="535">
        <f ca="1">SUM(H21:H23)</f>
        <v>28365999</v>
      </c>
      <c r="I24" s="536">
        <f ca="1">SUM(I21:I23)</f>
        <v>18339240</v>
      </c>
      <c r="J24" s="346">
        <f ca="1">SUM(J21:J23)</f>
        <v>60495448</v>
      </c>
      <c r="K24" s="346">
        <f t="shared" ca="1" si="1"/>
        <v>0</v>
      </c>
    </row>
    <row r="25" spans="1:11" ht="13">
      <c r="A25" s="331">
        <v>15</v>
      </c>
      <c r="D25" s="342"/>
      <c r="E25" s="195"/>
      <c r="G25" s="541"/>
      <c r="H25" s="531"/>
      <c r="I25" s="532"/>
    </row>
    <row r="26" spans="1:11" ht="13">
      <c r="A26" s="331">
        <v>16</v>
      </c>
      <c r="B26" s="330" t="s">
        <v>43</v>
      </c>
      <c r="D26" s="342"/>
      <c r="E26" s="195"/>
      <c r="F26" s="345">
        <f>F334</f>
        <v>21066761</v>
      </c>
      <c r="G26" s="542">
        <f>G334</f>
        <v>10181600</v>
      </c>
      <c r="H26" s="533">
        <f>H334</f>
        <v>326024</v>
      </c>
      <c r="I26" s="534">
        <f>I334</f>
        <v>10559137</v>
      </c>
      <c r="J26" s="345">
        <f>J334</f>
        <v>21066761</v>
      </c>
      <c r="K26" s="345">
        <f t="shared" ref="K26:K31" si="2">F26-J26</f>
        <v>0</v>
      </c>
    </row>
    <row r="27" spans="1:11" ht="13">
      <c r="A27" s="331">
        <v>17</v>
      </c>
      <c r="B27" s="357" t="s">
        <v>103</v>
      </c>
      <c r="C27" s="357"/>
      <c r="D27" s="342"/>
      <c r="E27" s="195"/>
      <c r="F27" s="345">
        <f>-F630</f>
        <v>-222777</v>
      </c>
      <c r="G27" s="542">
        <f>-$G$630</f>
        <v>-61556</v>
      </c>
      <c r="H27" s="533">
        <f>-$H$630</f>
        <v>-25145</v>
      </c>
      <c r="I27" s="534">
        <f>-$I$630</f>
        <v>-136076</v>
      </c>
      <c r="J27" s="345">
        <f>-$J$630</f>
        <v>-222777</v>
      </c>
      <c r="K27" s="345">
        <f t="shared" si="2"/>
        <v>0</v>
      </c>
    </row>
    <row r="28" spans="1:11" ht="13">
      <c r="A28" s="331">
        <v>18</v>
      </c>
      <c r="C28" s="330" t="str">
        <f>'FR-16(7)(v)-1 Functional'!C28</f>
        <v>TOTAL GAS COST OF SERVICE</v>
      </c>
      <c r="D28" s="342"/>
      <c r="E28" s="195"/>
      <c r="F28" s="346">
        <f ca="1">SUM(F24:F27)</f>
        <v>81339432</v>
      </c>
      <c r="G28" s="551">
        <f ca="1">SUM(G24:G27)</f>
        <v>23910253</v>
      </c>
      <c r="H28" s="552">
        <f ca="1">SUM(H24:H27)</f>
        <v>28666878</v>
      </c>
      <c r="I28" s="553">
        <f ca="1">SUM(I24:I27)</f>
        <v>28762301</v>
      </c>
      <c r="J28" s="346">
        <f ca="1">SUM(J24:J27)</f>
        <v>81339432</v>
      </c>
      <c r="K28" s="346">
        <f t="shared" ca="1" si="2"/>
        <v>0</v>
      </c>
    </row>
    <row r="29" spans="1:11" ht="13">
      <c r="A29" s="1104">
        <v>19</v>
      </c>
      <c r="B29" s="1105" t="s">
        <v>1184</v>
      </c>
      <c r="C29" s="1106"/>
      <c r="D29" s="1107">
        <f>1-'WP FR-16(7)(v)Rate Incr (40.0%)'!I11</f>
        <v>0</v>
      </c>
      <c r="E29" s="1108"/>
      <c r="F29" s="1109">
        <f ca="1">SUM(G29:I29)</f>
        <v>0</v>
      </c>
      <c r="G29" s="1170">
        <f ca="1">'WP FR-16(7)(v)Rate Incr (40.0%)'!T15</f>
        <v>0</v>
      </c>
      <c r="H29" s="1112">
        <f ca="1">'WP FR-16(7)(v)Rate Incr (40.0%)'!U15</f>
        <v>0</v>
      </c>
      <c r="I29" s="1171">
        <f ca="1">'WP FR-16(7)(v)Rate Incr (40.0%)'!V15</f>
        <v>0</v>
      </c>
      <c r="J29" s="1112">
        <f ca="1">SUM(G29:I29)</f>
        <v>0</v>
      </c>
      <c r="K29" s="1112">
        <f t="shared" ca="1" si="2"/>
        <v>0</v>
      </c>
    </row>
    <row r="30" spans="1:11" ht="13">
      <c r="A30" s="1104">
        <v>20</v>
      </c>
      <c r="B30" s="1113" t="s">
        <v>1185</v>
      </c>
      <c r="C30" s="1017"/>
      <c r="D30" s="1114"/>
      <c r="E30" s="1108"/>
      <c r="F30" s="1115">
        <f ca="1">F28+F29</f>
        <v>81339432</v>
      </c>
      <c r="G30" s="1116">
        <f ca="1">G28+G29</f>
        <v>23910253</v>
      </c>
      <c r="H30" s="1117">
        <f ca="1">H28+H29</f>
        <v>28666878</v>
      </c>
      <c r="I30" s="1118">
        <f ca="1">I28+I29</f>
        <v>28762301</v>
      </c>
      <c r="J30" s="1119">
        <f ca="1">SUM(G30:I30)</f>
        <v>81339432</v>
      </c>
      <c r="K30" s="1119">
        <f t="shared" ca="1" si="2"/>
        <v>0</v>
      </c>
    </row>
    <row r="31" spans="1:11" ht="13">
      <c r="A31" s="1104">
        <v>21</v>
      </c>
      <c r="B31" s="1120" t="s">
        <v>843</v>
      </c>
      <c r="C31" s="1106"/>
      <c r="D31" s="1114"/>
      <c r="E31" s="1108"/>
      <c r="F31" s="1140">
        <f>'FR-16(7)(v)-8 TOT CLASS Alloc'!G31</f>
        <v>85341377</v>
      </c>
      <c r="G31" s="1116">
        <f>'FR-16(7)(v)-5 DISTR Dem Alloc'!G31</f>
        <v>31797068</v>
      </c>
      <c r="H31" s="1117">
        <f>'FR-16(7)(v)-3 PROD Comm Alloc'!G31</f>
        <v>31413307</v>
      </c>
      <c r="I31" s="1118">
        <f>'FR-16(7)(v)-6 DISTR Cust Alloc'!G31</f>
        <v>22131002</v>
      </c>
      <c r="J31" s="1119">
        <f>SUM(G31:I31)</f>
        <v>85341377</v>
      </c>
      <c r="K31" s="1119">
        <f t="shared" si="2"/>
        <v>0</v>
      </c>
    </row>
    <row r="32" spans="1:11" ht="13">
      <c r="A32" s="1104">
        <v>22</v>
      </c>
      <c r="B32" s="1121" t="s">
        <v>1186</v>
      </c>
      <c r="C32" s="1017"/>
      <c r="D32" s="1114"/>
      <c r="E32" s="1108"/>
      <c r="F32" s="1124">
        <f t="shared" ref="F32:K32" ca="1" si="3">F30-F31</f>
        <v>-4001945</v>
      </c>
      <c r="G32" s="1123">
        <f t="shared" ca="1" si="3"/>
        <v>-7886815</v>
      </c>
      <c r="H32" s="1124">
        <f t="shared" ca="1" si="3"/>
        <v>-2746429</v>
      </c>
      <c r="I32" s="1125">
        <f t="shared" ca="1" si="3"/>
        <v>6631299</v>
      </c>
      <c r="J32" s="1124">
        <f t="shared" ca="1" si="3"/>
        <v>-4001945</v>
      </c>
      <c r="K32" s="1124">
        <f t="shared" ca="1" si="3"/>
        <v>0</v>
      </c>
    </row>
    <row r="33" spans="1:14" ht="13">
      <c r="A33" s="1104">
        <v>23</v>
      </c>
      <c r="B33" s="1017"/>
      <c r="C33" s="1017"/>
      <c r="D33" s="1114"/>
      <c r="E33" s="1108"/>
      <c r="F33" s="1017"/>
      <c r="G33" s="1126"/>
      <c r="H33" s="1127"/>
      <c r="I33" s="1128"/>
      <c r="J33" s="1017"/>
      <c r="K33" s="1017"/>
    </row>
    <row r="34" spans="1:14" ht="13">
      <c r="A34" s="1104">
        <v>24</v>
      </c>
      <c r="B34" s="1017" t="s">
        <v>104</v>
      </c>
      <c r="C34" s="1017"/>
      <c r="D34" s="1114"/>
      <c r="E34" s="1108"/>
      <c r="F34" s="1119">
        <f ca="1">F654+F26</f>
        <v>24790361</v>
      </c>
      <c r="G34" s="1116">
        <f ca="1">G654+G26</f>
        <v>16369108</v>
      </c>
      <c r="H34" s="1117">
        <f ca="1">H654+H26</f>
        <v>2417330</v>
      </c>
      <c r="I34" s="1118">
        <f ca="1">I654+I26</f>
        <v>6003923</v>
      </c>
      <c r="J34" s="1119">
        <f ca="1">J654+J26</f>
        <v>24790361</v>
      </c>
      <c r="K34" s="1119">
        <f ca="1">F34-J34</f>
        <v>0</v>
      </c>
    </row>
    <row r="35" spans="1:14" ht="13">
      <c r="A35" s="1104">
        <v>25</v>
      </c>
      <c r="B35" s="1017" t="s">
        <v>105</v>
      </c>
      <c r="C35" s="1017"/>
      <c r="D35" s="1114"/>
      <c r="E35" s="1108"/>
      <c r="F35" s="1129">
        <f t="shared" ref="F35:K35" ca="1" si="4">IF(F331=0,0,ROUND(F34/F331,5))</f>
        <v>8.3080000000000001E-2</v>
      </c>
      <c r="G35" s="1130">
        <f t="shared" ca="1" si="4"/>
        <v>0.1135</v>
      </c>
      <c r="H35" s="1131">
        <f t="shared" ca="1" si="4"/>
        <v>0.52346999999999999</v>
      </c>
      <c r="I35" s="1132">
        <f t="shared" ca="1" si="4"/>
        <v>4.0140000000000002E-2</v>
      </c>
      <c r="J35" s="1129">
        <f t="shared" ca="1" si="4"/>
        <v>8.3080000000000001E-2</v>
      </c>
      <c r="K35" s="1129">
        <f t="shared" si="4"/>
        <v>0</v>
      </c>
    </row>
    <row r="36" spans="1:14" ht="13">
      <c r="A36" s="1104">
        <v>26</v>
      </c>
      <c r="B36" s="1017" t="s">
        <v>42</v>
      </c>
      <c r="C36" s="1017"/>
      <c r="D36" s="1114"/>
      <c r="E36" s="1108"/>
      <c r="F36" s="1129">
        <f>$F$688</f>
        <v>7.060000000000001E-2</v>
      </c>
      <c r="G36" s="1130">
        <f>F688</f>
        <v>7.060000000000001E-2</v>
      </c>
      <c r="H36" s="1131">
        <f>F688</f>
        <v>7.060000000000001E-2</v>
      </c>
      <c r="I36" s="1132">
        <f>F688</f>
        <v>7.060000000000001E-2</v>
      </c>
      <c r="J36" s="1129">
        <f>$F$688</f>
        <v>7.060000000000001E-2</v>
      </c>
      <c r="K36" s="1129">
        <f>IF(K35=0,0,$F$688)</f>
        <v>0</v>
      </c>
      <c r="N36" s="653" t="s">
        <v>1188</v>
      </c>
    </row>
    <row r="37" spans="1:14" ht="13">
      <c r="A37" s="1104">
        <v>27</v>
      </c>
      <c r="B37" s="1017" t="s">
        <v>106</v>
      </c>
      <c r="C37" s="1017"/>
      <c r="D37" s="1114"/>
      <c r="E37" s="1108"/>
      <c r="F37" s="1129">
        <f ca="1">IF(F670=0,0,(F35-$F$683-$F$684-$F$686)*$F$673/$F$670)</f>
        <v>0.12762799891405732</v>
      </c>
      <c r="G37" s="1130">
        <f ca="1">IF(F670=0,0,(G35-F683-F684-F686)*F673/F670)</f>
        <v>0.18763485713609171</v>
      </c>
      <c r="H37" s="1131">
        <f ca="1">IF(F670=0,0,(H35-F683-F684-F686)*F673/F670)</f>
        <v>0.99634661470635566</v>
      </c>
      <c r="I37" s="1132">
        <f ca="1">IF(F670=0,0,(I35-F683-F684-F686)*F673/F670)</f>
        <v>4.2924037965531493E-2</v>
      </c>
      <c r="J37" s="1129">
        <f ca="1">IF(F670=0,0,(J35-F683-F684-F686)*F673/F670)</f>
        <v>0.12762799891405732</v>
      </c>
      <c r="K37" s="1129">
        <f>IF(OR(E670=0,K35=0)=TRUE,0,(K35-E683-E684-E686)*E673/E670)</f>
        <v>0</v>
      </c>
      <c r="N37" s="653" t="s">
        <v>1189</v>
      </c>
    </row>
    <row r="38" spans="1:14" ht="13">
      <c r="A38" s="1104">
        <v>28</v>
      </c>
      <c r="B38" s="1017" t="s">
        <v>107</v>
      </c>
      <c r="C38" s="1017"/>
      <c r="D38" s="1114"/>
      <c r="E38" s="1108"/>
      <c r="F38" s="1129">
        <f>IF($F$670=0,0,(F36-$F$683-$F$684-$F$686)*$F$673/$F$670)</f>
        <v>0.10300980066912017</v>
      </c>
      <c r="G38" s="1130">
        <f>IF(F670=0,0,(G36-F683-F684-F686)*F673/F670)</f>
        <v>0.10300980066912017</v>
      </c>
      <c r="H38" s="1131">
        <f>IF(F670=0,0,(H36-F683-F684-F686)*F673/F670)</f>
        <v>0.10300980066912017</v>
      </c>
      <c r="I38" s="1132">
        <f>IF(F670=0,0,(I36-F683-F684-F686)*F673/F670)</f>
        <v>0.10300980066912017</v>
      </c>
      <c r="J38" s="1129">
        <f>IF($F$670=0,0,(J36-$F$683-$F$684-$F$686)*$F$673/$F$670)</f>
        <v>0.10300980066912017</v>
      </c>
      <c r="K38" s="1129">
        <f>IF(OR($F$670=0,K36=0)=TRUE,0,(K36-$F$683-$F$684-$F$686)*$F$673/$F$670)</f>
        <v>0</v>
      </c>
    </row>
    <row r="39" spans="1:14" ht="13">
      <c r="A39" s="1104">
        <v>29</v>
      </c>
      <c r="B39" s="1017"/>
      <c r="C39" s="1017"/>
      <c r="D39" s="1114"/>
      <c r="E39" s="1108"/>
      <c r="F39" s="1017" t="s">
        <v>343</v>
      </c>
      <c r="G39" s="1126"/>
      <c r="H39" s="1127"/>
      <c r="I39" s="1128"/>
      <c r="J39" s="1017"/>
      <c r="K39" s="1017"/>
    </row>
    <row r="40" spans="1:14" ht="13">
      <c r="A40" s="1104">
        <v>30</v>
      </c>
      <c r="B40" s="1017" t="s">
        <v>108</v>
      </c>
      <c r="C40" s="1017"/>
      <c r="D40" s="1114"/>
      <c r="E40" s="1108"/>
      <c r="F40" s="1140">
        <f>'FR-16(7)(v)-8 TOT CLASS Alloc'!G40</f>
        <v>75382959</v>
      </c>
      <c r="G40" s="1116">
        <f>F40-SUM(H40:I40)</f>
        <v>28086693</v>
      </c>
      <c r="H40" s="1117">
        <f>'FR-16(7)(v)-3 PROD Comm Alloc'!G40</f>
        <v>27747713</v>
      </c>
      <c r="I40" s="1118">
        <f>'FR-16(7)(v)-6 DISTR Cust Alloc'!G40</f>
        <v>19548553</v>
      </c>
      <c r="J40" s="1119">
        <f>SUM(G40:I40)</f>
        <v>75382959</v>
      </c>
      <c r="K40" s="1119">
        <f>F40-J40</f>
        <v>0</v>
      </c>
    </row>
    <row r="41" spans="1:14" ht="13">
      <c r="A41" s="1104">
        <v>31</v>
      </c>
      <c r="B41" s="1017" t="s">
        <v>109</v>
      </c>
      <c r="C41" s="1017"/>
      <c r="D41" s="1114"/>
      <c r="E41" s="1108"/>
      <c r="F41" s="1119">
        <f t="shared" ref="F41:K41" ca="1" si="5">F28-F40</f>
        <v>5956473</v>
      </c>
      <c r="G41" s="1116">
        <f t="shared" ca="1" si="5"/>
        <v>-4176440</v>
      </c>
      <c r="H41" s="1117">
        <f t="shared" ca="1" si="5"/>
        <v>919165</v>
      </c>
      <c r="I41" s="1118">
        <f t="shared" ca="1" si="5"/>
        <v>9213748</v>
      </c>
      <c r="J41" s="1119">
        <f t="shared" ca="1" si="5"/>
        <v>5956473</v>
      </c>
      <c r="K41" s="1119">
        <f t="shared" ca="1" si="5"/>
        <v>0</v>
      </c>
    </row>
    <row r="42" spans="1:14" ht="13">
      <c r="A42" s="1104">
        <v>32</v>
      </c>
      <c r="B42" s="1017"/>
      <c r="C42" s="1017" t="s">
        <v>283</v>
      </c>
      <c r="D42" s="1114"/>
      <c r="E42" s="1108"/>
      <c r="F42" s="1133">
        <f t="shared" ref="F42:K42" ca="1" si="6">IF(F40=0,0,ROUND(F41/F40,5))</f>
        <v>7.9020000000000007E-2</v>
      </c>
      <c r="G42" s="1134">
        <f t="shared" ca="1" si="6"/>
        <v>-0.1487</v>
      </c>
      <c r="H42" s="1135">
        <f t="shared" ca="1" si="6"/>
        <v>3.313E-2</v>
      </c>
      <c r="I42" s="1136">
        <f t="shared" ca="1" si="6"/>
        <v>0.47133000000000003</v>
      </c>
      <c r="J42" s="1133">
        <f t="shared" ca="1" si="6"/>
        <v>7.9020000000000007E-2</v>
      </c>
      <c r="K42" s="1119">
        <f t="shared" si="6"/>
        <v>0</v>
      </c>
    </row>
    <row r="43" spans="1:14" ht="13">
      <c r="A43" s="1104">
        <v>33</v>
      </c>
      <c r="B43" s="1017" t="s">
        <v>110</v>
      </c>
      <c r="C43" s="1017"/>
      <c r="D43" s="1114"/>
      <c r="E43" s="1108"/>
      <c r="F43" s="1119">
        <f t="shared" ref="F43:K43" si="7">F31-F40</f>
        <v>9958418</v>
      </c>
      <c r="G43" s="1116">
        <f t="shared" si="7"/>
        <v>3710375</v>
      </c>
      <c r="H43" s="1117">
        <f t="shared" si="7"/>
        <v>3665594</v>
      </c>
      <c r="I43" s="1118">
        <f t="shared" si="7"/>
        <v>2582449</v>
      </c>
      <c r="J43" s="1119">
        <f t="shared" si="7"/>
        <v>9958418</v>
      </c>
      <c r="K43" s="1119">
        <f t="shared" si="7"/>
        <v>0</v>
      </c>
    </row>
    <row r="44" spans="1:14" ht="13">
      <c r="A44" s="1104">
        <v>34</v>
      </c>
      <c r="B44" s="1017"/>
      <c r="C44" s="1017" t="s">
        <v>283</v>
      </c>
      <c r="D44" s="1114"/>
      <c r="E44" s="1108"/>
      <c r="F44" s="1133">
        <f t="shared" ref="F44:K44" si="8">IF(F40=0,0,ROUND(F43/F40,5))</f>
        <v>0.1321</v>
      </c>
      <c r="G44" s="1137">
        <f t="shared" si="8"/>
        <v>0.1321</v>
      </c>
      <c r="H44" s="1138">
        <f t="shared" si="8"/>
        <v>0.1321</v>
      </c>
      <c r="I44" s="1139">
        <f t="shared" si="8"/>
        <v>0.1321</v>
      </c>
      <c r="J44" s="1133">
        <f t="shared" si="8"/>
        <v>0.1321</v>
      </c>
      <c r="K44" s="1119">
        <f t="shared" si="8"/>
        <v>0</v>
      </c>
    </row>
    <row r="45" spans="1:14" ht="13">
      <c r="A45" s="341"/>
      <c r="C45" s="195"/>
      <c r="D45" s="342"/>
      <c r="E45" s="195"/>
      <c r="F45" s="195"/>
      <c r="G45" s="195"/>
      <c r="H45" s="195"/>
      <c r="I45" s="195"/>
      <c r="J45" s="195"/>
      <c r="K45" s="195"/>
    </row>
    <row r="46" spans="1:14" ht="13">
      <c r="A46" s="341" t="str">
        <f>co_name</f>
        <v>DUKE ENERGY KENTUCKY, INC.</v>
      </c>
      <c r="C46" s="195"/>
      <c r="D46" s="342"/>
      <c r="E46" s="195"/>
      <c r="F46" s="195"/>
      <c r="G46" s="195"/>
      <c r="H46" s="195"/>
      <c r="I46" s="195"/>
      <c r="J46" s="195" t="str">
        <f>$J$1</f>
        <v>FR-16(7)(v)-9</v>
      </c>
      <c r="K46" s="195"/>
    </row>
    <row r="47" spans="1:14" ht="13">
      <c r="A47" s="341" t="str">
        <f>$A$2</f>
        <v>RESIDENTIAL CLASSIFIED - GAS COST OF SERVICE</v>
      </c>
      <c r="C47" s="195"/>
      <c r="D47" s="342"/>
      <c r="E47" s="195"/>
      <c r="F47" s="195"/>
      <c r="G47" s="195"/>
      <c r="H47" s="195"/>
      <c r="I47" s="195"/>
      <c r="J47" s="195" t="str">
        <f>$J$2</f>
        <v>WITNESS RESPONSIBLE:</v>
      </c>
      <c r="K47" s="195"/>
    </row>
    <row r="48" spans="1:14" ht="13">
      <c r="A48" s="341" t="str">
        <f>case_name</f>
        <v>CASE NO: 2021-00190</v>
      </c>
      <c r="C48" s="195"/>
      <c r="D48" s="342"/>
      <c r="E48" s="195"/>
      <c r="F48" s="195"/>
      <c r="G48" s="195"/>
      <c r="H48" s="195"/>
      <c r="I48" s="195"/>
      <c r="J48" s="195" t="str">
        <f>Witness</f>
        <v>JAMES E. ZIOLKOWSKI</v>
      </c>
      <c r="K48" s="195"/>
    </row>
    <row r="49" spans="1:11" ht="13">
      <c r="A49" s="341" t="str">
        <f>data_filing</f>
        <v>DATA: 12 MONTH FORECASTED PERIOD</v>
      </c>
      <c r="C49" s="195"/>
      <c r="D49" s="342"/>
      <c r="E49" s="195"/>
      <c r="F49" s="195"/>
      <c r="G49" s="195"/>
      <c r="H49" s="195"/>
      <c r="I49" s="195"/>
      <c r="J49" s="195" t="str">
        <f>"PAGE "&amp;Pages2-13&amp;" OF "&amp;Pages2</f>
        <v>PAGE 2 OF 15</v>
      </c>
      <c r="K49" s="195"/>
    </row>
    <row r="50" spans="1:11" ht="13">
      <c r="A50" s="341" t="str">
        <f>type</f>
        <v xml:space="preserve">TYPE OF FILING: "X" ORIGINAL   UPDATED    REVISED  </v>
      </c>
      <c r="C50" s="195"/>
      <c r="D50" s="342"/>
      <c r="E50" s="195"/>
      <c r="F50" s="195"/>
      <c r="G50" s="195"/>
      <c r="H50" s="195"/>
      <c r="I50" s="195"/>
      <c r="J50" s="195"/>
      <c r="K50" s="195"/>
    </row>
    <row r="51" spans="1:11" ht="13">
      <c r="A51" s="341"/>
      <c r="C51" s="195"/>
      <c r="D51" s="342"/>
      <c r="E51" s="195"/>
      <c r="F51" s="195"/>
      <c r="G51" s="195"/>
      <c r="H51" s="195"/>
      <c r="I51" s="195"/>
      <c r="J51" s="195"/>
      <c r="K51" s="195"/>
    </row>
    <row r="52" spans="1:11" ht="13">
      <c r="A52" s="341"/>
      <c r="C52" s="195"/>
      <c r="D52" s="342"/>
      <c r="E52" s="195"/>
      <c r="F52" s="195"/>
      <c r="G52" s="195"/>
      <c r="H52" s="195"/>
      <c r="I52" s="195"/>
      <c r="J52" s="195"/>
      <c r="K52" s="195"/>
    </row>
    <row r="53" spans="1:11" ht="13">
      <c r="A53" s="342" t="s">
        <v>907</v>
      </c>
      <c r="B53" s="195"/>
      <c r="C53" s="195"/>
      <c r="D53" s="342"/>
      <c r="E53" s="195"/>
      <c r="F53" s="342" t="s">
        <v>229</v>
      </c>
      <c r="G53" s="539" t="s">
        <v>995</v>
      </c>
      <c r="H53" s="527"/>
      <c r="I53" s="528"/>
      <c r="J53" s="342" t="s">
        <v>229</v>
      </c>
      <c r="K53" s="342" t="s">
        <v>342</v>
      </c>
    </row>
    <row r="54" spans="1:11" ht="13">
      <c r="A54" s="344" t="s">
        <v>908</v>
      </c>
      <c r="B54" s="343" t="s">
        <v>95</v>
      </c>
      <c r="C54" s="343"/>
      <c r="D54" s="344" t="s">
        <v>337</v>
      </c>
      <c r="E54" s="343"/>
      <c r="F54" s="344" t="str">
        <f>$F$9</f>
        <v>RESIDENTIAL</v>
      </c>
      <c r="G54" s="540" t="s">
        <v>840</v>
      </c>
      <c r="H54" s="529" t="s">
        <v>841</v>
      </c>
      <c r="I54" s="530" t="s">
        <v>842</v>
      </c>
      <c r="J54" s="344" t="s">
        <v>341</v>
      </c>
      <c r="K54" s="344" t="s">
        <v>340</v>
      </c>
    </row>
    <row r="55" spans="1:11" ht="13">
      <c r="C55" s="572" t="s">
        <v>344</v>
      </c>
      <c r="D55" s="342"/>
      <c r="E55" s="195"/>
      <c r="G55" s="793">
        <f>$G$10</f>
        <v>3</v>
      </c>
      <c r="H55" s="794">
        <f>$H$10</f>
        <v>4</v>
      </c>
      <c r="I55" s="795">
        <f>$I$10</f>
        <v>5</v>
      </c>
      <c r="K55" s="330" t="s">
        <v>343</v>
      </c>
    </row>
    <row r="56" spans="1:11" ht="13">
      <c r="A56" s="331">
        <v>1</v>
      </c>
      <c r="B56" s="330" t="s">
        <v>14</v>
      </c>
      <c r="E56" s="195"/>
      <c r="G56" s="541"/>
      <c r="H56" s="531"/>
      <c r="I56" s="532"/>
    </row>
    <row r="57" spans="1:11" ht="13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3">
        <f>'FR-16(7)(v)-8 TOT CLASS Alloc'!G57</f>
        <v>2471100</v>
      </c>
      <c r="G57" s="542">
        <f>'FR-16(7)(v)-5 DISTR Dem Alloc'!$G$57</f>
        <v>0</v>
      </c>
      <c r="H57" s="533">
        <f>'FR-16(7)(v)-3 PROD Comm Alloc'!$G$57</f>
        <v>2471100</v>
      </c>
      <c r="I57" s="534">
        <f>'FR-16(7)(v)-6 DISTR Cust Alloc'!$G$57</f>
        <v>0</v>
      </c>
      <c r="J57" s="345">
        <f>SUM(G57:I57)</f>
        <v>2471100</v>
      </c>
      <c r="K57" s="345">
        <f>F57-$J$57</f>
        <v>0</v>
      </c>
    </row>
    <row r="58" spans="1:11" ht="13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3">
        <f>'FR-16(7)(v)-8 TOT CLASS Alloc'!G58</f>
        <v>0</v>
      </c>
      <c r="G58" s="542">
        <f>'FR-16(7)(v)-5 DISTR Dem Alloc'!$G$58</f>
        <v>0</v>
      </c>
      <c r="H58" s="533">
        <f>'FR-16(7)(v)-3 PROD Comm Alloc'!$G$58</f>
        <v>0</v>
      </c>
      <c r="I58" s="534">
        <f>'FR-16(7)(v)-6 DISTR Cust Alloc'!$G$58</f>
        <v>0</v>
      </c>
      <c r="J58" s="345">
        <f>SUM(G58:I58)</f>
        <v>0</v>
      </c>
      <c r="K58" s="345">
        <f>F58-$J$58</f>
        <v>0</v>
      </c>
    </row>
    <row r="59" spans="1:11" ht="13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2471100</v>
      </c>
      <c r="G59" s="543">
        <f>SUM($G$57:$G$58)</f>
        <v>0</v>
      </c>
      <c r="H59" s="535">
        <f>SUM($H$57:$H$58)</f>
        <v>2471100</v>
      </c>
      <c r="I59" s="536">
        <f>SUM($I$57:$I$58)</f>
        <v>0</v>
      </c>
      <c r="J59" s="346">
        <f>SUM($J$57:$J$58)</f>
        <v>2471100</v>
      </c>
      <c r="K59" s="346">
        <f>SUM($K$57:$K$58)</f>
        <v>0</v>
      </c>
    </row>
    <row r="60" spans="1:11" ht="13">
      <c r="A60" s="331">
        <v>5</v>
      </c>
      <c r="D60" s="342"/>
      <c r="E60" s="195"/>
      <c r="G60" s="541"/>
      <c r="H60" s="531"/>
      <c r="I60" s="532"/>
    </row>
    <row r="61" spans="1:11" ht="13">
      <c r="A61" s="331">
        <v>6</v>
      </c>
      <c r="B61" s="330" t="s">
        <v>15</v>
      </c>
      <c r="D61" s="342"/>
      <c r="E61" s="195"/>
      <c r="G61" s="541"/>
      <c r="H61" s="531"/>
      <c r="I61" s="532"/>
    </row>
    <row r="62" spans="1:11" ht="13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1"/>
      <c r="G62" s="542"/>
      <c r="H62" s="533"/>
      <c r="I62" s="534"/>
      <c r="J62" s="345"/>
      <c r="K62" s="345"/>
    </row>
    <row r="63" spans="1:11" ht="13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543">
        <f>SUM($G$62)</f>
        <v>0</v>
      </c>
      <c r="H63" s="535">
        <f>SUM($H$62)</f>
        <v>0</v>
      </c>
      <c r="I63" s="536">
        <f>SUM($I$62)</f>
        <v>0</v>
      </c>
      <c r="J63" s="346">
        <f>SUM($J$62)</f>
        <v>0</v>
      </c>
      <c r="K63" s="346">
        <f>SUM($K$62)</f>
        <v>0</v>
      </c>
    </row>
    <row r="64" spans="1:11" ht="13">
      <c r="A64" s="331">
        <v>9</v>
      </c>
      <c r="D64" s="342"/>
      <c r="E64" s="195"/>
      <c r="G64" s="541"/>
      <c r="H64" s="531"/>
      <c r="I64" s="532"/>
    </row>
    <row r="65" spans="1:11" ht="13">
      <c r="A65" s="331">
        <v>10</v>
      </c>
      <c r="B65" s="330" t="s">
        <v>16</v>
      </c>
      <c r="D65" s="342"/>
      <c r="E65" s="195"/>
      <c r="F65" s="345">
        <f>F63+F59</f>
        <v>2471100</v>
      </c>
      <c r="G65" s="542">
        <f>$G$63+$G$59</f>
        <v>0</v>
      </c>
      <c r="H65" s="533">
        <f>$H$63+$H$59</f>
        <v>2471100</v>
      </c>
      <c r="I65" s="534">
        <f>$I$63+$I$59</f>
        <v>0</v>
      </c>
      <c r="J65" s="345">
        <f>$J$63+$J$59</f>
        <v>2471100</v>
      </c>
      <c r="K65" s="345">
        <f>$K$63+$K$59</f>
        <v>0</v>
      </c>
    </row>
    <row r="66" spans="1:11" ht="13">
      <c r="A66" s="331">
        <v>11</v>
      </c>
      <c r="D66" s="342"/>
      <c r="E66" s="195"/>
      <c r="G66" s="541"/>
      <c r="H66" s="531"/>
      <c r="I66" s="532"/>
    </row>
    <row r="67" spans="1:11" ht="13">
      <c r="A67" s="331">
        <v>12</v>
      </c>
      <c r="B67" s="330" t="s">
        <v>17</v>
      </c>
      <c r="D67" s="342"/>
      <c r="E67" s="195"/>
      <c r="G67" s="541"/>
      <c r="H67" s="531"/>
      <c r="I67" s="532"/>
    </row>
    <row r="68" spans="1:11" ht="13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3">
        <f>'FR-16(7)(v)-8 TOT CLASS Alloc'!G68</f>
        <v>21048416</v>
      </c>
      <c r="G68" s="542">
        <f>'FR-16(7)(v)-5 DISTR Dem Alloc'!G68</f>
        <v>21048416</v>
      </c>
      <c r="H68" s="533">
        <f>'FR-16(7)(v)-3 PROD Comm Alloc'!G68</f>
        <v>0</v>
      </c>
      <c r="I68" s="534">
        <f>'FR-16(7)(v)-6 DISTR Cust Alloc'!G68</f>
        <v>0</v>
      </c>
      <c r="J68" s="345">
        <f t="shared" ref="J68:J77" si="9">SUM(G68:I68)</f>
        <v>21048416</v>
      </c>
      <c r="K68" s="345">
        <f t="shared" ref="K68:K77" si="10">F68-J68</f>
        <v>0</v>
      </c>
    </row>
    <row r="69" spans="1:11" ht="13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3">
        <f>'FR-16(7)(v)-8 TOT CLASS Alloc'!G69</f>
        <v>1390304</v>
      </c>
      <c r="G69" s="542">
        <f>'FR-16(7)(v)-5 DISTR Dem Alloc'!G69</f>
        <v>1390304</v>
      </c>
      <c r="H69" s="533">
        <f>'FR-16(7)(v)-3 PROD Comm Alloc'!G69</f>
        <v>0</v>
      </c>
      <c r="I69" s="534">
        <f>'FR-16(7)(v)-6 DISTR Cust Alloc'!G69</f>
        <v>0</v>
      </c>
      <c r="J69" s="345">
        <f t="shared" si="9"/>
        <v>1390304</v>
      </c>
      <c r="K69" s="345">
        <f t="shared" si="10"/>
        <v>0</v>
      </c>
    </row>
    <row r="70" spans="1:11" ht="13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3">
        <f>'FR-16(7)(v)-8 TOT CLASS Alloc'!G70</f>
        <v>0</v>
      </c>
      <c r="G70" s="542">
        <f>'FR-16(7)(v)-5 DISTR Dem Alloc'!G70</f>
        <v>0</v>
      </c>
      <c r="H70" s="533">
        <f>'FR-16(7)(v)-3 PROD Comm Alloc'!G70</f>
        <v>0</v>
      </c>
      <c r="I70" s="534">
        <f>'FR-16(7)(v)-6 DISTR Cust Alloc'!G70</f>
        <v>0</v>
      </c>
      <c r="J70" s="345">
        <f t="shared" si="9"/>
        <v>0</v>
      </c>
      <c r="K70" s="345">
        <f t="shared" si="10"/>
        <v>0</v>
      </c>
    </row>
    <row r="71" spans="1:11" ht="13">
      <c r="A71" s="331">
        <v>16</v>
      </c>
      <c r="C71" s="330" t="str">
        <f>'FR-16(7)(v)-1 Functional'!C71</f>
        <v>MAINS - (2761, 2762, 2763, 2765)</v>
      </c>
      <c r="D71" s="342" t="str">
        <f>'FR-16(7)(v)-1 Functional'!D71</f>
        <v>K415</v>
      </c>
      <c r="E71" s="195"/>
      <c r="F71" s="473">
        <f>'FR-16(7)(v)-8 TOT CLASS Alloc'!G71</f>
        <v>202610764</v>
      </c>
      <c r="G71" s="542">
        <f>'FR-16(7)(v)-5 DISTR Dem Alloc'!G71</f>
        <v>202610764</v>
      </c>
      <c r="H71" s="533">
        <f>'FR-16(7)(v)-3 PROD Comm Alloc'!G71</f>
        <v>0</v>
      </c>
      <c r="I71" s="534">
        <f>'FR-16(7)(v)-6 DISTR Cust Alloc'!G71</f>
        <v>0</v>
      </c>
      <c r="J71" s="345">
        <f t="shared" si="9"/>
        <v>202610764</v>
      </c>
      <c r="K71" s="345">
        <f t="shared" si="10"/>
        <v>0</v>
      </c>
    </row>
    <row r="72" spans="1:11" ht="13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3">
        <f>'FR-16(7)(v)-8 TOT CLASS Alloc'!G72</f>
        <v>198085030</v>
      </c>
      <c r="G72" s="542">
        <f>'FR-16(7)(v)-5 DISTR Dem Alloc'!G72</f>
        <v>0</v>
      </c>
      <c r="H72" s="533">
        <f>'FR-16(7)(v)-3 PROD Comm Alloc'!G72</f>
        <v>0</v>
      </c>
      <c r="I72" s="534">
        <f>'FR-16(7)(v)-6 DISTR Cust Alloc'!G72</f>
        <v>198085030</v>
      </c>
      <c r="J72" s="345">
        <f t="shared" si="9"/>
        <v>198085030</v>
      </c>
      <c r="K72" s="345">
        <f t="shared" si="10"/>
        <v>0</v>
      </c>
    </row>
    <row r="73" spans="1:11" ht="13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3">
        <f>'FR-16(7)(v)-8 TOT CLASS Alloc'!G73</f>
        <v>24635122</v>
      </c>
      <c r="G73" s="542">
        <f>'FR-16(7)(v)-5 DISTR Dem Alloc'!G73</f>
        <v>0</v>
      </c>
      <c r="H73" s="533">
        <f>'FR-16(7)(v)-3 PROD Comm Alloc'!G73</f>
        <v>0</v>
      </c>
      <c r="I73" s="534">
        <f>'FR-16(7)(v)-6 DISTR Cust Alloc'!G73</f>
        <v>24635122</v>
      </c>
      <c r="J73" s="345">
        <f t="shared" si="9"/>
        <v>24635122</v>
      </c>
      <c r="K73" s="345">
        <f t="shared" si="10"/>
        <v>0</v>
      </c>
    </row>
    <row r="74" spans="1:11" ht="13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3">
        <f>'FR-16(7)(v)-8 TOT CLASS Alloc'!G74</f>
        <v>5947819</v>
      </c>
      <c r="G74" s="542">
        <f>'FR-16(7)(v)-5 DISTR Dem Alloc'!G74</f>
        <v>5947819</v>
      </c>
      <c r="H74" s="533">
        <f>'FR-16(7)(v)-3 PROD Comm Alloc'!G74</f>
        <v>0</v>
      </c>
      <c r="I74" s="534">
        <f>'FR-16(7)(v)-6 DISTR Cust Alloc'!G74</f>
        <v>0</v>
      </c>
      <c r="J74" s="345">
        <f t="shared" si="9"/>
        <v>5947819</v>
      </c>
      <c r="K74" s="345">
        <f t="shared" si="10"/>
        <v>0</v>
      </c>
    </row>
    <row r="75" spans="1:11" ht="13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3">
        <f>'FR-16(7)(v)-8 TOT CLASS Alloc'!G75</f>
        <v>9112234</v>
      </c>
      <c r="G75" s="542">
        <f>'FR-16(7)(v)-5 DISTR Dem Alloc'!G75</f>
        <v>0</v>
      </c>
      <c r="H75" s="533">
        <f>'FR-16(7)(v)-3 PROD Comm Alloc'!G75</f>
        <v>0</v>
      </c>
      <c r="I75" s="534">
        <f>'FR-16(7)(v)-6 DISTR Cust Alloc'!G75</f>
        <v>9112234</v>
      </c>
      <c r="J75" s="345">
        <f t="shared" si="9"/>
        <v>9112234</v>
      </c>
      <c r="K75" s="345">
        <f t="shared" si="10"/>
        <v>0</v>
      </c>
    </row>
    <row r="76" spans="1:11" ht="13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3">
        <f>'FR-16(7)(v)-8 TOT CLASS Alloc'!G76</f>
        <v>0</v>
      </c>
      <c r="G76" s="542">
        <f>'FR-16(7)(v)-5 DISTR Dem Alloc'!G76</f>
        <v>0</v>
      </c>
      <c r="H76" s="533">
        <f>'FR-16(7)(v)-3 PROD Comm Alloc'!G76</f>
        <v>0</v>
      </c>
      <c r="I76" s="534">
        <f>'FR-16(7)(v)-6 DISTR Cust Alloc'!G76</f>
        <v>0</v>
      </c>
      <c r="J76" s="345">
        <f t="shared" si="9"/>
        <v>0</v>
      </c>
      <c r="K76" s="345">
        <f t="shared" si="10"/>
        <v>0</v>
      </c>
    </row>
    <row r="77" spans="1:11" ht="13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3">
        <f>'FR-16(7)(v)-8 TOT CLASS Alloc'!G77</f>
        <v>0</v>
      </c>
      <c r="G77" s="542">
        <f>'FR-16(7)(v)-5 DISTR Dem Alloc'!G77</f>
        <v>0</v>
      </c>
      <c r="H77" s="533">
        <f>'FR-16(7)(v)-3 PROD Comm Alloc'!G77</f>
        <v>0</v>
      </c>
      <c r="I77" s="534">
        <f>'FR-16(7)(v)-6 DISTR Cust Alloc'!G77</f>
        <v>0</v>
      </c>
      <c r="J77" s="345">
        <f t="shared" si="9"/>
        <v>0</v>
      </c>
      <c r="K77" s="345">
        <f t="shared" si="10"/>
        <v>0</v>
      </c>
    </row>
    <row r="78" spans="1:11" ht="13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K78" si="11">SUM(F68:F77)</f>
        <v>462829689</v>
      </c>
      <c r="G78" s="543">
        <f t="shared" si="11"/>
        <v>230997303</v>
      </c>
      <c r="H78" s="535">
        <f t="shared" si="11"/>
        <v>0</v>
      </c>
      <c r="I78" s="536">
        <f t="shared" si="11"/>
        <v>231832386</v>
      </c>
      <c r="J78" s="346">
        <f t="shared" si="11"/>
        <v>462829689</v>
      </c>
      <c r="K78" s="346">
        <f t="shared" si="11"/>
        <v>0</v>
      </c>
    </row>
    <row r="79" spans="1:11" ht="13">
      <c r="A79" s="331">
        <v>24</v>
      </c>
      <c r="D79" s="342"/>
      <c r="E79" s="195"/>
      <c r="G79" s="541"/>
      <c r="H79" s="531"/>
      <c r="I79" s="532"/>
    </row>
    <row r="80" spans="1:11" ht="13">
      <c r="A80" s="331">
        <v>25</v>
      </c>
      <c r="B80" s="330" t="s">
        <v>18</v>
      </c>
      <c r="D80" s="342"/>
      <c r="E80" s="195"/>
      <c r="F80" s="345">
        <f>F78+F63</f>
        <v>462829689</v>
      </c>
      <c r="G80" s="542">
        <f>G78+$G$63</f>
        <v>230997303</v>
      </c>
      <c r="H80" s="533">
        <f>H78+$H$63</f>
        <v>0</v>
      </c>
      <c r="I80" s="534">
        <f>I78+$I$63</f>
        <v>231832386</v>
      </c>
      <c r="J80" s="345">
        <f>J78+$J$63</f>
        <v>462829689</v>
      </c>
      <c r="K80" s="345">
        <f>K78+$K$63</f>
        <v>0</v>
      </c>
    </row>
    <row r="81" spans="1:11" ht="13">
      <c r="A81" s="331">
        <v>26</v>
      </c>
      <c r="B81" s="330" t="s">
        <v>19</v>
      </c>
      <c r="D81" s="342"/>
      <c r="E81" s="195"/>
      <c r="F81" s="345">
        <f t="shared" ref="F81:K81" si="12">F78+F65</f>
        <v>465300789</v>
      </c>
      <c r="G81" s="542">
        <f t="shared" si="12"/>
        <v>230997303</v>
      </c>
      <c r="H81" s="533">
        <f t="shared" si="12"/>
        <v>2471100</v>
      </c>
      <c r="I81" s="534">
        <f t="shared" si="12"/>
        <v>231832386</v>
      </c>
      <c r="J81" s="345">
        <f t="shared" si="12"/>
        <v>465300789</v>
      </c>
      <c r="K81" s="345">
        <f t="shared" si="12"/>
        <v>0</v>
      </c>
    </row>
    <row r="82" spans="1:11" ht="13">
      <c r="A82" s="331">
        <v>27</v>
      </c>
      <c r="D82" s="342"/>
      <c r="E82" s="195"/>
      <c r="G82" s="541"/>
      <c r="H82" s="531"/>
      <c r="I82" s="532"/>
    </row>
    <row r="83" spans="1:11" ht="13">
      <c r="A83" s="331">
        <v>28</v>
      </c>
      <c r="B83" s="330" t="s">
        <v>20</v>
      </c>
      <c r="D83" s="342"/>
      <c r="E83" s="195"/>
      <c r="G83" s="541"/>
      <c r="H83" s="531"/>
      <c r="I83" s="532"/>
    </row>
    <row r="84" spans="1:11" ht="13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3">
        <f>'FR-16(7)(v)-8 TOT CLASS Alloc'!G84</f>
        <v>1431782</v>
      </c>
      <c r="G84" s="542">
        <f>'FR-16(7)(v)-5 DISTR Dem Alloc'!G84</f>
        <v>0</v>
      </c>
      <c r="H84" s="533">
        <f>'FR-16(7)(v)-3 PROD Comm Alloc'!G84</f>
        <v>1431782</v>
      </c>
      <c r="I84" s="534">
        <f>'FR-16(7)(v)-6 DISTR Cust Alloc'!G84</f>
        <v>0</v>
      </c>
      <c r="J84" s="345">
        <f t="shared" ref="J84:J89" si="13">SUM(G84:I84)</f>
        <v>1431782</v>
      </c>
      <c r="K84" s="345">
        <f t="shared" ref="K84:K89" si="14">F84-J84</f>
        <v>0</v>
      </c>
    </row>
    <row r="85" spans="1:11" ht="13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3">
        <f>'FR-16(7)(v)-8 TOT CLASS Alloc'!G85</f>
        <v>1316823</v>
      </c>
      <c r="G85" s="542">
        <f>'FR-16(7)(v)-5 DISTR Dem Alloc'!G85</f>
        <v>0</v>
      </c>
      <c r="H85" s="533">
        <f>'FR-16(7)(v)-3 PROD Comm Alloc'!G85</f>
        <v>1316823</v>
      </c>
      <c r="I85" s="534">
        <f>'FR-16(7)(v)-6 DISTR Cust Alloc'!G85</f>
        <v>0</v>
      </c>
      <c r="J85" s="345">
        <f t="shared" si="13"/>
        <v>1316823</v>
      </c>
      <c r="K85" s="345">
        <f t="shared" si="14"/>
        <v>0</v>
      </c>
    </row>
    <row r="86" spans="1:11" ht="13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3">
        <f>'FR-16(7)(v)-8 TOT CLASS Alloc'!G86</f>
        <v>10987344</v>
      </c>
      <c r="G86" s="542">
        <f>'FR-16(7)(v)-5 DISTR Dem Alloc'!G86</f>
        <v>7628362</v>
      </c>
      <c r="H86" s="533">
        <f>'FR-16(7)(v)-3 PROD Comm Alloc'!G86</f>
        <v>0</v>
      </c>
      <c r="I86" s="534">
        <f>'FR-16(7)(v)-6 DISTR Cust Alloc'!G86</f>
        <v>3358982</v>
      </c>
      <c r="J86" s="345">
        <f t="shared" si="13"/>
        <v>10987344</v>
      </c>
      <c r="K86" s="345">
        <f t="shared" si="14"/>
        <v>0</v>
      </c>
    </row>
    <row r="87" spans="1:11" ht="13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3">
        <f>'FR-16(7)(v)-8 TOT CLASS Alloc'!G87</f>
        <v>6887866</v>
      </c>
      <c r="G87" s="542">
        <f>'FR-16(7)(v)-5 DISTR Dem Alloc'!G87</f>
        <v>0</v>
      </c>
      <c r="H87" s="533">
        <f>'FR-16(7)(v)-3 PROD Comm Alloc'!G87</f>
        <v>0</v>
      </c>
      <c r="I87" s="534">
        <f>'FR-16(7)(v)-6 DISTR Cust Alloc'!G87</f>
        <v>6887866</v>
      </c>
      <c r="J87" s="345">
        <f t="shared" si="13"/>
        <v>6887866</v>
      </c>
      <c r="K87" s="345">
        <f t="shared" si="14"/>
        <v>0</v>
      </c>
    </row>
    <row r="88" spans="1:11" ht="13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3">
        <f>'FR-16(7)(v)-8 TOT CLASS Alloc'!G88</f>
        <v>666817</v>
      </c>
      <c r="G88" s="542">
        <f>'FR-16(7)(v)-5 DISTR Dem Alloc'!G88</f>
        <v>0</v>
      </c>
      <c r="H88" s="533">
        <f>'FR-16(7)(v)-3 PROD Comm Alloc'!G88</f>
        <v>0</v>
      </c>
      <c r="I88" s="534">
        <f>'FR-16(7)(v)-6 DISTR Cust Alloc'!G88</f>
        <v>666817</v>
      </c>
      <c r="J88" s="345">
        <f t="shared" si="13"/>
        <v>666817</v>
      </c>
      <c r="K88" s="345">
        <f t="shared" si="14"/>
        <v>0</v>
      </c>
    </row>
    <row r="89" spans="1:11" ht="13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3">
        <f>'FR-16(7)(v)-8 TOT CLASS Alloc'!G89</f>
        <v>0</v>
      </c>
      <c r="G89" s="542">
        <f>'FR-16(7)(v)-5 DISTR Dem Alloc'!G89</f>
        <v>0</v>
      </c>
      <c r="H89" s="533">
        <f>'FR-16(7)(v)-3 PROD Comm Alloc'!G89</f>
        <v>0</v>
      </c>
      <c r="I89" s="534">
        <f>'FR-16(7)(v)-6 DISTR Cust Alloc'!G89</f>
        <v>0</v>
      </c>
      <c r="J89" s="345">
        <f t="shared" si="13"/>
        <v>0</v>
      </c>
      <c r="K89" s="345">
        <f t="shared" si="14"/>
        <v>0</v>
      </c>
    </row>
    <row r="90" spans="1:11" ht="13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4">
        <f t="shared" ref="F90:K90" si="15">SUM(F84:F89)</f>
        <v>21290632</v>
      </c>
      <c r="G90" s="543">
        <f t="shared" si="15"/>
        <v>7628362</v>
      </c>
      <c r="H90" s="535">
        <f t="shared" si="15"/>
        <v>2748605</v>
      </c>
      <c r="I90" s="536">
        <f t="shared" si="15"/>
        <v>10913665</v>
      </c>
      <c r="J90" s="346">
        <f t="shared" si="15"/>
        <v>21290632</v>
      </c>
      <c r="K90" s="346">
        <f t="shared" si="15"/>
        <v>0</v>
      </c>
    </row>
    <row r="91" spans="1:11" ht="13">
      <c r="A91" s="331">
        <v>36</v>
      </c>
      <c r="D91" s="342"/>
      <c r="E91" s="195"/>
      <c r="G91" s="541"/>
      <c r="H91" s="531"/>
      <c r="I91" s="532"/>
    </row>
    <row r="92" spans="1:11" ht="13">
      <c r="A92" s="331">
        <v>37</v>
      </c>
      <c r="B92" s="330" t="s">
        <v>21</v>
      </c>
      <c r="D92" s="342"/>
      <c r="E92" s="195"/>
      <c r="G92" s="541"/>
      <c r="H92" s="531"/>
      <c r="I92" s="532"/>
    </row>
    <row r="93" spans="1:11" ht="13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3">
        <f>'FR-16(7)(v)-8 TOT CLASS Alloc'!G93</f>
        <v>460486</v>
      </c>
      <c r="G93" s="542">
        <f>'FR-16(7)(v)-5 DISTR Dem Alloc'!G93</f>
        <v>0</v>
      </c>
      <c r="H93" s="533">
        <f>'FR-16(7)(v)-3 PROD Comm Alloc'!G93</f>
        <v>460486</v>
      </c>
      <c r="I93" s="534">
        <f>'FR-16(7)(v)-6 DISTR Cust Alloc'!G93</f>
        <v>0</v>
      </c>
      <c r="J93" s="345">
        <f t="shared" ref="J93:J98" si="16">SUM(G93:I93)</f>
        <v>460486</v>
      </c>
      <c r="K93" s="345">
        <f t="shared" ref="K93:K98" si="17">F93-J93</f>
        <v>0</v>
      </c>
    </row>
    <row r="94" spans="1:11" ht="13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3">
        <f>'FR-16(7)(v)-8 TOT CLASS Alloc'!G94</f>
        <v>423515</v>
      </c>
      <c r="G94" s="542">
        <f>'FR-16(7)(v)-5 DISTR Dem Alloc'!G94</f>
        <v>0</v>
      </c>
      <c r="H94" s="533">
        <f>'FR-16(7)(v)-3 PROD Comm Alloc'!G94</f>
        <v>423515</v>
      </c>
      <c r="I94" s="534">
        <f>'FR-16(7)(v)-6 DISTR Cust Alloc'!G94</f>
        <v>0</v>
      </c>
      <c r="J94" s="345">
        <f t="shared" si="16"/>
        <v>423515</v>
      </c>
      <c r="K94" s="345">
        <f t="shared" si="17"/>
        <v>0</v>
      </c>
    </row>
    <row r="95" spans="1:11" ht="13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3">
        <f>'FR-16(7)(v)-8 TOT CLASS Alloc'!G95</f>
        <v>3533725</v>
      </c>
      <c r="G95" s="542">
        <f>'FR-16(7)(v)-5 DISTR Dem Alloc'!G95</f>
        <v>2453417</v>
      </c>
      <c r="H95" s="533">
        <f>'FR-16(7)(v)-3 PROD Comm Alloc'!G95</f>
        <v>0</v>
      </c>
      <c r="I95" s="534">
        <f>'FR-16(7)(v)-6 DISTR Cust Alloc'!G95</f>
        <v>1080308</v>
      </c>
      <c r="J95" s="345">
        <f t="shared" si="16"/>
        <v>3533725</v>
      </c>
      <c r="K95" s="345">
        <f t="shared" si="17"/>
        <v>0</v>
      </c>
    </row>
    <row r="96" spans="1:11" ht="13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3">
        <f>'FR-16(7)(v)-8 TOT CLASS Alloc'!G96</f>
        <v>2215261</v>
      </c>
      <c r="G96" s="542">
        <f>'FR-16(7)(v)-5 DISTR Dem Alloc'!G96</f>
        <v>0</v>
      </c>
      <c r="H96" s="533">
        <f>'FR-16(7)(v)-3 PROD Comm Alloc'!G96</f>
        <v>0</v>
      </c>
      <c r="I96" s="534">
        <f>'FR-16(7)(v)-6 DISTR Cust Alloc'!G96</f>
        <v>2215261</v>
      </c>
      <c r="J96" s="345">
        <f t="shared" si="16"/>
        <v>2215261</v>
      </c>
      <c r="K96" s="345">
        <f t="shared" si="17"/>
        <v>0</v>
      </c>
    </row>
    <row r="97" spans="1:11" ht="13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3">
        <f>'FR-16(7)(v)-8 TOT CLASS Alloc'!G97</f>
        <v>214460</v>
      </c>
      <c r="G97" s="542">
        <f>'FR-16(7)(v)-5 DISTR Dem Alloc'!G97</f>
        <v>0</v>
      </c>
      <c r="H97" s="533">
        <f>'FR-16(7)(v)-3 PROD Comm Alloc'!G97</f>
        <v>0</v>
      </c>
      <c r="I97" s="534">
        <f>'FR-16(7)(v)-6 DISTR Cust Alloc'!G97</f>
        <v>214460</v>
      </c>
      <c r="J97" s="345">
        <f t="shared" si="16"/>
        <v>214460</v>
      </c>
      <c r="K97" s="345">
        <f t="shared" si="17"/>
        <v>0</v>
      </c>
    </row>
    <row r="98" spans="1:11" ht="13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3">
        <f>'FR-16(7)(v)-8 TOT CLASS Alloc'!G98</f>
        <v>0</v>
      </c>
      <c r="G98" s="542">
        <f>'FR-16(7)(v)-5 DISTR Dem Alloc'!G98</f>
        <v>0</v>
      </c>
      <c r="H98" s="533">
        <f>'FR-16(7)(v)-3 PROD Comm Alloc'!G98</f>
        <v>0</v>
      </c>
      <c r="I98" s="534">
        <f>'FR-16(7)(v)-6 DISTR Cust Alloc'!G98</f>
        <v>0</v>
      </c>
      <c r="J98" s="345">
        <f t="shared" si="16"/>
        <v>0</v>
      </c>
      <c r="K98" s="345">
        <f t="shared" si="17"/>
        <v>0</v>
      </c>
    </row>
    <row r="99" spans="1:11" ht="13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K99" si="18">SUM(F93:F98)</f>
        <v>6847447</v>
      </c>
      <c r="G99" s="543">
        <f t="shared" si="18"/>
        <v>2453417</v>
      </c>
      <c r="H99" s="535">
        <f t="shared" si="18"/>
        <v>884001</v>
      </c>
      <c r="I99" s="536">
        <f t="shared" si="18"/>
        <v>3510029</v>
      </c>
      <c r="J99" s="346">
        <f t="shared" si="18"/>
        <v>6847447</v>
      </c>
      <c r="K99" s="346">
        <f t="shared" si="18"/>
        <v>0</v>
      </c>
    </row>
    <row r="100" spans="1:11" ht="13">
      <c r="A100" s="331">
        <v>45</v>
      </c>
      <c r="E100" s="195"/>
      <c r="G100" s="541"/>
      <c r="H100" s="531"/>
      <c r="I100" s="532"/>
    </row>
    <row r="101" spans="1:11" ht="13">
      <c r="A101" s="331">
        <v>46</v>
      </c>
      <c r="B101" s="330" t="s">
        <v>95</v>
      </c>
      <c r="E101" s="195"/>
      <c r="F101" s="345">
        <f t="shared" ref="F101:K101" si="19">F81+F90+F99</f>
        <v>493438868</v>
      </c>
      <c r="G101" s="544">
        <f t="shared" si="19"/>
        <v>241079082</v>
      </c>
      <c r="H101" s="537">
        <f t="shared" si="19"/>
        <v>6103706</v>
      </c>
      <c r="I101" s="538">
        <f t="shared" si="19"/>
        <v>246256080</v>
      </c>
      <c r="J101" s="345">
        <f t="shared" si="19"/>
        <v>493438868</v>
      </c>
      <c r="K101" s="345">
        <f t="shared" si="19"/>
        <v>0</v>
      </c>
    </row>
    <row r="102" spans="1:11" ht="13">
      <c r="B102" s="341"/>
      <c r="C102" s="195"/>
      <c r="D102" s="342"/>
      <c r="E102" s="195"/>
      <c r="F102" s="195"/>
      <c r="G102" s="195"/>
      <c r="H102" s="195"/>
      <c r="I102" s="195"/>
      <c r="J102" s="195"/>
      <c r="K102" s="195"/>
    </row>
    <row r="103" spans="1:11" ht="13">
      <c r="A103" s="341" t="str">
        <f>co_name</f>
        <v>DUKE ENERGY KENTUCKY, INC.</v>
      </c>
      <c r="C103" s="195"/>
      <c r="D103" s="342"/>
      <c r="E103" s="195"/>
      <c r="F103" s="195"/>
      <c r="G103" s="195"/>
      <c r="H103" s="195"/>
      <c r="I103" s="195"/>
      <c r="J103" s="195" t="str">
        <f>$J$1</f>
        <v>FR-16(7)(v)-9</v>
      </c>
      <c r="K103" s="195"/>
    </row>
    <row r="104" spans="1:11" ht="13">
      <c r="A104" s="341" t="str">
        <f>$A$2</f>
        <v>RESIDENTIAL CLASSIFIED - GAS COST OF SERVICE</v>
      </c>
      <c r="C104" s="195"/>
      <c r="D104" s="342"/>
      <c r="E104" s="195"/>
      <c r="F104" s="195"/>
      <c r="G104" s="195"/>
      <c r="H104" s="195"/>
      <c r="I104" s="195"/>
      <c r="J104" s="195" t="str">
        <f>$J$2</f>
        <v>WITNESS RESPONSIBLE:</v>
      </c>
      <c r="K104" s="195"/>
    </row>
    <row r="105" spans="1:11" ht="13">
      <c r="A105" s="341" t="str">
        <f>case_name</f>
        <v>CASE NO: 2021-00190</v>
      </c>
      <c r="C105" s="195"/>
      <c r="D105" s="342"/>
      <c r="E105" s="195"/>
      <c r="F105" s="195"/>
      <c r="G105" s="195"/>
      <c r="H105" s="195"/>
      <c r="I105" s="195"/>
      <c r="J105" s="195" t="str">
        <f>Witness</f>
        <v>JAMES E. ZIOLKOWSKI</v>
      </c>
      <c r="K105" s="195"/>
    </row>
    <row r="106" spans="1:11" ht="13">
      <c r="A106" s="341" t="str">
        <f>data_filing</f>
        <v>DATA: 12 MONTH FORECASTED PERIOD</v>
      </c>
      <c r="C106" s="195"/>
      <c r="D106" s="342"/>
      <c r="E106" s="195"/>
      <c r="F106" s="195"/>
      <c r="G106" s="195"/>
      <c r="H106" s="195"/>
      <c r="I106" s="195"/>
      <c r="J106" s="195" t="str">
        <f>"PAGE "&amp;Pages2-12&amp;" OF "&amp;Pages2</f>
        <v>PAGE 3 OF 15</v>
      </c>
      <c r="K106" s="195"/>
    </row>
    <row r="107" spans="1:11" ht="13">
      <c r="A107" s="341" t="str">
        <f>type</f>
        <v xml:space="preserve">TYPE OF FILING: "X" ORIGINAL   UPDATED    REVISED  </v>
      </c>
      <c r="C107" s="195"/>
      <c r="D107" s="342"/>
      <c r="E107" s="195"/>
      <c r="F107" s="195"/>
      <c r="G107" s="195"/>
      <c r="H107" s="195"/>
      <c r="I107" s="195"/>
      <c r="J107" s="195"/>
      <c r="K107" s="195"/>
    </row>
    <row r="108" spans="1:11" ht="13">
      <c r="A108" s="341"/>
      <c r="C108" s="195"/>
      <c r="D108" s="342"/>
      <c r="E108" s="195"/>
      <c r="F108" s="195"/>
      <c r="G108" s="195"/>
      <c r="H108" s="195"/>
      <c r="I108" s="195"/>
      <c r="J108" s="195"/>
      <c r="K108" s="195"/>
    </row>
    <row r="109" spans="1:11" ht="13">
      <c r="B109" s="341"/>
      <c r="C109" s="195"/>
      <c r="D109" s="342"/>
      <c r="E109" s="195"/>
      <c r="F109" s="195"/>
      <c r="G109" s="195"/>
      <c r="H109" s="195"/>
      <c r="I109" s="195"/>
      <c r="J109" s="195"/>
      <c r="K109" s="195"/>
    </row>
    <row r="110" spans="1:11" ht="13">
      <c r="A110" s="342" t="s">
        <v>907</v>
      </c>
      <c r="B110" s="195"/>
      <c r="C110" s="195"/>
      <c r="D110" s="342"/>
      <c r="E110" s="195"/>
      <c r="F110" s="342" t="s">
        <v>229</v>
      </c>
      <c r="G110" s="539" t="s">
        <v>995</v>
      </c>
      <c r="H110" s="527"/>
      <c r="I110" s="528"/>
      <c r="J110" s="342" t="s">
        <v>229</v>
      </c>
      <c r="K110" s="342" t="s">
        <v>342</v>
      </c>
    </row>
    <row r="111" spans="1:11" ht="13">
      <c r="A111" s="344" t="s">
        <v>908</v>
      </c>
      <c r="B111" s="343" t="s">
        <v>22</v>
      </c>
      <c r="C111" s="343"/>
      <c r="D111" s="344" t="s">
        <v>337</v>
      </c>
      <c r="E111" s="343"/>
      <c r="F111" s="344" t="str">
        <f>$F$9</f>
        <v>RESIDENTIAL</v>
      </c>
      <c r="G111" s="540" t="s">
        <v>840</v>
      </c>
      <c r="H111" s="529" t="s">
        <v>841</v>
      </c>
      <c r="I111" s="530" t="s">
        <v>842</v>
      </c>
      <c r="J111" s="344" t="s">
        <v>341</v>
      </c>
      <c r="K111" s="344" t="s">
        <v>340</v>
      </c>
    </row>
    <row r="112" spans="1:11" ht="13">
      <c r="C112" s="572" t="s">
        <v>345</v>
      </c>
      <c r="D112" s="342"/>
      <c r="E112" s="195"/>
      <c r="G112" s="793">
        <f>$G$10</f>
        <v>3</v>
      </c>
      <c r="H112" s="794">
        <f>$H$10</f>
        <v>4</v>
      </c>
      <c r="I112" s="795">
        <f>$I$10</f>
        <v>5</v>
      </c>
    </row>
    <row r="113" spans="1:11" ht="13">
      <c r="A113" s="331">
        <v>1</v>
      </c>
      <c r="B113" s="330" t="s">
        <v>14</v>
      </c>
      <c r="D113" s="342"/>
      <c r="E113" s="195"/>
      <c r="G113" s="541"/>
      <c r="H113" s="531"/>
      <c r="I113" s="532"/>
    </row>
    <row r="114" spans="1:11" ht="13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3">
        <f>'FR-16(7)(v)-8 TOT CLASS Alloc'!G114</f>
        <v>1364340</v>
      </c>
      <c r="G114" s="542">
        <f>'FR-16(7)(v)-5 DISTR Dem Alloc'!G114</f>
        <v>0</v>
      </c>
      <c r="H114" s="533">
        <f>'FR-16(7)(v)-3 PROD Comm Alloc'!G114</f>
        <v>1364340</v>
      </c>
      <c r="I114" s="534">
        <f>'FR-16(7)(v)-6 DISTR Cust Alloc'!G114</f>
        <v>0</v>
      </c>
      <c r="J114" s="345">
        <f>SUM(G114:I114)</f>
        <v>1364340</v>
      </c>
      <c r="K114" s="345">
        <f>F114-J114</f>
        <v>0</v>
      </c>
    </row>
    <row r="115" spans="1:11" ht="13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K115" si="20">SUM(F114:F114)</f>
        <v>1364340</v>
      </c>
      <c r="G115" s="543">
        <f t="shared" si="20"/>
        <v>0</v>
      </c>
      <c r="H115" s="535">
        <f t="shared" si="20"/>
        <v>1364340</v>
      </c>
      <c r="I115" s="536">
        <f t="shared" si="20"/>
        <v>0</v>
      </c>
      <c r="J115" s="346">
        <f t="shared" si="20"/>
        <v>1364340</v>
      </c>
      <c r="K115" s="346">
        <f t="shared" si="20"/>
        <v>0</v>
      </c>
    </row>
    <row r="116" spans="1:11" ht="13">
      <c r="A116" s="331">
        <v>4</v>
      </c>
      <c r="D116" s="342"/>
      <c r="E116" s="195"/>
      <c r="G116" s="541"/>
      <c r="H116" s="531"/>
      <c r="I116" s="532"/>
    </row>
    <row r="117" spans="1:11" ht="13">
      <c r="A117" s="331">
        <v>5</v>
      </c>
      <c r="B117" s="330" t="s">
        <v>15</v>
      </c>
      <c r="D117" s="342"/>
      <c r="E117" s="195"/>
      <c r="G117" s="541"/>
      <c r="H117" s="531"/>
      <c r="I117" s="532"/>
    </row>
    <row r="118" spans="1:11" ht="13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1"/>
      <c r="G118" s="542"/>
      <c r="H118" s="533"/>
      <c r="I118" s="534"/>
      <c r="J118" s="345"/>
      <c r="K118" s="345"/>
    </row>
    <row r="119" spans="1:11" ht="13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K119" si="21">SUM(F118:F118)</f>
        <v>0</v>
      </c>
      <c r="G119" s="543">
        <f t="shared" si="21"/>
        <v>0</v>
      </c>
      <c r="H119" s="535">
        <f t="shared" si="21"/>
        <v>0</v>
      </c>
      <c r="I119" s="536">
        <f t="shared" si="21"/>
        <v>0</v>
      </c>
      <c r="J119" s="346">
        <f t="shared" si="21"/>
        <v>0</v>
      </c>
      <c r="K119" s="346">
        <f t="shared" si="21"/>
        <v>0</v>
      </c>
    </row>
    <row r="120" spans="1:11" ht="13">
      <c r="A120" s="331">
        <v>8</v>
      </c>
      <c r="D120" s="342"/>
      <c r="E120" s="195"/>
      <c r="G120" s="541"/>
      <c r="H120" s="531"/>
      <c r="I120" s="532"/>
    </row>
    <row r="121" spans="1:11" ht="13">
      <c r="A121" s="331">
        <v>9</v>
      </c>
      <c r="B121" s="330" t="s">
        <v>17</v>
      </c>
      <c r="D121" s="342"/>
      <c r="E121" s="195"/>
      <c r="G121" s="541"/>
      <c r="H121" s="531"/>
      <c r="I121" s="532"/>
    </row>
    <row r="122" spans="1:11" ht="13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3">
        <f>'FR-16(7)(v)-8 TOT CLASS Alloc'!G122</f>
        <v>1317509</v>
      </c>
      <c r="G122" s="542">
        <f>'FR-16(7)(v)-5 DISTR Dem Alloc'!G122</f>
        <v>1317509</v>
      </c>
      <c r="H122" s="533">
        <f>'FR-16(7)(v)-3 PROD Comm Alloc'!G122</f>
        <v>0</v>
      </c>
      <c r="I122" s="534">
        <f>'FR-16(7)(v)-6 DISTR Cust Alloc'!G122</f>
        <v>0</v>
      </c>
      <c r="J122" s="345">
        <f t="shared" ref="J122:J130" si="22">SUM(G122:I122)</f>
        <v>1317509</v>
      </c>
      <c r="K122" s="345">
        <f t="shared" ref="K122:K130" si="23">F122-J122</f>
        <v>0</v>
      </c>
    </row>
    <row r="123" spans="1:11" ht="13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3">
        <f>'FR-16(7)(v)-8 TOT CLASS Alloc'!G123</f>
        <v>618226</v>
      </c>
      <c r="G123" s="542">
        <f>'FR-16(7)(v)-5 DISTR Dem Alloc'!G123</f>
        <v>618226</v>
      </c>
      <c r="H123" s="533">
        <f>'FR-16(7)(v)-3 PROD Comm Alloc'!G123</f>
        <v>0</v>
      </c>
      <c r="I123" s="534">
        <f>'FR-16(7)(v)-6 DISTR Cust Alloc'!G123</f>
        <v>0</v>
      </c>
      <c r="J123" s="345">
        <f t="shared" si="22"/>
        <v>618226</v>
      </c>
      <c r="K123" s="345">
        <f t="shared" si="23"/>
        <v>0</v>
      </c>
    </row>
    <row r="124" spans="1:11" ht="13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3">
        <f>'FR-16(7)(v)-8 TOT CLASS Alloc'!G124</f>
        <v>0</v>
      </c>
      <c r="G124" s="542">
        <f>'FR-16(7)(v)-5 DISTR Dem Alloc'!G124</f>
        <v>0</v>
      </c>
      <c r="H124" s="533">
        <f>'FR-16(7)(v)-3 PROD Comm Alloc'!G124</f>
        <v>0</v>
      </c>
      <c r="I124" s="534">
        <f>'FR-16(7)(v)-6 DISTR Cust Alloc'!G124</f>
        <v>0</v>
      </c>
      <c r="J124" s="345">
        <f t="shared" si="22"/>
        <v>0</v>
      </c>
      <c r="K124" s="345">
        <f t="shared" si="23"/>
        <v>0</v>
      </c>
    </row>
    <row r="125" spans="1:11" ht="13">
      <c r="A125" s="331">
        <v>13</v>
      </c>
      <c r="C125" s="330" t="str">
        <f>'FR-16(7)(v)-1 Functional'!C125</f>
        <v>MAINS - (2761, 2762, 2763, 2765)</v>
      </c>
      <c r="D125" s="342" t="str">
        <f>'FR-16(7)(v)-1 Functional'!D125</f>
        <v>K415</v>
      </c>
      <c r="E125" s="195"/>
      <c r="F125" s="473">
        <f>'FR-16(7)(v)-8 TOT CLASS Alloc'!G125</f>
        <v>57925802</v>
      </c>
      <c r="G125" s="542">
        <f>'FR-16(7)(v)-5 DISTR Dem Alloc'!G125</f>
        <v>57925802</v>
      </c>
      <c r="H125" s="533">
        <f>'FR-16(7)(v)-3 PROD Comm Alloc'!G125</f>
        <v>0</v>
      </c>
      <c r="I125" s="534">
        <f>'FR-16(7)(v)-6 DISTR Cust Alloc'!G125</f>
        <v>0</v>
      </c>
      <c r="J125" s="345">
        <f t="shared" si="22"/>
        <v>57925802</v>
      </c>
      <c r="K125" s="345">
        <f t="shared" si="23"/>
        <v>0</v>
      </c>
    </row>
    <row r="126" spans="1:11" ht="13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3">
        <f>'FR-16(7)(v)-8 TOT CLASS Alloc'!G126</f>
        <v>53709678</v>
      </c>
      <c r="G126" s="542">
        <f>'FR-16(7)(v)-5 DISTR Dem Alloc'!G126</f>
        <v>0</v>
      </c>
      <c r="H126" s="533">
        <f>'FR-16(7)(v)-3 PROD Comm Alloc'!G126</f>
        <v>0</v>
      </c>
      <c r="I126" s="534">
        <f>'FR-16(7)(v)-6 DISTR Cust Alloc'!G126</f>
        <v>53709678</v>
      </c>
      <c r="J126" s="345">
        <f t="shared" si="22"/>
        <v>53709678</v>
      </c>
      <c r="K126" s="345">
        <f t="shared" si="23"/>
        <v>0</v>
      </c>
    </row>
    <row r="127" spans="1:11" ht="13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3">
        <f>'FR-16(7)(v)-8 TOT CLASS Alloc'!G127</f>
        <v>-716989</v>
      </c>
      <c r="G127" s="542">
        <f>'FR-16(7)(v)-5 DISTR Dem Alloc'!G127</f>
        <v>0</v>
      </c>
      <c r="H127" s="533">
        <f>'FR-16(7)(v)-3 PROD Comm Alloc'!G127</f>
        <v>0</v>
      </c>
      <c r="I127" s="534">
        <f>'FR-16(7)(v)-6 DISTR Cust Alloc'!G127</f>
        <v>-716989</v>
      </c>
      <c r="J127" s="345">
        <f t="shared" si="22"/>
        <v>-716989</v>
      </c>
      <c r="K127" s="345">
        <f t="shared" si="23"/>
        <v>0</v>
      </c>
    </row>
    <row r="128" spans="1:11" ht="13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3">
        <f>'FR-16(7)(v)-8 TOT CLASS Alloc'!G128</f>
        <v>358008</v>
      </c>
      <c r="G128" s="542">
        <f>'FR-16(7)(v)-5 DISTR Dem Alloc'!G128</f>
        <v>358008</v>
      </c>
      <c r="H128" s="533">
        <f>'FR-16(7)(v)-3 PROD Comm Alloc'!G128</f>
        <v>0</v>
      </c>
      <c r="I128" s="534">
        <f>'FR-16(7)(v)-6 DISTR Cust Alloc'!G128</f>
        <v>0</v>
      </c>
      <c r="J128" s="345">
        <f t="shared" si="22"/>
        <v>358008</v>
      </c>
      <c r="K128" s="345">
        <f t="shared" si="23"/>
        <v>0</v>
      </c>
    </row>
    <row r="129" spans="1:11" ht="13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3">
        <f>'FR-16(7)(v)-8 TOT CLASS Alloc'!G129</f>
        <v>3679347</v>
      </c>
      <c r="G129" s="542">
        <f>'FR-16(7)(v)-5 DISTR Dem Alloc'!G129</f>
        <v>0</v>
      </c>
      <c r="H129" s="533">
        <f>'FR-16(7)(v)-3 PROD Comm Alloc'!G129</f>
        <v>0</v>
      </c>
      <c r="I129" s="534">
        <f>'FR-16(7)(v)-6 DISTR Cust Alloc'!G129</f>
        <v>3679347</v>
      </c>
      <c r="J129" s="345">
        <f t="shared" si="22"/>
        <v>3679347</v>
      </c>
      <c r="K129" s="345">
        <f t="shared" si="23"/>
        <v>0</v>
      </c>
    </row>
    <row r="130" spans="1:11" ht="13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3">
        <f>'FR-16(7)(v)-8 TOT CLASS Alloc'!G130</f>
        <v>0</v>
      </c>
      <c r="G130" s="542">
        <f>'FR-16(7)(v)-5 DISTR Dem Alloc'!G130</f>
        <v>0</v>
      </c>
      <c r="H130" s="533">
        <f>'FR-16(7)(v)-3 PROD Comm Alloc'!G130</f>
        <v>0</v>
      </c>
      <c r="I130" s="534">
        <f>'FR-16(7)(v)-6 DISTR Cust Alloc'!G130</f>
        <v>0</v>
      </c>
      <c r="J130" s="345">
        <f t="shared" si="22"/>
        <v>0</v>
      </c>
      <c r="K130" s="345">
        <f t="shared" si="23"/>
        <v>0</v>
      </c>
    </row>
    <row r="131" spans="1:11" ht="13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K131" si="24">SUM(F121:F130)</f>
        <v>116891581</v>
      </c>
      <c r="G131" s="543">
        <f t="shared" si="24"/>
        <v>60219545</v>
      </c>
      <c r="H131" s="535">
        <f t="shared" si="24"/>
        <v>0</v>
      </c>
      <c r="I131" s="536">
        <f t="shared" si="24"/>
        <v>56672036</v>
      </c>
      <c r="J131" s="346">
        <f t="shared" si="24"/>
        <v>116891581</v>
      </c>
      <c r="K131" s="346">
        <f t="shared" si="24"/>
        <v>0</v>
      </c>
    </row>
    <row r="132" spans="1:11" ht="13">
      <c r="A132" s="331">
        <v>20</v>
      </c>
      <c r="D132" s="342"/>
      <c r="E132" s="195"/>
      <c r="G132" s="541"/>
      <c r="H132" s="531"/>
      <c r="I132" s="532"/>
    </row>
    <row r="133" spans="1:11" ht="13">
      <c r="A133" s="331">
        <v>21</v>
      </c>
      <c r="B133" s="330" t="s">
        <v>20</v>
      </c>
      <c r="D133" s="342"/>
      <c r="E133" s="195"/>
      <c r="G133" s="541"/>
      <c r="H133" s="531"/>
      <c r="I133" s="532"/>
    </row>
    <row r="134" spans="1:11" ht="13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3">
        <f>'FR-16(7)(v)-8 TOT CLASS Alloc'!G134</f>
        <v>704856</v>
      </c>
      <c r="G134" s="542">
        <f>'FR-16(7)(v)-5 DISTR Dem Alloc'!G134</f>
        <v>0</v>
      </c>
      <c r="H134" s="533">
        <f>'FR-16(7)(v)-3 PROD Comm Alloc'!G134</f>
        <v>704856</v>
      </c>
      <c r="I134" s="534">
        <f>'FR-16(7)(v)-6 DISTR Cust Alloc'!G134</f>
        <v>0</v>
      </c>
      <c r="J134" s="345">
        <f t="shared" ref="J134:J139" si="25">SUM(G134:I134)</f>
        <v>704856</v>
      </c>
      <c r="K134" s="345">
        <f t="shared" ref="K134:K139" si="26">F134-J134</f>
        <v>0</v>
      </c>
    </row>
    <row r="135" spans="1:11" ht="13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3">
        <f>'FR-16(7)(v)-8 TOT CLASS Alloc'!G135</f>
        <v>648262</v>
      </c>
      <c r="G135" s="542">
        <f>'FR-16(7)(v)-5 DISTR Dem Alloc'!G135</f>
        <v>0</v>
      </c>
      <c r="H135" s="533">
        <f>'FR-16(7)(v)-3 PROD Comm Alloc'!G135</f>
        <v>648262</v>
      </c>
      <c r="I135" s="534">
        <f>'FR-16(7)(v)-6 DISTR Cust Alloc'!G135</f>
        <v>0</v>
      </c>
      <c r="J135" s="345">
        <f t="shared" si="25"/>
        <v>648262</v>
      </c>
      <c r="K135" s="345">
        <f t="shared" si="26"/>
        <v>0</v>
      </c>
    </row>
    <row r="136" spans="1:11" ht="13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3">
        <f>'FR-16(7)(v)-8 TOT CLASS Alloc'!G136</f>
        <v>5408988</v>
      </c>
      <c r="G136" s="542">
        <f>'FR-16(7)(v)-5 DISTR Dem Alloc'!G136</f>
        <v>3755386</v>
      </c>
      <c r="H136" s="533">
        <f>'FR-16(7)(v)-3 PROD Comm Alloc'!G136</f>
        <v>0</v>
      </c>
      <c r="I136" s="534">
        <f>'FR-16(7)(v)-6 DISTR Cust Alloc'!G136</f>
        <v>1653602</v>
      </c>
      <c r="J136" s="345">
        <f t="shared" si="25"/>
        <v>5408988</v>
      </c>
      <c r="K136" s="345">
        <f t="shared" si="26"/>
        <v>0</v>
      </c>
    </row>
    <row r="137" spans="1:11" ht="13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3">
        <f>'FR-16(7)(v)-8 TOT CLASS Alloc'!G137</f>
        <v>3390845</v>
      </c>
      <c r="G137" s="542">
        <f>'FR-16(7)(v)-5 DISTR Dem Alloc'!G137</f>
        <v>0</v>
      </c>
      <c r="H137" s="533">
        <f>'FR-16(7)(v)-3 PROD Comm Alloc'!G137</f>
        <v>0</v>
      </c>
      <c r="I137" s="534">
        <f>'FR-16(7)(v)-6 DISTR Cust Alloc'!G137</f>
        <v>3390845</v>
      </c>
      <c r="J137" s="345">
        <f t="shared" si="25"/>
        <v>3390845</v>
      </c>
      <c r="K137" s="345">
        <f t="shared" si="26"/>
        <v>0</v>
      </c>
    </row>
    <row r="138" spans="1:11" ht="13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3">
        <f>'FR-16(7)(v)-8 TOT CLASS Alloc'!G138</f>
        <v>328269</v>
      </c>
      <c r="G138" s="542">
        <f>'FR-16(7)(v)-5 DISTR Dem Alloc'!G138</f>
        <v>0</v>
      </c>
      <c r="H138" s="533">
        <f>'FR-16(7)(v)-3 PROD Comm Alloc'!G138</f>
        <v>0</v>
      </c>
      <c r="I138" s="534">
        <f>'FR-16(7)(v)-6 DISTR Cust Alloc'!G138</f>
        <v>328269</v>
      </c>
      <c r="J138" s="345">
        <f t="shared" si="25"/>
        <v>328269</v>
      </c>
      <c r="K138" s="345">
        <f t="shared" si="26"/>
        <v>0</v>
      </c>
    </row>
    <row r="139" spans="1:11" ht="13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3">
        <f>'FR-16(7)(v)-8 TOT CLASS Alloc'!G139</f>
        <v>0</v>
      </c>
      <c r="G139" s="542">
        <f>'FR-16(7)(v)-5 DISTR Dem Alloc'!G139</f>
        <v>0</v>
      </c>
      <c r="H139" s="533">
        <f>'FR-16(7)(v)-3 PROD Comm Alloc'!G139</f>
        <v>0</v>
      </c>
      <c r="I139" s="534">
        <f>'FR-16(7)(v)-6 DISTR Cust Alloc'!G139</f>
        <v>0</v>
      </c>
      <c r="J139" s="345">
        <f t="shared" si="25"/>
        <v>0</v>
      </c>
      <c r="K139" s="345">
        <f t="shared" si="26"/>
        <v>0</v>
      </c>
    </row>
    <row r="140" spans="1:11" ht="13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K140" si="27">SUM(F133:F139)</f>
        <v>10481220</v>
      </c>
      <c r="G140" s="543">
        <f t="shared" si="27"/>
        <v>3755386</v>
      </c>
      <c r="H140" s="535">
        <f t="shared" si="27"/>
        <v>1353118</v>
      </c>
      <c r="I140" s="536">
        <f t="shared" si="27"/>
        <v>5372716</v>
      </c>
      <c r="J140" s="346">
        <f t="shared" si="27"/>
        <v>10481220</v>
      </c>
      <c r="K140" s="346">
        <f t="shared" si="27"/>
        <v>0</v>
      </c>
    </row>
    <row r="141" spans="1:11" ht="13">
      <c r="A141" s="331">
        <v>29</v>
      </c>
      <c r="C141" s="363"/>
      <c r="D141" s="342"/>
      <c r="E141" s="195"/>
      <c r="G141" s="541"/>
      <c r="H141" s="531"/>
      <c r="I141" s="532"/>
    </row>
    <row r="142" spans="1:11" ht="13">
      <c r="A142" s="331">
        <v>30</v>
      </c>
      <c r="B142" s="330" t="s">
        <v>21</v>
      </c>
      <c r="C142" s="363"/>
      <c r="D142" s="342"/>
      <c r="E142" s="195"/>
      <c r="G142" s="541"/>
      <c r="H142" s="531"/>
      <c r="I142" s="532"/>
    </row>
    <row r="143" spans="1:11" ht="13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3">
        <f>'FR-16(7)(v)-8 TOT CLASS Alloc'!G143</f>
        <v>322363</v>
      </c>
      <c r="G143" s="542">
        <f>'FR-16(7)(v)-5 DISTR Dem Alloc'!G143</f>
        <v>0</v>
      </c>
      <c r="H143" s="533">
        <f>'FR-16(7)(v)-3 PROD Comm Alloc'!G143</f>
        <v>322363</v>
      </c>
      <c r="I143" s="534">
        <f>'FR-16(7)(v)-6 DISTR Cust Alloc'!G143</f>
        <v>0</v>
      </c>
      <c r="J143" s="345">
        <f t="shared" ref="J143:J148" si="28">SUM(G143:I143)</f>
        <v>322363</v>
      </c>
      <c r="K143" s="345">
        <f t="shared" ref="K143:K148" si="29">F143-J143</f>
        <v>0</v>
      </c>
    </row>
    <row r="144" spans="1:11" ht="13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3">
        <f>'FR-16(7)(v)-8 TOT CLASS Alloc'!G144</f>
        <v>296481</v>
      </c>
      <c r="G144" s="542">
        <f>'FR-16(7)(v)-5 DISTR Dem Alloc'!G144</f>
        <v>0</v>
      </c>
      <c r="H144" s="533">
        <f>'FR-16(7)(v)-3 PROD Comm Alloc'!G144</f>
        <v>296481</v>
      </c>
      <c r="I144" s="534">
        <f>'FR-16(7)(v)-6 DISTR Cust Alloc'!G144</f>
        <v>0</v>
      </c>
      <c r="J144" s="345">
        <f t="shared" si="28"/>
        <v>296481</v>
      </c>
      <c r="K144" s="345">
        <f t="shared" si="29"/>
        <v>0</v>
      </c>
    </row>
    <row r="145" spans="1:11" ht="13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3">
        <f>'FR-16(7)(v)-8 TOT CLASS Alloc'!G145</f>
        <v>2473781</v>
      </c>
      <c r="G145" s="542">
        <f>'FR-16(7)(v)-5 DISTR Dem Alloc'!G145</f>
        <v>1717512</v>
      </c>
      <c r="H145" s="533">
        <f>'FR-16(7)(v)-3 PROD Comm Alloc'!G145</f>
        <v>0</v>
      </c>
      <c r="I145" s="534">
        <f>'FR-16(7)(v)-6 DISTR Cust Alloc'!G145</f>
        <v>756269</v>
      </c>
      <c r="J145" s="345">
        <f t="shared" si="28"/>
        <v>2473781</v>
      </c>
      <c r="K145" s="345">
        <f t="shared" si="29"/>
        <v>0</v>
      </c>
    </row>
    <row r="146" spans="1:11" ht="13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3">
        <f>'FR-16(7)(v)-8 TOT CLASS Alloc'!G146</f>
        <v>1550791</v>
      </c>
      <c r="G146" s="542">
        <f>'FR-16(7)(v)-5 DISTR Dem Alloc'!G146</f>
        <v>0</v>
      </c>
      <c r="H146" s="533">
        <f>'FR-16(7)(v)-3 PROD Comm Alloc'!G146</f>
        <v>0</v>
      </c>
      <c r="I146" s="534">
        <f>'FR-16(7)(v)-6 DISTR Cust Alloc'!G146</f>
        <v>1550791</v>
      </c>
      <c r="J146" s="345">
        <f t="shared" si="28"/>
        <v>1550791</v>
      </c>
      <c r="K146" s="345">
        <f t="shared" si="29"/>
        <v>0</v>
      </c>
    </row>
    <row r="147" spans="1:11" ht="13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3">
        <f>'FR-16(7)(v)-8 TOT CLASS Alloc'!G147</f>
        <v>150132</v>
      </c>
      <c r="G147" s="542">
        <f>'FR-16(7)(v)-5 DISTR Dem Alloc'!G147</f>
        <v>0</v>
      </c>
      <c r="H147" s="533">
        <f>'FR-16(7)(v)-3 PROD Comm Alloc'!G147</f>
        <v>0</v>
      </c>
      <c r="I147" s="534">
        <f>'FR-16(7)(v)-6 DISTR Cust Alloc'!G147</f>
        <v>150132</v>
      </c>
      <c r="J147" s="345">
        <f t="shared" si="28"/>
        <v>150132</v>
      </c>
      <c r="K147" s="345">
        <f t="shared" si="29"/>
        <v>0</v>
      </c>
    </row>
    <row r="148" spans="1:11" ht="13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3">
        <f>'FR-16(7)(v)-8 TOT CLASS Alloc'!G148</f>
        <v>0</v>
      </c>
      <c r="G148" s="542">
        <f>'FR-16(7)(v)-5 DISTR Dem Alloc'!G148</f>
        <v>0</v>
      </c>
      <c r="H148" s="533">
        <f>'FR-16(7)(v)-3 PROD Comm Alloc'!G148</f>
        <v>0</v>
      </c>
      <c r="I148" s="534">
        <f>'FR-16(7)(v)-6 DISTR Cust Alloc'!G148</f>
        <v>0</v>
      </c>
      <c r="J148" s="345">
        <f t="shared" si="28"/>
        <v>0</v>
      </c>
      <c r="K148" s="345">
        <f t="shared" si="29"/>
        <v>0</v>
      </c>
    </row>
    <row r="149" spans="1:11" ht="13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4793548</v>
      </c>
      <c r="G149" s="543">
        <f>SUM(G142:G148)</f>
        <v>1717512</v>
      </c>
      <c r="H149" s="535">
        <f>SUM(H142:H148)</f>
        <v>618844</v>
      </c>
      <c r="I149" s="536">
        <f>SUM(I142:I148)</f>
        <v>2457192</v>
      </c>
      <c r="J149" s="346">
        <f>SUM(J142:J148)</f>
        <v>4793548</v>
      </c>
      <c r="K149" s="346">
        <f>SUM(K142:K148)</f>
        <v>0</v>
      </c>
    </row>
    <row r="150" spans="1:11" ht="13">
      <c r="A150" s="331">
        <v>38</v>
      </c>
      <c r="D150" s="342"/>
      <c r="E150" s="195"/>
      <c r="G150" s="541"/>
      <c r="H150" s="531"/>
      <c r="I150" s="532"/>
    </row>
    <row r="151" spans="1:11" ht="13">
      <c r="A151" s="331">
        <v>39</v>
      </c>
      <c r="B151" s="330" t="s">
        <v>23</v>
      </c>
      <c r="D151" s="342"/>
      <c r="E151" s="195"/>
      <c r="F151" s="345">
        <f t="shared" ref="F151:K151" si="30">F149+F140+F131+F119+F115</f>
        <v>133530689</v>
      </c>
      <c r="G151" s="544">
        <f t="shared" si="30"/>
        <v>65692443</v>
      </c>
      <c r="H151" s="537">
        <f t="shared" si="30"/>
        <v>3336302</v>
      </c>
      <c r="I151" s="538">
        <f t="shared" si="30"/>
        <v>64501944</v>
      </c>
      <c r="J151" s="345">
        <f t="shared" si="30"/>
        <v>133530689</v>
      </c>
      <c r="K151" s="345">
        <f t="shared" si="30"/>
        <v>0</v>
      </c>
    </row>
    <row r="152" spans="1:11" ht="13">
      <c r="B152" s="341"/>
      <c r="C152" s="195"/>
      <c r="D152" s="342"/>
      <c r="E152" s="195"/>
      <c r="F152" s="195"/>
      <c r="G152" s="195"/>
      <c r="H152" s="195"/>
      <c r="I152" s="195"/>
      <c r="J152" s="195"/>
    </row>
    <row r="153" spans="1:11" ht="13">
      <c r="A153" s="341" t="str">
        <f>co_name</f>
        <v>DUKE ENERGY KENTUCKY, INC.</v>
      </c>
      <c r="C153" s="195"/>
      <c r="D153" s="342"/>
      <c r="E153" s="195"/>
      <c r="F153" s="195"/>
      <c r="G153" s="195"/>
      <c r="H153" s="195"/>
      <c r="I153" s="195"/>
      <c r="J153" s="195" t="str">
        <f>$J$1</f>
        <v>FR-16(7)(v)-9</v>
      </c>
      <c r="K153" s="195"/>
    </row>
    <row r="154" spans="1:11" ht="13">
      <c r="A154" s="341" t="str">
        <f>$A$2</f>
        <v>RESIDENTIAL CLASSIFIED - GAS COST OF SERVICE</v>
      </c>
      <c r="C154" s="195"/>
      <c r="D154" s="342"/>
      <c r="E154" s="195"/>
      <c r="F154" s="195"/>
      <c r="G154" s="195"/>
      <c r="H154" s="195"/>
      <c r="I154" s="195"/>
      <c r="J154" s="195" t="str">
        <f>$J$2</f>
        <v>WITNESS RESPONSIBLE:</v>
      </c>
      <c r="K154" s="195"/>
    </row>
    <row r="155" spans="1:11" ht="13">
      <c r="A155" s="341" t="str">
        <f>case_name</f>
        <v>CASE NO: 2021-00190</v>
      </c>
      <c r="C155" s="195"/>
      <c r="D155" s="342"/>
      <c r="E155" s="195"/>
      <c r="F155" s="195"/>
      <c r="G155" s="195"/>
      <c r="H155" s="195"/>
      <c r="I155" s="195"/>
      <c r="J155" s="195" t="str">
        <f>Witness</f>
        <v>JAMES E. ZIOLKOWSKI</v>
      </c>
      <c r="K155" s="195"/>
    </row>
    <row r="156" spans="1:11" ht="13">
      <c r="A156" s="341" t="str">
        <f>data_filing</f>
        <v>DATA: 12 MONTH FORECASTED PERIOD</v>
      </c>
      <c r="C156" s="195"/>
      <c r="D156" s="342"/>
      <c r="E156" s="195"/>
      <c r="F156" s="195"/>
      <c r="G156" s="195"/>
      <c r="H156" s="195"/>
      <c r="I156" s="195"/>
      <c r="J156" s="195" t="str">
        <f>"PAGE "&amp;Pages2-11&amp;" OF "&amp;Pages2</f>
        <v>PAGE 4 OF 15</v>
      </c>
      <c r="K156" s="195"/>
    </row>
    <row r="157" spans="1:11" ht="13">
      <c r="A157" s="341" t="str">
        <f>type</f>
        <v xml:space="preserve">TYPE OF FILING: "X" ORIGINAL   UPDATED    REVISED  </v>
      </c>
      <c r="C157" s="195"/>
      <c r="D157" s="342"/>
      <c r="E157" s="195"/>
      <c r="F157" s="195"/>
      <c r="G157" s="195"/>
      <c r="H157" s="195"/>
      <c r="I157" s="195"/>
      <c r="J157" s="195"/>
      <c r="K157" s="195"/>
    </row>
    <row r="158" spans="1:11" ht="13">
      <c r="A158" s="341"/>
      <c r="C158" s="195"/>
      <c r="D158" s="342"/>
      <c r="E158" s="195"/>
      <c r="F158" s="195"/>
      <c r="G158" s="195"/>
      <c r="H158" s="195"/>
      <c r="I158" s="195"/>
      <c r="J158" s="195"/>
      <c r="K158" s="195"/>
    </row>
    <row r="159" spans="1:11" ht="13">
      <c r="B159" s="341"/>
      <c r="C159" s="195"/>
      <c r="D159" s="342"/>
      <c r="E159" s="195"/>
      <c r="F159" s="195"/>
      <c r="G159" s="195"/>
      <c r="H159" s="195"/>
      <c r="I159" s="195"/>
      <c r="J159" s="195"/>
    </row>
    <row r="160" spans="1:11" ht="13">
      <c r="A160" s="342" t="s">
        <v>907</v>
      </c>
      <c r="B160" s="195"/>
      <c r="C160" s="195"/>
      <c r="D160" s="342"/>
      <c r="E160" s="195"/>
      <c r="F160" s="342" t="s">
        <v>229</v>
      </c>
      <c r="G160" s="539" t="s">
        <v>995</v>
      </c>
      <c r="H160" s="527"/>
      <c r="I160" s="528"/>
      <c r="J160" s="342" t="s">
        <v>229</v>
      </c>
      <c r="K160" s="342" t="s">
        <v>342</v>
      </c>
    </row>
    <row r="161" spans="1:11" ht="13">
      <c r="A161" s="344" t="s">
        <v>908</v>
      </c>
      <c r="B161" s="343" t="str">
        <f>"NET GAS PLANT"</f>
        <v>NET GAS PLANT</v>
      </c>
      <c r="C161" s="343"/>
      <c r="D161" s="344" t="s">
        <v>337</v>
      </c>
      <c r="E161" s="343"/>
      <c r="F161" s="344" t="str">
        <f>$F$9</f>
        <v>RESIDENTIAL</v>
      </c>
      <c r="G161" s="540" t="s">
        <v>840</v>
      </c>
      <c r="H161" s="529" t="s">
        <v>841</v>
      </c>
      <c r="I161" s="530" t="s">
        <v>842</v>
      </c>
      <c r="J161" s="344" t="s">
        <v>341</v>
      </c>
      <c r="K161" s="344" t="s">
        <v>340</v>
      </c>
    </row>
    <row r="162" spans="1:11" ht="13">
      <c r="C162" s="572" t="s">
        <v>346</v>
      </c>
      <c r="D162" s="342"/>
      <c r="E162" s="195"/>
      <c r="G162" s="793">
        <f>$G$10</f>
        <v>3</v>
      </c>
      <c r="H162" s="794">
        <f>$H$10</f>
        <v>4</v>
      </c>
      <c r="I162" s="795">
        <f>$I$10</f>
        <v>5</v>
      </c>
    </row>
    <row r="163" spans="1:11" ht="13">
      <c r="A163" s="331">
        <v>1</v>
      </c>
      <c r="B163" s="330" t="s">
        <v>14</v>
      </c>
      <c r="D163" s="342"/>
      <c r="E163" s="195"/>
      <c r="G163" s="541"/>
      <c r="H163" s="531"/>
      <c r="I163" s="532"/>
    </row>
    <row r="164" spans="1:11" ht="13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2471100</v>
      </c>
      <c r="G164" s="542">
        <f>$G$59</f>
        <v>0</v>
      </c>
      <c r="H164" s="533">
        <f>$H$59</f>
        <v>2471100</v>
      </c>
      <c r="I164" s="534">
        <f>$I$59</f>
        <v>0</v>
      </c>
      <c r="J164" s="345">
        <f>$J$59</f>
        <v>2471100</v>
      </c>
      <c r="K164" s="345">
        <f>F164-J164</f>
        <v>0</v>
      </c>
    </row>
    <row r="165" spans="1:11" ht="13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>-F115</f>
        <v>-1364340</v>
      </c>
      <c r="G165" s="542">
        <f>-G115</f>
        <v>0</v>
      </c>
      <c r="H165" s="533">
        <f>-H115</f>
        <v>-1364340</v>
      </c>
      <c r="I165" s="534">
        <f>-I115</f>
        <v>0</v>
      </c>
      <c r="J165" s="345">
        <f>-J115</f>
        <v>-1364340</v>
      </c>
      <c r="K165" s="345">
        <f>F165-J165</f>
        <v>0</v>
      </c>
    </row>
    <row r="166" spans="1:11" ht="13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K166" si="31">SUM(F164:F165)</f>
        <v>1106760</v>
      </c>
      <c r="G166" s="543">
        <f t="shared" si="31"/>
        <v>0</v>
      </c>
      <c r="H166" s="535">
        <f t="shared" si="31"/>
        <v>1106760</v>
      </c>
      <c r="I166" s="536">
        <f t="shared" si="31"/>
        <v>0</v>
      </c>
      <c r="J166" s="346">
        <f t="shared" si="31"/>
        <v>1106760</v>
      </c>
      <c r="K166" s="346">
        <f t="shared" si="31"/>
        <v>0</v>
      </c>
    </row>
    <row r="167" spans="1:11" ht="13">
      <c r="A167" s="331">
        <v>5</v>
      </c>
      <c r="D167" s="342"/>
      <c r="E167" s="195"/>
      <c r="G167" s="541"/>
      <c r="H167" s="531"/>
      <c r="I167" s="532"/>
    </row>
    <row r="168" spans="1:11" ht="13">
      <c r="A168" s="331">
        <v>6</v>
      </c>
      <c r="B168" s="357" t="s">
        <v>15</v>
      </c>
      <c r="C168" s="357"/>
      <c r="D168" s="342"/>
      <c r="E168" s="195"/>
      <c r="F168" s="345"/>
      <c r="G168" s="542"/>
      <c r="H168" s="533"/>
      <c r="I168" s="534"/>
      <c r="J168" s="345"/>
    </row>
    <row r="169" spans="1:11" ht="13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542">
        <f>$G$63</f>
        <v>0</v>
      </c>
      <c r="H169" s="533">
        <f>$H$63</f>
        <v>0</v>
      </c>
      <c r="I169" s="534">
        <f>$I$63</f>
        <v>0</v>
      </c>
      <c r="J169" s="345">
        <f>$J$63</f>
        <v>0</v>
      </c>
      <c r="K169" s="345">
        <f>F169-J169</f>
        <v>0</v>
      </c>
    </row>
    <row r="170" spans="1:11" ht="13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>-F119</f>
        <v>0</v>
      </c>
      <c r="G170" s="542">
        <f>-G119</f>
        <v>0</v>
      </c>
      <c r="H170" s="533">
        <f>-H119</f>
        <v>0</v>
      </c>
      <c r="I170" s="534">
        <f>-I119</f>
        <v>0</v>
      </c>
      <c r="J170" s="345">
        <f>-J119</f>
        <v>0</v>
      </c>
      <c r="K170" s="345">
        <f>F170-J170</f>
        <v>0</v>
      </c>
    </row>
    <row r="171" spans="1:11" ht="13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K171" si="32">SUM(F168:F170)</f>
        <v>0</v>
      </c>
      <c r="G171" s="543">
        <f t="shared" si="32"/>
        <v>0</v>
      </c>
      <c r="H171" s="535">
        <f t="shared" si="32"/>
        <v>0</v>
      </c>
      <c r="I171" s="536">
        <f t="shared" si="32"/>
        <v>0</v>
      </c>
      <c r="J171" s="346">
        <f t="shared" si="32"/>
        <v>0</v>
      </c>
      <c r="K171" s="346">
        <f t="shared" si="32"/>
        <v>0</v>
      </c>
    </row>
    <row r="172" spans="1:11" ht="13">
      <c r="A172" s="331">
        <v>10</v>
      </c>
      <c r="D172" s="342"/>
      <c r="E172" s="195"/>
      <c r="G172" s="541"/>
      <c r="H172" s="531"/>
      <c r="I172" s="532"/>
    </row>
    <row r="173" spans="1:11" ht="13">
      <c r="A173" s="331">
        <v>11</v>
      </c>
      <c r="B173" s="330" t="s">
        <v>17</v>
      </c>
      <c r="D173" s="342"/>
      <c r="E173" s="195"/>
      <c r="G173" s="541"/>
      <c r="H173" s="531"/>
      <c r="I173" s="532"/>
    </row>
    <row r="174" spans="1:11" ht="13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>F78</f>
        <v>462829689</v>
      </c>
      <c r="G174" s="542">
        <f>G78</f>
        <v>230997303</v>
      </c>
      <c r="H174" s="533">
        <f>H78</f>
        <v>0</v>
      </c>
      <c r="I174" s="534">
        <f>I78</f>
        <v>231832386</v>
      </c>
      <c r="J174" s="345">
        <f>J78</f>
        <v>462829689</v>
      </c>
      <c r="K174" s="345">
        <f>F174-J174</f>
        <v>0</v>
      </c>
    </row>
    <row r="175" spans="1:11" ht="13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>-F131</f>
        <v>-116891581</v>
      </c>
      <c r="G175" s="542">
        <f>-G131</f>
        <v>-60219545</v>
      </c>
      <c r="H175" s="533">
        <f>-H131</f>
        <v>0</v>
      </c>
      <c r="I175" s="534">
        <f>-I131</f>
        <v>-56672036</v>
      </c>
      <c r="J175" s="345">
        <f>-J131</f>
        <v>-116891581</v>
      </c>
      <c r="K175" s="345">
        <f>F175-J175</f>
        <v>0</v>
      </c>
    </row>
    <row r="176" spans="1:11" ht="13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K176" si="33">SUM(F173:F175)</f>
        <v>345938108</v>
      </c>
      <c r="G176" s="543">
        <f t="shared" si="33"/>
        <v>170777758</v>
      </c>
      <c r="H176" s="535">
        <f t="shared" si="33"/>
        <v>0</v>
      </c>
      <c r="I176" s="536">
        <f t="shared" si="33"/>
        <v>175160350</v>
      </c>
      <c r="J176" s="346">
        <f t="shared" si="33"/>
        <v>345938108</v>
      </c>
      <c r="K176" s="346">
        <f t="shared" si="33"/>
        <v>0</v>
      </c>
    </row>
    <row r="177" spans="1:11" ht="13">
      <c r="A177" s="331">
        <v>15</v>
      </c>
      <c r="D177" s="342"/>
      <c r="E177" s="195"/>
      <c r="G177" s="541"/>
      <c r="H177" s="531"/>
      <c r="I177" s="532"/>
    </row>
    <row r="178" spans="1:11" ht="13">
      <c r="A178" s="331">
        <v>16</v>
      </c>
      <c r="B178" s="330" t="s">
        <v>429</v>
      </c>
      <c r="D178" s="342"/>
      <c r="E178" s="195"/>
      <c r="F178" s="345">
        <f t="shared" ref="F178:K178" si="34">F176+F171+F166</f>
        <v>347044868</v>
      </c>
      <c r="G178" s="542">
        <f t="shared" si="34"/>
        <v>170777758</v>
      </c>
      <c r="H178" s="533">
        <f t="shared" si="34"/>
        <v>1106760</v>
      </c>
      <c r="I178" s="534">
        <f t="shared" si="34"/>
        <v>175160350</v>
      </c>
      <c r="J178" s="345">
        <f t="shared" si="34"/>
        <v>347044868</v>
      </c>
      <c r="K178" s="345">
        <f t="shared" si="34"/>
        <v>0</v>
      </c>
    </row>
    <row r="179" spans="1:11" ht="13">
      <c r="A179" s="331">
        <v>17</v>
      </c>
      <c r="B179" s="330" t="s">
        <v>24</v>
      </c>
      <c r="D179" s="342"/>
      <c r="E179" s="195"/>
      <c r="F179" s="345">
        <f t="shared" ref="F179:K179" si="35">F176+F171</f>
        <v>345938108</v>
      </c>
      <c r="G179" s="542">
        <f t="shared" si="35"/>
        <v>170777758</v>
      </c>
      <c r="H179" s="533">
        <f t="shared" si="35"/>
        <v>0</v>
      </c>
      <c r="I179" s="534">
        <f t="shared" si="35"/>
        <v>175160350</v>
      </c>
      <c r="J179" s="345">
        <f t="shared" si="35"/>
        <v>345938108</v>
      </c>
      <c r="K179" s="345">
        <f t="shared" si="35"/>
        <v>0</v>
      </c>
    </row>
    <row r="180" spans="1:11" ht="13">
      <c r="A180" s="331">
        <v>18</v>
      </c>
      <c r="D180" s="342"/>
      <c r="E180" s="195"/>
      <c r="G180" s="541"/>
      <c r="H180" s="531"/>
      <c r="I180" s="532"/>
    </row>
    <row r="181" spans="1:11" ht="13">
      <c r="A181" s="331">
        <v>19</v>
      </c>
      <c r="B181" s="330" t="s">
        <v>20</v>
      </c>
      <c r="D181" s="342"/>
      <c r="E181" s="195"/>
      <c r="G181" s="541"/>
      <c r="H181" s="531"/>
      <c r="I181" s="532"/>
    </row>
    <row r="182" spans="1:11" ht="13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>F90</f>
        <v>21290632</v>
      </c>
      <c r="G182" s="542">
        <f>G90</f>
        <v>7628362</v>
      </c>
      <c r="H182" s="533">
        <f>H90</f>
        <v>2748605</v>
      </c>
      <c r="I182" s="534">
        <f>I90</f>
        <v>10913665</v>
      </c>
      <c r="J182" s="345">
        <f>J90</f>
        <v>21290632</v>
      </c>
      <c r="K182" s="345">
        <f>F182-J182</f>
        <v>0</v>
      </c>
    </row>
    <row r="183" spans="1:11" ht="13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>-F140</f>
        <v>-10481220</v>
      </c>
      <c r="G183" s="542">
        <f>-G140</f>
        <v>-3755386</v>
      </c>
      <c r="H183" s="533">
        <f>-H140</f>
        <v>-1353118</v>
      </c>
      <c r="I183" s="534">
        <f>-I140</f>
        <v>-5372716</v>
      </c>
      <c r="J183" s="345">
        <f>-J140</f>
        <v>-10481220</v>
      </c>
      <c r="K183" s="345">
        <f>F183-J183</f>
        <v>0</v>
      </c>
    </row>
    <row r="184" spans="1:11" ht="13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K184" si="36">SUM(F181:F183)</f>
        <v>10809412</v>
      </c>
      <c r="G184" s="543">
        <f t="shared" si="36"/>
        <v>3872976</v>
      </c>
      <c r="H184" s="535">
        <f t="shared" si="36"/>
        <v>1395487</v>
      </c>
      <c r="I184" s="536">
        <f t="shared" si="36"/>
        <v>5540949</v>
      </c>
      <c r="J184" s="346">
        <f t="shared" si="36"/>
        <v>10809412</v>
      </c>
      <c r="K184" s="346">
        <f t="shared" si="36"/>
        <v>0</v>
      </c>
    </row>
    <row r="185" spans="1:11" ht="13">
      <c r="A185" s="331">
        <v>23</v>
      </c>
      <c r="D185" s="342"/>
      <c r="E185" s="195"/>
      <c r="F185" s="345"/>
      <c r="G185" s="542"/>
      <c r="H185" s="533"/>
      <c r="I185" s="534"/>
      <c r="J185" s="345"/>
    </row>
    <row r="186" spans="1:11" ht="13">
      <c r="A186" s="331">
        <v>24</v>
      </c>
      <c r="B186" s="330" t="s">
        <v>21</v>
      </c>
      <c r="D186" s="342"/>
      <c r="E186" s="195"/>
      <c r="F186" s="345"/>
      <c r="G186" s="542"/>
      <c r="H186" s="533"/>
      <c r="I186" s="534"/>
      <c r="J186" s="345"/>
    </row>
    <row r="187" spans="1:11" ht="13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>F99</f>
        <v>6847447</v>
      </c>
      <c r="G187" s="542">
        <f>G99</f>
        <v>2453417</v>
      </c>
      <c r="H187" s="533">
        <f>H99</f>
        <v>884001</v>
      </c>
      <c r="I187" s="534">
        <f>I99</f>
        <v>3510029</v>
      </c>
      <c r="J187" s="345">
        <f>J99</f>
        <v>6847447</v>
      </c>
      <c r="K187" s="345">
        <f>F187-J187</f>
        <v>0</v>
      </c>
    </row>
    <row r="188" spans="1:11" ht="13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>-F149</f>
        <v>-4793548</v>
      </c>
      <c r="G188" s="542">
        <f>-G149</f>
        <v>-1717512</v>
      </c>
      <c r="H188" s="533">
        <f>-H149</f>
        <v>-618844</v>
      </c>
      <c r="I188" s="534">
        <f>-I149</f>
        <v>-2457192</v>
      </c>
      <c r="J188" s="345">
        <f>-J149</f>
        <v>-4793548</v>
      </c>
      <c r="K188" s="345">
        <f>F188-J188</f>
        <v>0</v>
      </c>
    </row>
    <row r="189" spans="1:11" ht="13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K189" si="37">SUM(F186:F188)</f>
        <v>2053899</v>
      </c>
      <c r="G189" s="543">
        <f t="shared" si="37"/>
        <v>735905</v>
      </c>
      <c r="H189" s="535">
        <f t="shared" si="37"/>
        <v>265157</v>
      </c>
      <c r="I189" s="536">
        <f t="shared" si="37"/>
        <v>1052837</v>
      </c>
      <c r="J189" s="346">
        <f t="shared" si="37"/>
        <v>2053899</v>
      </c>
      <c r="K189" s="346">
        <f t="shared" si="37"/>
        <v>0</v>
      </c>
    </row>
    <row r="190" spans="1:11" ht="13">
      <c r="A190" s="331">
        <v>28</v>
      </c>
      <c r="D190" s="342"/>
      <c r="E190" s="195"/>
      <c r="F190" s="345"/>
      <c r="G190" s="542"/>
      <c r="H190" s="533"/>
      <c r="I190" s="534"/>
      <c r="J190" s="345"/>
      <c r="K190" s="345"/>
    </row>
    <row r="191" spans="1:11" ht="13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K191" si="38">F189+F184+F176+F171+F166</f>
        <v>359908179</v>
      </c>
      <c r="G191" s="544">
        <f t="shared" si="38"/>
        <v>175386639</v>
      </c>
      <c r="H191" s="537">
        <f t="shared" si="38"/>
        <v>2767404</v>
      </c>
      <c r="I191" s="538">
        <f t="shared" si="38"/>
        <v>181754136</v>
      </c>
      <c r="J191" s="345">
        <f t="shared" si="38"/>
        <v>359908179</v>
      </c>
      <c r="K191" s="345">
        <f t="shared" si="38"/>
        <v>0</v>
      </c>
    </row>
    <row r="192" spans="1:11" ht="13">
      <c r="B192" s="341"/>
      <c r="C192" s="195"/>
      <c r="D192" s="342"/>
      <c r="E192" s="195"/>
      <c r="F192" s="195"/>
      <c r="G192" s="195"/>
      <c r="H192" s="195"/>
      <c r="I192" s="195"/>
      <c r="J192" s="195"/>
      <c r="K192" s="195"/>
    </row>
    <row r="193" spans="1:11" ht="13">
      <c r="A193" s="341" t="str">
        <f>co_name</f>
        <v>DUKE ENERGY KENTUCKY, INC.</v>
      </c>
      <c r="C193" s="195"/>
      <c r="D193" s="342"/>
      <c r="E193" s="195"/>
      <c r="F193" s="195"/>
      <c r="G193" s="195"/>
      <c r="H193" s="195"/>
      <c r="I193" s="195"/>
      <c r="J193" s="195" t="str">
        <f>$J$1</f>
        <v>FR-16(7)(v)-9</v>
      </c>
      <c r="K193" s="195"/>
    </row>
    <row r="194" spans="1:11" ht="13">
      <c r="A194" s="341" t="str">
        <f>$A$2</f>
        <v>RESIDENTIAL CLASSIFIED - GAS COST OF SERVICE</v>
      </c>
      <c r="C194" s="195"/>
      <c r="D194" s="342"/>
      <c r="E194" s="195"/>
      <c r="F194" s="195"/>
      <c r="G194" s="195"/>
      <c r="H194" s="195"/>
      <c r="I194" s="195"/>
      <c r="J194" s="195" t="str">
        <f>$J$2</f>
        <v>WITNESS RESPONSIBLE:</v>
      </c>
      <c r="K194" s="195"/>
    </row>
    <row r="195" spans="1:11" ht="13">
      <c r="A195" s="341" t="str">
        <f>case_name</f>
        <v>CASE NO: 2021-00190</v>
      </c>
      <c r="C195" s="195"/>
      <c r="D195" s="342"/>
      <c r="E195" s="195"/>
      <c r="F195" s="195"/>
      <c r="G195" s="195"/>
      <c r="H195" s="195"/>
      <c r="I195" s="195"/>
      <c r="J195" s="195" t="str">
        <f>Witness</f>
        <v>JAMES E. ZIOLKOWSKI</v>
      </c>
      <c r="K195" s="195"/>
    </row>
    <row r="196" spans="1:11" ht="13">
      <c r="A196" s="341" t="str">
        <f>data_filing</f>
        <v>DATA: 12 MONTH FORECASTED PERIOD</v>
      </c>
      <c r="C196" s="195"/>
      <c r="D196" s="342"/>
      <c r="E196" s="195"/>
      <c r="F196" s="195"/>
      <c r="G196" s="195"/>
      <c r="H196" s="195"/>
      <c r="I196" s="195"/>
      <c r="J196" s="195" t="str">
        <f>"PAGE "&amp;Pages2-10&amp;" OF "&amp;Pages2</f>
        <v>PAGE 5 OF 15</v>
      </c>
      <c r="K196" s="195"/>
    </row>
    <row r="197" spans="1:11" ht="13">
      <c r="A197" s="341" t="str">
        <f>type</f>
        <v xml:space="preserve">TYPE OF FILING: "X" ORIGINAL   UPDATED    REVISED  </v>
      </c>
      <c r="C197" s="195"/>
      <c r="D197" s="342"/>
      <c r="E197" s="195"/>
      <c r="F197" s="195"/>
      <c r="G197" s="195"/>
      <c r="H197" s="195"/>
      <c r="I197" s="195"/>
      <c r="J197" s="195"/>
      <c r="K197" s="195"/>
    </row>
    <row r="198" spans="1:11" ht="13">
      <c r="B198" s="341"/>
      <c r="C198" s="195"/>
      <c r="D198" s="342"/>
      <c r="E198" s="195"/>
      <c r="F198" s="195"/>
      <c r="G198" s="195"/>
      <c r="H198" s="195"/>
      <c r="I198" s="195"/>
      <c r="J198" s="195"/>
      <c r="K198" s="195"/>
    </row>
    <row r="199" spans="1:11" ht="13">
      <c r="B199" s="341"/>
      <c r="C199" s="195"/>
      <c r="D199" s="342"/>
      <c r="E199" s="195"/>
      <c r="F199" s="195"/>
      <c r="G199" s="195"/>
      <c r="H199" s="195"/>
      <c r="I199" s="195"/>
      <c r="J199" s="195"/>
      <c r="K199" s="195"/>
    </row>
    <row r="200" spans="1:11" ht="13">
      <c r="A200" s="342" t="s">
        <v>907</v>
      </c>
      <c r="B200" s="195"/>
      <c r="C200" s="195"/>
      <c r="D200" s="342"/>
      <c r="E200" s="195"/>
      <c r="F200" s="342" t="s">
        <v>229</v>
      </c>
      <c r="G200" s="539" t="s">
        <v>995</v>
      </c>
      <c r="H200" s="527"/>
      <c r="I200" s="528"/>
      <c r="J200" s="342" t="s">
        <v>229</v>
      </c>
      <c r="K200" s="342" t="s">
        <v>342</v>
      </c>
    </row>
    <row r="201" spans="1:11" ht="13">
      <c r="A201" s="344" t="s">
        <v>908</v>
      </c>
      <c r="B201" s="343" t="s">
        <v>946</v>
      </c>
      <c r="C201" s="343"/>
      <c r="D201" s="344" t="s">
        <v>337</v>
      </c>
      <c r="E201" s="343"/>
      <c r="F201" s="344" t="str">
        <f>$F$9</f>
        <v>RESIDENTIAL</v>
      </c>
      <c r="G201" s="540" t="s">
        <v>840</v>
      </c>
      <c r="H201" s="529" t="s">
        <v>841</v>
      </c>
      <c r="I201" s="530" t="s">
        <v>842</v>
      </c>
      <c r="J201" s="344" t="s">
        <v>341</v>
      </c>
      <c r="K201" s="344" t="s">
        <v>340</v>
      </c>
    </row>
    <row r="202" spans="1:11" ht="13">
      <c r="C202" s="572" t="s">
        <v>347</v>
      </c>
      <c r="D202" s="342"/>
      <c r="E202" s="195"/>
      <c r="G202" s="793">
        <f>$G$10</f>
        <v>3</v>
      </c>
      <c r="H202" s="794">
        <f>$H$10</f>
        <v>4</v>
      </c>
      <c r="I202" s="795">
        <f>$I$10</f>
        <v>5</v>
      </c>
    </row>
    <row r="203" spans="1:11" ht="13">
      <c r="A203" s="331">
        <v>1</v>
      </c>
      <c r="B203" s="330" t="s">
        <v>26</v>
      </c>
      <c r="D203" s="342"/>
      <c r="E203" s="195"/>
      <c r="G203" s="541"/>
      <c r="H203" s="531"/>
      <c r="I203" s="532"/>
    </row>
    <row r="204" spans="1:11" ht="13">
      <c r="A204" s="331">
        <v>2</v>
      </c>
      <c r="B204" s="330" t="s">
        <v>816</v>
      </c>
      <c r="D204" s="342"/>
      <c r="E204" s="195"/>
      <c r="G204" s="541"/>
      <c r="H204" s="531"/>
      <c r="I204" s="532"/>
    </row>
    <row r="205" spans="1:11" ht="13">
      <c r="A205" s="331">
        <v>3</v>
      </c>
      <c r="B205" s="330" t="s">
        <v>27</v>
      </c>
      <c r="D205" s="342"/>
      <c r="E205" s="195"/>
      <c r="G205" s="541"/>
      <c r="H205" s="531"/>
      <c r="I205" s="532"/>
    </row>
    <row r="206" spans="1:11" ht="13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3">
        <f>'FR-16(7)(v)-8 TOT CLASS Alloc'!G206</f>
        <v>42070602</v>
      </c>
      <c r="G206" s="542">
        <f>'FR-16(7)(v)-5 DISTR Dem Alloc'!G206</f>
        <v>20501289</v>
      </c>
      <c r="H206" s="533">
        <f>'FR-16(7)(v)-3 PROD Comm Alloc'!G206</f>
        <v>323376</v>
      </c>
      <c r="I206" s="534">
        <f>'FR-16(7)(v)-6 DISTR Cust Alloc'!G206</f>
        <v>21245937</v>
      </c>
      <c r="J206" s="345">
        <f t="shared" ref="J206:J214" si="39">SUM(G206:I206)</f>
        <v>42070602</v>
      </c>
      <c r="K206" s="345">
        <f t="shared" ref="K206:K214" si="40">F206-J206</f>
        <v>0</v>
      </c>
    </row>
    <row r="207" spans="1:11" ht="13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3">
        <f>'FR-16(7)(v)-8 TOT CLASS Alloc'!G207</f>
        <v>0</v>
      </c>
      <c r="G207" s="542">
        <f>'FR-16(7)(v)-5 DISTR Dem Alloc'!G207</f>
        <v>0</v>
      </c>
      <c r="H207" s="533">
        <f>'FR-16(7)(v)-3 PROD Comm Alloc'!G207</f>
        <v>0</v>
      </c>
      <c r="I207" s="534">
        <f>'FR-16(7)(v)-6 DISTR Cust Alloc'!G207</f>
        <v>0</v>
      </c>
      <c r="J207" s="345">
        <f t="shared" si="39"/>
        <v>0</v>
      </c>
      <c r="K207" s="345">
        <f t="shared" si="40"/>
        <v>0</v>
      </c>
    </row>
    <row r="208" spans="1:11" ht="13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3">
        <f>'FR-16(7)(v)-8 TOT CLASS Alloc'!G208</f>
        <v>-952872</v>
      </c>
      <c r="G208" s="542">
        <f>'FR-16(7)(v)-5 DISTR Dem Alloc'!G208</f>
        <v>-470397</v>
      </c>
      <c r="H208" s="533">
        <f>'FR-16(7)(v)-3 PROD Comm Alloc'!G208</f>
        <v>0</v>
      </c>
      <c r="I208" s="534">
        <f>'FR-16(7)(v)-6 DISTR Cust Alloc'!G208</f>
        <v>-482475</v>
      </c>
      <c r="J208" s="345">
        <f t="shared" si="39"/>
        <v>-952872</v>
      </c>
      <c r="K208" s="345">
        <f t="shared" si="40"/>
        <v>0</v>
      </c>
    </row>
    <row r="209" spans="1:11" ht="13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3">
        <f>'FR-16(7)(v)-8 TOT CLASS Alloc'!G209</f>
        <v>-991362</v>
      </c>
      <c r="G209" s="542">
        <f>'FR-16(7)(v)-5 DISTR Dem Alloc'!G209</f>
        <v>-483097</v>
      </c>
      <c r="H209" s="533">
        <f>'FR-16(7)(v)-3 PROD Comm Alloc'!G209</f>
        <v>-7620</v>
      </c>
      <c r="I209" s="534">
        <f>'FR-16(7)(v)-6 DISTR Cust Alloc'!G209</f>
        <v>-500645</v>
      </c>
      <c r="J209" s="345">
        <f t="shared" si="39"/>
        <v>-991362</v>
      </c>
      <c r="K209" s="345">
        <f t="shared" si="40"/>
        <v>0</v>
      </c>
    </row>
    <row r="210" spans="1:11" ht="13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3">
        <f>'FR-16(7)(v)-8 TOT CLASS Alloc'!G210</f>
        <v>0</v>
      </c>
      <c r="G210" s="542">
        <f>'FR-16(7)(v)-5 DISTR Dem Alloc'!G210</f>
        <v>0</v>
      </c>
      <c r="H210" s="533">
        <f>'FR-16(7)(v)-3 PROD Comm Alloc'!G210</f>
        <v>0</v>
      </c>
      <c r="I210" s="534">
        <f>'FR-16(7)(v)-6 DISTR Cust Alloc'!G210</f>
        <v>0</v>
      </c>
      <c r="J210" s="345">
        <f t="shared" si="39"/>
        <v>0</v>
      </c>
      <c r="K210" s="345">
        <f t="shared" si="40"/>
        <v>0</v>
      </c>
    </row>
    <row r="211" spans="1:11" ht="13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3">
        <f>'FR-16(7)(v)-8 TOT CLASS Alloc'!G211</f>
        <v>0</v>
      </c>
      <c r="G211" s="542">
        <f>'FR-16(7)(v)-5 DISTR Dem Alloc'!G211</f>
        <v>0</v>
      </c>
      <c r="H211" s="533">
        <f>'FR-16(7)(v)-3 PROD Comm Alloc'!G211</f>
        <v>0</v>
      </c>
      <c r="I211" s="534">
        <f>'FR-16(7)(v)-6 DISTR Cust Alloc'!G211</f>
        <v>0</v>
      </c>
      <c r="J211" s="345">
        <f t="shared" si="39"/>
        <v>0</v>
      </c>
      <c r="K211" s="345">
        <f t="shared" si="40"/>
        <v>0</v>
      </c>
    </row>
    <row r="212" spans="1:11" ht="13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3">
        <f>'FR-16(7)(v)-8 TOT CLASS Alloc'!G212</f>
        <v>-422420</v>
      </c>
      <c r="G212" s="542">
        <f>'FR-16(7)(v)-5 DISTR Dem Alloc'!G212</f>
        <v>-148783</v>
      </c>
      <c r="H212" s="533">
        <f>'FR-16(7)(v)-3 PROD Comm Alloc'!G212</f>
        <v>-60776</v>
      </c>
      <c r="I212" s="534">
        <f>'FR-16(7)(v)-6 DISTR Cust Alloc'!G212</f>
        <v>-212861</v>
      </c>
      <c r="J212" s="345">
        <f t="shared" si="39"/>
        <v>-422420</v>
      </c>
      <c r="K212" s="345">
        <f t="shared" si="40"/>
        <v>0</v>
      </c>
    </row>
    <row r="213" spans="1:11" ht="13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3">
        <f>'FR-16(7)(v)-8 TOT CLASS Alloc'!G213</f>
        <v>0</v>
      </c>
      <c r="G213" s="542">
        <f>'FR-16(7)(v)-5 DISTR Dem Alloc'!G213</f>
        <v>0</v>
      </c>
      <c r="H213" s="533">
        <f>'FR-16(7)(v)-3 PROD Comm Alloc'!G213</f>
        <v>0</v>
      </c>
      <c r="I213" s="534">
        <f>'FR-16(7)(v)-6 DISTR Cust Alloc'!G213</f>
        <v>0</v>
      </c>
      <c r="J213" s="345">
        <f t="shared" si="39"/>
        <v>0</v>
      </c>
      <c r="K213" s="345">
        <f t="shared" si="40"/>
        <v>0</v>
      </c>
    </row>
    <row r="214" spans="1:11" ht="13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3">
        <f>'FR-16(7)(v)-8 TOT CLASS Alloc'!G214</f>
        <v>4983749</v>
      </c>
      <c r="G214" s="542">
        <f>'FR-16(7)(v)-5 DISTR Dem Alloc'!G214</f>
        <v>2428615</v>
      </c>
      <c r="H214" s="533">
        <f>'FR-16(7)(v)-3 PROD Comm Alloc'!G214</f>
        <v>38307</v>
      </c>
      <c r="I214" s="534">
        <f>'FR-16(7)(v)-6 DISTR Cust Alloc'!G214</f>
        <v>2516827</v>
      </c>
      <c r="J214" s="345">
        <f t="shared" si="39"/>
        <v>4983749</v>
      </c>
      <c r="K214" s="345">
        <f t="shared" si="40"/>
        <v>0</v>
      </c>
    </row>
    <row r="215" spans="1:11" ht="13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K215" si="41">SUM(F206:F214)</f>
        <v>44687697</v>
      </c>
      <c r="G215" s="543">
        <f t="shared" si="41"/>
        <v>21827627</v>
      </c>
      <c r="H215" s="535">
        <f t="shared" si="41"/>
        <v>293287</v>
      </c>
      <c r="I215" s="536">
        <f t="shared" si="41"/>
        <v>22566783</v>
      </c>
      <c r="J215" s="346">
        <f t="shared" si="41"/>
        <v>44687697</v>
      </c>
      <c r="K215" s="346">
        <f t="shared" si="41"/>
        <v>0</v>
      </c>
    </row>
    <row r="216" spans="1:11" ht="13">
      <c r="A216" s="331">
        <v>14</v>
      </c>
      <c r="D216" s="342"/>
      <c r="E216" s="195"/>
      <c r="G216" s="541"/>
      <c r="H216" s="531"/>
      <c r="I216" s="532"/>
    </row>
    <row r="217" spans="1:11" ht="13">
      <c r="A217" s="331">
        <v>15</v>
      </c>
      <c r="B217" s="330" t="s">
        <v>28</v>
      </c>
      <c r="D217" s="342"/>
      <c r="E217" s="195"/>
      <c r="G217" s="541"/>
      <c r="H217" s="531"/>
      <c r="I217" s="532"/>
    </row>
    <row r="218" spans="1:11" ht="13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3">
        <f>'FR-16(7)(v)-8 TOT CLASS Alloc'!G218</f>
        <v>0</v>
      </c>
      <c r="G218" s="542">
        <f>'FR-16(7)(v)-5 DISTR Dem Alloc'!G218</f>
        <v>0</v>
      </c>
      <c r="H218" s="533">
        <f>'FR-16(7)(v)-3 PROD Comm Alloc'!G218</f>
        <v>0</v>
      </c>
      <c r="I218" s="534">
        <f>'FR-16(7)(v)-6 DISTR Cust Alloc'!G218</f>
        <v>0</v>
      </c>
      <c r="J218" s="345">
        <f t="shared" ref="J218:J228" si="42">SUM(G218:I218)</f>
        <v>0</v>
      </c>
      <c r="K218" s="345">
        <f t="shared" ref="K218:K228" si="43">F218-J218</f>
        <v>0</v>
      </c>
    </row>
    <row r="219" spans="1:11" ht="13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3">
        <f>'FR-16(7)(v)-8 TOT CLASS Alloc'!G219</f>
        <v>0</v>
      </c>
      <c r="G219" s="542">
        <f>'FR-16(7)(v)-5 DISTR Dem Alloc'!G219</f>
        <v>0</v>
      </c>
      <c r="H219" s="533">
        <f>'FR-16(7)(v)-3 PROD Comm Alloc'!G219</f>
        <v>0</v>
      </c>
      <c r="I219" s="534">
        <f>'FR-16(7)(v)-6 DISTR Cust Alloc'!G219</f>
        <v>0</v>
      </c>
      <c r="J219" s="345">
        <f t="shared" si="42"/>
        <v>0</v>
      </c>
      <c r="K219" s="345">
        <f t="shared" si="43"/>
        <v>0</v>
      </c>
    </row>
    <row r="220" spans="1:11" ht="13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3">
        <f>'FR-16(7)(v)-8 TOT CLASS Alloc'!G220</f>
        <v>0</v>
      </c>
      <c r="G220" s="542">
        <f>'FR-16(7)(v)-5 DISTR Dem Alloc'!G220</f>
        <v>0</v>
      </c>
      <c r="H220" s="533">
        <f>'FR-16(7)(v)-3 PROD Comm Alloc'!G220</f>
        <v>0</v>
      </c>
      <c r="I220" s="534">
        <f>'FR-16(7)(v)-6 DISTR Cust Alloc'!G220</f>
        <v>0</v>
      </c>
      <c r="J220" s="345">
        <f t="shared" si="42"/>
        <v>0</v>
      </c>
      <c r="K220" s="345">
        <f t="shared" si="43"/>
        <v>0</v>
      </c>
    </row>
    <row r="221" spans="1:11" ht="13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3">
        <f>'FR-16(7)(v)-8 TOT CLASS Alloc'!G221</f>
        <v>0</v>
      </c>
      <c r="G221" s="542">
        <f>'FR-16(7)(v)-5 DISTR Dem Alloc'!G221</f>
        <v>0</v>
      </c>
      <c r="H221" s="533">
        <f>'FR-16(7)(v)-3 PROD Comm Alloc'!G221</f>
        <v>0</v>
      </c>
      <c r="I221" s="534">
        <f>'FR-16(7)(v)-6 DISTR Cust Alloc'!G221</f>
        <v>0</v>
      </c>
      <c r="J221" s="345">
        <f t="shared" si="42"/>
        <v>0</v>
      </c>
      <c r="K221" s="345">
        <f t="shared" si="43"/>
        <v>0</v>
      </c>
    </row>
    <row r="222" spans="1:11" ht="13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3">
        <f>'FR-16(7)(v)-8 TOT CLASS Alloc'!G222</f>
        <v>0</v>
      </c>
      <c r="G222" s="542">
        <f>'FR-16(7)(v)-5 DISTR Dem Alloc'!G222</f>
        <v>0</v>
      </c>
      <c r="H222" s="533">
        <f>'FR-16(7)(v)-3 PROD Comm Alloc'!G222</f>
        <v>0</v>
      </c>
      <c r="I222" s="534">
        <f>'FR-16(7)(v)-6 DISTR Cust Alloc'!G222</f>
        <v>0</v>
      </c>
      <c r="J222" s="345">
        <f t="shared" si="42"/>
        <v>0</v>
      </c>
      <c r="K222" s="345">
        <f t="shared" si="43"/>
        <v>0</v>
      </c>
    </row>
    <row r="223" spans="1:11" ht="13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3">
        <f>'FR-16(7)(v)-8 TOT CLASS Alloc'!G223</f>
        <v>0</v>
      </c>
      <c r="G223" s="542">
        <f>'FR-16(7)(v)-5 DISTR Dem Alloc'!G223</f>
        <v>0</v>
      </c>
      <c r="H223" s="533">
        <f>'FR-16(7)(v)-3 PROD Comm Alloc'!G223</f>
        <v>0</v>
      </c>
      <c r="I223" s="534">
        <f>'FR-16(7)(v)-6 DISTR Cust Alloc'!G223</f>
        <v>0</v>
      </c>
      <c r="J223" s="345">
        <f t="shared" si="42"/>
        <v>0</v>
      </c>
      <c r="K223" s="345">
        <f t="shared" si="43"/>
        <v>0</v>
      </c>
    </row>
    <row r="224" spans="1:11" ht="13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3">
        <f>'FR-16(7)(v)-8 TOT CLASS Alloc'!G224</f>
        <v>0</v>
      </c>
      <c r="G224" s="542">
        <f>'FR-16(7)(v)-5 DISTR Dem Alloc'!G224</f>
        <v>0</v>
      </c>
      <c r="H224" s="533">
        <f>'FR-16(7)(v)-3 PROD Comm Alloc'!G224</f>
        <v>0</v>
      </c>
      <c r="I224" s="534">
        <f>'FR-16(7)(v)-6 DISTR Cust Alloc'!G224</f>
        <v>0</v>
      </c>
      <c r="J224" s="345">
        <f t="shared" si="42"/>
        <v>0</v>
      </c>
      <c r="K224" s="345">
        <f t="shared" si="43"/>
        <v>0</v>
      </c>
    </row>
    <row r="225" spans="1:11" ht="13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3">
        <f>'FR-16(7)(v)-8 TOT CLASS Alloc'!G225</f>
        <v>0</v>
      </c>
      <c r="G225" s="542">
        <f>'FR-16(7)(v)-5 DISTR Dem Alloc'!G225</f>
        <v>0</v>
      </c>
      <c r="H225" s="533">
        <f>'FR-16(7)(v)-3 PROD Comm Alloc'!G225</f>
        <v>0</v>
      </c>
      <c r="I225" s="534">
        <f>'FR-16(7)(v)-6 DISTR Cust Alloc'!G225</f>
        <v>0</v>
      </c>
      <c r="J225" s="345">
        <f t="shared" si="42"/>
        <v>0</v>
      </c>
      <c r="K225" s="345">
        <f t="shared" si="43"/>
        <v>0</v>
      </c>
    </row>
    <row r="226" spans="1:11" ht="13">
      <c r="A226" s="331">
        <v>24</v>
      </c>
      <c r="C226" s="612" t="str">
        <f>'FR-16(7)(v)-1 Functional'!C226</f>
        <v>RATE CASE EXPENSE AMORT</v>
      </c>
      <c r="D226" s="342" t="str">
        <f>'FR-16(7)(v)-1 Functional'!D226</f>
        <v>AG39</v>
      </c>
      <c r="F226" s="473">
        <f>'FR-16(7)(v)-8 TOT CLASS Alloc'!G226</f>
        <v>0</v>
      </c>
      <c r="G226" s="542">
        <f>'FR-16(7)(v)-5 DISTR Dem Alloc'!G226</f>
        <v>0</v>
      </c>
      <c r="H226" s="533">
        <f>'FR-16(7)(v)-3 PROD Comm Alloc'!G226</f>
        <v>0</v>
      </c>
      <c r="I226" s="534">
        <f>'FR-16(7)(v)-6 DISTR Cust Alloc'!G226</f>
        <v>0</v>
      </c>
      <c r="J226" s="345">
        <f>SUM(G226:I226)</f>
        <v>0</v>
      </c>
      <c r="K226" s="345">
        <f>F226-J226</f>
        <v>0</v>
      </c>
    </row>
    <row r="227" spans="1:11" ht="13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3">
        <f>'FR-16(7)(v)-8 TOT CLASS Alloc'!G227</f>
        <v>0</v>
      </c>
      <c r="G227" s="542">
        <f>'FR-16(7)(v)-5 DISTR Dem Alloc'!G227</f>
        <v>0</v>
      </c>
      <c r="H227" s="533">
        <f>'FR-16(7)(v)-3 PROD Comm Alloc'!G227</f>
        <v>0</v>
      </c>
      <c r="I227" s="534">
        <f>'FR-16(7)(v)-6 DISTR Cust Alloc'!G227</f>
        <v>0</v>
      </c>
      <c r="J227" s="345">
        <f>SUM(G227:I227)</f>
        <v>0</v>
      </c>
      <c r="K227" s="345">
        <f>F227-J227</f>
        <v>0</v>
      </c>
    </row>
    <row r="228" spans="1:11" ht="13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3">
        <f>'FR-16(7)(v)-8 TOT CLASS Alloc'!G228</f>
        <v>0</v>
      </c>
      <c r="G228" s="542">
        <f>'FR-16(7)(v)-5 DISTR Dem Alloc'!G228</f>
        <v>0</v>
      </c>
      <c r="H228" s="533">
        <f>'FR-16(7)(v)-3 PROD Comm Alloc'!G228</f>
        <v>0</v>
      </c>
      <c r="I228" s="534">
        <f>'FR-16(7)(v)-6 DISTR Cust Alloc'!G228</f>
        <v>0</v>
      </c>
      <c r="J228" s="345">
        <f t="shared" si="42"/>
        <v>0</v>
      </c>
      <c r="K228" s="345">
        <f t="shared" si="43"/>
        <v>0</v>
      </c>
    </row>
    <row r="229" spans="1:11" ht="13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K229" si="44">SUM(F217:F228)</f>
        <v>0</v>
      </c>
      <c r="G229" s="543">
        <f t="shared" si="44"/>
        <v>0</v>
      </c>
      <c r="H229" s="535">
        <f t="shared" si="44"/>
        <v>0</v>
      </c>
      <c r="I229" s="536">
        <f t="shared" si="44"/>
        <v>0</v>
      </c>
      <c r="J229" s="346">
        <f t="shared" si="44"/>
        <v>0</v>
      </c>
      <c r="K229" s="346">
        <f t="shared" si="44"/>
        <v>0</v>
      </c>
    </row>
    <row r="230" spans="1:11" ht="13">
      <c r="A230" s="331">
        <v>28</v>
      </c>
      <c r="D230" s="342"/>
      <c r="E230" s="195"/>
      <c r="G230" s="541"/>
      <c r="H230" s="531"/>
      <c r="I230" s="532"/>
    </row>
    <row r="231" spans="1:11" ht="13">
      <c r="A231" s="331">
        <v>29</v>
      </c>
      <c r="B231" s="351" t="s">
        <v>817</v>
      </c>
      <c r="C231" s="351"/>
      <c r="D231" s="342"/>
      <c r="E231" s="195"/>
      <c r="G231" s="541"/>
      <c r="H231" s="531"/>
      <c r="I231" s="532"/>
    </row>
    <row r="232" spans="1:11" ht="13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3">
        <f>'FR-16(7)(v)-8 TOT CLASS Alloc'!G232</f>
        <v>1045788</v>
      </c>
      <c r="G232" s="542">
        <f>'FR-16(7)(v)-5 DISTR Dem Alloc'!G232</f>
        <v>516266</v>
      </c>
      <c r="H232" s="533">
        <f>'FR-16(7)(v)-3 PROD Comm Alloc'!G232</f>
        <v>0</v>
      </c>
      <c r="I232" s="534">
        <f>'FR-16(7)(v)-6 DISTR Cust Alloc'!G232</f>
        <v>529522</v>
      </c>
      <c r="J232" s="345">
        <f>SUM(G232:I232)</f>
        <v>1045788</v>
      </c>
      <c r="K232" s="345">
        <f>F232-J232</f>
        <v>0</v>
      </c>
    </row>
    <row r="233" spans="1:11" ht="13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3">
        <f>'FR-16(7)(v)-8 TOT CLASS Alloc'!G233</f>
        <v>0</v>
      </c>
      <c r="G233" s="542">
        <f>'FR-16(7)(v)-5 DISTR Dem Alloc'!G233</f>
        <v>0</v>
      </c>
      <c r="H233" s="533">
        <f>'FR-16(7)(v)-3 PROD Comm Alloc'!G233</f>
        <v>0</v>
      </c>
      <c r="I233" s="534">
        <f>'FR-16(7)(v)-6 DISTR Cust Alloc'!G233</f>
        <v>0</v>
      </c>
      <c r="J233" s="345">
        <f>SUM(G233:I233)</f>
        <v>0</v>
      </c>
      <c r="K233" s="345">
        <f>F233-J233</f>
        <v>0</v>
      </c>
    </row>
    <row r="234" spans="1:11" ht="13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3">
        <f>'FR-16(7)(v)-8 TOT CLASS Alloc'!G234</f>
        <v>0</v>
      </c>
      <c r="G234" s="542">
        <f>'FR-16(7)(v)-5 DISTR Dem Alloc'!G234</f>
        <v>0</v>
      </c>
      <c r="H234" s="533">
        <f>'FR-16(7)(v)-3 PROD Comm Alloc'!G234</f>
        <v>0</v>
      </c>
      <c r="I234" s="534">
        <f>'FR-16(7)(v)-6 DISTR Cust Alloc'!G234</f>
        <v>0</v>
      </c>
      <c r="J234" s="345">
        <f>SUM(G234:I234)</f>
        <v>0</v>
      </c>
      <c r="K234" s="345">
        <f>F234-J234</f>
        <v>0</v>
      </c>
    </row>
    <row r="235" spans="1:11" ht="13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3">
        <f>'FR-16(7)(v)-8 TOT CLASS Alloc'!G235</f>
        <v>18648214</v>
      </c>
      <c r="G235" s="542">
        <f>'FR-16(7)(v)-5 DISTR Dem Alloc'!G235</f>
        <v>9087401</v>
      </c>
      <c r="H235" s="533">
        <f>'FR-16(7)(v)-3 PROD Comm Alloc'!G235</f>
        <v>143339</v>
      </c>
      <c r="I235" s="534">
        <f>'FR-16(7)(v)-6 DISTR Cust Alloc'!G235</f>
        <v>9417474</v>
      </c>
      <c r="J235" s="345">
        <f>SUM(G235:I235)</f>
        <v>18648214</v>
      </c>
      <c r="K235" s="345">
        <f>F235-J235</f>
        <v>0</v>
      </c>
    </row>
    <row r="236" spans="1:11" ht="13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K236" si="45">SUM(F231:F235)</f>
        <v>19694002</v>
      </c>
      <c r="G236" s="543">
        <f t="shared" si="45"/>
        <v>9603667</v>
      </c>
      <c r="H236" s="535">
        <f t="shared" si="45"/>
        <v>143339</v>
      </c>
      <c r="I236" s="536">
        <f t="shared" si="45"/>
        <v>9946996</v>
      </c>
      <c r="J236" s="346">
        <f t="shared" si="45"/>
        <v>19694002</v>
      </c>
      <c r="K236" s="346">
        <f t="shared" si="45"/>
        <v>0</v>
      </c>
    </row>
    <row r="237" spans="1:11" ht="13">
      <c r="A237" s="331">
        <v>35</v>
      </c>
      <c r="D237" s="342"/>
      <c r="E237" s="195"/>
      <c r="G237" s="541"/>
      <c r="H237" s="531"/>
      <c r="I237" s="532"/>
    </row>
    <row r="238" spans="1:11" ht="13">
      <c r="A238" s="331">
        <v>36</v>
      </c>
      <c r="B238" s="330" t="s">
        <v>821</v>
      </c>
      <c r="D238" s="342"/>
      <c r="E238" s="195"/>
      <c r="F238" s="345">
        <f t="shared" ref="F238:K238" si="46">F236+F229+F215</f>
        <v>64381699</v>
      </c>
      <c r="G238" s="544">
        <f t="shared" si="46"/>
        <v>31431294</v>
      </c>
      <c r="H238" s="537">
        <f t="shared" si="46"/>
        <v>436626</v>
      </c>
      <c r="I238" s="538">
        <f t="shared" si="46"/>
        <v>32513779</v>
      </c>
      <c r="J238" s="345">
        <f t="shared" si="46"/>
        <v>64381699</v>
      </c>
      <c r="K238" s="345">
        <f t="shared" si="46"/>
        <v>0</v>
      </c>
    </row>
    <row r="239" spans="1:11" ht="13">
      <c r="B239" s="341"/>
      <c r="C239" s="195"/>
      <c r="D239" s="342"/>
      <c r="E239" s="195"/>
      <c r="F239" s="195"/>
      <c r="G239" s="195"/>
      <c r="H239" s="195"/>
      <c r="I239" s="195"/>
      <c r="J239" s="195"/>
      <c r="K239" s="195"/>
    </row>
    <row r="240" spans="1:11" ht="13">
      <c r="A240" s="341" t="str">
        <f>co_name</f>
        <v>DUKE ENERGY KENTUCKY, INC.</v>
      </c>
      <c r="C240" s="195"/>
      <c r="D240" s="342"/>
      <c r="E240" s="195"/>
      <c r="F240" s="195"/>
      <c r="G240" s="195"/>
      <c r="H240" s="195"/>
      <c r="I240" s="195"/>
      <c r="J240" s="195" t="str">
        <f>$J$1</f>
        <v>FR-16(7)(v)-9</v>
      </c>
      <c r="K240" s="195"/>
    </row>
    <row r="241" spans="1:11" ht="13">
      <c r="A241" s="341" t="str">
        <f>$A$2</f>
        <v>RESIDENTIAL CLASSIFIED - GAS COST OF SERVICE</v>
      </c>
      <c r="C241" s="195"/>
      <c r="D241" s="342"/>
      <c r="E241" s="195"/>
      <c r="F241" s="195"/>
      <c r="G241" s="195"/>
      <c r="H241" s="195"/>
      <c r="I241" s="195"/>
      <c r="J241" s="195" t="str">
        <f>$J$2</f>
        <v>WITNESS RESPONSIBLE:</v>
      </c>
      <c r="K241" s="195"/>
    </row>
    <row r="242" spans="1:11" ht="13">
      <c r="A242" s="341" t="str">
        <f>case_name</f>
        <v>CASE NO: 2021-00190</v>
      </c>
      <c r="C242" s="195"/>
      <c r="D242" s="342"/>
      <c r="E242" s="195"/>
      <c r="F242" s="195"/>
      <c r="G242" s="195"/>
      <c r="H242" s="195"/>
      <c r="I242" s="195"/>
      <c r="J242" s="195" t="str">
        <f>Witness</f>
        <v>JAMES E. ZIOLKOWSKI</v>
      </c>
      <c r="K242" s="195"/>
    </row>
    <row r="243" spans="1:11" ht="13">
      <c r="A243" s="341" t="str">
        <f>data_filing</f>
        <v>DATA: 12 MONTH FORECASTED PERIOD</v>
      </c>
      <c r="C243" s="195"/>
      <c r="D243" s="342"/>
      <c r="E243" s="195"/>
      <c r="F243" s="195"/>
      <c r="G243" s="195"/>
      <c r="H243" s="195"/>
      <c r="I243" s="195"/>
      <c r="J243" s="195" t="str">
        <f>"PAGE "&amp;Pages2-9&amp;" OF "&amp;Pages2</f>
        <v>PAGE 6 OF 15</v>
      </c>
      <c r="K243" s="195"/>
    </row>
    <row r="244" spans="1:11" ht="13">
      <c r="A244" s="341" t="str">
        <f>type</f>
        <v xml:space="preserve">TYPE OF FILING: "X" ORIGINAL   UPDATED    REVISED  </v>
      </c>
      <c r="C244" s="195"/>
      <c r="D244" s="342"/>
      <c r="E244" s="195"/>
      <c r="F244" s="195"/>
      <c r="G244" s="195"/>
      <c r="H244" s="195"/>
      <c r="I244" s="195"/>
      <c r="J244" s="195"/>
      <c r="K244" s="195"/>
    </row>
    <row r="245" spans="1:11" ht="13">
      <c r="B245" s="341"/>
      <c r="C245" s="195"/>
      <c r="D245" s="342"/>
      <c r="E245" s="195"/>
      <c r="F245" s="195"/>
      <c r="G245" s="195"/>
      <c r="H245" s="195"/>
      <c r="I245" s="195"/>
      <c r="J245" s="195"/>
      <c r="K245" s="195"/>
    </row>
    <row r="246" spans="1:11" ht="13">
      <c r="B246" s="341"/>
      <c r="C246" s="195"/>
      <c r="D246" s="342"/>
      <c r="E246" s="195"/>
      <c r="F246" s="195"/>
      <c r="G246" s="195"/>
      <c r="H246" s="195"/>
      <c r="I246" s="195"/>
      <c r="J246" s="195"/>
      <c r="K246" s="195"/>
    </row>
    <row r="247" spans="1:11" ht="13">
      <c r="A247" s="342" t="s">
        <v>907</v>
      </c>
      <c r="B247" s="195"/>
      <c r="C247" s="195"/>
      <c r="D247" s="342"/>
      <c r="E247" s="195"/>
      <c r="F247" s="342" t="s">
        <v>229</v>
      </c>
      <c r="G247" s="539" t="s">
        <v>995</v>
      </c>
      <c r="H247" s="527"/>
      <c r="I247" s="528"/>
      <c r="J247" s="342" t="s">
        <v>229</v>
      </c>
      <c r="K247" s="342" t="s">
        <v>342</v>
      </c>
    </row>
    <row r="248" spans="1:11" ht="13">
      <c r="A248" s="344" t="s">
        <v>908</v>
      </c>
      <c r="B248" s="343" t="s">
        <v>947</v>
      </c>
      <c r="C248" s="343"/>
      <c r="D248" s="344" t="s">
        <v>337</v>
      </c>
      <c r="E248" s="343"/>
      <c r="F248" s="344" t="str">
        <f>$F$9</f>
        <v>RESIDENTIAL</v>
      </c>
      <c r="G248" s="540" t="s">
        <v>840</v>
      </c>
      <c r="H248" s="529" t="s">
        <v>841</v>
      </c>
      <c r="I248" s="530" t="s">
        <v>842</v>
      </c>
      <c r="J248" s="344" t="s">
        <v>341</v>
      </c>
      <c r="K248" s="344" t="s">
        <v>340</v>
      </c>
    </row>
    <row r="249" spans="1:11" ht="13">
      <c r="C249" s="572" t="s">
        <v>555</v>
      </c>
      <c r="D249" s="342"/>
      <c r="E249" s="195"/>
      <c r="G249" s="793">
        <f>$G$10</f>
        <v>3</v>
      </c>
      <c r="H249" s="794">
        <f>$H$10</f>
        <v>4</v>
      </c>
      <c r="I249" s="795">
        <f>$I$10</f>
        <v>5</v>
      </c>
    </row>
    <row r="250" spans="1:11" ht="13">
      <c r="A250" s="331">
        <v>1</v>
      </c>
      <c r="B250" s="330" t="s">
        <v>819</v>
      </c>
      <c r="D250" s="342"/>
      <c r="E250" s="195"/>
      <c r="G250" s="545"/>
      <c r="H250" s="546"/>
      <c r="I250" s="547"/>
    </row>
    <row r="251" spans="1:11" ht="13">
      <c r="A251" s="331">
        <v>2</v>
      </c>
      <c r="B251" s="330" t="s">
        <v>29</v>
      </c>
      <c r="D251" s="342"/>
      <c r="E251" s="195"/>
      <c r="G251" s="541"/>
      <c r="H251" s="531"/>
      <c r="I251" s="532"/>
    </row>
    <row r="252" spans="1:11" ht="13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3">
        <f>'FR-16(7)(v)-8 TOT CLASS Alloc'!G252</f>
        <v>0</v>
      </c>
      <c r="G252" s="542">
        <f>'FR-16(7)(v)-5 DISTR Dem Alloc'!G252</f>
        <v>0</v>
      </c>
      <c r="H252" s="533">
        <f>'FR-16(7)(v)-3 PROD Comm Alloc'!G252</f>
        <v>0</v>
      </c>
      <c r="I252" s="534">
        <f>'FR-16(7)(v)-6 DISTR Cust Alloc'!G252</f>
        <v>0</v>
      </c>
      <c r="J252" s="345">
        <f t="shared" ref="J252:J274" si="47">SUM(G252:I252)</f>
        <v>0</v>
      </c>
      <c r="K252" s="345">
        <f t="shared" ref="K252:K274" si="48">F252-J252</f>
        <v>0</v>
      </c>
    </row>
    <row r="253" spans="1:11" ht="13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3">
        <f>'FR-16(7)(v)-8 TOT CLASS Alloc'!G253</f>
        <v>0</v>
      </c>
      <c r="G253" s="542">
        <f>'FR-16(7)(v)-5 DISTR Dem Alloc'!G253</f>
        <v>0</v>
      </c>
      <c r="H253" s="533">
        <f>'FR-16(7)(v)-3 PROD Comm Alloc'!G253</f>
        <v>0</v>
      </c>
      <c r="I253" s="534">
        <f>'FR-16(7)(v)-6 DISTR Cust Alloc'!G253</f>
        <v>0</v>
      </c>
      <c r="J253" s="345">
        <f t="shared" si="47"/>
        <v>0</v>
      </c>
      <c r="K253" s="345">
        <f t="shared" si="48"/>
        <v>0</v>
      </c>
    </row>
    <row r="254" spans="1:11" ht="13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3">
        <f>'FR-16(7)(v)-8 TOT CLASS Alloc'!G254</f>
        <v>0</v>
      </c>
      <c r="G254" s="542">
        <f>'FR-16(7)(v)-5 DISTR Dem Alloc'!G254</f>
        <v>0</v>
      </c>
      <c r="H254" s="533">
        <f>'FR-16(7)(v)-3 PROD Comm Alloc'!G254</f>
        <v>0</v>
      </c>
      <c r="I254" s="534">
        <f>'FR-16(7)(v)-6 DISTR Cust Alloc'!G254</f>
        <v>0</v>
      </c>
      <c r="J254" s="345">
        <f t="shared" si="47"/>
        <v>0</v>
      </c>
      <c r="K254" s="345">
        <f t="shared" si="48"/>
        <v>0</v>
      </c>
    </row>
    <row r="255" spans="1:11" ht="13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3">
        <f>'FR-16(7)(v)-8 TOT CLASS Alloc'!G255</f>
        <v>0</v>
      </c>
      <c r="G255" s="542">
        <f>'FR-16(7)(v)-5 DISTR Dem Alloc'!G255</f>
        <v>0</v>
      </c>
      <c r="H255" s="533">
        <f>'FR-16(7)(v)-3 PROD Comm Alloc'!G255</f>
        <v>0</v>
      </c>
      <c r="I255" s="534">
        <f>'FR-16(7)(v)-6 DISTR Cust Alloc'!G255</f>
        <v>0</v>
      </c>
      <c r="J255" s="345">
        <f t="shared" si="47"/>
        <v>0</v>
      </c>
      <c r="K255" s="345">
        <f t="shared" si="48"/>
        <v>0</v>
      </c>
    </row>
    <row r="256" spans="1:11" ht="13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3">
        <f>'FR-16(7)(v)-8 TOT CLASS Alloc'!G256</f>
        <v>0</v>
      </c>
      <c r="G256" s="542">
        <f>'FR-16(7)(v)-5 DISTR Dem Alloc'!G256</f>
        <v>0</v>
      </c>
      <c r="H256" s="533">
        <f>'FR-16(7)(v)-3 PROD Comm Alloc'!G256</f>
        <v>0</v>
      </c>
      <c r="I256" s="534">
        <f>'FR-16(7)(v)-6 DISTR Cust Alloc'!G256</f>
        <v>0</v>
      </c>
      <c r="J256" s="345">
        <f t="shared" si="47"/>
        <v>0</v>
      </c>
      <c r="K256" s="345">
        <f t="shared" si="48"/>
        <v>0</v>
      </c>
    </row>
    <row r="257" spans="1:11" ht="13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3">
        <f>'FR-16(7)(v)-8 TOT CLASS Alloc'!G257</f>
        <v>0</v>
      </c>
      <c r="G257" s="542">
        <f>'FR-16(7)(v)-5 DISTR Dem Alloc'!G257</f>
        <v>0</v>
      </c>
      <c r="H257" s="533">
        <f>'FR-16(7)(v)-3 PROD Comm Alloc'!G257</f>
        <v>0</v>
      </c>
      <c r="I257" s="534">
        <f>'FR-16(7)(v)-6 DISTR Cust Alloc'!G257</f>
        <v>0</v>
      </c>
      <c r="J257" s="345">
        <f t="shared" si="47"/>
        <v>0</v>
      </c>
      <c r="K257" s="345">
        <f t="shared" si="48"/>
        <v>0</v>
      </c>
    </row>
    <row r="258" spans="1:11" ht="13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3">
        <f>'FR-16(7)(v)-8 TOT CLASS Alloc'!G258</f>
        <v>0</v>
      </c>
      <c r="G258" s="542">
        <f>'FR-16(7)(v)-5 DISTR Dem Alloc'!G258</f>
        <v>0</v>
      </c>
      <c r="H258" s="533">
        <f>'FR-16(7)(v)-3 PROD Comm Alloc'!G258</f>
        <v>0</v>
      </c>
      <c r="I258" s="534">
        <f>'FR-16(7)(v)-6 DISTR Cust Alloc'!G258</f>
        <v>0</v>
      </c>
      <c r="J258" s="345">
        <f t="shared" si="47"/>
        <v>0</v>
      </c>
      <c r="K258" s="345">
        <f t="shared" si="48"/>
        <v>0</v>
      </c>
    </row>
    <row r="259" spans="1:11" ht="13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3">
        <f>'FR-16(7)(v)-8 TOT CLASS Alloc'!G259</f>
        <v>0</v>
      </c>
      <c r="G259" s="542">
        <f>'FR-16(7)(v)-5 DISTR Dem Alloc'!G259</f>
        <v>0</v>
      </c>
      <c r="H259" s="533">
        <f>'FR-16(7)(v)-3 PROD Comm Alloc'!G259</f>
        <v>0</v>
      </c>
      <c r="I259" s="534">
        <f>'FR-16(7)(v)-6 DISTR Cust Alloc'!G259</f>
        <v>0</v>
      </c>
      <c r="J259" s="345">
        <f t="shared" si="47"/>
        <v>0</v>
      </c>
      <c r="K259" s="345">
        <f t="shared" si="48"/>
        <v>0</v>
      </c>
    </row>
    <row r="260" spans="1:11" ht="13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3">
        <f>'FR-16(7)(v)-8 TOT CLASS Alloc'!G260</f>
        <v>0</v>
      </c>
      <c r="G260" s="542">
        <f>'FR-16(7)(v)-5 DISTR Dem Alloc'!G260</f>
        <v>0</v>
      </c>
      <c r="H260" s="533">
        <f>'FR-16(7)(v)-3 PROD Comm Alloc'!G260</f>
        <v>0</v>
      </c>
      <c r="I260" s="534">
        <f>'FR-16(7)(v)-6 DISTR Cust Alloc'!G260</f>
        <v>0</v>
      </c>
      <c r="J260" s="345">
        <f t="shared" si="47"/>
        <v>0</v>
      </c>
      <c r="K260" s="345">
        <f t="shared" si="48"/>
        <v>0</v>
      </c>
    </row>
    <row r="261" spans="1:11" ht="13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3">
        <f>'FR-16(7)(v)-8 TOT CLASS Alloc'!G261</f>
        <v>0</v>
      </c>
      <c r="G261" s="542">
        <f>'FR-16(7)(v)-5 DISTR Dem Alloc'!G261</f>
        <v>0</v>
      </c>
      <c r="H261" s="533">
        <f>'FR-16(7)(v)-3 PROD Comm Alloc'!G261</f>
        <v>0</v>
      </c>
      <c r="I261" s="534">
        <f>'FR-16(7)(v)-6 DISTR Cust Alloc'!G261</f>
        <v>0</v>
      </c>
      <c r="J261" s="345">
        <f t="shared" si="47"/>
        <v>0</v>
      </c>
      <c r="K261" s="345">
        <f t="shared" si="48"/>
        <v>0</v>
      </c>
    </row>
    <row r="262" spans="1:11" ht="13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3">
        <f>'FR-16(7)(v)-8 TOT CLASS Alloc'!G262</f>
        <v>0</v>
      </c>
      <c r="G262" s="542">
        <f>'FR-16(7)(v)-5 DISTR Dem Alloc'!G262</f>
        <v>0</v>
      </c>
      <c r="H262" s="533">
        <f>'FR-16(7)(v)-3 PROD Comm Alloc'!G262</f>
        <v>0</v>
      </c>
      <c r="I262" s="534">
        <f>'FR-16(7)(v)-6 DISTR Cust Alloc'!G262</f>
        <v>0</v>
      </c>
      <c r="J262" s="345">
        <f t="shared" si="47"/>
        <v>0</v>
      </c>
      <c r="K262" s="345">
        <f t="shared" si="48"/>
        <v>0</v>
      </c>
    </row>
    <row r="263" spans="1:11" ht="13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3">
        <f>'FR-16(7)(v)-8 TOT CLASS Alloc'!G263</f>
        <v>0</v>
      </c>
      <c r="G263" s="542">
        <f>'FR-16(7)(v)-5 DISTR Dem Alloc'!G263</f>
        <v>0</v>
      </c>
      <c r="H263" s="533">
        <f>'FR-16(7)(v)-3 PROD Comm Alloc'!G263</f>
        <v>0</v>
      </c>
      <c r="I263" s="534">
        <f>'FR-16(7)(v)-6 DISTR Cust Alloc'!G263</f>
        <v>0</v>
      </c>
      <c r="J263" s="345">
        <f t="shared" si="47"/>
        <v>0</v>
      </c>
      <c r="K263" s="345">
        <f t="shared" si="48"/>
        <v>0</v>
      </c>
    </row>
    <row r="264" spans="1:11" ht="13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3">
        <f>'FR-16(7)(v)-8 TOT CLASS Alloc'!G264</f>
        <v>0</v>
      </c>
      <c r="G264" s="542">
        <f>'FR-16(7)(v)-5 DISTR Dem Alloc'!G264</f>
        <v>0</v>
      </c>
      <c r="H264" s="533">
        <f>'FR-16(7)(v)-3 PROD Comm Alloc'!G264</f>
        <v>0</v>
      </c>
      <c r="I264" s="534">
        <f>'FR-16(7)(v)-6 DISTR Cust Alloc'!G264</f>
        <v>0</v>
      </c>
      <c r="J264" s="345">
        <f t="shared" si="47"/>
        <v>0</v>
      </c>
      <c r="K264" s="345">
        <f t="shared" si="48"/>
        <v>0</v>
      </c>
    </row>
    <row r="265" spans="1:11" ht="13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3">
        <f>'FR-16(7)(v)-8 TOT CLASS Alloc'!G265</f>
        <v>0</v>
      </c>
      <c r="G265" s="542">
        <f>'FR-16(7)(v)-5 DISTR Dem Alloc'!G265</f>
        <v>0</v>
      </c>
      <c r="H265" s="533">
        <f>'FR-16(7)(v)-3 PROD Comm Alloc'!G265</f>
        <v>0</v>
      </c>
      <c r="I265" s="534">
        <f>'FR-16(7)(v)-6 DISTR Cust Alloc'!G265</f>
        <v>0</v>
      </c>
      <c r="J265" s="345">
        <f t="shared" si="47"/>
        <v>0</v>
      </c>
      <c r="K265" s="345">
        <f t="shared" si="48"/>
        <v>0</v>
      </c>
    </row>
    <row r="266" spans="1:11" ht="13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3">
        <f>'FR-16(7)(v)-8 TOT CLASS Alloc'!G266</f>
        <v>0</v>
      </c>
      <c r="G266" s="542">
        <f>'FR-16(7)(v)-5 DISTR Dem Alloc'!G266</f>
        <v>0</v>
      </c>
      <c r="H266" s="533">
        <f>'FR-16(7)(v)-3 PROD Comm Alloc'!G266</f>
        <v>0</v>
      </c>
      <c r="I266" s="534">
        <f>'FR-16(7)(v)-6 DISTR Cust Alloc'!G266</f>
        <v>0</v>
      </c>
      <c r="J266" s="345">
        <f t="shared" si="47"/>
        <v>0</v>
      </c>
      <c r="K266" s="345">
        <f t="shared" si="48"/>
        <v>0</v>
      </c>
    </row>
    <row r="267" spans="1:11" ht="13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3">
        <f>'FR-16(7)(v)-8 TOT CLASS Alloc'!G267</f>
        <v>0</v>
      </c>
      <c r="G267" s="542">
        <f>'FR-16(7)(v)-5 DISTR Dem Alloc'!G267</f>
        <v>0</v>
      </c>
      <c r="H267" s="533">
        <f>'FR-16(7)(v)-3 PROD Comm Alloc'!G267</f>
        <v>0</v>
      </c>
      <c r="I267" s="534">
        <f>'FR-16(7)(v)-6 DISTR Cust Alloc'!G267</f>
        <v>0</v>
      </c>
      <c r="J267" s="345">
        <f t="shared" si="47"/>
        <v>0</v>
      </c>
      <c r="K267" s="345">
        <f t="shared" si="48"/>
        <v>0</v>
      </c>
    </row>
    <row r="268" spans="1:11" ht="13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3">
        <f>'FR-16(7)(v)-8 TOT CLASS Alloc'!G268</f>
        <v>0</v>
      </c>
      <c r="G268" s="542">
        <f>'FR-16(7)(v)-5 DISTR Dem Alloc'!G268</f>
        <v>0</v>
      </c>
      <c r="H268" s="533">
        <f>'FR-16(7)(v)-3 PROD Comm Alloc'!G268</f>
        <v>0</v>
      </c>
      <c r="I268" s="534">
        <f>'FR-16(7)(v)-6 DISTR Cust Alloc'!G268</f>
        <v>0</v>
      </c>
      <c r="J268" s="345">
        <f t="shared" si="47"/>
        <v>0</v>
      </c>
      <c r="K268" s="345">
        <f t="shared" si="48"/>
        <v>0</v>
      </c>
    </row>
    <row r="269" spans="1:11" ht="13">
      <c r="A269" s="331">
        <v>20</v>
      </c>
      <c r="C269" s="483" t="str">
        <f>'FR-16(7)(v)-1 Functional'!C269</f>
        <v>401K INCENTIVE PLAN</v>
      </c>
      <c r="D269" s="342" t="str">
        <f>'FR-16(7)(v)-1 Functional'!D269</f>
        <v>AG39</v>
      </c>
      <c r="F269" s="473">
        <f>'FR-16(7)(v)-8 TOT CLASS Alloc'!G269</f>
        <v>0</v>
      </c>
      <c r="G269" s="542">
        <f>'FR-16(7)(v)-5 DISTR Dem Alloc'!G269</f>
        <v>0</v>
      </c>
      <c r="H269" s="533">
        <f>'FR-16(7)(v)-3 PROD Comm Alloc'!G269</f>
        <v>0</v>
      </c>
      <c r="I269" s="534">
        <f>'FR-16(7)(v)-6 DISTR Cust Alloc'!G269</f>
        <v>0</v>
      </c>
      <c r="J269" s="345">
        <f t="shared" si="47"/>
        <v>0</v>
      </c>
      <c r="K269" s="345">
        <f t="shared" si="48"/>
        <v>0</v>
      </c>
    </row>
    <row r="270" spans="1:11" ht="13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3">
        <f>'FR-16(7)(v)-8 TOT CLASS Alloc'!G270</f>
        <v>0</v>
      </c>
      <c r="G270" s="542">
        <f>'FR-16(7)(v)-5 DISTR Dem Alloc'!G270</f>
        <v>0</v>
      </c>
      <c r="H270" s="533">
        <f>'FR-16(7)(v)-3 PROD Comm Alloc'!G270</f>
        <v>0</v>
      </c>
      <c r="I270" s="534">
        <f>'FR-16(7)(v)-6 DISTR Cust Alloc'!G270</f>
        <v>0</v>
      </c>
      <c r="J270" s="345">
        <f t="shared" si="47"/>
        <v>0</v>
      </c>
      <c r="K270" s="345">
        <f t="shared" si="48"/>
        <v>0</v>
      </c>
    </row>
    <row r="271" spans="1:11" ht="13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3">
        <f>'FR-16(7)(v)-8 TOT CLASS Alloc'!G271</f>
        <v>0</v>
      </c>
      <c r="G271" s="542">
        <f>'FR-16(7)(v)-5 DISTR Dem Alloc'!G271</f>
        <v>0</v>
      </c>
      <c r="H271" s="533">
        <f>'FR-16(7)(v)-3 PROD Comm Alloc'!G271</f>
        <v>0</v>
      </c>
      <c r="I271" s="534">
        <f>'FR-16(7)(v)-6 DISTR Cust Alloc'!G271</f>
        <v>0</v>
      </c>
      <c r="J271" s="345">
        <f t="shared" si="47"/>
        <v>0</v>
      </c>
      <c r="K271" s="345">
        <f t="shared" si="48"/>
        <v>0</v>
      </c>
    </row>
    <row r="272" spans="1:11" ht="13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3">
        <f>'FR-16(7)(v)-8 TOT CLASS Alloc'!G272</f>
        <v>0</v>
      </c>
      <c r="G272" s="542">
        <f>'FR-16(7)(v)-5 DISTR Dem Alloc'!G272</f>
        <v>0</v>
      </c>
      <c r="H272" s="533">
        <f>'FR-16(7)(v)-3 PROD Comm Alloc'!G272</f>
        <v>0</v>
      </c>
      <c r="I272" s="534">
        <f>'FR-16(7)(v)-6 DISTR Cust Alloc'!G272</f>
        <v>0</v>
      </c>
      <c r="J272" s="345">
        <f t="shared" si="47"/>
        <v>0</v>
      </c>
      <c r="K272" s="345">
        <f t="shared" si="48"/>
        <v>0</v>
      </c>
    </row>
    <row r="273" spans="1:11" ht="13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3">
        <f>'FR-16(7)(v)-8 TOT CLASS Alloc'!G273</f>
        <v>0</v>
      </c>
      <c r="G273" s="542">
        <f>'FR-16(7)(v)-5 DISTR Dem Alloc'!G273</f>
        <v>0</v>
      </c>
      <c r="H273" s="533">
        <f>'FR-16(7)(v)-3 PROD Comm Alloc'!G273</f>
        <v>0</v>
      </c>
      <c r="I273" s="534">
        <f>'FR-16(7)(v)-6 DISTR Cust Alloc'!G273</f>
        <v>0</v>
      </c>
      <c r="J273" s="345">
        <f t="shared" si="47"/>
        <v>0</v>
      </c>
      <c r="K273" s="345">
        <f t="shared" si="48"/>
        <v>0</v>
      </c>
    </row>
    <row r="274" spans="1:11" ht="13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3">
        <f>'FR-16(7)(v)-8 TOT CLASS Alloc'!G274</f>
        <v>342822</v>
      </c>
      <c r="G274" s="542">
        <f>'FR-16(7)(v)-5 DISTR Dem Alloc'!G274</f>
        <v>120747</v>
      </c>
      <c r="H274" s="533">
        <f>'FR-16(7)(v)-3 PROD Comm Alloc'!G274</f>
        <v>49323</v>
      </c>
      <c r="I274" s="534">
        <f>'FR-16(7)(v)-6 DISTR Cust Alloc'!G274</f>
        <v>172752</v>
      </c>
      <c r="J274" s="345">
        <f t="shared" si="47"/>
        <v>342822</v>
      </c>
      <c r="K274" s="345">
        <f t="shared" si="48"/>
        <v>0</v>
      </c>
    </row>
    <row r="275" spans="1:11" ht="13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K275" si="49">SUM(F251:F274)</f>
        <v>342822</v>
      </c>
      <c r="G275" s="543">
        <f t="shared" si="49"/>
        <v>120747</v>
      </c>
      <c r="H275" s="535">
        <f t="shared" si="49"/>
        <v>49323</v>
      </c>
      <c r="I275" s="536">
        <f t="shared" si="49"/>
        <v>172752</v>
      </c>
      <c r="J275" s="346">
        <f t="shared" si="49"/>
        <v>342822</v>
      </c>
      <c r="K275" s="346">
        <f t="shared" si="49"/>
        <v>0</v>
      </c>
    </row>
    <row r="276" spans="1:11" ht="13">
      <c r="A276" s="331">
        <v>27</v>
      </c>
      <c r="D276" s="342"/>
      <c r="E276" s="195"/>
      <c r="G276" s="541"/>
      <c r="H276" s="531"/>
      <c r="I276" s="532"/>
    </row>
    <row r="277" spans="1:11" ht="13">
      <c r="A277" s="331">
        <v>28</v>
      </c>
      <c r="B277" s="330" t="s">
        <v>30</v>
      </c>
      <c r="D277" s="342"/>
      <c r="E277" s="195"/>
      <c r="G277" s="541"/>
      <c r="H277" s="531"/>
      <c r="I277" s="532"/>
    </row>
    <row r="278" spans="1:11" ht="13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3">
        <f>'FR-16(7)(v)-8 TOT CLASS Alloc'!G278</f>
        <v>0</v>
      </c>
      <c r="G278" s="542">
        <f>'FR-16(7)(v)-5 DISTR Dem Alloc'!G278</f>
        <v>0</v>
      </c>
      <c r="H278" s="533">
        <f>'FR-16(7)(v)-3 PROD Comm Alloc'!G278</f>
        <v>0</v>
      </c>
      <c r="I278" s="534">
        <f>'FR-16(7)(v)-6 DISTR Cust Alloc'!G278</f>
        <v>0</v>
      </c>
      <c r="J278" s="345">
        <f>SUM(G278:I278)</f>
        <v>0</v>
      </c>
      <c r="K278" s="345">
        <f>F278-J278</f>
        <v>0</v>
      </c>
    </row>
    <row r="279" spans="1:11" ht="13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3">
        <f>'FR-16(7)(v)-8 TOT CLASS Alloc'!G279</f>
        <v>0</v>
      </c>
      <c r="G279" s="542">
        <f>'FR-16(7)(v)-5 DISTR Dem Alloc'!G279</f>
        <v>0</v>
      </c>
      <c r="H279" s="533">
        <f>'FR-16(7)(v)-3 PROD Comm Alloc'!G279</f>
        <v>0</v>
      </c>
      <c r="I279" s="534">
        <f>'FR-16(7)(v)-6 DISTR Cust Alloc'!G279</f>
        <v>0</v>
      </c>
      <c r="J279" s="345">
        <f>SUM(G279:I279)</f>
        <v>0</v>
      </c>
      <c r="K279" s="345">
        <f>F279-J279</f>
        <v>0</v>
      </c>
    </row>
    <row r="280" spans="1:11" ht="13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3">
        <f>'FR-16(7)(v)-8 TOT CLASS Alloc'!G280</f>
        <v>0</v>
      </c>
      <c r="G280" s="542">
        <f>'FR-16(7)(v)-5 DISTR Dem Alloc'!G280</f>
        <v>0</v>
      </c>
      <c r="H280" s="533">
        <f>'FR-16(7)(v)-3 PROD Comm Alloc'!G280</f>
        <v>0</v>
      </c>
      <c r="I280" s="534">
        <f>'FR-16(7)(v)-6 DISTR Cust Alloc'!G280</f>
        <v>0</v>
      </c>
      <c r="J280" s="345">
        <f>SUM(G280:I280)</f>
        <v>0</v>
      </c>
      <c r="K280" s="345">
        <f>F280-J280</f>
        <v>0</v>
      </c>
    </row>
    <row r="281" spans="1:11" ht="13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543">
        <f>SUM(G277:G280)</f>
        <v>0</v>
      </c>
      <c r="H281" s="535">
        <f>SUM(H277:H280)</f>
        <v>0</v>
      </c>
      <c r="I281" s="536">
        <f>SUM(I277:I280)</f>
        <v>0</v>
      </c>
      <c r="J281" s="346">
        <f>SUM(J277:J280)</f>
        <v>0</v>
      </c>
      <c r="K281" s="346">
        <f>SUM(K277:K280)</f>
        <v>0</v>
      </c>
    </row>
    <row r="282" spans="1:11" ht="13">
      <c r="A282" s="331">
        <v>33</v>
      </c>
      <c r="D282" s="342"/>
      <c r="F282" s="333" t="s">
        <v>343</v>
      </c>
      <c r="G282" s="541"/>
      <c r="H282" s="531"/>
      <c r="I282" s="532"/>
    </row>
    <row r="283" spans="1:11" ht="13">
      <c r="A283" s="331">
        <v>34</v>
      </c>
      <c r="B283" s="330" t="s">
        <v>818</v>
      </c>
      <c r="D283" s="342"/>
      <c r="F283" s="345">
        <f t="shared" ref="F283:K283" si="50">F275+F281</f>
        <v>342822</v>
      </c>
      <c r="G283" s="544">
        <f t="shared" si="50"/>
        <v>120747</v>
      </c>
      <c r="H283" s="537">
        <f t="shared" si="50"/>
        <v>49323</v>
      </c>
      <c r="I283" s="538">
        <f t="shared" si="50"/>
        <v>172752</v>
      </c>
      <c r="J283" s="345">
        <f t="shared" si="50"/>
        <v>342822</v>
      </c>
      <c r="K283" s="345">
        <f t="shared" si="50"/>
        <v>0</v>
      </c>
    </row>
    <row r="284" spans="1:11" ht="13">
      <c r="B284" s="341"/>
      <c r="C284" s="195"/>
      <c r="D284" s="342"/>
      <c r="E284" s="195"/>
      <c r="F284" s="195"/>
      <c r="G284" s="195"/>
      <c r="H284" s="195"/>
      <c r="I284" s="195"/>
      <c r="J284" s="195"/>
      <c r="K284" s="195"/>
    </row>
    <row r="285" spans="1:11" ht="13">
      <c r="A285" s="341" t="str">
        <f>co_name</f>
        <v>DUKE ENERGY KENTUCKY, INC.</v>
      </c>
      <c r="C285" s="195"/>
      <c r="D285" s="342"/>
      <c r="E285" s="195"/>
      <c r="F285" s="195"/>
      <c r="G285" s="195"/>
      <c r="H285" s="195"/>
      <c r="I285" s="195"/>
      <c r="J285" s="195" t="str">
        <f>$J$1</f>
        <v>FR-16(7)(v)-9</v>
      </c>
      <c r="K285" s="195"/>
    </row>
    <row r="286" spans="1:11" ht="13">
      <c r="A286" s="341" t="str">
        <f>$A$2</f>
        <v>RESIDENTIAL CLASSIFIED - GAS COST OF SERVICE</v>
      </c>
      <c r="C286" s="195"/>
      <c r="D286" s="342"/>
      <c r="E286" s="195"/>
      <c r="F286" s="195"/>
      <c r="G286" s="195"/>
      <c r="H286" s="195"/>
      <c r="I286" s="195"/>
      <c r="J286" s="195" t="str">
        <f>$J$2</f>
        <v>WITNESS RESPONSIBLE:</v>
      </c>
      <c r="K286" s="195"/>
    </row>
    <row r="287" spans="1:11" ht="13">
      <c r="A287" s="341" t="str">
        <f>case_name</f>
        <v>CASE NO: 2021-00190</v>
      </c>
      <c r="C287" s="195"/>
      <c r="D287" s="342"/>
      <c r="E287" s="195"/>
      <c r="F287" s="195"/>
      <c r="G287" s="195"/>
      <c r="H287" s="195"/>
      <c r="I287" s="195"/>
      <c r="J287" s="195" t="str">
        <f>Witness</f>
        <v>JAMES E. ZIOLKOWSKI</v>
      </c>
      <c r="K287" s="195"/>
    </row>
    <row r="288" spans="1:11" ht="13">
      <c r="A288" s="341" t="str">
        <f>data_filing</f>
        <v>DATA: 12 MONTH FORECASTED PERIOD</v>
      </c>
      <c r="C288" s="195"/>
      <c r="D288" s="342"/>
      <c r="E288" s="195"/>
      <c r="F288" s="195"/>
      <c r="G288" s="195"/>
      <c r="H288" s="195"/>
      <c r="I288" s="195"/>
      <c r="J288" s="195" t="str">
        <f>"PAGE "&amp;Pages2-8&amp;" OF "&amp;Pages2</f>
        <v>PAGE 7 OF 15</v>
      </c>
      <c r="K288" s="195"/>
    </row>
    <row r="289" spans="1:13" ht="13">
      <c r="A289" s="341" t="str">
        <f>type</f>
        <v xml:space="preserve">TYPE OF FILING: "X" ORIGINAL   UPDATED    REVISED  </v>
      </c>
      <c r="C289" s="195"/>
      <c r="D289" s="342"/>
      <c r="E289" s="195"/>
      <c r="F289" s="195"/>
      <c r="G289" s="195"/>
      <c r="H289" s="195"/>
      <c r="I289" s="195"/>
      <c r="J289" s="195"/>
      <c r="K289" s="195"/>
    </row>
    <row r="290" spans="1:13" ht="13">
      <c r="B290" s="341"/>
      <c r="C290" s="195"/>
      <c r="D290" s="342"/>
      <c r="E290" s="195"/>
      <c r="F290" s="195"/>
      <c r="G290" s="195"/>
      <c r="H290" s="195"/>
      <c r="I290" s="195"/>
      <c r="J290" s="195"/>
      <c r="K290" s="195"/>
    </row>
    <row r="291" spans="1:13" ht="13">
      <c r="B291" s="341"/>
      <c r="C291" s="195"/>
      <c r="D291" s="342"/>
      <c r="E291" s="195"/>
      <c r="F291" s="195"/>
      <c r="G291" s="195"/>
      <c r="H291" s="195"/>
      <c r="I291" s="195"/>
      <c r="J291" s="195"/>
      <c r="K291" s="195"/>
    </row>
    <row r="292" spans="1:13" ht="13">
      <c r="A292" s="342" t="s">
        <v>907</v>
      </c>
      <c r="B292" s="195"/>
      <c r="C292" s="195"/>
      <c r="D292" s="342"/>
      <c r="E292" s="195"/>
      <c r="F292" s="342" t="s">
        <v>229</v>
      </c>
      <c r="G292" s="539" t="s">
        <v>995</v>
      </c>
      <c r="H292" s="527"/>
      <c r="I292" s="528"/>
      <c r="J292" s="342" t="s">
        <v>229</v>
      </c>
      <c r="K292" s="342" t="s">
        <v>342</v>
      </c>
    </row>
    <row r="293" spans="1:13" ht="13">
      <c r="A293" s="344" t="s">
        <v>908</v>
      </c>
      <c r="B293" s="343" t="s">
        <v>32</v>
      </c>
      <c r="C293" s="343"/>
      <c r="D293" s="344" t="s">
        <v>337</v>
      </c>
      <c r="E293" s="343"/>
      <c r="F293" s="344" t="str">
        <f>$F$9</f>
        <v>RESIDENTIAL</v>
      </c>
      <c r="G293" s="540" t="s">
        <v>840</v>
      </c>
      <c r="H293" s="529" t="s">
        <v>841</v>
      </c>
      <c r="I293" s="530" t="s">
        <v>842</v>
      </c>
      <c r="J293" s="344" t="s">
        <v>341</v>
      </c>
      <c r="K293" s="344" t="s">
        <v>340</v>
      </c>
    </row>
    <row r="294" spans="1:13" ht="13">
      <c r="C294" s="572" t="s">
        <v>556</v>
      </c>
      <c r="D294" s="342"/>
      <c r="E294" s="484"/>
      <c r="F294" s="485"/>
      <c r="G294" s="793">
        <f>$G$10</f>
        <v>3</v>
      </c>
      <c r="H294" s="794">
        <f>$H$10</f>
        <v>4</v>
      </c>
      <c r="I294" s="795">
        <f>$I$10</f>
        <v>5</v>
      </c>
      <c r="J294" s="484"/>
      <c r="K294" s="484"/>
    </row>
    <row r="295" spans="1:13" ht="13">
      <c r="C295" s="572"/>
      <c r="D295" s="342"/>
      <c r="E295" s="484"/>
      <c r="F295" s="485"/>
      <c r="G295" s="793"/>
      <c r="H295" s="794"/>
      <c r="I295" s="795"/>
      <c r="J295" s="484"/>
      <c r="K295" s="484"/>
    </row>
    <row r="296" spans="1:13" ht="13">
      <c r="A296" s="331">
        <v>1</v>
      </c>
      <c r="B296" s="330" t="s">
        <v>31</v>
      </c>
      <c r="D296" s="342"/>
      <c r="E296" s="195"/>
      <c r="F296" s="345">
        <f t="shared" ref="F296:K296" si="51">F191-F238+F283</f>
        <v>295869302</v>
      </c>
      <c r="G296" s="542">
        <f t="shared" si="51"/>
        <v>144076092</v>
      </c>
      <c r="H296" s="533">
        <f t="shared" si="51"/>
        <v>2380101</v>
      </c>
      <c r="I296" s="534">
        <f t="shared" si="51"/>
        <v>149413109</v>
      </c>
      <c r="J296" s="345">
        <f t="shared" si="51"/>
        <v>295869302</v>
      </c>
      <c r="K296" s="345">
        <f t="shared" si="51"/>
        <v>0</v>
      </c>
    </row>
    <row r="297" spans="1:13" ht="13">
      <c r="A297" s="331">
        <v>2</v>
      </c>
      <c r="D297" s="342"/>
      <c r="E297" s="195"/>
      <c r="G297" s="541"/>
      <c r="H297" s="531"/>
      <c r="I297" s="532"/>
    </row>
    <row r="298" spans="1:13" ht="13">
      <c r="A298" s="331">
        <v>3</v>
      </c>
      <c r="B298" s="330" t="s">
        <v>32</v>
      </c>
      <c r="D298" s="342"/>
      <c r="E298" s="195"/>
      <c r="G298" s="541"/>
      <c r="H298" s="531"/>
      <c r="I298" s="532"/>
    </row>
    <row r="299" spans="1:13" ht="13">
      <c r="A299" s="331">
        <v>4</v>
      </c>
      <c r="D299" s="342"/>
      <c r="E299" s="195"/>
      <c r="G299" s="541"/>
      <c r="H299" s="531"/>
      <c r="I299" s="532"/>
    </row>
    <row r="300" spans="1:13" ht="13">
      <c r="A300" s="331">
        <v>5</v>
      </c>
      <c r="B300" s="330" t="s">
        <v>33</v>
      </c>
      <c r="D300" s="342"/>
      <c r="E300" s="195"/>
      <c r="G300" s="541"/>
      <c r="H300" s="531"/>
      <c r="I300" s="532"/>
    </row>
    <row r="301" spans="1:13" ht="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3">
        <f>'FR-16(7)(v)-8 TOT CLASS Alloc'!G301</f>
        <v>1125112</v>
      </c>
      <c r="G301" s="542">
        <f>'FR-16(7)(v)-5 DISTR Dem Alloc'!G301</f>
        <v>0</v>
      </c>
      <c r="H301" s="533">
        <f>'FR-16(7)(v)-3 PROD Comm Alloc'!G301</f>
        <v>1125112</v>
      </c>
      <c r="I301" s="534">
        <f>'FR-16(7)(v)-6 DISTR Cust Alloc'!G301</f>
        <v>0</v>
      </c>
      <c r="J301" s="345">
        <f>SUM(G301:I301)</f>
        <v>1125112</v>
      </c>
      <c r="K301" s="345">
        <f>F301-J301</f>
        <v>0</v>
      </c>
      <c r="M301" s="333"/>
    </row>
    <row r="302" spans="1:13" ht="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3">
        <f>'FR-16(7)(v)-8 TOT CLASS Alloc'!G302</f>
        <v>268974</v>
      </c>
      <c r="G302" s="542">
        <f>'FR-16(7)(v)-5 DISTR Dem Alloc'!G302</f>
        <v>131073</v>
      </c>
      <c r="H302" s="533">
        <f>'FR-16(7)(v)-3 PROD Comm Alloc'!G302</f>
        <v>2067</v>
      </c>
      <c r="I302" s="534">
        <f>'FR-16(7)(v)-6 DISTR Cust Alloc'!G302</f>
        <v>135834</v>
      </c>
      <c r="J302" s="345">
        <f>SUM(G302:I302)</f>
        <v>268974</v>
      </c>
      <c r="K302" s="345">
        <f>F302-J302</f>
        <v>0</v>
      </c>
      <c r="M302" s="333"/>
    </row>
    <row r="303" spans="1:13" ht="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K303" si="52">SUM(F300:F302)</f>
        <v>1394086</v>
      </c>
      <c r="G303" s="543">
        <f t="shared" si="52"/>
        <v>131073</v>
      </c>
      <c r="H303" s="535">
        <f t="shared" si="52"/>
        <v>1127179</v>
      </c>
      <c r="I303" s="536">
        <f t="shared" si="52"/>
        <v>135834</v>
      </c>
      <c r="J303" s="346">
        <f t="shared" si="52"/>
        <v>1394086</v>
      </c>
      <c r="K303" s="346">
        <f t="shared" si="52"/>
        <v>0</v>
      </c>
    </row>
    <row r="304" spans="1:13" ht="13">
      <c r="A304" s="331">
        <v>9</v>
      </c>
      <c r="B304" s="330" t="s">
        <v>34</v>
      </c>
      <c r="D304" s="342"/>
      <c r="E304" s="195"/>
      <c r="F304" s="345">
        <f t="shared" ref="F304:K304" si="53">F303</f>
        <v>1394086</v>
      </c>
      <c r="G304" s="542">
        <f t="shared" si="53"/>
        <v>131073</v>
      </c>
      <c r="H304" s="533">
        <f t="shared" si="53"/>
        <v>1127179</v>
      </c>
      <c r="I304" s="534">
        <f t="shared" si="53"/>
        <v>135834</v>
      </c>
      <c r="J304" s="345">
        <f t="shared" si="53"/>
        <v>1394086</v>
      </c>
      <c r="K304" s="345">
        <f t="shared" si="53"/>
        <v>0</v>
      </c>
    </row>
    <row r="305" spans="1:13" ht="13">
      <c r="A305" s="331">
        <v>10</v>
      </c>
      <c r="D305" s="342"/>
      <c r="E305" s="195"/>
      <c r="G305" s="541"/>
      <c r="H305" s="531"/>
      <c r="I305" s="532"/>
    </row>
    <row r="306" spans="1:13" ht="13">
      <c r="A306" s="331">
        <v>11</v>
      </c>
      <c r="B306" s="330" t="s">
        <v>35</v>
      </c>
      <c r="D306" s="342"/>
      <c r="E306" s="195"/>
      <c r="G306" s="541"/>
      <c r="H306" s="531"/>
      <c r="I306" s="532"/>
    </row>
    <row r="307" spans="1:13" ht="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3">
        <f>'FR-16(7)(v)-8 TOT CLASS Alloc'!G307</f>
        <v>65660</v>
      </c>
      <c r="G307" s="542">
        <f>'FR-16(7)(v)-5 DISTR Dem Alloc'!G307</f>
        <v>8126</v>
      </c>
      <c r="H307" s="533">
        <f>'FR-16(7)(v)-3 PROD Comm Alloc'!G307</f>
        <v>43626</v>
      </c>
      <c r="I307" s="534">
        <f>'FR-16(7)(v)-6 DISTR Cust Alloc'!G307</f>
        <v>13908</v>
      </c>
      <c r="J307" s="345">
        <f>SUM(G307:I307)</f>
        <v>65660</v>
      </c>
      <c r="K307" s="345">
        <f>F307-J307</f>
        <v>0</v>
      </c>
      <c r="M307" s="333"/>
    </row>
    <row r="308" spans="1:13" ht="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3">
        <f>'FR-16(7)(v)-8 TOT CLASS Alloc'!G308</f>
        <v>0</v>
      </c>
      <c r="G308" s="542">
        <f>'FR-16(7)(v)-5 DISTR Dem Alloc'!G308</f>
        <v>0</v>
      </c>
      <c r="H308" s="533">
        <f>'FR-16(7)(v)-3 PROD Comm Alloc'!G308</f>
        <v>0</v>
      </c>
      <c r="I308" s="534">
        <f>'FR-16(7)(v)-6 DISTR Cust Alloc'!G308</f>
        <v>0</v>
      </c>
      <c r="J308" s="345">
        <f>SUM(G308:I308)</f>
        <v>0</v>
      </c>
      <c r="K308" s="345">
        <f>F308-J308</f>
        <v>0</v>
      </c>
      <c r="M308" s="333"/>
    </row>
    <row r="309" spans="1:13" ht="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3">
        <f>'FR-16(7)(v)-8 TOT CLASS Alloc'!G309</f>
        <v>0</v>
      </c>
      <c r="G309" s="542">
        <f>'FR-16(7)(v)-5 DISTR Dem Alloc'!G309</f>
        <v>0</v>
      </c>
      <c r="H309" s="533">
        <f>'FR-16(7)(v)-3 PROD Comm Alloc'!G309</f>
        <v>0</v>
      </c>
      <c r="I309" s="534">
        <f>'FR-16(7)(v)-6 DISTR Cust Alloc'!G309</f>
        <v>0</v>
      </c>
      <c r="J309" s="345">
        <f>SUM(G309:I309)</f>
        <v>0</v>
      </c>
      <c r="K309" s="345">
        <f>F309-J309</f>
        <v>0</v>
      </c>
      <c r="M309" s="333"/>
    </row>
    <row r="310" spans="1:13" ht="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3">
        <f t="shared" ref="F310:K310" si="54">SUM(F306:F309)</f>
        <v>65660</v>
      </c>
      <c r="G310" s="574">
        <f t="shared" si="54"/>
        <v>8126</v>
      </c>
      <c r="H310" s="575">
        <f t="shared" si="54"/>
        <v>43626</v>
      </c>
      <c r="I310" s="576">
        <f t="shared" si="54"/>
        <v>13908</v>
      </c>
      <c r="J310" s="573">
        <f t="shared" si="54"/>
        <v>65660</v>
      </c>
      <c r="K310" s="573">
        <f t="shared" si="54"/>
        <v>0</v>
      </c>
    </row>
    <row r="311" spans="1:13" ht="13">
      <c r="A311" s="331">
        <v>16</v>
      </c>
      <c r="D311" s="342"/>
      <c r="E311" s="195"/>
      <c r="G311" s="541"/>
      <c r="H311" s="531"/>
      <c r="I311" s="532"/>
    </row>
    <row r="312" spans="1:13" ht="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542">
        <f>IF(WorkingCap="No",0,ROUND((G433-G348-G353)/8,0))</f>
        <v>0</v>
      </c>
      <c r="H312" s="533">
        <f>IF(WorkingCap="No",0,ROUND((H433-H348-H353)/8,0))</f>
        <v>0</v>
      </c>
      <c r="I312" s="534">
        <f>IF(WorkingCap="No",0,ROUND((I433-I348-I353)/8,0))</f>
        <v>0</v>
      </c>
      <c r="J312" s="345">
        <f>SUM(G312:I312)</f>
        <v>0</v>
      </c>
      <c r="K312" s="345">
        <f>F312-J312</f>
        <v>0</v>
      </c>
    </row>
    <row r="313" spans="1:13" ht="13">
      <c r="A313" s="331">
        <v>18</v>
      </c>
      <c r="B313" s="330" t="s">
        <v>37</v>
      </c>
      <c r="D313" s="342"/>
      <c r="E313" s="195"/>
      <c r="F313" s="345">
        <f t="shared" ref="F313:K313" si="55">F312</f>
        <v>0</v>
      </c>
      <c r="G313" s="542">
        <f t="shared" si="55"/>
        <v>0</v>
      </c>
      <c r="H313" s="533">
        <f t="shared" si="55"/>
        <v>0</v>
      </c>
      <c r="I313" s="534">
        <f t="shared" si="55"/>
        <v>0</v>
      </c>
      <c r="J313" s="345">
        <f t="shared" si="55"/>
        <v>0</v>
      </c>
      <c r="K313" s="345">
        <f t="shared" si="55"/>
        <v>0</v>
      </c>
    </row>
    <row r="314" spans="1:13" ht="13">
      <c r="A314" s="331">
        <v>19</v>
      </c>
      <c r="D314" s="342"/>
      <c r="E314" s="195"/>
      <c r="G314" s="541"/>
      <c r="H314" s="531"/>
      <c r="I314" s="532"/>
    </row>
    <row r="315" spans="1:13" ht="13">
      <c r="A315" s="331">
        <v>20</v>
      </c>
      <c r="B315" s="330" t="s">
        <v>38</v>
      </c>
      <c r="D315" s="342"/>
      <c r="E315" s="195"/>
      <c r="G315" s="541"/>
      <c r="H315" s="531"/>
      <c r="I315" s="532"/>
    </row>
    <row r="316" spans="1:13" ht="13">
      <c r="A316" s="331">
        <v>21</v>
      </c>
      <c r="C316" s="612" t="str">
        <f>'FR-16(7)(v)-1 Functional'!C316</f>
        <v>GAS STORED UNDERGROUND</v>
      </c>
      <c r="D316" s="342" t="str">
        <f>'FR-16(7)(v)-1 Functional'!D316</f>
        <v>K301</v>
      </c>
      <c r="E316" s="195"/>
      <c r="F316" s="473">
        <f>'FR-16(7)(v)-8 TOT CLASS Alloc'!G316</f>
        <v>1067001</v>
      </c>
      <c r="G316" s="542">
        <f>'FR-16(7)(v)-5 DISTR Dem Alloc'!G316</f>
        <v>0</v>
      </c>
      <c r="H316" s="533">
        <f>'FR-16(7)(v)-3 PROD Comm Alloc'!G316</f>
        <v>1067001</v>
      </c>
      <c r="I316" s="534">
        <f>'FR-16(7)(v)-6 DISTR Cust Alloc'!G316</f>
        <v>0</v>
      </c>
      <c r="J316" s="345">
        <f>SUM(G316:I316)</f>
        <v>1067001</v>
      </c>
      <c r="K316" s="345">
        <f>F316-J316</f>
        <v>0</v>
      </c>
      <c r="M316" s="333"/>
    </row>
    <row r="317" spans="1:13" ht="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3">
        <f>'FR-16(7)(v)-8 TOT CLASS Alloc'!G317</f>
        <v>0</v>
      </c>
      <c r="G317" s="542">
        <f>'FR-16(7)(v)-5 DISTR Dem Alloc'!G317</f>
        <v>0</v>
      </c>
      <c r="H317" s="533">
        <f>'FR-16(7)(v)-3 PROD Comm Alloc'!G317</f>
        <v>0</v>
      </c>
      <c r="I317" s="534">
        <f>'FR-16(7)(v)-6 DISTR Cust Alloc'!G317</f>
        <v>0</v>
      </c>
      <c r="J317" s="345">
        <f>SUM(G317:I317)</f>
        <v>0</v>
      </c>
      <c r="K317" s="345">
        <f>F317-J317</f>
        <v>0</v>
      </c>
      <c r="M317" s="333"/>
    </row>
    <row r="318" spans="1:13" ht="13">
      <c r="A318" s="331">
        <v>23</v>
      </c>
      <c r="C318" s="505" t="str">
        <f>'FR-16(7)(v)-1 Functional'!C318</f>
        <v>RESERVED FOR FUTURE USE</v>
      </c>
      <c r="D318" s="342" t="str">
        <f>'FR-16(7)(v)-1 Functional'!D318</f>
        <v>D249</v>
      </c>
      <c r="E318" s="195"/>
      <c r="F318" s="473">
        <f>'FR-16(7)(v)-8 TOT CLASS Alloc'!G318</f>
        <v>0</v>
      </c>
      <c r="G318" s="542">
        <f>'FR-16(7)(v)-5 DISTR Dem Alloc'!G318</f>
        <v>0</v>
      </c>
      <c r="H318" s="533">
        <f>'FR-16(7)(v)-3 PROD Comm Alloc'!G318</f>
        <v>0</v>
      </c>
      <c r="I318" s="534">
        <f>'FR-16(7)(v)-6 DISTR Cust Alloc'!G318</f>
        <v>0</v>
      </c>
      <c r="J318" s="345">
        <f>SUM(G318:I318)</f>
        <v>0</v>
      </c>
      <c r="K318" s="345">
        <f>F318-J318</f>
        <v>0</v>
      </c>
      <c r="M318" s="333"/>
    </row>
    <row r="319" spans="1:13" ht="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K319" si="56">SUM(F315:F318)</f>
        <v>1067001</v>
      </c>
      <c r="G319" s="543">
        <f t="shared" si="56"/>
        <v>0</v>
      </c>
      <c r="H319" s="535">
        <f t="shared" si="56"/>
        <v>1067001</v>
      </c>
      <c r="I319" s="536">
        <f t="shared" si="56"/>
        <v>0</v>
      </c>
      <c r="J319" s="346">
        <f t="shared" si="56"/>
        <v>1067001</v>
      </c>
      <c r="K319" s="346">
        <f t="shared" si="56"/>
        <v>0</v>
      </c>
    </row>
    <row r="320" spans="1:13" ht="13">
      <c r="A320" s="331">
        <v>25</v>
      </c>
      <c r="D320" s="342"/>
      <c r="E320" s="195"/>
      <c r="G320" s="541"/>
      <c r="H320" s="531"/>
      <c r="I320" s="532"/>
    </row>
    <row r="321" spans="1:13" ht="13">
      <c r="A321" s="331">
        <v>26</v>
      </c>
      <c r="B321" s="330" t="s">
        <v>39</v>
      </c>
      <c r="D321" s="342"/>
      <c r="E321" s="195"/>
      <c r="F321" s="345">
        <f t="shared" ref="F321:K321" si="57">F304+F310+F313+F319</f>
        <v>2526747</v>
      </c>
      <c r="G321" s="542">
        <f t="shared" si="57"/>
        <v>139199</v>
      </c>
      <c r="H321" s="533">
        <f t="shared" si="57"/>
        <v>2237806</v>
      </c>
      <c r="I321" s="534">
        <f t="shared" si="57"/>
        <v>149742</v>
      </c>
      <c r="J321" s="345">
        <f t="shared" si="57"/>
        <v>2526747</v>
      </c>
      <c r="K321" s="345">
        <f t="shared" si="57"/>
        <v>0</v>
      </c>
    </row>
    <row r="322" spans="1:13" ht="13">
      <c r="A322" s="331">
        <v>27</v>
      </c>
      <c r="B322" s="330" t="s">
        <v>40</v>
      </c>
      <c r="D322" s="342"/>
      <c r="E322" s="195"/>
      <c r="G322" s="541"/>
      <c r="H322" s="531"/>
      <c r="I322" s="532"/>
    </row>
    <row r="323" spans="1:13" ht="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K323" si="58">-F238</f>
        <v>-64381699</v>
      </c>
      <c r="G323" s="542">
        <f t="shared" si="58"/>
        <v>-31431294</v>
      </c>
      <c r="H323" s="533">
        <f t="shared" si="58"/>
        <v>-436626</v>
      </c>
      <c r="I323" s="534">
        <f t="shared" si="58"/>
        <v>-32513779</v>
      </c>
      <c r="J323" s="345">
        <f t="shared" si="58"/>
        <v>-64381699</v>
      </c>
      <c r="K323" s="345">
        <f t="shared" si="58"/>
        <v>0</v>
      </c>
      <c r="M323" s="333"/>
    </row>
    <row r="324" spans="1:13" ht="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K324" si="59">F283</f>
        <v>342822</v>
      </c>
      <c r="G324" s="542">
        <f t="shared" si="59"/>
        <v>120747</v>
      </c>
      <c r="H324" s="533">
        <f t="shared" si="59"/>
        <v>49323</v>
      </c>
      <c r="I324" s="534">
        <f t="shared" si="59"/>
        <v>172752</v>
      </c>
      <c r="J324" s="345">
        <f t="shared" si="59"/>
        <v>342822</v>
      </c>
      <c r="K324" s="345">
        <f t="shared" si="59"/>
        <v>0</v>
      </c>
      <c r="M324" s="333"/>
    </row>
    <row r="325" spans="1:13" ht="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K325" si="60">F321</f>
        <v>2526747</v>
      </c>
      <c r="G325" s="542">
        <f t="shared" si="60"/>
        <v>139199</v>
      </c>
      <c r="H325" s="533">
        <f t="shared" si="60"/>
        <v>2237806</v>
      </c>
      <c r="I325" s="534">
        <f t="shared" si="60"/>
        <v>149742</v>
      </c>
      <c r="J325" s="345">
        <f t="shared" si="60"/>
        <v>2526747</v>
      </c>
      <c r="K325" s="345">
        <f t="shared" si="60"/>
        <v>0</v>
      </c>
      <c r="M325" s="333"/>
    </row>
    <row r="326" spans="1:13" ht="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K326" si="61">SUM(F322:F325)</f>
        <v>-61512130</v>
      </c>
      <c r="G326" s="543">
        <f t="shared" si="61"/>
        <v>-31171348</v>
      </c>
      <c r="H326" s="535">
        <f t="shared" si="61"/>
        <v>1850503</v>
      </c>
      <c r="I326" s="536">
        <f t="shared" si="61"/>
        <v>-32191285</v>
      </c>
      <c r="J326" s="346">
        <f>SUM(J322:J325)</f>
        <v>-61512130</v>
      </c>
      <c r="K326" s="346">
        <f t="shared" si="61"/>
        <v>0</v>
      </c>
    </row>
    <row r="327" spans="1:13" ht="13">
      <c r="A327" s="331">
        <v>32</v>
      </c>
      <c r="D327" s="342"/>
      <c r="E327" s="195"/>
      <c r="G327" s="541"/>
      <c r="H327" s="531"/>
      <c r="I327" s="532"/>
    </row>
    <row r="328" spans="1:13" ht="13">
      <c r="A328" s="331">
        <v>33</v>
      </c>
      <c r="B328" s="330" t="s">
        <v>41</v>
      </c>
      <c r="D328" s="342"/>
      <c r="E328" s="195"/>
      <c r="G328" s="541"/>
      <c r="H328" s="531"/>
      <c r="I328" s="532"/>
    </row>
    <row r="329" spans="1:13" ht="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K329" si="62">F191</f>
        <v>359908179</v>
      </c>
      <c r="G329" s="542">
        <f t="shared" si="62"/>
        <v>175386639</v>
      </c>
      <c r="H329" s="533">
        <f t="shared" si="62"/>
        <v>2767404</v>
      </c>
      <c r="I329" s="534">
        <f t="shared" si="62"/>
        <v>181754136</v>
      </c>
      <c r="J329" s="345">
        <f t="shared" si="62"/>
        <v>359908179</v>
      </c>
      <c r="K329" s="345">
        <f t="shared" si="62"/>
        <v>0</v>
      </c>
    </row>
    <row r="330" spans="1:13" ht="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K330" si="63">F326</f>
        <v>-61512130</v>
      </c>
      <c r="G330" s="542">
        <f t="shared" si="63"/>
        <v>-31171348</v>
      </c>
      <c r="H330" s="533">
        <f t="shared" si="63"/>
        <v>1850503</v>
      </c>
      <c r="I330" s="534">
        <f t="shared" si="63"/>
        <v>-32191285</v>
      </c>
      <c r="J330" s="345">
        <f t="shared" si="63"/>
        <v>-61512130</v>
      </c>
      <c r="K330" s="345">
        <f t="shared" si="63"/>
        <v>0</v>
      </c>
    </row>
    <row r="331" spans="1:13" ht="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K331" si="64">SUM(F328:F330)</f>
        <v>298396049</v>
      </c>
      <c r="G331" s="543">
        <f t="shared" si="64"/>
        <v>144215291</v>
      </c>
      <c r="H331" s="535">
        <f t="shared" si="64"/>
        <v>4617907</v>
      </c>
      <c r="I331" s="536">
        <f t="shared" si="64"/>
        <v>149562851</v>
      </c>
      <c r="J331" s="346">
        <f t="shared" si="64"/>
        <v>298396049</v>
      </c>
      <c r="K331" s="346">
        <f t="shared" si="64"/>
        <v>0</v>
      </c>
    </row>
    <row r="332" spans="1:13" ht="13">
      <c r="A332" s="331">
        <v>37</v>
      </c>
      <c r="D332" s="342"/>
      <c r="E332" s="195"/>
      <c r="G332" s="541"/>
      <c r="H332" s="531"/>
      <c r="I332" s="532"/>
    </row>
    <row r="333" spans="1:13" ht="13">
      <c r="A333" s="331">
        <v>38</v>
      </c>
      <c r="B333" s="330" t="s">
        <v>42</v>
      </c>
      <c r="D333" s="342"/>
      <c r="E333" s="195"/>
      <c r="F333" s="348">
        <f>$F$688</f>
        <v>7.060000000000001E-2</v>
      </c>
      <c r="G333" s="1267">
        <f>F688</f>
        <v>7.060000000000001E-2</v>
      </c>
      <c r="H333" s="1268">
        <f>F688</f>
        <v>7.060000000000001E-2</v>
      </c>
      <c r="I333" s="1269">
        <f>F688</f>
        <v>7.060000000000001E-2</v>
      </c>
      <c r="J333" s="348">
        <f>F688</f>
        <v>7.060000000000001E-2</v>
      </c>
      <c r="K333" s="348">
        <f>'FR-16(7)(v)-1 Functional'!F688</f>
        <v>7.060000000000001E-2</v>
      </c>
    </row>
    <row r="334" spans="1:13" ht="13">
      <c r="A334" s="331">
        <v>39</v>
      </c>
      <c r="B334" s="330" t="s">
        <v>43</v>
      </c>
      <c r="D334" s="342"/>
      <c r="E334" s="195"/>
      <c r="F334" s="345">
        <f>ROUND(F333*F331,0)</f>
        <v>21066761</v>
      </c>
      <c r="G334" s="548">
        <f>ROUND(G331*G333,0)</f>
        <v>10181600</v>
      </c>
      <c r="H334" s="549">
        <f>ROUND(H331*H333,0)</f>
        <v>326024</v>
      </c>
      <c r="I334" s="550">
        <f>ROUND(I331*I333,0)</f>
        <v>10559137</v>
      </c>
      <c r="J334" s="345">
        <f>SUM(G334:I334)</f>
        <v>21066761</v>
      </c>
      <c r="K334" s="345">
        <f>ROUND(K331*K333,0)</f>
        <v>0</v>
      </c>
    </row>
    <row r="335" spans="1:13" ht="13">
      <c r="B335" s="341"/>
      <c r="C335" s="195"/>
      <c r="D335" s="342"/>
      <c r="E335" s="195"/>
      <c r="F335" s="195"/>
      <c r="G335" s="195"/>
      <c r="H335" s="195"/>
      <c r="I335" s="195"/>
      <c r="J335" s="195"/>
      <c r="K335" s="195"/>
    </row>
    <row r="336" spans="1:13" ht="13">
      <c r="A336" s="341" t="str">
        <f>co_name</f>
        <v>DUKE ENERGY KENTUCKY, INC.</v>
      </c>
      <c r="C336" s="195"/>
      <c r="D336" s="342"/>
      <c r="E336" s="195"/>
      <c r="F336" s="195"/>
      <c r="G336" s="195"/>
      <c r="H336" s="195"/>
      <c r="I336" s="195"/>
      <c r="J336" s="195" t="str">
        <f>$J$1</f>
        <v>FR-16(7)(v)-9</v>
      </c>
      <c r="K336" s="195"/>
    </row>
    <row r="337" spans="1:11" ht="13">
      <c r="A337" s="341" t="str">
        <f>$A$2</f>
        <v>RESIDENTIAL CLASSIFIED - GAS COST OF SERVICE</v>
      </c>
      <c r="C337" s="195"/>
      <c r="D337" s="342"/>
      <c r="E337" s="195"/>
      <c r="F337" s="195"/>
      <c r="G337" s="195"/>
      <c r="H337" s="195"/>
      <c r="I337" s="195"/>
      <c r="J337" s="195" t="str">
        <f>$J$2</f>
        <v>WITNESS RESPONSIBLE:</v>
      </c>
      <c r="K337" s="195"/>
    </row>
    <row r="338" spans="1:11" ht="13">
      <c r="A338" s="341" t="str">
        <f>case_name</f>
        <v>CASE NO: 2021-00190</v>
      </c>
      <c r="C338" s="195"/>
      <c r="D338" s="342"/>
      <c r="E338" s="195"/>
      <c r="F338" s="195"/>
      <c r="G338" s="195"/>
      <c r="H338" s="195"/>
      <c r="I338" s="195"/>
      <c r="J338" s="195" t="str">
        <f>Witness</f>
        <v>JAMES E. ZIOLKOWSKI</v>
      </c>
      <c r="K338" s="195"/>
    </row>
    <row r="339" spans="1:11" ht="13">
      <c r="A339" s="341" t="str">
        <f>data_filing</f>
        <v>DATA: 12 MONTH FORECASTED PERIOD</v>
      </c>
      <c r="C339" s="195"/>
      <c r="D339" s="342"/>
      <c r="E339" s="195"/>
      <c r="F339" s="195"/>
      <c r="G339" s="195"/>
      <c r="H339" s="195"/>
      <c r="I339" s="195"/>
      <c r="J339" s="195" t="str">
        <f>"PAGE "&amp;Pages2-7&amp;" OF "&amp;Pages2</f>
        <v>PAGE 8 OF 15</v>
      </c>
      <c r="K339" s="195"/>
    </row>
    <row r="340" spans="1:11" ht="13">
      <c r="A340" s="341" t="str">
        <f>type</f>
        <v xml:space="preserve">TYPE OF FILING: "X" ORIGINAL   UPDATED    REVISED  </v>
      </c>
      <c r="C340" s="195"/>
      <c r="D340" s="342"/>
      <c r="E340" s="195"/>
      <c r="F340" s="195"/>
      <c r="G340" s="195"/>
      <c r="H340" s="195"/>
      <c r="I340" s="195"/>
      <c r="J340" s="195"/>
      <c r="K340" s="195"/>
    </row>
    <row r="341" spans="1:11" ht="13">
      <c r="B341" s="341"/>
      <c r="C341" s="195"/>
      <c r="D341" s="342"/>
      <c r="E341" s="195"/>
      <c r="F341" s="195"/>
      <c r="G341" s="195"/>
      <c r="H341" s="195"/>
      <c r="I341" s="195"/>
      <c r="J341" s="195"/>
      <c r="K341" s="195"/>
    </row>
    <row r="342" spans="1:11" ht="13">
      <c r="B342" s="341"/>
      <c r="C342" s="195"/>
      <c r="D342" s="342"/>
      <c r="E342" s="195"/>
      <c r="F342" s="195"/>
      <c r="G342" s="195"/>
      <c r="H342" s="195"/>
      <c r="I342" s="195"/>
      <c r="J342" s="195"/>
      <c r="K342" s="195"/>
    </row>
    <row r="343" spans="1:11" ht="13">
      <c r="A343" s="342" t="s">
        <v>907</v>
      </c>
      <c r="B343" s="195"/>
      <c r="C343" s="195"/>
      <c r="D343" s="342"/>
      <c r="E343" s="195"/>
      <c r="F343" s="342" t="s">
        <v>229</v>
      </c>
      <c r="G343" s="539" t="s">
        <v>995</v>
      </c>
      <c r="H343" s="527"/>
      <c r="I343" s="528"/>
      <c r="J343" s="342" t="s">
        <v>229</v>
      </c>
      <c r="K343" s="342" t="s">
        <v>342</v>
      </c>
    </row>
    <row r="344" spans="1:11" ht="13">
      <c r="A344" s="344" t="s">
        <v>908</v>
      </c>
      <c r="B344" s="343" t="s">
        <v>44</v>
      </c>
      <c r="C344" s="343"/>
      <c r="D344" s="344" t="s">
        <v>337</v>
      </c>
      <c r="E344" s="343"/>
      <c r="F344" s="344" t="str">
        <f>$F$9</f>
        <v>RESIDENTIAL</v>
      </c>
      <c r="G344" s="540" t="s">
        <v>840</v>
      </c>
      <c r="H344" s="529" t="s">
        <v>841</v>
      </c>
      <c r="I344" s="530" t="s">
        <v>842</v>
      </c>
      <c r="J344" s="344" t="s">
        <v>341</v>
      </c>
      <c r="K344" s="344" t="s">
        <v>340</v>
      </c>
    </row>
    <row r="345" spans="1:11" ht="13">
      <c r="C345" s="572" t="s">
        <v>348</v>
      </c>
      <c r="D345" s="342"/>
      <c r="E345" s="195"/>
      <c r="G345" s="793">
        <f>$G$10</f>
        <v>3</v>
      </c>
      <c r="H345" s="794">
        <f>$H$10</f>
        <v>4</v>
      </c>
      <c r="I345" s="795">
        <f>$I$10</f>
        <v>5</v>
      </c>
    </row>
    <row r="346" spans="1:11" ht="13">
      <c r="A346" s="331">
        <v>1</v>
      </c>
      <c r="B346" s="330" t="s">
        <v>45</v>
      </c>
      <c r="D346" s="342"/>
      <c r="E346" s="195"/>
      <c r="G346" s="541"/>
      <c r="H346" s="531"/>
      <c r="I346" s="532"/>
    </row>
    <row r="347" spans="1:11" ht="13">
      <c r="A347" s="331">
        <v>2</v>
      </c>
      <c r="B347" s="330" t="s">
        <v>46</v>
      </c>
      <c r="D347" s="342"/>
      <c r="E347" s="195"/>
      <c r="G347" s="541"/>
      <c r="H347" s="531"/>
      <c r="I347" s="532"/>
    </row>
    <row r="348" spans="1:11" ht="13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3">
        <f>'FR-16(7)(v)-8 TOT CLASS Alloc'!G348</f>
        <v>25863586</v>
      </c>
      <c r="G348" s="542">
        <f>'FR-16(7)(v)-5 DISTR Dem Alloc'!G348</f>
        <v>0</v>
      </c>
      <c r="H348" s="533">
        <f>'FR-16(7)(v)-3 PROD Comm Alloc'!G348</f>
        <v>25863586</v>
      </c>
      <c r="I348" s="534">
        <f>'FR-16(7)(v)-6 DISTR Cust Alloc'!G348</f>
        <v>0</v>
      </c>
      <c r="J348" s="345">
        <f>SUM(G348:I348)</f>
        <v>25863586</v>
      </c>
      <c r="K348" s="345">
        <f>F348-J348</f>
        <v>0</v>
      </c>
    </row>
    <row r="349" spans="1:11" ht="13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3">
        <f>'FR-16(7)(v)-8 TOT CLASS Alloc'!G349</f>
        <v>542743</v>
      </c>
      <c r="G349" s="542">
        <f>'FR-16(7)(v)-5 DISTR Dem Alloc'!G349</f>
        <v>0</v>
      </c>
      <c r="H349" s="533">
        <f>'FR-16(7)(v)-3 PROD Comm Alloc'!G349</f>
        <v>542743</v>
      </c>
      <c r="I349" s="534">
        <f>'FR-16(7)(v)-6 DISTR Cust Alloc'!G349</f>
        <v>0</v>
      </c>
      <c r="J349" s="345">
        <f>SUM(G349:I349)</f>
        <v>542743</v>
      </c>
      <c r="K349" s="345">
        <f>F349-J349</f>
        <v>0</v>
      </c>
    </row>
    <row r="350" spans="1:11" ht="13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K350" si="65">SUM(F348:F349)</f>
        <v>26406329</v>
      </c>
      <c r="G350" s="543">
        <f t="shared" si="65"/>
        <v>0</v>
      </c>
      <c r="H350" s="535">
        <f t="shared" si="65"/>
        <v>26406329</v>
      </c>
      <c r="I350" s="536">
        <f t="shared" si="65"/>
        <v>0</v>
      </c>
      <c r="J350" s="346">
        <f t="shared" si="65"/>
        <v>26406329</v>
      </c>
      <c r="K350" s="346">
        <f t="shared" si="65"/>
        <v>0</v>
      </c>
    </row>
    <row r="351" spans="1:11" ht="13">
      <c r="A351" s="331">
        <v>6</v>
      </c>
      <c r="D351" s="342"/>
      <c r="E351" s="195"/>
      <c r="G351" s="541"/>
      <c r="H351" s="531"/>
      <c r="I351" s="532"/>
    </row>
    <row r="352" spans="1:11" ht="13">
      <c r="A352" s="331">
        <v>7</v>
      </c>
      <c r="B352" s="357" t="s">
        <v>47</v>
      </c>
      <c r="C352" s="357"/>
      <c r="D352" s="342"/>
      <c r="E352" s="195"/>
      <c r="F352" s="345"/>
      <c r="G352" s="542"/>
      <c r="H352" s="533"/>
      <c r="I352" s="534"/>
      <c r="J352" s="345"/>
      <c r="K352" s="345"/>
    </row>
    <row r="353" spans="1:11" ht="13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3">
        <f>'FR-16(7)(v)-8 TOT CLASS Alloc'!G353</f>
        <v>0</v>
      </c>
      <c r="G353" s="542">
        <f>'FR-16(7)(v)-5 DISTR Dem Alloc'!G353</f>
        <v>0</v>
      </c>
      <c r="H353" s="533">
        <f>'FR-16(7)(v)-3 PROD Comm Alloc'!G353</f>
        <v>0</v>
      </c>
      <c r="I353" s="534">
        <f>'FR-16(7)(v)-6 DISTR Cust Alloc'!G353</f>
        <v>0</v>
      </c>
      <c r="J353" s="345">
        <f>SUM(G353:I353)</f>
        <v>0</v>
      </c>
      <c r="K353" s="345">
        <f>F353-J353</f>
        <v>0</v>
      </c>
    </row>
    <row r="354" spans="1:11" ht="13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K354" si="66">SUM(F352:F353)</f>
        <v>0</v>
      </c>
      <c r="G354" s="543">
        <f t="shared" si="66"/>
        <v>0</v>
      </c>
      <c r="H354" s="535">
        <f t="shared" si="66"/>
        <v>0</v>
      </c>
      <c r="I354" s="536">
        <f t="shared" si="66"/>
        <v>0</v>
      </c>
      <c r="J354" s="346">
        <f t="shared" si="66"/>
        <v>0</v>
      </c>
      <c r="K354" s="346">
        <f t="shared" si="66"/>
        <v>0</v>
      </c>
    </row>
    <row r="355" spans="1:11" ht="13">
      <c r="A355" s="331">
        <v>10</v>
      </c>
      <c r="D355" s="342"/>
      <c r="E355" s="195"/>
      <c r="G355" s="541"/>
      <c r="H355" s="531"/>
      <c r="I355" s="532"/>
    </row>
    <row r="356" spans="1:11" ht="13">
      <c r="A356" s="331">
        <v>11</v>
      </c>
      <c r="B356" s="330" t="s">
        <v>1000</v>
      </c>
      <c r="D356" s="342"/>
      <c r="E356" s="195"/>
      <c r="G356" s="541"/>
      <c r="H356" s="531"/>
      <c r="I356" s="532"/>
    </row>
    <row r="357" spans="1:11" ht="13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3">
        <f>'FR-16(7)(v)-8 TOT CLASS Alloc'!G357</f>
        <v>0</v>
      </c>
      <c r="G357" s="542">
        <f>'FR-16(7)(v)-5 DISTR Dem Alloc'!G357</f>
        <v>0</v>
      </c>
      <c r="H357" s="533">
        <f>'FR-16(7)(v)-3 PROD Comm Alloc'!G357</f>
        <v>0</v>
      </c>
      <c r="I357" s="534">
        <f>'FR-16(7)(v)-6 DISTR Cust Alloc'!G357</f>
        <v>0</v>
      </c>
      <c r="J357" s="345">
        <f>SUM(G357:I357)</f>
        <v>0</v>
      </c>
      <c r="K357" s="345">
        <f>F357-J357</f>
        <v>0</v>
      </c>
    </row>
    <row r="358" spans="1:11" ht="13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K358" si="67">SUM(F356:F357)</f>
        <v>0</v>
      </c>
      <c r="G358" s="543">
        <f t="shared" si="67"/>
        <v>0</v>
      </c>
      <c r="H358" s="535">
        <f t="shared" si="67"/>
        <v>0</v>
      </c>
      <c r="I358" s="536">
        <f t="shared" si="67"/>
        <v>0</v>
      </c>
      <c r="J358" s="346">
        <f t="shared" si="67"/>
        <v>0</v>
      </c>
      <c r="K358" s="346">
        <f t="shared" si="67"/>
        <v>0</v>
      </c>
    </row>
    <row r="359" spans="1:11" ht="13">
      <c r="A359" s="331">
        <v>14</v>
      </c>
      <c r="D359" s="342"/>
      <c r="E359" s="195"/>
      <c r="F359" s="345"/>
      <c r="G359" s="542"/>
      <c r="H359" s="533"/>
      <c r="I359" s="534"/>
      <c r="J359" s="345"/>
      <c r="K359" s="345"/>
    </row>
    <row r="360" spans="1:11" ht="13">
      <c r="A360" s="331">
        <v>15</v>
      </c>
      <c r="B360" s="330" t="s">
        <v>48</v>
      </c>
      <c r="D360" s="342"/>
      <c r="E360" s="195" t="s">
        <v>343</v>
      </c>
      <c r="F360" s="345">
        <f t="shared" ref="F360:K360" si="68">F358+F354+F350</f>
        <v>26406329</v>
      </c>
      <c r="G360" s="542">
        <f t="shared" si="68"/>
        <v>0</v>
      </c>
      <c r="H360" s="533">
        <f t="shared" si="68"/>
        <v>26406329</v>
      </c>
      <c r="I360" s="534">
        <f t="shared" si="68"/>
        <v>0</v>
      </c>
      <c r="J360" s="345">
        <f t="shared" si="68"/>
        <v>26406329</v>
      </c>
      <c r="K360" s="345">
        <f t="shared" si="68"/>
        <v>0</v>
      </c>
    </row>
    <row r="361" spans="1:11" ht="13">
      <c r="A361" s="331">
        <v>16</v>
      </c>
      <c r="D361" s="342"/>
      <c r="E361" s="195"/>
      <c r="G361" s="541"/>
      <c r="H361" s="531"/>
      <c r="I361" s="532"/>
    </row>
    <row r="362" spans="1:11" ht="13">
      <c r="A362" s="331">
        <v>17</v>
      </c>
      <c r="B362" s="330" t="s">
        <v>49</v>
      </c>
      <c r="D362" s="342"/>
      <c r="E362" s="195"/>
      <c r="G362" s="541"/>
      <c r="H362" s="531"/>
      <c r="I362" s="532"/>
    </row>
    <row r="363" spans="1:11" ht="13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1"/>
      <c r="G363" s="542"/>
      <c r="H363" s="533"/>
      <c r="I363" s="534"/>
      <c r="J363" s="345"/>
      <c r="K363" s="345"/>
    </row>
    <row r="364" spans="1:11" ht="13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K364" si="69">SUM(F363)</f>
        <v>0</v>
      </c>
      <c r="G364" s="543">
        <f t="shared" si="69"/>
        <v>0</v>
      </c>
      <c r="H364" s="535">
        <f t="shared" si="69"/>
        <v>0</v>
      </c>
      <c r="I364" s="536">
        <f t="shared" si="69"/>
        <v>0</v>
      </c>
      <c r="J364" s="346">
        <f t="shared" si="69"/>
        <v>0</v>
      </c>
      <c r="K364" s="346">
        <f t="shared" si="69"/>
        <v>0</v>
      </c>
    </row>
    <row r="365" spans="1:11" ht="13">
      <c r="A365" s="331">
        <v>20</v>
      </c>
      <c r="D365" s="342"/>
      <c r="E365" s="195"/>
      <c r="G365" s="541"/>
      <c r="H365" s="531"/>
      <c r="I365" s="532"/>
    </row>
    <row r="366" spans="1:11" ht="13">
      <c r="A366" s="331">
        <v>21</v>
      </c>
      <c r="B366" s="330" t="s">
        <v>50</v>
      </c>
      <c r="D366" s="342"/>
      <c r="E366" s="195"/>
      <c r="G366" s="541"/>
      <c r="H366" s="531"/>
      <c r="I366" s="532"/>
    </row>
    <row r="367" spans="1:11" ht="13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3">
        <f>'FR-16(7)(v)-8 TOT CLASS Alloc'!G367</f>
        <v>131846</v>
      </c>
      <c r="G367" s="542">
        <f>'FR-16(7)(v)-5 DISTR Dem Alloc'!G367</f>
        <v>131846</v>
      </c>
      <c r="H367" s="533">
        <f>'FR-16(7)(v)-3 PROD Comm Alloc'!G367</f>
        <v>0</v>
      </c>
      <c r="I367" s="534">
        <f>'FR-16(7)(v)-6 DISTR Cust Alloc'!G367</f>
        <v>0</v>
      </c>
      <c r="J367" s="345">
        <f t="shared" ref="J367:J377" si="70">SUM(G367:I367)</f>
        <v>131846</v>
      </c>
      <c r="K367" s="345">
        <f t="shared" ref="K367:K377" si="71">F367-J367</f>
        <v>0</v>
      </c>
    </row>
    <row r="368" spans="1:11" ht="13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3">
        <f>'FR-16(7)(v)-8 TOT CLASS Alloc'!G368</f>
        <v>858912</v>
      </c>
      <c r="G368" s="542">
        <f>'FR-16(7)(v)-5 DISTR Dem Alloc'!G368</f>
        <v>429919</v>
      </c>
      <c r="H368" s="533">
        <f>'FR-16(7)(v)-3 PROD Comm Alloc'!G368</f>
        <v>0</v>
      </c>
      <c r="I368" s="534">
        <f>'FR-16(7)(v)-6 DISTR Cust Alloc'!G368</f>
        <v>428993</v>
      </c>
      <c r="J368" s="345">
        <f t="shared" si="70"/>
        <v>858912</v>
      </c>
      <c r="K368" s="345">
        <f t="shared" si="71"/>
        <v>0</v>
      </c>
    </row>
    <row r="369" spans="1:11" ht="13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3">
        <f>'FR-16(7)(v)-8 TOT CLASS Alloc'!G369</f>
        <v>101552</v>
      </c>
      <c r="G369" s="542">
        <f>'FR-16(7)(v)-5 DISTR Dem Alloc'!G369</f>
        <v>101552</v>
      </c>
      <c r="H369" s="533">
        <f>'FR-16(7)(v)-3 PROD Comm Alloc'!G369</f>
        <v>0</v>
      </c>
      <c r="I369" s="534">
        <f>'FR-16(7)(v)-6 DISTR Cust Alloc'!G369</f>
        <v>0</v>
      </c>
      <c r="J369" s="345">
        <f t="shared" si="70"/>
        <v>101552</v>
      </c>
      <c r="K369" s="345">
        <f t="shared" si="71"/>
        <v>0</v>
      </c>
    </row>
    <row r="370" spans="1:11" ht="13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3">
        <f>'FR-16(7)(v)-8 TOT CLASS Alloc'!G370</f>
        <v>660527</v>
      </c>
      <c r="G370" s="542">
        <f>'FR-16(7)(v)-5 DISTR Dem Alloc'!G370</f>
        <v>660527</v>
      </c>
      <c r="H370" s="533">
        <f>'FR-16(7)(v)-3 PROD Comm Alloc'!G370</f>
        <v>0</v>
      </c>
      <c r="I370" s="534">
        <f>'FR-16(7)(v)-6 DISTR Cust Alloc'!G370</f>
        <v>0</v>
      </c>
      <c r="J370" s="345">
        <f t="shared" si="70"/>
        <v>660527</v>
      </c>
      <c r="K370" s="345">
        <f t="shared" si="71"/>
        <v>0</v>
      </c>
    </row>
    <row r="371" spans="1:11" ht="13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3">
        <f>'FR-16(7)(v)-8 TOT CLASS Alloc'!G371</f>
        <v>485478</v>
      </c>
      <c r="G371" s="542">
        <f>'FR-16(7)(v)-5 DISTR Dem Alloc'!G371</f>
        <v>0</v>
      </c>
      <c r="H371" s="533">
        <f>'FR-16(7)(v)-3 PROD Comm Alloc'!G371</f>
        <v>0</v>
      </c>
      <c r="I371" s="534">
        <f>'FR-16(7)(v)-6 DISTR Cust Alloc'!G371</f>
        <v>485478</v>
      </c>
      <c r="J371" s="345">
        <f t="shared" si="70"/>
        <v>485478</v>
      </c>
      <c r="K371" s="345">
        <f t="shared" si="71"/>
        <v>0</v>
      </c>
    </row>
    <row r="372" spans="1:11" ht="13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3">
        <f>'FR-16(7)(v)-8 TOT CLASS Alloc'!G372</f>
        <v>575994</v>
      </c>
      <c r="G372" s="542">
        <f>'FR-16(7)(v)-5 DISTR Dem Alloc'!G372</f>
        <v>575994</v>
      </c>
      <c r="H372" s="533">
        <f>'FR-16(7)(v)-3 PROD Comm Alloc'!G372</f>
        <v>0</v>
      </c>
      <c r="I372" s="534">
        <f>'FR-16(7)(v)-6 DISTR Cust Alloc'!G372</f>
        <v>0</v>
      </c>
      <c r="J372" s="345">
        <f t="shared" si="70"/>
        <v>575994</v>
      </c>
      <c r="K372" s="345">
        <f t="shared" si="71"/>
        <v>0</v>
      </c>
    </row>
    <row r="373" spans="1:11" ht="13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3">
        <f>'FR-16(7)(v)-8 TOT CLASS Alloc'!G373</f>
        <v>567118</v>
      </c>
      <c r="G373" s="542">
        <f>'FR-16(7)(v)-5 DISTR Dem Alloc'!G373</f>
        <v>0</v>
      </c>
      <c r="H373" s="533">
        <f>'FR-16(7)(v)-3 PROD Comm Alloc'!G373</f>
        <v>0</v>
      </c>
      <c r="I373" s="534">
        <f>'FR-16(7)(v)-6 DISTR Cust Alloc'!G373</f>
        <v>567118</v>
      </c>
      <c r="J373" s="345">
        <f t="shared" si="70"/>
        <v>567118</v>
      </c>
      <c r="K373" s="345">
        <f t="shared" si="71"/>
        <v>0</v>
      </c>
    </row>
    <row r="374" spans="1:11" ht="13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3">
        <f>'FR-16(7)(v)-8 TOT CLASS Alloc'!G374</f>
        <v>0</v>
      </c>
      <c r="G374" s="542">
        <f>'FR-16(7)(v)-5 DISTR Dem Alloc'!G374</f>
        <v>0</v>
      </c>
      <c r="H374" s="533">
        <f>'FR-16(7)(v)-3 PROD Comm Alloc'!G374</f>
        <v>0</v>
      </c>
      <c r="I374" s="534">
        <f>'FR-16(7)(v)-6 DISTR Cust Alloc'!G374</f>
        <v>0</v>
      </c>
      <c r="J374" s="345">
        <f t="shared" si="70"/>
        <v>0</v>
      </c>
      <c r="K374" s="345">
        <f t="shared" si="71"/>
        <v>0</v>
      </c>
    </row>
    <row r="375" spans="1:11" ht="13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3">
        <f>'FR-16(7)(v)-8 TOT CLASS Alloc'!G375</f>
        <v>0</v>
      </c>
      <c r="G375" s="542">
        <f>'FR-16(7)(v)-5 DISTR Dem Alloc'!G375</f>
        <v>0</v>
      </c>
      <c r="H375" s="533">
        <f>'FR-16(7)(v)-3 PROD Comm Alloc'!G375</f>
        <v>0</v>
      </c>
      <c r="I375" s="534">
        <f>'FR-16(7)(v)-6 DISTR Cust Alloc'!G375</f>
        <v>0</v>
      </c>
      <c r="J375" s="345">
        <f t="shared" si="70"/>
        <v>0</v>
      </c>
      <c r="K375" s="345">
        <f t="shared" si="71"/>
        <v>0</v>
      </c>
    </row>
    <row r="376" spans="1:11" ht="13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3">
        <f>'FR-16(7)(v)-8 TOT CLASS Alloc'!G376</f>
        <v>0</v>
      </c>
      <c r="G376" s="542">
        <f>'FR-16(7)(v)-5 DISTR Dem Alloc'!G376</f>
        <v>0</v>
      </c>
      <c r="H376" s="533">
        <f>'FR-16(7)(v)-3 PROD Comm Alloc'!G376</f>
        <v>0</v>
      </c>
      <c r="I376" s="534">
        <f>'FR-16(7)(v)-6 DISTR Cust Alloc'!G376</f>
        <v>0</v>
      </c>
      <c r="J376" s="345">
        <f t="shared" si="70"/>
        <v>0</v>
      </c>
      <c r="K376" s="345">
        <f t="shared" si="71"/>
        <v>0</v>
      </c>
    </row>
    <row r="377" spans="1:11" ht="13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3">
        <f>'FR-16(7)(v)-8 TOT CLASS Alloc'!G377</f>
        <v>1464852</v>
      </c>
      <c r="G377" s="542">
        <f>'FR-16(7)(v)-5 DISTR Dem Alloc'!G377</f>
        <v>1464852</v>
      </c>
      <c r="H377" s="533">
        <f>'FR-16(7)(v)-3 PROD Comm Alloc'!G377</f>
        <v>0</v>
      </c>
      <c r="I377" s="534">
        <f>'FR-16(7)(v)-6 DISTR Cust Alloc'!G377</f>
        <v>0</v>
      </c>
      <c r="J377" s="345">
        <f t="shared" si="70"/>
        <v>1464852</v>
      </c>
      <c r="K377" s="345">
        <f t="shared" si="71"/>
        <v>0</v>
      </c>
    </row>
    <row r="378" spans="1:11" ht="13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K378" si="72">SUM(F366:F377)</f>
        <v>4846279</v>
      </c>
      <c r="G378" s="543">
        <f t="shared" si="72"/>
        <v>3364690</v>
      </c>
      <c r="H378" s="535">
        <f t="shared" si="72"/>
        <v>0</v>
      </c>
      <c r="I378" s="536">
        <f t="shared" si="72"/>
        <v>1481589</v>
      </c>
      <c r="J378" s="346">
        <f t="shared" si="72"/>
        <v>4846279</v>
      </c>
      <c r="K378" s="346">
        <f t="shared" si="72"/>
        <v>0</v>
      </c>
    </row>
    <row r="379" spans="1:11" ht="13">
      <c r="A379" s="331">
        <v>34</v>
      </c>
      <c r="C379" s="330" t="s">
        <v>343</v>
      </c>
      <c r="D379" s="342"/>
      <c r="E379" s="195"/>
      <c r="G379" s="541"/>
      <c r="H379" s="531"/>
      <c r="I379" s="532"/>
    </row>
    <row r="380" spans="1:11" ht="13">
      <c r="A380" s="331">
        <v>35</v>
      </c>
      <c r="B380" s="330" t="s">
        <v>51</v>
      </c>
      <c r="D380" s="342"/>
      <c r="E380" s="195"/>
      <c r="F380" s="330" t="s">
        <v>343</v>
      </c>
      <c r="G380" s="541"/>
      <c r="H380" s="531"/>
      <c r="I380" s="532"/>
    </row>
    <row r="381" spans="1:11" ht="13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3">
        <f>'FR-16(7)(v)-8 TOT CLASS Alloc'!G381</f>
        <v>173125</v>
      </c>
      <c r="G381" s="542">
        <f>'FR-16(7)(v)-5 DISTR Dem Alloc'!G381</f>
        <v>0</v>
      </c>
      <c r="H381" s="533">
        <f>'FR-16(7)(v)-3 PROD Comm Alloc'!G381</f>
        <v>0</v>
      </c>
      <c r="I381" s="534">
        <f>'FR-16(7)(v)-6 DISTR Cust Alloc'!G381</f>
        <v>173125</v>
      </c>
      <c r="J381" s="345">
        <f t="shared" ref="J381:J388" si="73">SUM(G381:I381)</f>
        <v>173125</v>
      </c>
      <c r="K381" s="345">
        <f t="shared" ref="K381:K388" si="74">F381-J381</f>
        <v>0</v>
      </c>
    </row>
    <row r="382" spans="1:11" ht="13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3">
        <f>'FR-16(7)(v)-8 TOT CLASS Alloc'!G382</f>
        <v>877</v>
      </c>
      <c r="G382" s="542">
        <f>'FR-16(7)(v)-5 DISTR Dem Alloc'!G382</f>
        <v>0</v>
      </c>
      <c r="H382" s="533">
        <f>'FR-16(7)(v)-3 PROD Comm Alloc'!G382</f>
        <v>0</v>
      </c>
      <c r="I382" s="534">
        <f>'FR-16(7)(v)-6 DISTR Cust Alloc'!G382</f>
        <v>877</v>
      </c>
      <c r="J382" s="345">
        <f t="shared" si="73"/>
        <v>877</v>
      </c>
      <c r="K382" s="345">
        <f t="shared" si="74"/>
        <v>0</v>
      </c>
    </row>
    <row r="383" spans="1:11" ht="13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3">
        <f>'FR-16(7)(v)-8 TOT CLASS Alloc'!G383</f>
        <v>3924983</v>
      </c>
      <c r="G383" s="542">
        <f>'FR-16(7)(v)-5 DISTR Dem Alloc'!G383</f>
        <v>0</v>
      </c>
      <c r="H383" s="533">
        <f>'FR-16(7)(v)-3 PROD Comm Alloc'!G383</f>
        <v>0</v>
      </c>
      <c r="I383" s="534">
        <f>'FR-16(7)(v)-6 DISTR Cust Alloc'!G383</f>
        <v>3924983</v>
      </c>
      <c r="J383" s="345">
        <f t="shared" si="73"/>
        <v>3924983</v>
      </c>
      <c r="K383" s="345">
        <f t="shared" si="74"/>
        <v>0</v>
      </c>
    </row>
    <row r="384" spans="1:11" ht="13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3">
        <f>'FR-16(7)(v)-8 TOT CLASS Alloc'!G384</f>
        <v>-1133078</v>
      </c>
      <c r="G384" s="542">
        <f>'FR-16(7)(v)-5 DISTR Dem Alloc'!G384</f>
        <v>0</v>
      </c>
      <c r="H384" s="533">
        <f>'FR-16(7)(v)-3 PROD Comm Alloc'!G384</f>
        <v>0</v>
      </c>
      <c r="I384" s="534">
        <f>'FR-16(7)(v)-6 DISTR Cust Alloc'!G384</f>
        <v>-1133078</v>
      </c>
      <c r="J384" s="345">
        <f t="shared" si="73"/>
        <v>-1133078</v>
      </c>
      <c r="K384" s="345">
        <f t="shared" si="74"/>
        <v>0</v>
      </c>
    </row>
    <row r="385" spans="1:11" ht="13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3">
        <f>'FR-16(7)(v)-8 TOT CLASS Alloc'!G385</f>
        <v>-26999</v>
      </c>
      <c r="G385" s="542">
        <f>'FR-16(7)(v)-5 DISTR Dem Alloc'!G385</f>
        <v>0</v>
      </c>
      <c r="H385" s="533">
        <f>'FR-16(7)(v)-3 PROD Comm Alloc'!G385</f>
        <v>0</v>
      </c>
      <c r="I385" s="534">
        <f>'FR-16(7)(v)-6 DISTR Cust Alloc'!G385</f>
        <v>-26999</v>
      </c>
      <c r="J385" s="345">
        <f t="shared" si="73"/>
        <v>-26999</v>
      </c>
      <c r="K385" s="345">
        <f t="shared" si="74"/>
        <v>0</v>
      </c>
    </row>
    <row r="386" spans="1:11" ht="13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3">
        <f>'FR-16(7)(v)-8 TOT CLASS Alloc'!G386</f>
        <v>1082046</v>
      </c>
      <c r="G386" s="542">
        <f>'FR-16(7)(v)-5 DISTR Dem Alloc'!G386</f>
        <v>0</v>
      </c>
      <c r="H386" s="533">
        <f>'FR-16(7)(v)-3 PROD Comm Alloc'!G386</f>
        <v>0</v>
      </c>
      <c r="I386" s="534">
        <f>'FR-16(7)(v)-6 DISTR Cust Alloc'!G386</f>
        <v>1082046</v>
      </c>
      <c r="J386" s="345">
        <f t="shared" si="73"/>
        <v>1082046</v>
      </c>
      <c r="K386" s="345">
        <f t="shared" si="74"/>
        <v>0</v>
      </c>
    </row>
    <row r="387" spans="1:11" ht="13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3">
        <f>'FR-16(7)(v)-8 TOT CLASS Alloc'!G387</f>
        <v>0</v>
      </c>
      <c r="G387" s="542">
        <f>'FR-16(7)(v)-5 DISTR Dem Alloc'!G387</f>
        <v>0</v>
      </c>
      <c r="H387" s="533">
        <f>'FR-16(7)(v)-3 PROD Comm Alloc'!G387</f>
        <v>0</v>
      </c>
      <c r="I387" s="534">
        <f>'FR-16(7)(v)-6 DISTR Cust Alloc'!G387</f>
        <v>0</v>
      </c>
      <c r="J387" s="345">
        <f t="shared" si="73"/>
        <v>0</v>
      </c>
      <c r="K387" s="345">
        <f t="shared" si="74"/>
        <v>0</v>
      </c>
    </row>
    <row r="388" spans="1:11" ht="13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3">
        <f>'FR-16(7)(v)-8 TOT CLASS Alloc'!G388</f>
        <v>0</v>
      </c>
      <c r="G388" s="542">
        <f>'FR-16(7)(v)-5 DISTR Dem Alloc'!G388</f>
        <v>0</v>
      </c>
      <c r="H388" s="533">
        <f>'FR-16(7)(v)-3 PROD Comm Alloc'!G388</f>
        <v>0</v>
      </c>
      <c r="I388" s="534">
        <f>'FR-16(7)(v)-6 DISTR Cust Alloc'!G388</f>
        <v>0</v>
      </c>
      <c r="J388" s="345">
        <f t="shared" si="73"/>
        <v>0</v>
      </c>
      <c r="K388" s="345">
        <f t="shared" si="74"/>
        <v>0</v>
      </c>
    </row>
    <row r="389" spans="1:11" ht="13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K389" si="75">SUM(F380:F388)</f>
        <v>4020954</v>
      </c>
      <c r="G389" s="551">
        <f t="shared" si="75"/>
        <v>0</v>
      </c>
      <c r="H389" s="552">
        <f t="shared" si="75"/>
        <v>0</v>
      </c>
      <c r="I389" s="553">
        <f t="shared" si="75"/>
        <v>4020954</v>
      </c>
      <c r="J389" s="346">
        <f t="shared" si="75"/>
        <v>4020954</v>
      </c>
      <c r="K389" s="346">
        <f t="shared" si="75"/>
        <v>0</v>
      </c>
    </row>
    <row r="390" spans="1:11" ht="13">
      <c r="B390" s="341"/>
      <c r="C390" s="195"/>
      <c r="D390" s="342"/>
      <c r="E390" s="195"/>
      <c r="F390" s="195"/>
      <c r="G390" s="195"/>
      <c r="H390" s="195"/>
      <c r="I390" s="195"/>
      <c r="J390" s="195"/>
      <c r="K390" s="195"/>
    </row>
    <row r="391" spans="1:11" ht="13">
      <c r="A391" s="341" t="str">
        <f>co_name</f>
        <v>DUKE ENERGY KENTUCKY, INC.</v>
      </c>
      <c r="C391" s="195"/>
      <c r="D391" s="342"/>
      <c r="E391" s="195"/>
      <c r="F391" s="195"/>
      <c r="G391" s="195"/>
      <c r="H391" s="195"/>
      <c r="I391" s="195"/>
      <c r="J391" s="195" t="str">
        <f>$J$1</f>
        <v>FR-16(7)(v)-9</v>
      </c>
      <c r="K391" s="195"/>
    </row>
    <row r="392" spans="1:11" ht="13">
      <c r="A392" s="341" t="str">
        <f>$A$2</f>
        <v>RESIDENTIAL CLASSIFIED - GAS COST OF SERVICE</v>
      </c>
      <c r="C392" s="195"/>
      <c r="D392" s="342"/>
      <c r="E392" s="195"/>
      <c r="F392" s="195"/>
      <c r="G392" s="195"/>
      <c r="H392" s="195"/>
      <c r="I392" s="195"/>
      <c r="J392" s="195" t="str">
        <f>$J$2</f>
        <v>WITNESS RESPONSIBLE:</v>
      </c>
      <c r="K392" s="195"/>
    </row>
    <row r="393" spans="1:11" ht="13">
      <c r="A393" s="341" t="str">
        <f>case_name</f>
        <v>CASE NO: 2021-00190</v>
      </c>
      <c r="C393" s="195"/>
      <c r="D393" s="342"/>
      <c r="E393" s="195"/>
      <c r="F393" s="195"/>
      <c r="G393" s="195"/>
      <c r="H393" s="195"/>
      <c r="I393" s="195"/>
      <c r="J393" s="195" t="str">
        <f>Witness</f>
        <v>JAMES E. ZIOLKOWSKI</v>
      </c>
      <c r="K393" s="195"/>
    </row>
    <row r="394" spans="1:11" ht="13">
      <c r="A394" s="341" t="str">
        <f>data_filing</f>
        <v>DATA: 12 MONTH FORECASTED PERIOD</v>
      </c>
      <c r="C394" s="195"/>
      <c r="D394" s="342"/>
      <c r="E394" s="195"/>
      <c r="F394" s="195"/>
      <c r="G394" s="195"/>
      <c r="H394" s="195"/>
      <c r="I394" s="195"/>
      <c r="J394" s="195" t="str">
        <f>"PAGE "&amp;Pages2-6&amp;" OF "&amp;Pages2</f>
        <v>PAGE 9 OF 15</v>
      </c>
      <c r="K394" s="195"/>
    </row>
    <row r="395" spans="1:11" ht="13">
      <c r="A395" s="341" t="str">
        <f>type</f>
        <v xml:space="preserve">TYPE OF FILING: "X" ORIGINAL   UPDATED    REVISED  </v>
      </c>
      <c r="C395" s="195"/>
      <c r="D395" s="342"/>
      <c r="E395" s="195"/>
      <c r="F395" s="195"/>
      <c r="G395" s="195"/>
      <c r="H395" s="195"/>
      <c r="I395" s="195"/>
      <c r="J395" s="195"/>
      <c r="K395" s="195"/>
    </row>
    <row r="396" spans="1:11" ht="13">
      <c r="B396" s="341"/>
      <c r="C396" s="195"/>
      <c r="D396" s="342"/>
      <c r="E396" s="195"/>
      <c r="F396" s="195"/>
      <c r="G396" s="195"/>
      <c r="H396" s="195"/>
      <c r="I396" s="195"/>
      <c r="J396" s="195"/>
      <c r="K396" s="195"/>
    </row>
    <row r="397" spans="1:11" ht="13">
      <c r="B397" s="341"/>
      <c r="C397" s="195"/>
      <c r="D397" s="342"/>
      <c r="E397" s="195"/>
      <c r="F397" s="195"/>
      <c r="G397" s="195"/>
      <c r="H397" s="195"/>
      <c r="I397" s="195"/>
      <c r="J397" s="195"/>
      <c r="K397" s="195"/>
    </row>
    <row r="398" spans="1:11" ht="13">
      <c r="A398" s="342" t="s">
        <v>907</v>
      </c>
      <c r="B398" s="195"/>
      <c r="C398" s="195"/>
      <c r="D398" s="342"/>
      <c r="E398" s="195"/>
      <c r="F398" s="342" t="s">
        <v>229</v>
      </c>
      <c r="G398" s="539" t="s">
        <v>995</v>
      </c>
      <c r="H398" s="527"/>
      <c r="I398" s="528"/>
      <c r="J398" s="342" t="s">
        <v>229</v>
      </c>
      <c r="K398" s="342" t="s">
        <v>342</v>
      </c>
    </row>
    <row r="399" spans="1:11" ht="13">
      <c r="A399" s="344" t="s">
        <v>908</v>
      </c>
      <c r="B399" s="343" t="s">
        <v>44</v>
      </c>
      <c r="C399" s="343"/>
      <c r="D399" s="344" t="s">
        <v>337</v>
      </c>
      <c r="E399" s="343"/>
      <c r="F399" s="344" t="str">
        <f>$F$9</f>
        <v>RESIDENTIAL</v>
      </c>
      <c r="G399" s="540" t="s">
        <v>840</v>
      </c>
      <c r="H399" s="529" t="s">
        <v>841</v>
      </c>
      <c r="I399" s="530" t="s">
        <v>842</v>
      </c>
      <c r="J399" s="344" t="s">
        <v>341</v>
      </c>
      <c r="K399" s="344" t="s">
        <v>340</v>
      </c>
    </row>
    <row r="400" spans="1:11" ht="13">
      <c r="C400" s="572" t="s">
        <v>557</v>
      </c>
      <c r="D400" s="342"/>
      <c r="E400" s="195"/>
      <c r="G400" s="793">
        <f>$G$10</f>
        <v>3</v>
      </c>
      <c r="H400" s="794">
        <f>$H$10</f>
        <v>4</v>
      </c>
      <c r="I400" s="795">
        <f>$I$10</f>
        <v>5</v>
      </c>
    </row>
    <row r="401" spans="1:11" ht="13">
      <c r="A401" s="331">
        <v>1</v>
      </c>
      <c r="B401" s="330" t="s">
        <v>52</v>
      </c>
      <c r="D401" s="342"/>
      <c r="E401" s="195"/>
      <c r="G401" s="541"/>
      <c r="H401" s="531"/>
      <c r="I401" s="532"/>
    </row>
    <row r="402" spans="1:11" ht="13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3">
        <f>'FR-16(7)(v)-8 TOT CLASS Alloc'!G402</f>
        <v>359189</v>
      </c>
      <c r="G402" s="542">
        <f>'FR-16(7)(v)-5 DISTR Dem Alloc'!G402</f>
        <v>0</v>
      </c>
      <c r="H402" s="533">
        <f>'FR-16(7)(v)-3 PROD Comm Alloc'!G402</f>
        <v>0</v>
      </c>
      <c r="I402" s="534">
        <f>'FR-16(7)(v)-6 DISTR Cust Alloc'!G402</f>
        <v>359189</v>
      </c>
      <c r="J402" s="345">
        <f>SUM(G402:I402)</f>
        <v>359189</v>
      </c>
      <c r="K402" s="345">
        <f>F402-J402</f>
        <v>0</v>
      </c>
    </row>
    <row r="403" spans="1:11" ht="13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K403" si="76">SUM(F402:F402)</f>
        <v>359189</v>
      </c>
      <c r="G403" s="543">
        <f t="shared" si="76"/>
        <v>0</v>
      </c>
      <c r="H403" s="535">
        <f t="shared" si="76"/>
        <v>0</v>
      </c>
      <c r="I403" s="536">
        <f t="shared" si="76"/>
        <v>359189</v>
      </c>
      <c r="J403" s="346">
        <f t="shared" si="76"/>
        <v>359189</v>
      </c>
      <c r="K403" s="346">
        <f t="shared" si="76"/>
        <v>0</v>
      </c>
    </row>
    <row r="404" spans="1:11" ht="13">
      <c r="A404" s="331">
        <v>4</v>
      </c>
      <c r="D404" s="342"/>
      <c r="E404" s="195"/>
      <c r="F404" s="345"/>
      <c r="G404" s="542"/>
      <c r="H404" s="533"/>
      <c r="I404" s="534"/>
      <c r="J404" s="345"/>
      <c r="K404" s="345"/>
    </row>
    <row r="405" spans="1:11" ht="13">
      <c r="A405" s="331">
        <v>5</v>
      </c>
      <c r="B405" s="330" t="s">
        <v>53</v>
      </c>
      <c r="D405" s="342"/>
      <c r="E405" s="195"/>
      <c r="F405" s="345"/>
      <c r="G405" s="542"/>
      <c r="H405" s="533"/>
      <c r="I405" s="534"/>
      <c r="J405" s="345"/>
      <c r="K405" s="345"/>
    </row>
    <row r="406" spans="1:11" ht="13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3">
        <f>'FR-16(7)(v)-8 TOT CLASS Alloc'!G406</f>
        <v>368850</v>
      </c>
      <c r="G406" s="542">
        <f>'FR-16(7)(v)-5 DISTR Dem Alloc'!G406</f>
        <v>0</v>
      </c>
      <c r="H406" s="533">
        <f>'FR-16(7)(v)-3 PROD Comm Alloc'!G406</f>
        <v>0</v>
      </c>
      <c r="I406" s="534">
        <f>'FR-16(7)(v)-6 DISTR Cust Alloc'!G406</f>
        <v>368850</v>
      </c>
      <c r="J406" s="345">
        <f>SUM(G406:I406)</f>
        <v>368850</v>
      </c>
      <c r="K406" s="345">
        <f>F406-J406</f>
        <v>0</v>
      </c>
    </row>
    <row r="407" spans="1:11" ht="13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K407" si="77">SUM(F405:F406)</f>
        <v>368850</v>
      </c>
      <c r="G407" s="543">
        <f t="shared" si="77"/>
        <v>0</v>
      </c>
      <c r="H407" s="535">
        <f t="shared" si="77"/>
        <v>0</v>
      </c>
      <c r="I407" s="536">
        <f t="shared" si="77"/>
        <v>368850</v>
      </c>
      <c r="J407" s="346">
        <f t="shared" si="77"/>
        <v>368850</v>
      </c>
      <c r="K407" s="346">
        <f t="shared" si="77"/>
        <v>0</v>
      </c>
    </row>
    <row r="408" spans="1:11" ht="13">
      <c r="A408" s="331">
        <v>8</v>
      </c>
      <c r="D408" s="342"/>
      <c r="E408" s="195"/>
      <c r="G408" s="541"/>
      <c r="H408" s="531"/>
      <c r="I408" s="532"/>
    </row>
    <row r="409" spans="1:11" ht="13">
      <c r="A409" s="331">
        <v>9</v>
      </c>
      <c r="B409" s="330" t="s">
        <v>54</v>
      </c>
      <c r="D409" s="342"/>
      <c r="E409" s="195"/>
      <c r="G409" s="541"/>
      <c r="H409" s="531"/>
      <c r="I409" s="532"/>
    </row>
    <row r="410" spans="1:11" ht="13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3">
        <f>'FR-16(7)(v)-8 TOT CLASS Alloc'!G410</f>
        <v>411311</v>
      </c>
      <c r="G410" s="542">
        <f>'FR-16(7)(v)-5 DISTR Dem Alloc'!G410</f>
        <v>0</v>
      </c>
      <c r="H410" s="533">
        <f>'FR-16(7)(v)-3 PROD Comm Alloc'!G410</f>
        <v>411311</v>
      </c>
      <c r="I410" s="534">
        <f>'FR-16(7)(v)-6 DISTR Cust Alloc'!G410</f>
        <v>0</v>
      </c>
      <c r="J410" s="345">
        <f t="shared" ref="J410:J415" si="78">SUM(G410:I410)</f>
        <v>411311</v>
      </c>
      <c r="K410" s="345">
        <f t="shared" ref="K410:K415" si="79">F410-J410</f>
        <v>0</v>
      </c>
    </row>
    <row r="411" spans="1:11" ht="13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3">
        <f>'FR-16(7)(v)-8 TOT CLASS Alloc'!G411</f>
        <v>305817</v>
      </c>
      <c r="G411" s="542">
        <f>'FR-16(7)(v)-5 DISTR Dem Alloc'!G411</f>
        <v>0</v>
      </c>
      <c r="H411" s="533">
        <f>'FR-16(7)(v)-3 PROD Comm Alloc'!G411</f>
        <v>305817</v>
      </c>
      <c r="I411" s="534">
        <f>'FR-16(7)(v)-6 DISTR Cust Alloc'!G411</f>
        <v>0</v>
      </c>
      <c r="J411" s="345">
        <f t="shared" si="78"/>
        <v>305817</v>
      </c>
      <c r="K411" s="345">
        <f t="shared" si="79"/>
        <v>0</v>
      </c>
    </row>
    <row r="412" spans="1:11" ht="13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3">
        <f>'FR-16(7)(v)-8 TOT CLASS Alloc'!G412</f>
        <v>2528567</v>
      </c>
      <c r="G412" s="542">
        <f>'FR-16(7)(v)-5 DISTR Dem Alloc'!G412</f>
        <v>1755550</v>
      </c>
      <c r="H412" s="533">
        <f>'FR-16(7)(v)-3 PROD Comm Alloc'!G412</f>
        <v>0</v>
      </c>
      <c r="I412" s="534">
        <f>'FR-16(7)(v)-6 DISTR Cust Alloc'!G412</f>
        <v>773017</v>
      </c>
      <c r="J412" s="345">
        <f t="shared" si="78"/>
        <v>2528567</v>
      </c>
      <c r="K412" s="345">
        <f t="shared" si="79"/>
        <v>0</v>
      </c>
    </row>
    <row r="413" spans="1:11" ht="13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3">
        <f>'FR-16(7)(v)-8 TOT CLASS Alloc'!G413</f>
        <v>1585136</v>
      </c>
      <c r="G413" s="542">
        <f>'FR-16(7)(v)-5 DISTR Dem Alloc'!G413</f>
        <v>0</v>
      </c>
      <c r="H413" s="533">
        <f>'FR-16(7)(v)-3 PROD Comm Alloc'!G413</f>
        <v>0</v>
      </c>
      <c r="I413" s="534">
        <f>'FR-16(7)(v)-6 DISTR Cust Alloc'!G413</f>
        <v>1585136</v>
      </c>
      <c r="J413" s="345">
        <f t="shared" si="78"/>
        <v>1585136</v>
      </c>
      <c r="K413" s="345">
        <f t="shared" si="79"/>
        <v>0</v>
      </c>
    </row>
    <row r="414" spans="1:11" ht="13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3">
        <f>'FR-16(7)(v)-8 TOT CLASS Alloc'!G414</f>
        <v>153456</v>
      </c>
      <c r="G414" s="542">
        <f>'FR-16(7)(v)-5 DISTR Dem Alloc'!G414</f>
        <v>0</v>
      </c>
      <c r="H414" s="533">
        <f>'FR-16(7)(v)-3 PROD Comm Alloc'!G414</f>
        <v>0</v>
      </c>
      <c r="I414" s="534">
        <f>'FR-16(7)(v)-6 DISTR Cust Alloc'!G414</f>
        <v>153456</v>
      </c>
      <c r="J414" s="345">
        <f t="shared" si="78"/>
        <v>153456</v>
      </c>
      <c r="K414" s="345">
        <f t="shared" si="79"/>
        <v>0</v>
      </c>
    </row>
    <row r="415" spans="1:11" ht="13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3">
        <f>'FR-16(7)(v)-8 TOT CLASS Alloc'!G415</f>
        <v>0</v>
      </c>
      <c r="G415" s="542">
        <f>'FR-16(7)(v)-5 DISTR Dem Alloc'!G415</f>
        <v>0</v>
      </c>
      <c r="H415" s="533">
        <f>'FR-16(7)(v)-3 PROD Comm Alloc'!G415</f>
        <v>0</v>
      </c>
      <c r="I415" s="534">
        <f>'FR-16(7)(v)-6 DISTR Cust Alloc'!G415</f>
        <v>0</v>
      </c>
      <c r="J415" s="345">
        <f t="shared" si="78"/>
        <v>0</v>
      </c>
      <c r="K415" s="496">
        <f t="shared" si="79"/>
        <v>0</v>
      </c>
    </row>
    <row r="416" spans="1:11" ht="13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7">
        <f t="shared" ref="F416:K416" si="80">SUM(F410:F415)</f>
        <v>4984287</v>
      </c>
      <c r="G416" s="557">
        <f t="shared" si="80"/>
        <v>1755550</v>
      </c>
      <c r="H416" s="558">
        <f t="shared" si="80"/>
        <v>717128</v>
      </c>
      <c r="I416" s="559">
        <f t="shared" si="80"/>
        <v>2511609</v>
      </c>
      <c r="J416" s="1018">
        <f t="shared" si="80"/>
        <v>4984287</v>
      </c>
      <c r="K416" s="471">
        <f t="shared" si="80"/>
        <v>0</v>
      </c>
    </row>
    <row r="417" spans="1:11" ht="13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3">
        <f>'FR-16(7)(v)-8 TOT CLASS Alloc'!G417</f>
        <v>47844</v>
      </c>
      <c r="G417" s="542">
        <f>'FR-16(7)(v)-5 DISTR Dem Alloc'!G417</f>
        <v>16851</v>
      </c>
      <c r="H417" s="533">
        <f>'FR-16(7)(v)-3 PROD Comm Alloc'!G417</f>
        <v>6884</v>
      </c>
      <c r="I417" s="534">
        <f>'FR-16(7)(v)-6 DISTR Cust Alloc'!G417</f>
        <v>24109</v>
      </c>
      <c r="J417" s="345">
        <f t="shared" ref="J417:J430" si="81">SUM(G417:I417)</f>
        <v>47844</v>
      </c>
      <c r="K417" s="345">
        <f t="shared" ref="K417:K430" si="82">F417-J417</f>
        <v>0</v>
      </c>
    </row>
    <row r="418" spans="1:11" ht="13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3">
        <f>'FR-16(7)(v)-8 TOT CLASS Alloc'!G418</f>
        <v>-394809</v>
      </c>
      <c r="G418" s="542">
        <f>'FR-16(7)(v)-5 DISTR Dem Alloc'!G418</f>
        <v>-139059</v>
      </c>
      <c r="H418" s="533">
        <f>'FR-16(7)(v)-3 PROD Comm Alloc'!G418</f>
        <v>-56803</v>
      </c>
      <c r="I418" s="534">
        <f>'FR-16(7)(v)-6 DISTR Cust Alloc'!G418</f>
        <v>-198947</v>
      </c>
      <c r="J418" s="345">
        <f t="shared" si="81"/>
        <v>-394809</v>
      </c>
      <c r="K418" s="345">
        <f t="shared" si="82"/>
        <v>0</v>
      </c>
    </row>
    <row r="419" spans="1:11" ht="13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3">
        <f>'FR-16(7)(v)-8 TOT CLASS Alloc'!G419</f>
        <v>-136768</v>
      </c>
      <c r="G419" s="542">
        <f>'FR-16(7)(v)-5 DISTR Dem Alloc'!G419</f>
        <v>-48172</v>
      </c>
      <c r="H419" s="533">
        <f>'FR-16(7)(v)-3 PROD Comm Alloc'!G419</f>
        <v>-19678</v>
      </c>
      <c r="I419" s="534">
        <f>'FR-16(7)(v)-6 DISTR Cust Alloc'!G419</f>
        <v>-68918</v>
      </c>
      <c r="J419" s="345">
        <f t="shared" si="81"/>
        <v>-136768</v>
      </c>
      <c r="K419" s="345">
        <f t="shared" si="82"/>
        <v>0</v>
      </c>
    </row>
    <row r="420" spans="1:11" ht="13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3">
        <f>'FR-16(7)(v)-8 TOT CLASS Alloc'!G420</f>
        <v>0</v>
      </c>
      <c r="G420" s="542">
        <f>'FR-16(7)(v)-5 DISTR Dem Alloc'!G420</f>
        <v>0</v>
      </c>
      <c r="H420" s="533">
        <f>'FR-16(7)(v)-3 PROD Comm Alloc'!G420</f>
        <v>0</v>
      </c>
      <c r="I420" s="534">
        <f>'FR-16(7)(v)-6 DISTR Cust Alloc'!G420</f>
        <v>0</v>
      </c>
      <c r="J420" s="345">
        <f t="shared" si="81"/>
        <v>0</v>
      </c>
      <c r="K420" s="345">
        <f t="shared" si="82"/>
        <v>0</v>
      </c>
    </row>
    <row r="421" spans="1:11" ht="13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3">
        <f>'FR-16(7)(v)-8 TOT CLASS Alloc'!G421</f>
        <v>275967</v>
      </c>
      <c r="G421" s="542">
        <f>'FR-16(7)(v)-5 DISTR Dem Alloc'!G421</f>
        <v>97200</v>
      </c>
      <c r="H421" s="533">
        <f>'FR-16(7)(v)-3 PROD Comm Alloc'!G421</f>
        <v>39705</v>
      </c>
      <c r="I421" s="534">
        <f>'FR-16(7)(v)-6 DISTR Cust Alloc'!G421</f>
        <v>139062</v>
      </c>
      <c r="J421" s="345">
        <f t="shared" si="81"/>
        <v>275967</v>
      </c>
      <c r="K421" s="345">
        <f t="shared" si="82"/>
        <v>0</v>
      </c>
    </row>
    <row r="422" spans="1:11" ht="13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3">
        <f>'FR-16(7)(v)-8 TOT CLASS Alloc'!G422</f>
        <v>0</v>
      </c>
      <c r="G422" s="542">
        <f>'FR-16(7)(v)-5 DISTR Dem Alloc'!G422</f>
        <v>0</v>
      </c>
      <c r="H422" s="533">
        <f>'FR-16(7)(v)-3 PROD Comm Alloc'!G422</f>
        <v>0</v>
      </c>
      <c r="I422" s="534">
        <f>'FR-16(7)(v)-6 DISTR Cust Alloc'!G422</f>
        <v>0</v>
      </c>
      <c r="J422" s="345">
        <f t="shared" si="81"/>
        <v>0</v>
      </c>
      <c r="K422" s="345">
        <f t="shared" si="82"/>
        <v>0</v>
      </c>
    </row>
    <row r="423" spans="1:11" ht="13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3">
        <f>'FR-16(7)(v)-8 TOT CLASS Alloc'!G423</f>
        <v>0</v>
      </c>
      <c r="G423" s="542">
        <f>'FR-16(7)(v)-5 DISTR Dem Alloc'!G423</f>
        <v>0</v>
      </c>
      <c r="H423" s="533">
        <f>'FR-16(7)(v)-3 PROD Comm Alloc'!G423</f>
        <v>0</v>
      </c>
      <c r="I423" s="534">
        <f>'FR-16(7)(v)-6 DISTR Cust Alloc'!G423</f>
        <v>0</v>
      </c>
      <c r="J423" s="345">
        <f t="shared" si="81"/>
        <v>0</v>
      </c>
      <c r="K423" s="345">
        <f t="shared" si="82"/>
        <v>0</v>
      </c>
    </row>
    <row r="424" spans="1:11" ht="13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3">
        <f>'FR-16(7)(v)-8 TOT CLASS Alloc'!G424</f>
        <v>0</v>
      </c>
      <c r="G424" s="542">
        <f>'FR-16(7)(v)-5 DISTR Dem Alloc'!G424</f>
        <v>0</v>
      </c>
      <c r="H424" s="533">
        <f>'FR-16(7)(v)-3 PROD Comm Alloc'!G424</f>
        <v>0</v>
      </c>
      <c r="I424" s="534">
        <f>'FR-16(7)(v)-6 DISTR Cust Alloc'!G424</f>
        <v>0</v>
      </c>
      <c r="J424" s="345">
        <f t="shared" ref="J424:J429" si="83">SUM(G424:I424)</f>
        <v>0</v>
      </c>
      <c r="K424" s="345">
        <f t="shared" ref="K424:K429" si="84">F424-J424</f>
        <v>0</v>
      </c>
    </row>
    <row r="425" spans="1:11" ht="13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3">
        <f>'FR-16(7)(v)-8 TOT CLASS Alloc'!G425</f>
        <v>0</v>
      </c>
      <c r="G425" s="542">
        <f>'FR-16(7)(v)-5 DISTR Dem Alloc'!G425</f>
        <v>0</v>
      </c>
      <c r="H425" s="533">
        <f>'FR-16(7)(v)-3 PROD Comm Alloc'!G425</f>
        <v>0</v>
      </c>
      <c r="I425" s="534">
        <f>'FR-16(7)(v)-6 DISTR Cust Alloc'!G425</f>
        <v>0</v>
      </c>
      <c r="J425" s="345">
        <f t="shared" si="83"/>
        <v>0</v>
      </c>
      <c r="K425" s="345">
        <f t="shared" si="84"/>
        <v>0</v>
      </c>
    </row>
    <row r="426" spans="1:11" ht="13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3">
        <f>'FR-16(7)(v)-8 TOT CLASS Alloc'!G426</f>
        <v>0</v>
      </c>
      <c r="G426" s="542">
        <f>'FR-16(7)(v)-5 DISTR Dem Alloc'!G426</f>
        <v>0</v>
      </c>
      <c r="H426" s="533">
        <f>'FR-16(7)(v)-3 PROD Comm Alloc'!G426</f>
        <v>0</v>
      </c>
      <c r="I426" s="534">
        <f>'FR-16(7)(v)-6 DISTR Cust Alloc'!G426</f>
        <v>0</v>
      </c>
      <c r="J426" s="345">
        <f t="shared" si="83"/>
        <v>0</v>
      </c>
      <c r="K426" s="345">
        <f t="shared" si="84"/>
        <v>0</v>
      </c>
    </row>
    <row r="427" spans="1:11" ht="13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3">
        <f>'FR-16(7)(v)-8 TOT CLASS Alloc'!G427</f>
        <v>0</v>
      </c>
      <c r="G427" s="542">
        <f>'FR-16(7)(v)-5 DISTR Dem Alloc'!G427</f>
        <v>0</v>
      </c>
      <c r="H427" s="533">
        <f>'FR-16(7)(v)-3 PROD Comm Alloc'!G427</f>
        <v>0</v>
      </c>
      <c r="I427" s="534">
        <f>'FR-16(7)(v)-6 DISTR Cust Alloc'!G427</f>
        <v>0</v>
      </c>
      <c r="J427" s="345">
        <f t="shared" si="83"/>
        <v>0</v>
      </c>
      <c r="K427" s="345">
        <f t="shared" si="84"/>
        <v>0</v>
      </c>
    </row>
    <row r="428" spans="1:11" ht="13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3">
        <f>'FR-16(7)(v)-8 TOT CLASS Alloc'!G428</f>
        <v>0</v>
      </c>
      <c r="G428" s="542">
        <f>'FR-16(7)(v)-5 DISTR Dem Alloc'!G428</f>
        <v>0</v>
      </c>
      <c r="H428" s="533">
        <f>'FR-16(7)(v)-3 PROD Comm Alloc'!G428</f>
        <v>0</v>
      </c>
      <c r="I428" s="534">
        <f>'FR-16(7)(v)-6 DISTR Cust Alloc'!G428</f>
        <v>0</v>
      </c>
      <c r="J428" s="345">
        <f t="shared" si="83"/>
        <v>0</v>
      </c>
      <c r="K428" s="345">
        <f t="shared" si="84"/>
        <v>0</v>
      </c>
    </row>
    <row r="429" spans="1:11" ht="13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3">
        <f>'FR-16(7)(v)-8 TOT CLASS Alloc'!G429</f>
        <v>0</v>
      </c>
      <c r="G429" s="542">
        <f>'FR-16(7)(v)-5 DISTR Dem Alloc'!G429</f>
        <v>0</v>
      </c>
      <c r="H429" s="533">
        <f>'FR-16(7)(v)-3 PROD Comm Alloc'!G429</f>
        <v>0</v>
      </c>
      <c r="I429" s="534">
        <f>'FR-16(7)(v)-6 DISTR Cust Alloc'!G429</f>
        <v>0</v>
      </c>
      <c r="J429" s="345">
        <f t="shared" si="83"/>
        <v>0</v>
      </c>
      <c r="K429" s="345">
        <f t="shared" si="84"/>
        <v>0</v>
      </c>
    </row>
    <row r="430" spans="1:11" ht="13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3">
        <f>'FR-16(7)(v)-8 TOT CLASS Alloc'!G430</f>
        <v>0</v>
      </c>
      <c r="G430" s="542">
        <f>'FR-16(7)(v)-5 DISTR Dem Alloc'!G430</f>
        <v>0</v>
      </c>
      <c r="H430" s="533">
        <f>'FR-16(7)(v)-3 PROD Comm Alloc'!G430</f>
        <v>0</v>
      </c>
      <c r="I430" s="534">
        <f>'FR-16(7)(v)-6 DISTR Cust Alloc'!G430</f>
        <v>0</v>
      </c>
      <c r="J430" s="345">
        <f t="shared" si="81"/>
        <v>0</v>
      </c>
      <c r="K430" s="345">
        <f t="shared" si="82"/>
        <v>0</v>
      </c>
    </row>
    <row r="431" spans="1:11" ht="13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K431" si="85">SUM(F416:F430)</f>
        <v>4776521</v>
      </c>
      <c r="G431" s="543">
        <f t="shared" si="85"/>
        <v>1682370</v>
      </c>
      <c r="H431" s="535">
        <f t="shared" si="85"/>
        <v>687236</v>
      </c>
      <c r="I431" s="536">
        <f t="shared" si="85"/>
        <v>2406915</v>
      </c>
      <c r="J431" s="346">
        <f t="shared" si="85"/>
        <v>4776521</v>
      </c>
      <c r="K431" s="346">
        <f t="shared" si="85"/>
        <v>0</v>
      </c>
    </row>
    <row r="432" spans="1:11" ht="13">
      <c r="A432" s="331">
        <v>32</v>
      </c>
      <c r="D432" s="342"/>
      <c r="E432" s="195"/>
      <c r="F432" s="333"/>
      <c r="G432" s="542"/>
      <c r="H432" s="533"/>
      <c r="I432" s="534"/>
      <c r="J432" s="345"/>
      <c r="K432" s="345"/>
    </row>
    <row r="433" spans="1:11" ht="13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K433" si="86">F431+F407+F403+F389+F378+F364+F360</f>
        <v>40778122</v>
      </c>
      <c r="G433" s="544">
        <f t="shared" si="86"/>
        <v>5047060</v>
      </c>
      <c r="H433" s="537">
        <f t="shared" si="86"/>
        <v>27093565</v>
      </c>
      <c r="I433" s="538">
        <f t="shared" si="86"/>
        <v>8637497</v>
      </c>
      <c r="J433" s="345">
        <f t="shared" si="86"/>
        <v>40778122</v>
      </c>
      <c r="K433" s="345">
        <f t="shared" si="86"/>
        <v>0</v>
      </c>
    </row>
    <row r="434" spans="1:11" ht="13">
      <c r="B434" s="341"/>
      <c r="C434" s="195"/>
      <c r="D434" s="342"/>
      <c r="E434" s="195"/>
      <c r="F434" s="195"/>
      <c r="G434" s="195"/>
      <c r="H434" s="195"/>
      <c r="I434" s="195"/>
      <c r="J434" s="195"/>
      <c r="K434" s="195"/>
    </row>
    <row r="435" spans="1:11" ht="13">
      <c r="A435" s="341" t="str">
        <f>co_name</f>
        <v>DUKE ENERGY KENTUCKY, INC.</v>
      </c>
      <c r="C435" s="195"/>
      <c r="D435" s="342"/>
      <c r="E435" s="195"/>
      <c r="F435" s="195"/>
      <c r="G435" s="195"/>
      <c r="H435" s="195"/>
      <c r="I435" s="195"/>
      <c r="J435" s="195" t="str">
        <f>$J$1</f>
        <v>FR-16(7)(v)-9</v>
      </c>
      <c r="K435" s="195"/>
    </row>
    <row r="436" spans="1:11" ht="13">
      <c r="A436" s="341" t="str">
        <f>$A$2</f>
        <v>RESIDENTIAL CLASSIFIED - GAS COST OF SERVICE</v>
      </c>
      <c r="C436" s="195"/>
      <c r="D436" s="342"/>
      <c r="E436" s="195"/>
      <c r="F436" s="195"/>
      <c r="G436" s="195"/>
      <c r="H436" s="195"/>
      <c r="I436" s="195"/>
      <c r="J436" s="195" t="str">
        <f>$J$2</f>
        <v>WITNESS RESPONSIBLE:</v>
      </c>
      <c r="K436" s="195"/>
    </row>
    <row r="437" spans="1:11" ht="13">
      <c r="A437" s="341" t="str">
        <f>case_name</f>
        <v>CASE NO: 2021-00190</v>
      </c>
      <c r="C437" s="195"/>
      <c r="D437" s="342"/>
      <c r="E437" s="195"/>
      <c r="F437" s="195"/>
      <c r="G437" s="195"/>
      <c r="H437" s="195"/>
      <c r="I437" s="195"/>
      <c r="J437" s="195" t="str">
        <f>Witness</f>
        <v>JAMES E. ZIOLKOWSKI</v>
      </c>
      <c r="K437" s="195"/>
    </row>
    <row r="438" spans="1:11" ht="13">
      <c r="A438" s="341" t="str">
        <f>data_filing</f>
        <v>DATA: 12 MONTH FORECASTED PERIOD</v>
      </c>
      <c r="C438" s="195"/>
      <c r="D438" s="342"/>
      <c r="E438" s="195"/>
      <c r="F438" s="195"/>
      <c r="G438" s="195"/>
      <c r="H438" s="195"/>
      <c r="I438" s="195"/>
      <c r="J438" s="195" t="str">
        <f>"PAGE "&amp;Pages2-5&amp;" OF "&amp;Pages2</f>
        <v>PAGE 10 OF 15</v>
      </c>
      <c r="K438" s="195"/>
    </row>
    <row r="439" spans="1:11" ht="13">
      <c r="A439" s="341" t="str">
        <f>type</f>
        <v xml:space="preserve">TYPE OF FILING: "X" ORIGINAL   UPDATED    REVISED  </v>
      </c>
      <c r="C439" s="195"/>
      <c r="D439" s="342"/>
      <c r="E439" s="195"/>
      <c r="F439" s="195"/>
      <c r="G439" s="195"/>
      <c r="H439" s="195"/>
      <c r="I439" s="195"/>
      <c r="J439" s="195"/>
      <c r="K439" s="195"/>
    </row>
    <row r="440" spans="1:11" ht="13">
      <c r="B440" s="341"/>
      <c r="C440" s="195"/>
      <c r="D440" s="342"/>
      <c r="E440" s="195"/>
      <c r="F440" s="195"/>
      <c r="G440" s="195"/>
      <c r="H440" s="195"/>
      <c r="I440" s="195"/>
      <c r="J440" s="195"/>
      <c r="K440" s="195"/>
    </row>
    <row r="441" spans="1:11" ht="13">
      <c r="B441" s="341"/>
      <c r="C441" s="195"/>
      <c r="D441" s="342"/>
      <c r="E441" s="195"/>
      <c r="F441" s="195"/>
      <c r="G441" s="195"/>
      <c r="H441" s="195"/>
      <c r="I441" s="195"/>
      <c r="J441" s="195"/>
      <c r="K441" s="195"/>
    </row>
    <row r="442" spans="1:11" ht="13">
      <c r="A442" s="342" t="s">
        <v>907</v>
      </c>
      <c r="B442" s="195"/>
      <c r="C442" s="195"/>
      <c r="D442" s="342"/>
      <c r="E442" s="195"/>
      <c r="F442" s="342" t="s">
        <v>229</v>
      </c>
      <c r="G442" s="539" t="s">
        <v>995</v>
      </c>
      <c r="H442" s="527"/>
      <c r="I442" s="528"/>
      <c r="J442" s="342" t="s">
        <v>229</v>
      </c>
      <c r="K442" s="342" t="s">
        <v>342</v>
      </c>
    </row>
    <row r="443" spans="1:11" ht="13">
      <c r="A443" s="344" t="s">
        <v>908</v>
      </c>
      <c r="B443" s="343" t="s">
        <v>55</v>
      </c>
      <c r="C443" s="343"/>
      <c r="D443" s="344" t="s">
        <v>337</v>
      </c>
      <c r="E443" s="343"/>
      <c r="F443" s="344" t="str">
        <f>$F$9</f>
        <v>RESIDENTIAL</v>
      </c>
      <c r="G443" s="540" t="s">
        <v>840</v>
      </c>
      <c r="H443" s="529" t="s">
        <v>841</v>
      </c>
      <c r="I443" s="530" t="s">
        <v>842</v>
      </c>
      <c r="J443" s="344" t="s">
        <v>341</v>
      </c>
      <c r="K443" s="344" t="s">
        <v>340</v>
      </c>
    </row>
    <row r="444" spans="1:11" ht="13">
      <c r="C444" s="572" t="s">
        <v>349</v>
      </c>
      <c r="D444" s="342"/>
      <c r="E444" s="195"/>
      <c r="F444" s="504"/>
      <c r="G444" s="793">
        <f>$G$10</f>
        <v>3</v>
      </c>
      <c r="H444" s="794">
        <f>$H$10</f>
        <v>4</v>
      </c>
      <c r="I444" s="795">
        <f>$I$10</f>
        <v>5</v>
      </c>
      <c r="J444" s="504"/>
      <c r="K444" s="504"/>
    </row>
    <row r="445" spans="1:11" ht="13">
      <c r="A445" s="331">
        <v>1</v>
      </c>
      <c r="B445" s="351" t="s">
        <v>56</v>
      </c>
      <c r="C445" s="351"/>
      <c r="D445" s="342"/>
      <c r="E445" s="195"/>
      <c r="G445" s="541"/>
      <c r="H445" s="531"/>
      <c r="I445" s="532"/>
    </row>
    <row r="446" spans="1:11" ht="13">
      <c r="A446" s="331">
        <v>2</v>
      </c>
      <c r="B446" s="351"/>
      <c r="C446" s="505" t="str">
        <f>'FR-16(7)(v)-1 Functional'!C446</f>
        <v>PRODUCTION DEPRECIATION</v>
      </c>
      <c r="D446" s="342" t="str">
        <f>'FR-16(7)(v)-1 Functional'!D446</f>
        <v>P229</v>
      </c>
      <c r="E446" s="195"/>
      <c r="F446" s="473">
        <f>'FR-16(7)(v)-8 TOT CLASS Alloc'!G446</f>
        <v>178304</v>
      </c>
      <c r="G446" s="542">
        <f>'FR-16(7)(v)-5 DISTR Dem Alloc'!G446</f>
        <v>0</v>
      </c>
      <c r="H446" s="533">
        <f>'FR-16(7)(v)-3 PROD Comm Alloc'!G446</f>
        <v>178304</v>
      </c>
      <c r="I446" s="534">
        <f>'FR-16(7)(v)-6 DISTR Cust Alloc'!G446</f>
        <v>0</v>
      </c>
      <c r="J446" s="345">
        <f>SUM(G446:I446)</f>
        <v>178304</v>
      </c>
      <c r="K446" s="345">
        <f>F446-J446</f>
        <v>0</v>
      </c>
    </row>
    <row r="447" spans="1:11" ht="13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K447" si="87">SUM(F446:F446)</f>
        <v>178304</v>
      </c>
      <c r="G447" s="543">
        <f t="shared" si="87"/>
        <v>0</v>
      </c>
      <c r="H447" s="535">
        <f t="shared" si="87"/>
        <v>178304</v>
      </c>
      <c r="I447" s="536">
        <f t="shared" si="87"/>
        <v>0</v>
      </c>
      <c r="J447" s="346">
        <f t="shared" si="87"/>
        <v>178304</v>
      </c>
      <c r="K447" s="346">
        <f t="shared" si="87"/>
        <v>0</v>
      </c>
    </row>
    <row r="448" spans="1:11" ht="13">
      <c r="A448" s="331">
        <v>4</v>
      </c>
      <c r="B448" s="351"/>
      <c r="C448" s="351"/>
      <c r="D448" s="342"/>
      <c r="E448" s="195"/>
      <c r="F448" s="351"/>
      <c r="G448" s="541"/>
      <c r="H448" s="531"/>
      <c r="I448" s="532"/>
    </row>
    <row r="449" spans="1:11" ht="13">
      <c r="A449" s="331">
        <v>5</v>
      </c>
      <c r="B449" s="505" t="s">
        <v>57</v>
      </c>
      <c r="C449" s="505"/>
      <c r="D449" s="342"/>
      <c r="E449" s="195"/>
      <c r="F449" s="347"/>
      <c r="G449" s="542"/>
      <c r="H449" s="533"/>
      <c r="I449" s="534"/>
      <c r="J449" s="345"/>
      <c r="K449" s="345"/>
    </row>
    <row r="450" spans="1:11" ht="13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K450" si="88">SUM(F449)</f>
        <v>0</v>
      </c>
      <c r="G450" s="543">
        <f t="shared" si="88"/>
        <v>0</v>
      </c>
      <c r="H450" s="535">
        <f t="shared" si="88"/>
        <v>0</v>
      </c>
      <c r="I450" s="536">
        <f t="shared" si="88"/>
        <v>0</v>
      </c>
      <c r="J450" s="346">
        <f t="shared" si="88"/>
        <v>0</v>
      </c>
      <c r="K450" s="346">
        <f t="shared" si="88"/>
        <v>0</v>
      </c>
    </row>
    <row r="451" spans="1:11" ht="13">
      <c r="A451" s="331">
        <v>7</v>
      </c>
      <c r="B451" s="351"/>
      <c r="C451" s="351"/>
      <c r="D451" s="342"/>
      <c r="E451" s="195"/>
      <c r="F451" s="351"/>
      <c r="G451" s="541"/>
      <c r="H451" s="531"/>
      <c r="I451" s="532"/>
    </row>
    <row r="452" spans="1:11" ht="13">
      <c r="A452" s="331">
        <v>8</v>
      </c>
      <c r="B452" s="351" t="s">
        <v>58</v>
      </c>
      <c r="C452" s="351"/>
      <c r="D452" s="342"/>
      <c r="E452" s="195"/>
      <c r="F452" s="351"/>
      <c r="G452" s="541"/>
      <c r="H452" s="531"/>
      <c r="I452" s="532"/>
    </row>
    <row r="453" spans="1:11" ht="13">
      <c r="A453" s="331">
        <v>9</v>
      </c>
      <c r="B453" s="351"/>
      <c r="C453" s="505" t="str">
        <f>'FR-16(7)(v)-1 Functional'!C453</f>
        <v>DISTRIBUTION DEPRECIATION</v>
      </c>
      <c r="D453" s="342" t="str">
        <f>'FR-16(7)(v)-1 Functional'!D453</f>
        <v>D249</v>
      </c>
      <c r="E453" s="195"/>
      <c r="F453" s="473">
        <f>'FR-16(7)(v)-8 TOT CLASS Alloc'!G453</f>
        <v>9670005</v>
      </c>
      <c r="G453" s="542">
        <f>'FR-16(7)(v)-5 DISTR Dem Alloc'!G453</f>
        <v>4773715</v>
      </c>
      <c r="H453" s="533">
        <f>'FR-16(7)(v)-3 PROD Comm Alloc'!G453</f>
        <v>0</v>
      </c>
      <c r="I453" s="534">
        <f>'FR-16(7)(v)-6 DISTR Cust Alloc'!G453</f>
        <v>4896290</v>
      </c>
      <c r="J453" s="345">
        <f>SUM(G453:I453)</f>
        <v>9670005</v>
      </c>
      <c r="K453" s="345">
        <f>F453-J453</f>
        <v>0</v>
      </c>
    </row>
    <row r="454" spans="1:11" ht="13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K454" si="89">SUM(F453:F453)</f>
        <v>9670005</v>
      </c>
      <c r="G454" s="543">
        <f t="shared" si="89"/>
        <v>4773715</v>
      </c>
      <c r="H454" s="535">
        <f t="shared" si="89"/>
        <v>0</v>
      </c>
      <c r="I454" s="536">
        <f t="shared" si="89"/>
        <v>4896290</v>
      </c>
      <c r="J454" s="346">
        <f t="shared" si="89"/>
        <v>9670005</v>
      </c>
      <c r="K454" s="346">
        <f t="shared" si="89"/>
        <v>0</v>
      </c>
    </row>
    <row r="455" spans="1:11" ht="13">
      <c r="A455" s="331">
        <v>11</v>
      </c>
      <c r="B455" s="351"/>
      <c r="C455" s="351"/>
      <c r="D455" s="342"/>
      <c r="E455" s="195"/>
      <c r="F455" s="351" t="s">
        <v>343</v>
      </c>
      <c r="G455" s="541"/>
      <c r="H455" s="531"/>
      <c r="I455" s="532"/>
    </row>
    <row r="456" spans="1:11" ht="13">
      <c r="A456" s="331">
        <v>12</v>
      </c>
      <c r="B456" s="351" t="s">
        <v>59</v>
      </c>
      <c r="C456" s="351"/>
      <c r="D456" s="342"/>
      <c r="E456" s="195"/>
      <c r="F456" s="351"/>
      <c r="G456" s="541"/>
      <c r="H456" s="531"/>
      <c r="I456" s="532"/>
    </row>
    <row r="457" spans="1:11" ht="13">
      <c r="A457" s="331">
        <v>13</v>
      </c>
      <c r="B457" s="351"/>
      <c r="C457" s="505" t="str">
        <f>'FR-16(7)(v)-1 Functional'!C457</f>
        <v>GENERAL DEPRECIATION</v>
      </c>
      <c r="D457" s="342" t="str">
        <f>'FR-16(7)(v)-1 Functional'!D457</f>
        <v>G229</v>
      </c>
      <c r="E457" s="195"/>
      <c r="F457" s="473">
        <f>'FR-16(7)(v)-8 TOT CLASS Alloc'!G457</f>
        <v>2345253</v>
      </c>
      <c r="G457" s="542">
        <f>'FR-16(7)(v)-5 DISTR Dem Alloc'!G457</f>
        <v>840292</v>
      </c>
      <c r="H457" s="533">
        <f>'FR-16(7)(v)-3 PROD Comm Alloc'!G457</f>
        <v>302773</v>
      </c>
      <c r="I457" s="534">
        <f>'FR-16(7)(v)-6 DISTR Cust Alloc'!G457</f>
        <v>1202188</v>
      </c>
      <c r="J457" s="345">
        <f>SUM(G457:I457)</f>
        <v>2345253</v>
      </c>
      <c r="K457" s="345">
        <f>F457-J457</f>
        <v>0</v>
      </c>
    </row>
    <row r="458" spans="1:11" ht="13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K458" si="90">SUM(F457:F457)</f>
        <v>2345253</v>
      </c>
      <c r="G458" s="543">
        <f t="shared" si="90"/>
        <v>840292</v>
      </c>
      <c r="H458" s="535">
        <f t="shared" si="90"/>
        <v>302773</v>
      </c>
      <c r="I458" s="536">
        <f t="shared" si="90"/>
        <v>1202188</v>
      </c>
      <c r="J458" s="346">
        <f t="shared" si="90"/>
        <v>2345253</v>
      </c>
      <c r="K458" s="346">
        <f t="shared" si="90"/>
        <v>0</v>
      </c>
    </row>
    <row r="459" spans="1:11" ht="13">
      <c r="A459" s="331">
        <v>15</v>
      </c>
      <c r="B459" s="351"/>
      <c r="C459" s="351"/>
      <c r="D459" s="342"/>
      <c r="E459" s="195"/>
      <c r="F459" s="351"/>
      <c r="G459" s="541"/>
      <c r="H459" s="531"/>
      <c r="I459" s="532"/>
    </row>
    <row r="460" spans="1:11" ht="13">
      <c r="A460" s="331">
        <v>16</v>
      </c>
      <c r="B460" s="351" t="s">
        <v>60</v>
      </c>
      <c r="C460" s="351"/>
      <c r="D460" s="342"/>
      <c r="E460" s="195"/>
      <c r="F460" s="470"/>
      <c r="G460" s="542"/>
      <c r="H460" s="533"/>
      <c r="I460" s="534"/>
      <c r="J460" s="345"/>
      <c r="K460" s="345"/>
    </row>
    <row r="461" spans="1:11" ht="13">
      <c r="A461" s="331">
        <v>17</v>
      </c>
      <c r="B461" s="351"/>
      <c r="C461" s="505" t="str">
        <f>'FR-16(7)(v)-1 Functional'!C461</f>
        <v>COMMON DEPRECIATION</v>
      </c>
      <c r="D461" s="342" t="str">
        <f>'FR-16(7)(v)-1 Functional'!D461</f>
        <v>C229</v>
      </c>
      <c r="E461" s="195"/>
      <c r="F461" s="473">
        <f>'FR-16(7)(v)-8 TOT CLASS Alloc'!G461</f>
        <v>-31242</v>
      </c>
      <c r="G461" s="542">
        <f>'FR-16(7)(v)-5 DISTR Dem Alloc'!G461</f>
        <v>-11194</v>
      </c>
      <c r="H461" s="533">
        <f>'FR-16(7)(v)-3 PROD Comm Alloc'!G461</f>
        <v>-4033</v>
      </c>
      <c r="I461" s="534">
        <f>'FR-16(7)(v)-6 DISTR Cust Alloc'!G461</f>
        <v>-16015</v>
      </c>
      <c r="J461" s="345">
        <f>SUM(G461:I461)</f>
        <v>-31242</v>
      </c>
      <c r="K461" s="345">
        <f>F461-J461</f>
        <v>0</v>
      </c>
    </row>
    <row r="462" spans="1:11" ht="13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K462" si="91">SUM(F461:F461)</f>
        <v>-31242</v>
      </c>
      <c r="G462" s="543">
        <f t="shared" si="91"/>
        <v>-11194</v>
      </c>
      <c r="H462" s="535">
        <f t="shared" si="91"/>
        <v>-4033</v>
      </c>
      <c r="I462" s="536">
        <f t="shared" si="91"/>
        <v>-16015</v>
      </c>
      <c r="J462" s="346">
        <f t="shared" si="91"/>
        <v>-31242</v>
      </c>
      <c r="K462" s="346">
        <f t="shared" si="91"/>
        <v>0</v>
      </c>
    </row>
    <row r="463" spans="1:11" ht="13">
      <c r="A463" s="331">
        <v>19</v>
      </c>
      <c r="B463" s="351"/>
      <c r="C463" s="351"/>
      <c r="D463" s="342"/>
      <c r="E463" s="195"/>
      <c r="G463" s="541"/>
      <c r="H463" s="531"/>
      <c r="I463" s="532"/>
    </row>
    <row r="464" spans="1:11" ht="13">
      <c r="A464" s="331">
        <v>20</v>
      </c>
      <c r="B464" s="351"/>
      <c r="C464" s="351"/>
      <c r="D464" s="342"/>
      <c r="E464" s="195"/>
      <c r="G464" s="541"/>
      <c r="H464" s="531"/>
      <c r="I464" s="532"/>
    </row>
    <row r="465" spans="1:12" ht="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K465" si="92">F462+F458+F454+F450+F447</f>
        <v>12162320</v>
      </c>
      <c r="G465" s="544">
        <f t="shared" si="92"/>
        <v>5602813</v>
      </c>
      <c r="H465" s="537">
        <f t="shared" si="92"/>
        <v>477044</v>
      </c>
      <c r="I465" s="538">
        <f t="shared" si="92"/>
        <v>6082463</v>
      </c>
      <c r="J465" s="345">
        <f t="shared" si="92"/>
        <v>12162320</v>
      </c>
      <c r="K465" s="345">
        <f t="shared" si="92"/>
        <v>0</v>
      </c>
    </row>
    <row r="466" spans="1:12" ht="13">
      <c r="B466" s="341"/>
      <c r="C466" s="195"/>
      <c r="D466" s="342"/>
      <c r="E466" s="195"/>
      <c r="F466" s="195"/>
      <c r="G466" s="195"/>
      <c r="H466" s="195"/>
      <c r="I466" s="195"/>
      <c r="J466" s="195"/>
      <c r="K466" s="195"/>
    </row>
    <row r="467" spans="1:12" ht="13">
      <c r="A467" s="341" t="str">
        <f>co_name</f>
        <v>DUKE ENERGY KENTUCKY, INC.</v>
      </c>
      <c r="C467" s="195"/>
      <c r="D467" s="342"/>
      <c r="E467" s="195"/>
      <c r="F467" s="195"/>
      <c r="G467" s="195"/>
      <c r="H467" s="195"/>
      <c r="I467" s="195"/>
      <c r="J467" s="195" t="str">
        <f>$J$1</f>
        <v>FR-16(7)(v)-9</v>
      </c>
      <c r="K467" s="195"/>
    </row>
    <row r="468" spans="1:12" ht="13">
      <c r="A468" s="341" t="str">
        <f>$A$2</f>
        <v>RESIDENTIAL CLASSIFIED - GAS COST OF SERVICE</v>
      </c>
      <c r="C468" s="195"/>
      <c r="D468" s="342"/>
      <c r="E468" s="195"/>
      <c r="F468" s="195"/>
      <c r="G468" s="195"/>
      <c r="H468" s="195"/>
      <c r="I468" s="195"/>
      <c r="J468" s="195" t="str">
        <f>$J$2</f>
        <v>WITNESS RESPONSIBLE:</v>
      </c>
      <c r="K468" s="195"/>
    </row>
    <row r="469" spans="1:12" ht="13">
      <c r="A469" s="341" t="str">
        <f>case_name</f>
        <v>CASE NO: 2021-00190</v>
      </c>
      <c r="C469" s="195"/>
      <c r="D469" s="342"/>
      <c r="E469" s="195"/>
      <c r="F469" s="195"/>
      <c r="G469" s="195"/>
      <c r="H469" s="195"/>
      <c r="I469" s="195"/>
      <c r="J469" s="195" t="str">
        <f>Witness</f>
        <v>JAMES E. ZIOLKOWSKI</v>
      </c>
      <c r="K469" s="195"/>
    </row>
    <row r="470" spans="1:12" ht="13">
      <c r="A470" s="341" t="str">
        <f>data_filing</f>
        <v>DATA: 12 MONTH FORECASTED PERIOD</v>
      </c>
      <c r="C470" s="195"/>
      <c r="D470" s="342"/>
      <c r="E470" s="195"/>
      <c r="F470" s="195"/>
      <c r="G470" s="195"/>
      <c r="H470" s="195"/>
      <c r="I470" s="195"/>
      <c r="J470" s="195" t="str">
        <f>"PAGE "&amp;Pages2-4&amp;" OF "&amp;Pages2</f>
        <v>PAGE 11 OF 15</v>
      </c>
      <c r="K470" s="195"/>
    </row>
    <row r="471" spans="1:12" ht="13">
      <c r="A471" s="341" t="str">
        <f>type</f>
        <v xml:space="preserve">TYPE OF FILING: "X" ORIGINAL   UPDATED    REVISED  </v>
      </c>
      <c r="C471" s="195"/>
      <c r="D471" s="342"/>
      <c r="E471" s="195"/>
      <c r="F471" s="195"/>
      <c r="G471" s="195"/>
      <c r="H471" s="195"/>
      <c r="I471" s="195"/>
      <c r="J471" s="195"/>
      <c r="K471" s="195"/>
    </row>
    <row r="472" spans="1:12" ht="13">
      <c r="B472" s="341"/>
      <c r="C472" s="195"/>
      <c r="D472" s="342"/>
      <c r="E472" s="195"/>
      <c r="F472" s="195"/>
      <c r="G472" s="195"/>
      <c r="H472" s="195"/>
      <c r="I472" s="195"/>
      <c r="J472" s="195"/>
      <c r="K472" s="195"/>
    </row>
    <row r="473" spans="1:12" ht="13">
      <c r="B473" s="341"/>
      <c r="C473" s="195"/>
      <c r="D473" s="342"/>
      <c r="E473" s="195"/>
      <c r="F473" s="195"/>
      <c r="G473" s="195"/>
      <c r="H473" s="195"/>
      <c r="I473" s="195"/>
      <c r="J473" s="195"/>
      <c r="K473" s="195"/>
    </row>
    <row r="474" spans="1:12" ht="13">
      <c r="A474" s="342" t="s">
        <v>907</v>
      </c>
      <c r="B474" s="195"/>
      <c r="C474" s="195"/>
      <c r="D474" s="342"/>
      <c r="E474" s="195"/>
      <c r="F474" s="342" t="s">
        <v>229</v>
      </c>
      <c r="G474" s="539" t="s">
        <v>995</v>
      </c>
      <c r="H474" s="527"/>
      <c r="I474" s="528"/>
      <c r="J474" s="342" t="s">
        <v>229</v>
      </c>
      <c r="K474" s="342" t="s">
        <v>342</v>
      </c>
    </row>
    <row r="475" spans="1:12" ht="13">
      <c r="A475" s="344" t="s">
        <v>908</v>
      </c>
      <c r="B475" s="343" t="s">
        <v>62</v>
      </c>
      <c r="C475" s="343"/>
      <c r="D475" s="344" t="s">
        <v>337</v>
      </c>
      <c r="E475" s="343"/>
      <c r="F475" s="344" t="str">
        <f>$F$9</f>
        <v>RESIDENTIAL</v>
      </c>
      <c r="G475" s="540" t="s">
        <v>840</v>
      </c>
      <c r="H475" s="529" t="s">
        <v>841</v>
      </c>
      <c r="I475" s="530" t="s">
        <v>842</v>
      </c>
      <c r="J475" s="344" t="s">
        <v>341</v>
      </c>
      <c r="K475" s="344" t="s">
        <v>340</v>
      </c>
      <c r="L475" s="363"/>
    </row>
    <row r="476" spans="1:12" ht="13">
      <c r="C476" s="572" t="s">
        <v>350</v>
      </c>
      <c r="D476" s="342"/>
      <c r="E476" s="195"/>
      <c r="F476" s="504"/>
      <c r="G476" s="793">
        <f>$G$10</f>
        <v>3</v>
      </c>
      <c r="H476" s="794">
        <f>$H$10</f>
        <v>4</v>
      </c>
      <c r="I476" s="795">
        <f>$I$10</f>
        <v>5</v>
      </c>
      <c r="J476" s="504"/>
      <c r="K476" s="504"/>
    </row>
    <row r="477" spans="1:12" ht="13">
      <c r="A477" s="331">
        <v>1</v>
      </c>
      <c r="B477" s="330" t="s">
        <v>63</v>
      </c>
      <c r="D477" s="342"/>
      <c r="E477" s="195"/>
      <c r="G477" s="541"/>
      <c r="H477" s="531"/>
      <c r="I477" s="532"/>
    </row>
    <row r="478" spans="1:12" ht="13">
      <c r="A478" s="331">
        <v>2</v>
      </c>
      <c r="B478" s="330" t="s">
        <v>64</v>
      </c>
      <c r="D478" s="342"/>
      <c r="E478" s="195"/>
      <c r="G478" s="541"/>
      <c r="H478" s="531"/>
      <c r="I478" s="532"/>
    </row>
    <row r="479" spans="1:12" ht="13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3">
        <f>'FR-16(7)(v)-8 TOT CLASS Alloc'!G479</f>
        <v>2590517</v>
      </c>
      <c r="G479" s="542">
        <f>'FR-16(7)(v)-5 DISTR Dem Alloc'!$G$479</f>
        <v>1262376</v>
      </c>
      <c r="H479" s="533">
        <f>'FR-16(7)(v)-3 PROD Comm Alloc'!$G$479</f>
        <v>19912</v>
      </c>
      <c r="I479" s="534">
        <f>'FR-16(7)(v)-6 DISTR Cust Alloc'!$G$479</f>
        <v>1308229</v>
      </c>
      <c r="J479" s="345">
        <f>SUM($G$479:$I$479)</f>
        <v>2590517</v>
      </c>
      <c r="K479" s="345">
        <f>F479-$J$479</f>
        <v>0</v>
      </c>
    </row>
    <row r="480" spans="1:12" ht="13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3">
        <f>'FR-16(7)(v)-8 TOT CLASS Alloc'!G480</f>
        <v>0</v>
      </c>
      <c r="G480" s="542">
        <f>'FR-16(7)(v)-5 DISTR Dem Alloc'!$G$480</f>
        <v>0</v>
      </c>
      <c r="H480" s="533">
        <f>'FR-16(7)(v)-3 PROD Comm Alloc'!$G$480</f>
        <v>0</v>
      </c>
      <c r="I480" s="534">
        <f>'FR-16(7)(v)-6 DISTR Cust Alloc'!$G$480</f>
        <v>0</v>
      </c>
      <c r="J480" s="345">
        <f>SUM($G$480:$I$480)</f>
        <v>0</v>
      </c>
      <c r="K480" s="345">
        <f>F480-$J$480</f>
        <v>0</v>
      </c>
    </row>
    <row r="481" spans="1:11" ht="13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2590517</v>
      </c>
      <c r="G481" s="543">
        <f>SUM($G$479:$G$480)</f>
        <v>1262376</v>
      </c>
      <c r="H481" s="535">
        <f>SUM($H$479:$H$480)</f>
        <v>19912</v>
      </c>
      <c r="I481" s="536">
        <f>SUM($I$479:$I$480)</f>
        <v>1308229</v>
      </c>
      <c r="J481" s="346">
        <f>SUM($J$479:$J$480)</f>
        <v>2590517</v>
      </c>
      <c r="K481" s="346">
        <f>SUM($K$479:$K$480)</f>
        <v>0</v>
      </c>
    </row>
    <row r="482" spans="1:11" ht="13">
      <c r="A482" s="331">
        <v>6</v>
      </c>
      <c r="D482" s="342"/>
      <c r="E482" s="195"/>
      <c r="F482" s="351"/>
      <c r="G482" s="541"/>
      <c r="H482" s="531"/>
      <c r="I482" s="532"/>
    </row>
    <row r="483" spans="1:11" ht="13">
      <c r="A483" s="331">
        <v>7</v>
      </c>
      <c r="B483" s="330" t="s">
        <v>65</v>
      </c>
      <c r="D483" s="342"/>
      <c r="E483" s="195"/>
      <c r="F483" s="351"/>
      <c r="G483" s="541"/>
      <c r="H483" s="531"/>
      <c r="I483" s="532"/>
    </row>
    <row r="484" spans="1:11" ht="13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3">
        <f>'FR-16(7)(v)-8 TOT CLASS Alloc'!G484</f>
        <v>419813</v>
      </c>
      <c r="G484" s="542">
        <f>'FR-16(7)(v)-5 DISTR Dem Alloc'!$G$484</f>
        <v>147866</v>
      </c>
      <c r="H484" s="533">
        <f>'FR-16(7)(v)-3 PROD Comm Alloc'!$G$484</f>
        <v>60401</v>
      </c>
      <c r="I484" s="534">
        <f>'FR-16(7)(v)-6 DISTR Cust Alloc'!$G$484</f>
        <v>211546</v>
      </c>
      <c r="J484" s="345">
        <f>SUM($G$484:$I$484)</f>
        <v>419813</v>
      </c>
      <c r="K484" s="345">
        <f>F484-$J$484</f>
        <v>0</v>
      </c>
    </row>
    <row r="485" spans="1:11" ht="13">
      <c r="A485" s="331">
        <v>9</v>
      </c>
      <c r="C485" s="330" t="str">
        <f>'FR-16(7)(v)-1 Functional'!C485</f>
        <v>UNEMPLOYMENT COMPENSATION</v>
      </c>
      <c r="D485" s="342" t="str">
        <f>'FR-16(7)(v)-1 Functional'!D485</f>
        <v>AG39</v>
      </c>
      <c r="E485" s="195"/>
      <c r="F485" s="473">
        <f>'FR-16(7)(v)-8 TOT CLASS Alloc'!G485</f>
        <v>0</v>
      </c>
      <c r="G485" s="542">
        <f>'FR-16(7)(v)-5 DISTR Dem Alloc'!$G$485</f>
        <v>0</v>
      </c>
      <c r="H485" s="533">
        <f>'FR-16(7)(v)-3 PROD Comm Alloc'!$G$485</f>
        <v>0</v>
      </c>
      <c r="I485" s="534">
        <f>'FR-16(7)(v)-6 DISTR Cust Alloc'!$G$485</f>
        <v>0</v>
      </c>
      <c r="J485" s="345">
        <f>SUM($G$485:$I$485)</f>
        <v>0</v>
      </c>
      <c r="K485" s="345">
        <f>F485-$J$485</f>
        <v>0</v>
      </c>
    </row>
    <row r="486" spans="1:11" ht="13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3">
        <f>'FR-16(7)(v)-8 TOT CLASS Alloc'!G486</f>
        <v>0</v>
      </c>
      <c r="G486" s="542">
        <f>'FR-16(7)(v)-5 DISTR Dem Alloc'!$G$486</f>
        <v>0</v>
      </c>
      <c r="H486" s="533">
        <f>'FR-16(7)(v)-3 PROD Comm Alloc'!$G$486</f>
        <v>0</v>
      </c>
      <c r="I486" s="534">
        <f>'FR-16(7)(v)-6 DISTR Cust Alloc'!$G$486</f>
        <v>0</v>
      </c>
      <c r="J486" s="345">
        <f>SUM($G$486:$I$486)</f>
        <v>0</v>
      </c>
      <c r="K486" s="345">
        <f>F486-$J$486</f>
        <v>0</v>
      </c>
    </row>
    <row r="487" spans="1:11" ht="13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3">
        <f>'FR-16(7)(v)-8 TOT CLASS Alloc'!G487</f>
        <v>0</v>
      </c>
      <c r="G487" s="542">
        <f>'FR-16(7)(v)-5 DISTR Dem Alloc'!$G$487</f>
        <v>0</v>
      </c>
      <c r="H487" s="533">
        <f>'FR-16(7)(v)-3 PROD Comm Alloc'!$G$487</f>
        <v>0</v>
      </c>
      <c r="I487" s="534">
        <f>'FR-16(7)(v)-6 DISTR Cust Alloc'!$G$487</f>
        <v>0</v>
      </c>
      <c r="J487" s="345">
        <f>SUM($G$487:$I$487)</f>
        <v>0</v>
      </c>
      <c r="K487" s="345">
        <f>F487-$J$487</f>
        <v>0</v>
      </c>
    </row>
    <row r="488" spans="1:11" ht="13">
      <c r="A488" s="331">
        <v>12</v>
      </c>
      <c r="C488" s="330" t="str">
        <f>'FR-16(7)(v)-1 Functional'!C488</f>
        <v xml:space="preserve">  TOTAL MISCELLANEOUS TAXES</v>
      </c>
      <c r="D488" s="342"/>
      <c r="E488" s="195"/>
      <c r="F488" s="346">
        <f>SUM(F484:F487)</f>
        <v>419813</v>
      </c>
      <c r="G488" s="543">
        <f>SUM($G$484:$G$487)</f>
        <v>147866</v>
      </c>
      <c r="H488" s="535">
        <f>SUM($H$484:$H$487)</f>
        <v>60401</v>
      </c>
      <c r="I488" s="536">
        <f>SUM($I$484:$I$487)</f>
        <v>211546</v>
      </c>
      <c r="J488" s="346">
        <f>SUM($J$484:$J$487)</f>
        <v>419813</v>
      </c>
      <c r="K488" s="346">
        <f>SUM($K$484:$K$487)</f>
        <v>0</v>
      </c>
    </row>
    <row r="489" spans="1:11" ht="13">
      <c r="A489" s="331">
        <v>13</v>
      </c>
      <c r="D489" s="342"/>
      <c r="E489" s="195"/>
      <c r="F489" s="351"/>
      <c r="G489" s="541"/>
      <c r="H489" s="531"/>
      <c r="I489" s="532"/>
    </row>
    <row r="490" spans="1:11" ht="13">
      <c r="A490" s="331">
        <v>14</v>
      </c>
      <c r="B490" s="330" t="s">
        <v>66</v>
      </c>
      <c r="D490" s="342"/>
      <c r="E490" s="195"/>
      <c r="F490" s="351"/>
      <c r="G490" s="541"/>
      <c r="H490" s="531"/>
      <c r="I490" s="532"/>
    </row>
    <row r="491" spans="1:11" ht="13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3">
        <f>'FR-16(7)(v)-8 TOT CLASS Alloc'!G491</f>
        <v>20614</v>
      </c>
      <c r="G491" s="542">
        <f>'FR-16(7)(v)-5 DISTR Dem Alloc'!$G$491</f>
        <v>7261</v>
      </c>
      <c r="H491" s="533">
        <f>'FR-16(7)(v)-3 PROD Comm Alloc'!$G$491</f>
        <v>2966</v>
      </c>
      <c r="I491" s="534">
        <f>'FR-16(7)(v)-6 DISTR Cust Alloc'!$G$491</f>
        <v>10387</v>
      </c>
      <c r="J491" s="345">
        <f>SUM($G$491:$I$491)</f>
        <v>20614</v>
      </c>
      <c r="K491" s="345">
        <f>F491-$J$491</f>
        <v>0</v>
      </c>
    </row>
    <row r="492" spans="1:11" ht="13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3">
        <f>'FR-16(7)(v)-8 TOT CLASS Alloc'!G492</f>
        <v>0</v>
      </c>
      <c r="G492" s="542">
        <f>'FR-16(7)(v)-5 DISTR Dem Alloc'!$G$492</f>
        <v>0</v>
      </c>
      <c r="H492" s="533">
        <f>'FR-16(7)(v)-3 PROD Comm Alloc'!$G$492</f>
        <v>0</v>
      </c>
      <c r="I492" s="534">
        <f>'FR-16(7)(v)-6 DISTR Cust Alloc'!$G$492</f>
        <v>0</v>
      </c>
      <c r="J492" s="345">
        <f>SUM($G$492:$I$492)</f>
        <v>0</v>
      </c>
      <c r="K492" s="345">
        <f>F492-$J$492</f>
        <v>0</v>
      </c>
    </row>
    <row r="493" spans="1:11" ht="13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4">
        <f>SUM(F491:F492)</f>
        <v>20614</v>
      </c>
      <c r="G493" s="543">
        <f>SUM($G$491:$G$492)</f>
        <v>7261</v>
      </c>
      <c r="H493" s="535">
        <f>SUM($H$491:$H$492)</f>
        <v>2966</v>
      </c>
      <c r="I493" s="536">
        <f>SUM($I$491:$I$492)</f>
        <v>10387</v>
      </c>
      <c r="J493" s="346">
        <f>SUM($J$491:$J$492)</f>
        <v>20614</v>
      </c>
      <c r="K493" s="346">
        <f>SUM($K$491:$K$492)</f>
        <v>0</v>
      </c>
    </row>
    <row r="494" spans="1:11" ht="13">
      <c r="A494" s="331">
        <v>18</v>
      </c>
      <c r="D494" s="342"/>
      <c r="E494" s="195"/>
      <c r="G494" s="541"/>
      <c r="H494" s="531"/>
      <c r="I494" s="532"/>
    </row>
    <row r="495" spans="1:11" ht="13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3030944</v>
      </c>
      <c r="G495" s="542">
        <f>$G$488+$G$481+$G$493</f>
        <v>1417503</v>
      </c>
      <c r="H495" s="533">
        <f>$H$488+$H$481+$H$493</f>
        <v>83279</v>
      </c>
      <c r="I495" s="534">
        <f>$I$488+$I$481+$I$493</f>
        <v>1530162</v>
      </c>
      <c r="J495" s="345">
        <f>$J$488+$J$481+$J$493</f>
        <v>3030944</v>
      </c>
      <c r="K495" s="345">
        <f>$K$488+$K$481+$K$493</f>
        <v>0</v>
      </c>
    </row>
    <row r="496" spans="1:11" ht="13">
      <c r="A496" s="331">
        <v>20</v>
      </c>
      <c r="D496" s="342"/>
      <c r="E496" s="195"/>
      <c r="G496" s="541"/>
      <c r="H496" s="531"/>
      <c r="I496" s="532"/>
    </row>
    <row r="497" spans="1:11" ht="13">
      <c r="A497" s="331">
        <v>21</v>
      </c>
      <c r="B497" s="330" t="s">
        <v>40</v>
      </c>
      <c r="D497" s="342"/>
      <c r="E497" s="195"/>
      <c r="G497" s="541"/>
      <c r="H497" s="531"/>
      <c r="I497" s="532"/>
    </row>
    <row r="498" spans="1:11" ht="13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K498" si="93">F433</f>
        <v>40778122</v>
      </c>
      <c r="G498" s="542">
        <f t="shared" si="93"/>
        <v>5047060</v>
      </c>
      <c r="H498" s="533">
        <f t="shared" si="93"/>
        <v>27093565</v>
      </c>
      <c r="I498" s="534">
        <f t="shared" si="93"/>
        <v>8637497</v>
      </c>
      <c r="J498" s="345">
        <f t="shared" si="93"/>
        <v>40778122</v>
      </c>
      <c r="K498" s="345">
        <f t="shared" si="93"/>
        <v>0</v>
      </c>
    </row>
    <row r="499" spans="1:11" ht="13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K499" si="94">F465</f>
        <v>12162320</v>
      </c>
      <c r="G499" s="542">
        <f t="shared" si="94"/>
        <v>5602813</v>
      </c>
      <c r="H499" s="533">
        <f t="shared" si="94"/>
        <v>477044</v>
      </c>
      <c r="I499" s="534">
        <f t="shared" si="94"/>
        <v>6082463</v>
      </c>
      <c r="J499" s="345">
        <f t="shared" si="94"/>
        <v>12162320</v>
      </c>
      <c r="K499" s="345">
        <f t="shared" si="94"/>
        <v>0</v>
      </c>
    </row>
    <row r="500" spans="1:11" ht="13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3030944</v>
      </c>
      <c r="G500" s="542">
        <f>$G$495</f>
        <v>1417503</v>
      </c>
      <c r="H500" s="533">
        <f>$H$495</f>
        <v>83279</v>
      </c>
      <c r="I500" s="534">
        <f>$I$495</f>
        <v>1530162</v>
      </c>
      <c r="J500" s="345">
        <f>$J$495</f>
        <v>3030944</v>
      </c>
      <c r="K500" s="345">
        <f>$K$495</f>
        <v>0</v>
      </c>
    </row>
    <row r="501" spans="1:11" ht="13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55971386</v>
      </c>
      <c r="G501" s="551">
        <f>SUM($G$498:$G$500)</f>
        <v>12067376</v>
      </c>
      <c r="H501" s="552">
        <f>SUM($H$498:$H$500)</f>
        <v>27653888</v>
      </c>
      <c r="I501" s="553">
        <f>SUM($I$498:$I$500)</f>
        <v>16250122</v>
      </c>
      <c r="J501" s="346">
        <f>SUM($J$498:$J$500)</f>
        <v>55971386</v>
      </c>
      <c r="K501" s="346">
        <f>SUM($K$498:$K$500)</f>
        <v>0</v>
      </c>
    </row>
    <row r="502" spans="1:11" ht="13">
      <c r="B502" s="341"/>
      <c r="C502" s="195"/>
      <c r="D502" s="342"/>
      <c r="E502" s="195"/>
      <c r="F502" s="195"/>
      <c r="G502" s="195"/>
      <c r="H502" s="195"/>
      <c r="I502" s="195"/>
      <c r="J502" s="195"/>
      <c r="K502" s="195"/>
    </row>
    <row r="503" spans="1:11" ht="13">
      <c r="A503" s="341" t="str">
        <f>co_name</f>
        <v>DUKE ENERGY KENTUCKY, INC.</v>
      </c>
      <c r="C503" s="195"/>
      <c r="D503" s="342"/>
      <c r="E503" s="195"/>
      <c r="F503" s="195"/>
      <c r="G503" s="195"/>
      <c r="H503" s="195"/>
      <c r="I503" s="195"/>
      <c r="J503" s="195" t="str">
        <f>$J$1</f>
        <v>FR-16(7)(v)-9</v>
      </c>
      <c r="K503" s="195"/>
    </row>
    <row r="504" spans="1:11" ht="13">
      <c r="A504" s="341" t="str">
        <f>$A$2</f>
        <v>RESIDENTIAL CLASSIFIED - GAS COST OF SERVICE</v>
      </c>
      <c r="C504" s="195"/>
      <c r="D504" s="342"/>
      <c r="E504" s="195"/>
      <c r="F504" s="195"/>
      <c r="G504" s="195"/>
      <c r="H504" s="195"/>
      <c r="I504" s="195"/>
      <c r="J504" s="195" t="str">
        <f>$J$2</f>
        <v>WITNESS RESPONSIBLE:</v>
      </c>
      <c r="K504" s="195"/>
    </row>
    <row r="505" spans="1:11" ht="13">
      <c r="A505" s="341" t="str">
        <f>case_name</f>
        <v>CASE NO: 2021-00190</v>
      </c>
      <c r="C505" s="195"/>
      <c r="D505" s="342"/>
      <c r="E505" s="195"/>
      <c r="F505" s="195"/>
      <c r="G505" s="195"/>
      <c r="H505" s="195"/>
      <c r="I505" s="195"/>
      <c r="J505" s="195" t="str">
        <f>Witness</f>
        <v>JAMES E. ZIOLKOWSKI</v>
      </c>
      <c r="K505" s="195"/>
    </row>
    <row r="506" spans="1:11" ht="13">
      <c r="A506" s="341" t="str">
        <f>data_filing</f>
        <v>DATA: 12 MONTH FORECASTED PERIOD</v>
      </c>
      <c r="C506" s="195"/>
      <c r="D506" s="342"/>
      <c r="E506" s="195"/>
      <c r="F506" s="195"/>
      <c r="G506" s="195"/>
      <c r="H506" s="195"/>
      <c r="I506" s="195"/>
      <c r="J506" s="195" t="str">
        <f>"PAGE "&amp;Pages2-3&amp;" OF "&amp;Pages2</f>
        <v>PAGE 12 OF 15</v>
      </c>
      <c r="K506" s="195"/>
    </row>
    <row r="507" spans="1:11" ht="13">
      <c r="A507" s="341" t="str">
        <f>type</f>
        <v xml:space="preserve">TYPE OF FILING: "X" ORIGINAL   UPDATED    REVISED  </v>
      </c>
      <c r="C507" s="195"/>
      <c r="D507" s="342"/>
      <c r="E507" s="195"/>
      <c r="F507" s="195"/>
      <c r="G507" s="195"/>
      <c r="H507" s="195"/>
      <c r="I507" s="195"/>
      <c r="J507" s="195"/>
      <c r="K507" s="195"/>
    </row>
    <row r="508" spans="1:11" ht="13">
      <c r="B508" s="341"/>
      <c r="C508" s="195"/>
      <c r="D508" s="342"/>
      <c r="E508" s="195"/>
      <c r="F508" s="195"/>
      <c r="G508" s="195"/>
      <c r="H508" s="195"/>
      <c r="I508" s="195"/>
      <c r="J508" s="195"/>
      <c r="K508" s="195"/>
    </row>
    <row r="509" spans="1:11" ht="13">
      <c r="B509" s="341"/>
      <c r="C509" s="195"/>
      <c r="D509" s="342"/>
      <c r="E509" s="195"/>
      <c r="F509" s="195"/>
      <c r="G509" s="195"/>
      <c r="H509" s="195"/>
      <c r="I509" s="195"/>
      <c r="J509" s="195"/>
      <c r="K509" s="195"/>
    </row>
    <row r="510" spans="1:11" ht="13">
      <c r="A510" s="342" t="s">
        <v>907</v>
      </c>
      <c r="B510" s="195"/>
      <c r="C510" s="195"/>
      <c r="D510" s="342"/>
      <c r="E510" s="195"/>
      <c r="F510" s="342" t="s">
        <v>229</v>
      </c>
      <c r="G510" s="539" t="s">
        <v>995</v>
      </c>
      <c r="H510" s="527"/>
      <c r="I510" s="528"/>
      <c r="J510" s="342" t="s">
        <v>229</v>
      </c>
      <c r="K510" s="342" t="s">
        <v>342</v>
      </c>
    </row>
    <row r="511" spans="1:11" ht="13">
      <c r="A511" s="344" t="s">
        <v>908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4" t="str">
        <f>$F$9</f>
        <v>RESIDENTIAL</v>
      </c>
      <c r="G511" s="540" t="s">
        <v>840</v>
      </c>
      <c r="H511" s="529" t="s">
        <v>841</v>
      </c>
      <c r="I511" s="530" t="s">
        <v>842</v>
      </c>
      <c r="J511" s="344" t="s">
        <v>341</v>
      </c>
      <c r="K511" s="344" t="s">
        <v>340</v>
      </c>
    </row>
    <row r="512" spans="1:11" ht="13">
      <c r="C512" s="572" t="s">
        <v>351</v>
      </c>
      <c r="D512" s="342"/>
      <c r="E512" s="195"/>
      <c r="G512" s="793">
        <f>$G$10</f>
        <v>3</v>
      </c>
      <c r="H512" s="794">
        <f>$H$10</f>
        <v>4</v>
      </c>
      <c r="I512" s="795">
        <f>$I$10</f>
        <v>5</v>
      </c>
    </row>
    <row r="513" spans="1:11" ht="13">
      <c r="A513" s="331">
        <v>1</v>
      </c>
      <c r="B513" s="330" t="s">
        <v>69</v>
      </c>
      <c r="D513" s="342"/>
      <c r="E513" s="195"/>
      <c r="G513" s="541"/>
      <c r="H513" s="531"/>
      <c r="I513" s="532"/>
    </row>
    <row r="514" spans="1:11" ht="13">
      <c r="A514" s="331">
        <v>2</v>
      </c>
      <c r="B514" s="330" t="s">
        <v>70</v>
      </c>
      <c r="D514" s="342"/>
      <c r="E514" s="195"/>
      <c r="F514" s="330" t="s">
        <v>343</v>
      </c>
      <c r="G514" s="541"/>
      <c r="H514" s="531"/>
      <c r="I514" s="532"/>
    </row>
    <row r="515" spans="1:11" ht="13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3">
        <f>'FR-16(7)(v)-8 TOT CLASS Alloc'!G515</f>
        <v>5486208</v>
      </c>
      <c r="G515" s="542">
        <f>'FR-16(7)(v)-5 DISTR Dem Alloc'!$G$515</f>
        <v>2651495</v>
      </c>
      <c r="H515" s="533">
        <f>'FR-16(7)(v)-3 PROD Comm Alloc'!$G$515</f>
        <v>84918</v>
      </c>
      <c r="I515" s="534">
        <f>'FR-16(7)(v)-6 DISTR Cust Alloc'!$G$515</f>
        <v>2749795</v>
      </c>
      <c r="J515" s="345">
        <f>SUM($G$515:$I$515)</f>
        <v>5486208</v>
      </c>
      <c r="K515" s="345">
        <f>F515-$J$515</f>
        <v>0</v>
      </c>
    </row>
    <row r="516" spans="1:11" ht="13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5486208</v>
      </c>
      <c r="G516" s="543">
        <f>$G$515</f>
        <v>2651495</v>
      </c>
      <c r="H516" s="535">
        <f>$H$515</f>
        <v>84918</v>
      </c>
      <c r="I516" s="536">
        <f>$I$515</f>
        <v>2749795</v>
      </c>
      <c r="J516" s="346">
        <f>$J$515</f>
        <v>5486208</v>
      </c>
      <c r="K516" s="346">
        <f>$K$515</f>
        <v>0</v>
      </c>
    </row>
    <row r="517" spans="1:11" ht="13">
      <c r="A517" s="331">
        <v>5</v>
      </c>
      <c r="D517" s="342"/>
      <c r="E517" s="195"/>
      <c r="F517" s="351"/>
      <c r="G517" s="541"/>
      <c r="H517" s="531"/>
      <c r="I517" s="532"/>
    </row>
    <row r="518" spans="1:11" ht="13">
      <c r="A518" s="331">
        <v>6</v>
      </c>
      <c r="B518" s="330" t="s">
        <v>71</v>
      </c>
      <c r="D518" s="342"/>
      <c r="E518" s="195"/>
      <c r="F518" s="351"/>
      <c r="G518" s="541"/>
      <c r="H518" s="531"/>
      <c r="I518" s="532"/>
    </row>
    <row r="519" spans="1:11" ht="13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3">
        <f>'FR-16(7)(v)-8 TOT CLASS Alloc'!G519</f>
        <v>6082267</v>
      </c>
      <c r="G519" s="542">
        <f>'FR-16(7)(v)-5 DISTR Dem Alloc'!$G$519</f>
        <v>2801888</v>
      </c>
      <c r="H519" s="533">
        <f>'FR-16(7)(v)-3 PROD Comm Alloc'!$G$519</f>
        <v>238580</v>
      </c>
      <c r="I519" s="534">
        <f>'FR-16(7)(v)-6 DISTR Cust Alloc'!$G$519</f>
        <v>3041799</v>
      </c>
      <c r="J519" s="345">
        <f>SUM($G$519:$I$519)</f>
        <v>6082267</v>
      </c>
      <c r="K519" s="345">
        <f>F519-$J$519</f>
        <v>0</v>
      </c>
    </row>
    <row r="520" spans="1:11" ht="13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3">
        <f>'FR-16(7)(v)-8 TOT CLASS Alloc'!G520</f>
        <v>-158777</v>
      </c>
      <c r="G520" s="542">
        <f>'FR-16(7)(v)-5 DISTR Dem Alloc'!$G$520</f>
        <v>-55924</v>
      </c>
      <c r="H520" s="533">
        <f>'FR-16(7)(v)-3 PROD Comm Alloc'!$G$520</f>
        <v>-22844</v>
      </c>
      <c r="I520" s="534">
        <f>'FR-16(7)(v)-6 DISTR Cust Alloc'!$G$520</f>
        <v>-80009</v>
      </c>
      <c r="J520" s="345">
        <f>SUM($G$520:$I$520)</f>
        <v>-158777</v>
      </c>
      <c r="K520" s="345">
        <f>F520-$J$520</f>
        <v>0</v>
      </c>
    </row>
    <row r="521" spans="1:11" ht="13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3">
        <f>'FR-16(7)(v)-8 TOT CLASS Alloc'!G521</f>
        <v>-1309185</v>
      </c>
      <c r="G521" s="542">
        <f>'FR-16(7)(v)-5 DISTR Dem Alloc'!$G$521</f>
        <v>-603095</v>
      </c>
      <c r="H521" s="533">
        <f>'FR-16(7)(v)-3 PROD Comm Alloc'!$G$521</f>
        <v>-51354</v>
      </c>
      <c r="I521" s="534">
        <f>'FR-16(7)(v)-6 DISTR Cust Alloc'!$G$521</f>
        <v>-654736</v>
      </c>
      <c r="J521" s="345">
        <f>SUM($G$521:$I$521)</f>
        <v>-1309185</v>
      </c>
      <c r="K521" s="345">
        <f>F521-$J$521</f>
        <v>0</v>
      </c>
    </row>
    <row r="522" spans="1:11" ht="13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4614305</v>
      </c>
      <c r="G522" s="543">
        <f>SUM($G$519:$G$521)</f>
        <v>2142869</v>
      </c>
      <c r="H522" s="535">
        <f>SUM($H$519:$H$521)</f>
        <v>164382</v>
      </c>
      <c r="I522" s="536">
        <f>SUM($I$519:$I$521)</f>
        <v>2307054</v>
      </c>
      <c r="J522" s="346">
        <f>SUM($J$519:$J$521)</f>
        <v>4614305</v>
      </c>
      <c r="K522" s="346">
        <f>SUM($K$519:$K$521)</f>
        <v>0</v>
      </c>
    </row>
    <row r="523" spans="1:11" ht="13">
      <c r="A523" s="331">
        <v>11</v>
      </c>
      <c r="D523" s="342"/>
      <c r="E523" s="195"/>
      <c r="F523" s="351"/>
      <c r="G523" s="541"/>
      <c r="H523" s="531"/>
      <c r="I523" s="532"/>
    </row>
    <row r="524" spans="1:11" ht="13">
      <c r="A524" s="331">
        <v>12</v>
      </c>
      <c r="B524" s="330" t="s">
        <v>72</v>
      </c>
      <c r="D524" s="342"/>
      <c r="E524" s="195"/>
      <c r="F524" s="347">
        <f>F522+F516</f>
        <v>10100513</v>
      </c>
      <c r="G524" s="542">
        <f>$G$522+$G$516</f>
        <v>4794364</v>
      </c>
      <c r="H524" s="533">
        <f>$H$522+$H$516</f>
        <v>249300</v>
      </c>
      <c r="I524" s="534">
        <f>$I$522+$I$516</f>
        <v>5056849</v>
      </c>
      <c r="J524" s="345">
        <f>$J$522+$J$516</f>
        <v>10100513</v>
      </c>
      <c r="K524" s="345">
        <f>$K$522+$K$516</f>
        <v>0</v>
      </c>
    </row>
    <row r="525" spans="1:11" ht="13">
      <c r="A525" s="331">
        <v>13</v>
      </c>
      <c r="D525" s="342"/>
      <c r="E525" s="195"/>
      <c r="F525" s="351"/>
      <c r="G525" s="541"/>
      <c r="H525" s="531"/>
      <c r="I525" s="532"/>
    </row>
    <row r="526" spans="1:11" ht="13">
      <c r="A526" s="331">
        <v>14</v>
      </c>
      <c r="B526" s="338" t="s">
        <v>541</v>
      </c>
      <c r="D526" s="342"/>
      <c r="E526" s="195"/>
      <c r="F526" s="351"/>
      <c r="G526" s="541"/>
      <c r="H526" s="531"/>
      <c r="I526" s="532"/>
    </row>
    <row r="527" spans="1:11" ht="13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3">
        <f>'FR-16(7)(v)-8 TOT CLASS Alloc'!G527</f>
        <v>920683</v>
      </c>
      <c r="G527" s="542">
        <f>'FR-16(7)(v)-5 DISTR Dem Alloc'!$G$527</f>
        <v>113951</v>
      </c>
      <c r="H527" s="533">
        <f>'FR-16(7)(v)-3 PROD Comm Alloc'!$G$527</f>
        <v>611715</v>
      </c>
      <c r="I527" s="534">
        <f>'FR-16(7)(v)-6 DISTR Cust Alloc'!$G$527</f>
        <v>195017</v>
      </c>
      <c r="J527" s="345">
        <f>SUM($G$527:$I$527)</f>
        <v>920683</v>
      </c>
      <c r="K527" s="345">
        <f>F527-$J$527</f>
        <v>0</v>
      </c>
    </row>
    <row r="528" spans="1:11" ht="13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3">
        <f>'FR-16(7)(v)-8 TOT CLASS Alloc'!G528</f>
        <v>10602</v>
      </c>
      <c r="G528" s="542">
        <f>'FR-16(7)(v)-5 DISTR Dem Alloc'!$G$528</f>
        <v>3735</v>
      </c>
      <c r="H528" s="533">
        <f>'FR-16(7)(v)-3 PROD Comm Alloc'!$G$528</f>
        <v>1526</v>
      </c>
      <c r="I528" s="534">
        <f>'FR-16(7)(v)-6 DISTR Cust Alloc'!$G$528</f>
        <v>5341</v>
      </c>
      <c r="J528" s="345">
        <f>SUM($G$528:$I$528)</f>
        <v>10602</v>
      </c>
      <c r="K528" s="345">
        <f>F528-$J$528</f>
        <v>0</v>
      </c>
    </row>
    <row r="529" spans="1:11" ht="13">
      <c r="A529" s="331">
        <v>17</v>
      </c>
      <c r="C529" s="612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3">
        <f>'FR-16(7)(v)-8 TOT CLASS Alloc'!G529</f>
        <v>0</v>
      </c>
      <c r="G529" s="542">
        <f>'FR-16(7)(v)-5 DISTR Dem Alloc'!$G$529</f>
        <v>0</v>
      </c>
      <c r="H529" s="533">
        <f>'FR-16(7)(v)-3 PROD Comm Alloc'!$G$529</f>
        <v>0</v>
      </c>
      <c r="I529" s="534">
        <f>'FR-16(7)(v)-6 DISTR Cust Alloc'!$G$529</f>
        <v>0</v>
      </c>
      <c r="J529" s="345">
        <f>SUM($G$529:$I$529)</f>
        <v>0</v>
      </c>
      <c r="K529" s="345">
        <f>F529-$J$529</f>
        <v>0</v>
      </c>
    </row>
    <row r="530" spans="1:11" ht="13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3">
        <f>'FR-16(7)(v)-8 TOT CLASS Alloc'!G530</f>
        <v>-36063</v>
      </c>
      <c r="G530" s="542">
        <f>'FR-16(7)(v)-5 DISTR Dem Alloc'!$G$530</f>
        <v>0</v>
      </c>
      <c r="H530" s="533">
        <f>'FR-16(7)(v)-3 PROD Comm Alloc'!$G$530</f>
        <v>-36063</v>
      </c>
      <c r="I530" s="534">
        <f>'FR-16(7)(v)-6 DISTR Cust Alloc'!$G$530</f>
        <v>0</v>
      </c>
      <c r="J530" s="345">
        <f>SUM($G$530:$I$530)</f>
        <v>-36063</v>
      </c>
      <c r="K530" s="345">
        <f>F530-$J$530</f>
        <v>0</v>
      </c>
    </row>
    <row r="531" spans="1:11" ht="13">
      <c r="A531" s="331">
        <v>19</v>
      </c>
      <c r="C531" s="357" t="s">
        <v>1418</v>
      </c>
      <c r="D531" s="342" t="str">
        <f>'FR-16(7)(v)-1 Functional'!D531</f>
        <v>AG39</v>
      </c>
      <c r="E531" s="195"/>
      <c r="F531" s="473">
        <f>'FR-16(7)(v)-8 TOT CLASS Alloc'!G531</f>
        <v>-426672</v>
      </c>
      <c r="G531" s="542">
        <f>'FR-16(7)(v)-5 DISTR Dem Alloc'!$G$531</f>
        <v>-150280</v>
      </c>
      <c r="H531" s="533">
        <f>'FR-16(7)(v)-3 PROD Comm Alloc'!$G$531</f>
        <v>-61388</v>
      </c>
      <c r="I531" s="534">
        <f>'FR-16(7)(v)-6 DISTR Cust Alloc'!$G$531</f>
        <v>-215004</v>
      </c>
      <c r="J531" s="345">
        <f>SUM($G$531:$I$531)</f>
        <v>-426672</v>
      </c>
      <c r="K531" s="345">
        <f>F531-$J$531</f>
        <v>0</v>
      </c>
    </row>
    <row r="532" spans="1:11" ht="13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468550</v>
      </c>
      <c r="G532" s="543">
        <f>SUM($G$527:$G$531)</f>
        <v>-32594</v>
      </c>
      <c r="H532" s="535">
        <f>SUM($H$527:$H$531)</f>
        <v>515790</v>
      </c>
      <c r="I532" s="536">
        <f>SUM($I$527:$I$531)</f>
        <v>-14646</v>
      </c>
      <c r="J532" s="346">
        <f>SUM($J$527:$J$531)</f>
        <v>468550</v>
      </c>
      <c r="K532" s="346">
        <f>SUM($K$527:$K$531)</f>
        <v>0</v>
      </c>
    </row>
    <row r="533" spans="1:11" ht="13">
      <c r="A533" s="331">
        <v>21</v>
      </c>
      <c r="D533" s="342"/>
      <c r="E533" s="195"/>
      <c r="F533" s="351"/>
      <c r="G533" s="541"/>
      <c r="H533" s="531"/>
      <c r="I533" s="532"/>
    </row>
    <row r="534" spans="1:11" ht="13">
      <c r="A534" s="331">
        <v>22</v>
      </c>
      <c r="B534" s="330" t="s">
        <v>418</v>
      </c>
      <c r="D534" s="342"/>
      <c r="E534" s="195"/>
      <c r="F534" s="351"/>
      <c r="G534" s="541"/>
      <c r="H534" s="531"/>
      <c r="I534" s="532"/>
    </row>
    <row r="535" spans="1:11" ht="13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3">
        <f>'FR-16(7)(v)-8 TOT CLASS Alloc'!G535</f>
        <v>38702</v>
      </c>
      <c r="G535" s="542">
        <f>'FR-16(7)(v)-5 DISTR Dem Alloc'!$G$535</f>
        <v>18860</v>
      </c>
      <c r="H535" s="533">
        <f>'FR-16(7)(v)-3 PROD Comm Alloc'!$G$535</f>
        <v>297</v>
      </c>
      <c r="I535" s="534">
        <f>'FR-16(7)(v)-6 DISTR Cust Alloc'!$G$535</f>
        <v>19545</v>
      </c>
      <c r="J535" s="345">
        <f>SUM($G$535:$I$535)</f>
        <v>38702</v>
      </c>
      <c r="K535" s="506">
        <f>F535-$J$535</f>
        <v>0</v>
      </c>
    </row>
    <row r="536" spans="1:11" ht="13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38702</v>
      </c>
      <c r="G536" s="543">
        <f>SUM($G$535:$G$535)</f>
        <v>18860</v>
      </c>
      <c r="H536" s="535">
        <f>SUM($H$535:$H$535)</f>
        <v>297</v>
      </c>
      <c r="I536" s="536">
        <f>SUM($I$535:$I$535)</f>
        <v>19545</v>
      </c>
      <c r="J536" s="346">
        <f>SUM($J$535:$J$535)</f>
        <v>38702</v>
      </c>
      <c r="K536" s="346">
        <f>SUM($K$535:$K$535)</f>
        <v>0</v>
      </c>
    </row>
    <row r="537" spans="1:11" ht="13">
      <c r="A537" s="331">
        <v>25</v>
      </c>
      <c r="D537" s="342"/>
      <c r="E537" s="195"/>
      <c r="F537" s="504"/>
      <c r="G537" s="566"/>
      <c r="H537" s="567"/>
      <c r="I537" s="568"/>
      <c r="J537" s="504"/>
      <c r="K537" s="504"/>
    </row>
    <row r="538" spans="1:11" ht="15.5">
      <c r="A538" s="331">
        <v>26</v>
      </c>
      <c r="B538" s="330" t="s">
        <v>73</v>
      </c>
      <c r="D538" s="729"/>
      <c r="E538" s="1"/>
      <c r="F538" s="504"/>
      <c r="G538" s="566"/>
      <c r="H538" s="567"/>
      <c r="I538" s="568"/>
      <c r="J538" s="504"/>
      <c r="K538" s="504"/>
    </row>
    <row r="539" spans="1:11" ht="13">
      <c r="A539" s="331">
        <v>27</v>
      </c>
      <c r="C539" s="330" t="str">
        <f>'FR-16(7)(v)-1 Functional'!C539</f>
        <v>PROV INVEST TAX CREDIT</v>
      </c>
      <c r="D539" s="342" t="s">
        <v>315</v>
      </c>
      <c r="F539" s="473">
        <f>'FR-16(7)(v)-8 TOT CLASS Alloc'!G539</f>
        <v>0</v>
      </c>
      <c r="G539" s="542">
        <f>'FR-16(7)(v)-5 DISTR Dem Alloc'!$G$539</f>
        <v>0</v>
      </c>
      <c r="H539" s="533">
        <f>'FR-16(7)(v)-3 PROD Comm Alloc'!$G$539</f>
        <v>0</v>
      </c>
      <c r="I539" s="534">
        <f>'FR-16(7)(v)-6 DISTR Cust Alloc'!$G$539</f>
        <v>0</v>
      </c>
      <c r="J539" s="345">
        <f>SUM($G$539:$I$539)</f>
        <v>0</v>
      </c>
      <c r="K539" s="345">
        <f>F539-$J$539</f>
        <v>0</v>
      </c>
    </row>
    <row r="540" spans="1:11" ht="15.5">
      <c r="A540" s="331">
        <v>28</v>
      </c>
      <c r="C540" s="337" t="str">
        <f>'FR-16(7)(v)-1 Functional'!C540</f>
        <v xml:space="preserve">  TEST YEAR INV TAX CREDIT</v>
      </c>
      <c r="D540" s="729"/>
      <c r="E540" s="1"/>
      <c r="F540" s="346">
        <f>SUM(F539:F539)</f>
        <v>0</v>
      </c>
      <c r="G540" s="543">
        <f>SUM($G$539:$G$539)</f>
        <v>0</v>
      </c>
      <c r="H540" s="535">
        <f>SUM($H$539:$H$539)</f>
        <v>0</v>
      </c>
      <c r="I540" s="536">
        <f>SUM($I$539:$I$539)</f>
        <v>0</v>
      </c>
      <c r="J540" s="346">
        <f>SUM($J$539:$J$539)</f>
        <v>0</v>
      </c>
      <c r="K540" s="346">
        <f>SUM($K$539:$K$539)</f>
        <v>0</v>
      </c>
    </row>
    <row r="541" spans="1:11" ht="15.5">
      <c r="A541" s="331">
        <v>29</v>
      </c>
      <c r="B541" s="192"/>
      <c r="C541" s="192"/>
      <c r="D541" s="729"/>
      <c r="E541" s="1"/>
      <c r="F541" s="504"/>
      <c r="G541" s="566"/>
      <c r="H541" s="567"/>
      <c r="I541" s="568"/>
      <c r="J541" s="504"/>
      <c r="K541" s="504"/>
    </row>
    <row r="542" spans="1:11" ht="15.5">
      <c r="A542" s="331">
        <v>30</v>
      </c>
      <c r="B542" s="330" t="s">
        <v>40</v>
      </c>
      <c r="C542" s="192"/>
      <c r="D542" s="729"/>
      <c r="E542" s="1"/>
      <c r="F542" s="504"/>
      <c r="G542" s="566"/>
      <c r="H542" s="567"/>
      <c r="I542" s="568"/>
      <c r="J542" s="504"/>
      <c r="K542" s="504"/>
    </row>
    <row r="543" spans="1:11" ht="13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468550</v>
      </c>
      <c r="G543" s="542">
        <f>$G$532</f>
        <v>-32594</v>
      </c>
      <c r="H543" s="533">
        <f>$H$532</f>
        <v>515790</v>
      </c>
      <c r="I543" s="534">
        <f>$I$532</f>
        <v>-14646</v>
      </c>
      <c r="J543" s="345">
        <f>$J$532</f>
        <v>468550</v>
      </c>
      <c r="K543" s="345">
        <f>$K$532</f>
        <v>0</v>
      </c>
    </row>
    <row r="544" spans="1:11" ht="13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-38702</v>
      </c>
      <c r="G544" s="542">
        <f>-$G$536</f>
        <v>-18860</v>
      </c>
      <c r="H544" s="533">
        <f>-$H$536</f>
        <v>-297</v>
      </c>
      <c r="I544" s="534">
        <f>-$I$536</f>
        <v>-19545</v>
      </c>
      <c r="J544" s="345">
        <f>-$J$536</f>
        <v>-38702</v>
      </c>
      <c r="K544" s="345">
        <f>-$K$536</f>
        <v>0</v>
      </c>
    </row>
    <row r="545" spans="1:11" ht="13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429848</v>
      </c>
      <c r="G545" s="543">
        <f>SUM($G$543:$G$544)</f>
        <v>-51454</v>
      </c>
      <c r="H545" s="535">
        <f>SUM($H$543:$H$544)</f>
        <v>515493</v>
      </c>
      <c r="I545" s="536">
        <f>SUM($I$543:$I$544)</f>
        <v>-34191</v>
      </c>
      <c r="J545" s="346">
        <f>SUM($J$543:$J$544)</f>
        <v>429848</v>
      </c>
      <c r="K545" s="346">
        <f>SUM($K$543:$K$544)</f>
        <v>0</v>
      </c>
    </row>
    <row r="546" spans="1:11" ht="13">
      <c r="A546" s="331">
        <v>34</v>
      </c>
      <c r="D546" s="342"/>
      <c r="E546" s="195"/>
      <c r="F546" s="351"/>
      <c r="G546" s="541"/>
      <c r="H546" s="531"/>
      <c r="I546" s="532"/>
    </row>
    <row r="547" spans="1:11" ht="13">
      <c r="A547" s="331">
        <v>35</v>
      </c>
      <c r="B547" s="330" t="s">
        <v>74</v>
      </c>
      <c r="D547" s="342"/>
      <c r="E547" s="195"/>
      <c r="F547" s="351"/>
      <c r="G547" s="541"/>
      <c r="H547" s="531"/>
      <c r="I547" s="532"/>
    </row>
    <row r="548" spans="1:11" ht="13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K548" si="95">F334</f>
        <v>21066761</v>
      </c>
      <c r="G548" s="542">
        <f t="shared" si="95"/>
        <v>10181600</v>
      </c>
      <c r="H548" s="533">
        <f t="shared" si="95"/>
        <v>326024</v>
      </c>
      <c r="I548" s="534">
        <f t="shared" si="95"/>
        <v>10559137</v>
      </c>
      <c r="J548" s="345">
        <f t="shared" si="95"/>
        <v>21066761</v>
      </c>
      <c r="K548" s="345">
        <f t="shared" si="95"/>
        <v>0</v>
      </c>
    </row>
    <row r="549" spans="1:11" ht="13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-10100513</v>
      </c>
      <c r="G549" s="542">
        <f>-$G$524</f>
        <v>-4794364</v>
      </c>
      <c r="H549" s="533">
        <f>-$H$524</f>
        <v>-249300</v>
      </c>
      <c r="I549" s="534">
        <f>-$I$524</f>
        <v>-5056849</v>
      </c>
      <c r="J549" s="345">
        <f>-$J$524</f>
        <v>-10100513</v>
      </c>
      <c r="K549" s="345">
        <f>-$K$524</f>
        <v>0</v>
      </c>
    </row>
    <row r="550" spans="1:11" ht="13">
      <c r="A550" s="331">
        <v>38</v>
      </c>
      <c r="C550" s="330" t="s">
        <v>1419</v>
      </c>
      <c r="D550" s="342"/>
      <c r="E550" s="195"/>
      <c r="F550" s="347">
        <f t="shared" ref="F550:K550" ca="1" si="96">F591</f>
        <v>402437</v>
      </c>
      <c r="G550" s="542">
        <f t="shared" ca="1" si="96"/>
        <v>3614</v>
      </c>
      <c r="H550" s="533">
        <f t="shared" ca="1" si="96"/>
        <v>0</v>
      </c>
      <c r="I550" s="534">
        <f t="shared" ca="1" si="96"/>
        <v>398823</v>
      </c>
      <c r="J550" s="345">
        <f t="shared" ca="1" si="96"/>
        <v>402437</v>
      </c>
      <c r="K550" s="345">
        <f t="shared" ca="1" si="96"/>
        <v>0</v>
      </c>
    </row>
    <row r="551" spans="1:11" ht="13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429848</v>
      </c>
      <c r="G551" s="542">
        <f>$G$545</f>
        <v>-51454</v>
      </c>
      <c r="H551" s="533">
        <f>$H$545</f>
        <v>515493</v>
      </c>
      <c r="I551" s="534">
        <f>$I$545</f>
        <v>-34191</v>
      </c>
      <c r="J551" s="345">
        <f>$J$545</f>
        <v>429848</v>
      </c>
      <c r="K551" s="345">
        <f>$K$545</f>
        <v>0</v>
      </c>
    </row>
    <row r="552" spans="1:11" ht="13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 ca="1">SUM(F548:F551)</f>
        <v>11798533</v>
      </c>
      <c r="G552" s="543">
        <f ca="1">SUM($G$548:$G$551)</f>
        <v>5339396</v>
      </c>
      <c r="H552" s="535">
        <f ca="1">SUM($H$548:$H$551)</f>
        <v>592217</v>
      </c>
      <c r="I552" s="536">
        <f ca="1">SUM($I$548:$I$551)</f>
        <v>5866920</v>
      </c>
      <c r="J552" s="346">
        <f ca="1">SUM($J$548:$J$551)</f>
        <v>11798533</v>
      </c>
      <c r="K552" s="346">
        <f ca="1">SUM($K$548:$K$551)</f>
        <v>0</v>
      </c>
    </row>
    <row r="553" spans="1:11" ht="13">
      <c r="A553" s="331">
        <v>41</v>
      </c>
      <c r="D553" s="342"/>
      <c r="E553" s="195"/>
      <c r="F553" s="351"/>
      <c r="G553" s="541"/>
      <c r="H553" s="531"/>
      <c r="I553" s="532"/>
    </row>
    <row r="554" spans="1:11" ht="13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560">
        <f>ROUND(G692/(1-G692),9)</f>
        <v>0.26582278500000001</v>
      </c>
      <c r="H554" s="561">
        <f>ROUND(H692/(1-H692),9)</f>
        <v>0.26582278500000001</v>
      </c>
      <c r="I554" s="562">
        <f>ROUND(I692/(1-I692),9)</f>
        <v>0.26582278500000001</v>
      </c>
      <c r="J554" s="348"/>
      <c r="K554" s="348">
        <f>ROUND(K692/(1-K692),9)</f>
        <v>0.26582278500000001</v>
      </c>
    </row>
    <row r="555" spans="1:11" ht="13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 ca="1">ROUND(F554*F552,0)</f>
        <v>3136319</v>
      </c>
      <c r="G555" s="554">
        <f ca="1">F555-SUM(H555:I555)</f>
        <v>1419333</v>
      </c>
      <c r="H555" s="555">
        <f ca="1">ROUND($H$552*$H$554,0)</f>
        <v>157425</v>
      </c>
      <c r="I555" s="556">
        <f ca="1">ROUND($I$552*$I$554,0)</f>
        <v>1559561</v>
      </c>
      <c r="J555" s="345">
        <f ca="1">SUM($G$555:$I$555)</f>
        <v>3136319</v>
      </c>
      <c r="K555" s="345">
        <f ca="1">ROUND($K$552*$K$554,0)</f>
        <v>0</v>
      </c>
    </row>
    <row r="556" spans="1:11" ht="13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429848</v>
      </c>
      <c r="G556" s="542">
        <f>$G$545</f>
        <v>-51454</v>
      </c>
      <c r="H556" s="533">
        <f>$H$545</f>
        <v>515493</v>
      </c>
      <c r="I556" s="534">
        <f>$I$545</f>
        <v>-34191</v>
      </c>
      <c r="J556" s="345">
        <f>$J$545</f>
        <v>429848</v>
      </c>
      <c r="K556" s="345">
        <f>$K$545</f>
        <v>0</v>
      </c>
    </row>
    <row r="557" spans="1:11" ht="13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 ca="1">SUM(F555:F556)</f>
        <v>3566167</v>
      </c>
      <c r="G557" s="543">
        <f ca="1">SUM($G$555:$G$556)</f>
        <v>1367879</v>
      </c>
      <c r="H557" s="535">
        <f ca="1">SUM($H$555:$H$556)</f>
        <v>672918</v>
      </c>
      <c r="I557" s="536">
        <f ca="1">SUM($I$555:$I$556)</f>
        <v>1525370</v>
      </c>
      <c r="J557" s="346">
        <f ca="1">SUM($J$555:$J$556)</f>
        <v>3566167</v>
      </c>
      <c r="K557" s="346">
        <f ca="1">SUM($K$555:$K$556)</f>
        <v>0</v>
      </c>
    </row>
    <row r="558" spans="1:11" ht="13">
      <c r="A558" s="331">
        <v>46</v>
      </c>
      <c r="D558" s="342"/>
      <c r="E558" s="195"/>
      <c r="F558" s="351"/>
      <c r="G558" s="541"/>
      <c r="H558" s="531"/>
      <c r="I558" s="532"/>
    </row>
    <row r="559" spans="1:11" ht="13">
      <c r="A559" s="331">
        <v>47</v>
      </c>
      <c r="B559" s="330" t="s">
        <v>68</v>
      </c>
      <c r="D559" s="342"/>
      <c r="E559" s="195"/>
      <c r="F559" s="351"/>
      <c r="G559" s="541"/>
      <c r="H559" s="531"/>
      <c r="I559" s="532"/>
    </row>
    <row r="560" spans="1:11" ht="13">
      <c r="A560" s="331">
        <v>48</v>
      </c>
      <c r="B560" s="330" t="s">
        <v>75</v>
      </c>
      <c r="D560" s="342"/>
      <c r="E560" s="195"/>
      <c r="F560" s="351"/>
      <c r="G560" s="541"/>
      <c r="H560" s="531"/>
      <c r="I560" s="532"/>
    </row>
    <row r="561" spans="1:11" ht="13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 ca="1">F555</f>
        <v>3136319</v>
      </c>
      <c r="G561" s="542">
        <f ca="1">$G$555</f>
        <v>1419333</v>
      </c>
      <c r="H561" s="533">
        <f ca="1">$H$555</f>
        <v>157425</v>
      </c>
      <c r="I561" s="534">
        <f ca="1">$I$555</f>
        <v>1559561</v>
      </c>
      <c r="J561" s="345">
        <f ca="1">$J$555</f>
        <v>3136319</v>
      </c>
      <c r="K561" s="345">
        <f ca="1">$K$555</f>
        <v>0</v>
      </c>
    </row>
    <row r="562" spans="1:11" ht="13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544">
        <f>-$G$540</f>
        <v>0</v>
      </c>
      <c r="H562" s="537">
        <f>-$H$540</f>
        <v>0</v>
      </c>
      <c r="I562" s="538">
        <f>-$I$540</f>
        <v>0</v>
      </c>
      <c r="J562" s="345">
        <f>-$J$540</f>
        <v>0</v>
      </c>
      <c r="K562" s="345">
        <f>-$K$540</f>
        <v>0</v>
      </c>
    </row>
    <row r="563" spans="1:11" ht="13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 ca="1">SUM(F560:F562)</f>
        <v>3136319</v>
      </c>
      <c r="G563" s="543">
        <f ca="1">SUM($G$560:$G$562)</f>
        <v>1419333</v>
      </c>
      <c r="H563" s="535">
        <f ca="1">SUM($H$560:$H$562)</f>
        <v>157425</v>
      </c>
      <c r="I563" s="536">
        <f ca="1">SUM($I$560:$I$562)</f>
        <v>1559561</v>
      </c>
      <c r="J563" s="346">
        <f ca="1">SUM($J$560:$J$562)</f>
        <v>3136319</v>
      </c>
      <c r="K563" s="346">
        <f ca="1">SUM($K$560:$K$562)</f>
        <v>0</v>
      </c>
    </row>
    <row r="564" spans="1:11" ht="13">
      <c r="A564" s="331">
        <v>52</v>
      </c>
      <c r="D564" s="342"/>
      <c r="E564" s="195"/>
      <c r="G564" s="541"/>
      <c r="H564" s="531"/>
      <c r="I564" s="532"/>
    </row>
    <row r="565" spans="1:11" ht="13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563">
        <f>ROUND((G693*(1-G692))+((1-G693)*(1-G692)*G694)+G692,5)</f>
        <v>0.24925</v>
      </c>
      <c r="H565" s="564">
        <f>ROUND((H693*(1-H692))+((1-H693)*(1-H692)*H694)+H692,5)</f>
        <v>0.24925</v>
      </c>
      <c r="I565" s="565">
        <f>ROUND((I693*(1-I692))+((1-I693)*(1-I692)*I694)+I692,5)</f>
        <v>0.24925</v>
      </c>
      <c r="K565" s="330">
        <f>ROUND((K693*(1-K692))+((1-K693)*(1-K692)*K694)+K692,5)</f>
        <v>0.24925</v>
      </c>
    </row>
    <row r="566" spans="1:11" ht="13">
      <c r="B566" s="341"/>
      <c r="C566" s="195"/>
      <c r="D566" s="342"/>
      <c r="E566" s="195"/>
      <c r="F566" s="195"/>
      <c r="G566" s="195"/>
      <c r="H566" s="195"/>
      <c r="I566" s="195"/>
      <c r="J566" s="195"/>
      <c r="K566" s="195"/>
    </row>
    <row r="567" spans="1:11" ht="13">
      <c r="A567" s="341" t="str">
        <f>co_name</f>
        <v>DUKE ENERGY KENTUCKY, INC.</v>
      </c>
      <c r="C567" s="195"/>
      <c r="D567" s="342"/>
      <c r="E567" s="195"/>
      <c r="F567" s="195"/>
      <c r="G567" s="195"/>
      <c r="H567" s="195"/>
      <c r="I567" s="195"/>
      <c r="J567" s="195" t="str">
        <f>$J$1</f>
        <v>FR-16(7)(v)-9</v>
      </c>
      <c r="K567" s="195"/>
    </row>
    <row r="568" spans="1:11" ht="13">
      <c r="A568" s="341" t="str">
        <f>$A$2</f>
        <v>RESIDENTIAL CLASSIFIED - GAS COST OF SERVICE</v>
      </c>
      <c r="C568" s="195"/>
      <c r="D568" s="342"/>
      <c r="E568" s="195"/>
      <c r="F568" s="195"/>
      <c r="G568" s="195"/>
      <c r="H568" s="195"/>
      <c r="I568" s="195"/>
      <c r="J568" s="195" t="str">
        <f>$J$2</f>
        <v>WITNESS RESPONSIBLE:</v>
      </c>
      <c r="K568" s="195"/>
    </row>
    <row r="569" spans="1:11" ht="13">
      <c r="A569" s="341" t="str">
        <f>case_name</f>
        <v>CASE NO: 2021-00190</v>
      </c>
      <c r="C569" s="195"/>
      <c r="D569" s="342"/>
      <c r="E569" s="195"/>
      <c r="F569" s="195"/>
      <c r="G569" s="195"/>
      <c r="H569" s="195"/>
      <c r="I569" s="195"/>
      <c r="J569" s="195" t="str">
        <f>Witness</f>
        <v>JAMES E. ZIOLKOWSKI</v>
      </c>
      <c r="K569" s="195"/>
    </row>
    <row r="570" spans="1:11" ht="13">
      <c r="A570" s="341" t="str">
        <f>data_filing</f>
        <v>DATA: 12 MONTH FORECASTED PERIOD</v>
      </c>
      <c r="C570" s="195"/>
      <c r="D570" s="342"/>
      <c r="E570" s="195"/>
      <c r="F570" s="195"/>
      <c r="G570" s="195"/>
      <c r="H570" s="195"/>
      <c r="I570" s="195"/>
      <c r="J570" s="195" t="str">
        <f>"PAGE "&amp;Pages2-2&amp;" OF "&amp;Pages2</f>
        <v>PAGE 13 OF 15</v>
      </c>
      <c r="K570" s="195"/>
    </row>
    <row r="571" spans="1:11" ht="13">
      <c r="A571" s="341" t="str">
        <f>type</f>
        <v xml:space="preserve">TYPE OF FILING: "X" ORIGINAL   UPDATED    REVISED  </v>
      </c>
      <c r="C571" s="195"/>
      <c r="D571" s="342"/>
      <c r="E571" s="195"/>
      <c r="F571" s="195"/>
      <c r="G571" s="195"/>
      <c r="H571" s="195"/>
      <c r="I571" s="195"/>
      <c r="J571" s="195"/>
      <c r="K571" s="195"/>
    </row>
    <row r="574" spans="1:11" ht="13">
      <c r="A574" s="342" t="s">
        <v>907</v>
      </c>
      <c r="B574" s="1352"/>
      <c r="C574" s="1083"/>
      <c r="D574" s="1083"/>
      <c r="E574" s="340"/>
      <c r="F574" s="352" t="s">
        <v>229</v>
      </c>
      <c r="G574" s="539" t="s">
        <v>995</v>
      </c>
      <c r="H574" s="527"/>
      <c r="I574" s="528"/>
      <c r="J574" s="342" t="s">
        <v>229</v>
      </c>
      <c r="K574" s="342" t="s">
        <v>342</v>
      </c>
    </row>
    <row r="575" spans="1:11" ht="13">
      <c r="A575" s="344" t="s">
        <v>908</v>
      </c>
      <c r="B575" s="1354" t="s">
        <v>1376</v>
      </c>
      <c r="C575" s="1355"/>
      <c r="D575" s="1356" t="s">
        <v>1377</v>
      </c>
      <c r="E575" s="1357"/>
      <c r="F575" s="353" t="str">
        <f>$F$9</f>
        <v>RESIDENTIAL</v>
      </c>
      <c r="G575" s="540" t="s">
        <v>840</v>
      </c>
      <c r="H575" s="529" t="s">
        <v>841</v>
      </c>
      <c r="I575" s="530" t="s">
        <v>842</v>
      </c>
      <c r="J575" s="344" t="s">
        <v>341</v>
      </c>
      <c r="K575" s="344" t="s">
        <v>340</v>
      </c>
    </row>
    <row r="576" spans="1:11" ht="15.5">
      <c r="A576" s="1358"/>
      <c r="B576" s="1359"/>
      <c r="C576" s="1360" t="s">
        <v>1378</v>
      </c>
      <c r="D576" s="1361"/>
      <c r="E576" s="340"/>
      <c r="F576" s="351"/>
      <c r="G576" s="1407">
        <f>$G$10</f>
        <v>3</v>
      </c>
      <c r="H576" s="1408">
        <f>$H$10</f>
        <v>4</v>
      </c>
      <c r="I576" s="1409">
        <f>$I$10</f>
        <v>5</v>
      </c>
    </row>
    <row r="577" spans="1:11" ht="13">
      <c r="A577" s="961">
        <v>1</v>
      </c>
      <c r="B577" s="1365" t="s">
        <v>1379</v>
      </c>
      <c r="C577" s="1352"/>
      <c r="D577" s="1352"/>
      <c r="E577" s="340"/>
      <c r="F577" s="340"/>
      <c r="G577" s="1410"/>
      <c r="H577" s="1411"/>
      <c r="I577" s="1412"/>
      <c r="J577" s="195"/>
      <c r="K577" s="195"/>
    </row>
    <row r="578" spans="1:11" ht="13">
      <c r="A578" s="961">
        <v>2</v>
      </c>
      <c r="B578" s="1369" t="s">
        <v>1380</v>
      </c>
      <c r="C578" s="1352"/>
      <c r="D578" s="1370" t="s">
        <v>315</v>
      </c>
      <c r="E578" s="340"/>
      <c r="F578" s="473">
        <f ca="1">'FR-16(7)(v)-8 TOT CLASS Alloc'!G578</f>
        <v>4310711</v>
      </c>
      <c r="G578" s="542">
        <f ca="1">ROUND(F578*VLOOKUP(D578,AllocTable_Functional,$G$10,FALSE),0)</f>
        <v>38710</v>
      </c>
      <c r="H578" s="533">
        <f ca="1">ROUND(F578*VLOOKUP(D578,AllocTable_Functional,$H$10,FALSE),0)</f>
        <v>0</v>
      </c>
      <c r="I578" s="534">
        <f ca="1">ROUND(F578*VLOOKUP(D578,AllocTable_Functional,$I$10,FALSE),0)</f>
        <v>4272001</v>
      </c>
      <c r="J578" s="345">
        <f ca="1">SUM(G578:I578)</f>
        <v>4310711</v>
      </c>
      <c r="K578" s="345">
        <f ca="1">F578-J578</f>
        <v>0</v>
      </c>
    </row>
    <row r="579" spans="1:11" ht="13">
      <c r="A579" s="961">
        <v>3</v>
      </c>
      <c r="B579" s="1369" t="s">
        <v>1152</v>
      </c>
      <c r="C579" s="1371"/>
      <c r="D579" s="1370" t="s">
        <v>315</v>
      </c>
      <c r="E579" s="340"/>
      <c r="F579" s="1372">
        <f>'FR-16(7)(v)-8 TOT CLASS Alloc'!G579</f>
        <v>0</v>
      </c>
      <c r="G579" s="544">
        <f>ROUND(F579*VLOOKUP(D579,AllocTable_Functional,$G$10,FALSE),0)</f>
        <v>0</v>
      </c>
      <c r="H579" s="537">
        <f>ROUND(F579*VLOOKUP(D579,AllocTable_Functional,$H$10,FALSE),0)</f>
        <v>0</v>
      </c>
      <c r="I579" s="538">
        <f>ROUND(F579*VLOOKUP(D579,AllocTable_Functional,$I$10,FALSE),0)</f>
        <v>0</v>
      </c>
      <c r="J579" s="496">
        <f>SUM(G579:I579)</f>
        <v>0</v>
      </c>
      <c r="K579" s="496">
        <f>F579-J579</f>
        <v>0</v>
      </c>
    </row>
    <row r="580" spans="1:11" ht="13">
      <c r="A580" s="961">
        <v>4</v>
      </c>
      <c r="B580" s="1373" t="s">
        <v>1381</v>
      </c>
      <c r="C580" s="1352"/>
      <c r="D580" s="1374"/>
      <c r="E580" s="340"/>
      <c r="F580" s="1280">
        <f t="shared" ref="F580:K580" ca="1" si="97">SUM(F578:F579)</f>
        <v>4310711</v>
      </c>
      <c r="G580" s="1413">
        <f t="shared" ca="1" si="97"/>
        <v>38710</v>
      </c>
      <c r="H580" s="1414">
        <f t="shared" ca="1" si="97"/>
        <v>0</v>
      </c>
      <c r="I580" s="1415">
        <f t="shared" ca="1" si="97"/>
        <v>4272001</v>
      </c>
      <c r="J580" s="333">
        <f t="shared" ca="1" si="97"/>
        <v>4310711</v>
      </c>
      <c r="K580" s="333">
        <f t="shared" ca="1" si="97"/>
        <v>0</v>
      </c>
    </row>
    <row r="581" spans="1:11" ht="15.5">
      <c r="A581" s="961">
        <v>5</v>
      </c>
      <c r="B581" s="1358"/>
      <c r="C581" s="1361"/>
      <c r="D581" s="1375"/>
      <c r="E581" s="340"/>
      <c r="F581" s="351"/>
      <c r="G581" s="541"/>
      <c r="H581" s="531"/>
      <c r="I581" s="532"/>
    </row>
    <row r="582" spans="1:11" ht="13">
      <c r="A582" s="961">
        <v>6</v>
      </c>
      <c r="B582" s="1376" t="s">
        <v>1382</v>
      </c>
      <c r="C582" s="1352"/>
      <c r="D582" s="1374"/>
      <c r="E582" s="340"/>
      <c r="F582" s="351"/>
      <c r="G582" s="541"/>
      <c r="H582" s="531"/>
      <c r="I582" s="532"/>
    </row>
    <row r="583" spans="1:11" ht="13">
      <c r="A583" s="961">
        <v>7</v>
      </c>
      <c r="B583" s="1377" t="s">
        <v>1383</v>
      </c>
      <c r="C583" s="1352"/>
      <c r="D583" s="1374"/>
      <c r="E583" s="340"/>
      <c r="F583" s="351"/>
      <c r="G583" s="541"/>
      <c r="H583" s="531"/>
      <c r="I583" s="532"/>
    </row>
    <row r="584" spans="1:11" ht="13">
      <c r="A584" s="961">
        <v>8</v>
      </c>
      <c r="B584" s="1378" t="s">
        <v>1384</v>
      </c>
      <c r="C584" s="1371"/>
      <c r="D584" s="1370" t="s">
        <v>315</v>
      </c>
      <c r="E584" s="340"/>
      <c r="F584" s="1431">
        <f ca="1">'FR-16(7)(v)-8 TOT CLASS Alloc'!G584</f>
        <v>402437</v>
      </c>
      <c r="G584" s="544">
        <f ca="1">F584-SUM(H584:I584)</f>
        <v>3614</v>
      </c>
      <c r="H584" s="537">
        <f ca="1">ROUND(F584*VLOOKUP(D584,AllocTable_Functional,$H$10,FALSE),0)</f>
        <v>0</v>
      </c>
      <c r="I584" s="538">
        <f ca="1">ROUND(F584*VLOOKUP(D584,AllocTable_Functional,$I$10,FALSE),0)</f>
        <v>398823</v>
      </c>
      <c r="J584" s="496">
        <f ca="1">SUM(G584:I584)</f>
        <v>402437</v>
      </c>
      <c r="K584" s="496">
        <f ca="1">F584-J584</f>
        <v>0</v>
      </c>
    </row>
    <row r="585" spans="1:11" ht="13">
      <c r="A585" s="961">
        <v>9</v>
      </c>
      <c r="B585" s="1373" t="s">
        <v>1386</v>
      </c>
      <c r="C585" s="1352"/>
      <c r="D585" s="1374"/>
      <c r="E585" s="340"/>
      <c r="F585" s="1280">
        <f t="shared" ref="F585:K585" ca="1" si="98">SUM(F584)</f>
        <v>402437</v>
      </c>
      <c r="G585" s="1413">
        <f t="shared" ca="1" si="98"/>
        <v>3614</v>
      </c>
      <c r="H585" s="1414">
        <f t="shared" ca="1" si="98"/>
        <v>0</v>
      </c>
      <c r="I585" s="1415">
        <f t="shared" ca="1" si="98"/>
        <v>398823</v>
      </c>
      <c r="J585" s="333">
        <f t="shared" ca="1" si="98"/>
        <v>402437</v>
      </c>
      <c r="K585" s="333">
        <f t="shared" ca="1" si="98"/>
        <v>0</v>
      </c>
    </row>
    <row r="586" spans="1:11" ht="13">
      <c r="A586" s="961">
        <v>10</v>
      </c>
      <c r="B586" s="1082"/>
      <c r="C586" s="1352"/>
      <c r="D586" s="1374"/>
      <c r="E586" s="340"/>
      <c r="F586" s="351"/>
      <c r="G586" s="541"/>
      <c r="H586" s="531"/>
      <c r="I586" s="532"/>
    </row>
    <row r="587" spans="1:11" ht="13">
      <c r="A587" s="961">
        <v>11</v>
      </c>
      <c r="B587" s="1379" t="s">
        <v>1387</v>
      </c>
      <c r="C587" s="1380"/>
      <c r="D587" s="1381"/>
      <c r="E587" s="340"/>
      <c r="F587" s="351"/>
      <c r="G587" s="541"/>
      <c r="H587" s="531"/>
      <c r="I587" s="532"/>
    </row>
    <row r="588" spans="1:11" ht="13">
      <c r="A588" s="961">
        <v>12</v>
      </c>
      <c r="B588" s="1369" t="s">
        <v>1388</v>
      </c>
      <c r="C588" s="1371"/>
      <c r="D588" s="1370" t="s">
        <v>315</v>
      </c>
      <c r="E588" s="340"/>
      <c r="F588" s="1431">
        <f ca="1">'FR-16(7)(v)-8 TOT CLASS Alloc'!G588</f>
        <v>0</v>
      </c>
      <c r="G588" s="544">
        <f ca="1">ROUND(F588*VLOOKUP(D588,AllocTable_Functional,$G$10,FALSE),0)</f>
        <v>0</v>
      </c>
      <c r="H588" s="537">
        <f ca="1">ROUND(F588*VLOOKUP(D588,AllocTable_Functional,$H$10,FALSE),0)</f>
        <v>0</v>
      </c>
      <c r="I588" s="538">
        <f ca="1">ROUND(F588*VLOOKUP(D588,AllocTable_Functional,$I$10,FALSE),0)</f>
        <v>0</v>
      </c>
      <c r="J588" s="496">
        <f ca="1">SUM(G588:I588)</f>
        <v>0</v>
      </c>
      <c r="K588" s="496">
        <f ca="1">F588-J588</f>
        <v>0</v>
      </c>
    </row>
    <row r="589" spans="1:11" ht="13">
      <c r="A589" s="961">
        <v>13</v>
      </c>
      <c r="B589" s="1373" t="s">
        <v>1389</v>
      </c>
      <c r="C589" s="1352"/>
      <c r="D589" s="1374"/>
      <c r="E589" s="340"/>
      <c r="F589" s="1280">
        <f t="shared" ref="F589:K589" ca="1" si="99">SUM(F588)</f>
        <v>0</v>
      </c>
      <c r="G589" s="1413">
        <f t="shared" ca="1" si="99"/>
        <v>0</v>
      </c>
      <c r="H589" s="1414">
        <f t="shared" ca="1" si="99"/>
        <v>0</v>
      </c>
      <c r="I589" s="1415">
        <f t="shared" ca="1" si="99"/>
        <v>0</v>
      </c>
      <c r="J589" s="333">
        <f t="shared" ca="1" si="99"/>
        <v>0</v>
      </c>
      <c r="K589" s="333">
        <f t="shared" ca="1" si="99"/>
        <v>0</v>
      </c>
    </row>
    <row r="590" spans="1:11" ht="13">
      <c r="A590" s="961">
        <v>14</v>
      </c>
      <c r="B590" s="1352"/>
      <c r="C590" s="1352"/>
      <c r="D590" s="1374"/>
      <c r="E590" s="340"/>
      <c r="F590" s="351"/>
      <c r="G590" s="541"/>
      <c r="H590" s="531"/>
      <c r="I590" s="532"/>
    </row>
    <row r="591" spans="1:11" ht="13">
      <c r="A591" s="961">
        <v>15</v>
      </c>
      <c r="B591" s="1352" t="s">
        <v>1390</v>
      </c>
      <c r="C591" s="1352"/>
      <c r="D591" s="1374"/>
      <c r="E591" s="340"/>
      <c r="F591" s="1280">
        <f ca="1">F589+F585</f>
        <v>402437</v>
      </c>
      <c r="G591" s="1413">
        <f t="shared" ref="G591:K591" ca="1" si="100">G589+G585</f>
        <v>3614</v>
      </c>
      <c r="H591" s="1414">
        <f t="shared" ca="1" si="100"/>
        <v>0</v>
      </c>
      <c r="I591" s="1415">
        <f t="shared" ca="1" si="100"/>
        <v>398823</v>
      </c>
      <c r="J591" s="333">
        <f t="shared" ca="1" si="100"/>
        <v>402437</v>
      </c>
      <c r="K591" s="333">
        <f t="shared" ca="1" si="100"/>
        <v>0</v>
      </c>
    </row>
    <row r="592" spans="1:11" ht="13">
      <c r="A592" s="961">
        <v>16</v>
      </c>
      <c r="B592" s="1352"/>
      <c r="C592" s="1352"/>
      <c r="D592" s="1374"/>
      <c r="E592" s="340"/>
      <c r="F592" s="351"/>
      <c r="G592" s="541"/>
      <c r="H592" s="531"/>
      <c r="I592" s="532"/>
    </row>
    <row r="593" spans="1:11" ht="13">
      <c r="A593" s="961">
        <v>17</v>
      </c>
      <c r="B593" s="1382" t="s">
        <v>68</v>
      </c>
      <c r="C593" s="1383"/>
      <c r="D593" s="961"/>
      <c r="E593" s="340"/>
      <c r="F593" s="351"/>
      <c r="G593" s="541"/>
      <c r="H593" s="531"/>
      <c r="I593" s="532"/>
    </row>
    <row r="594" spans="1:11" ht="13">
      <c r="A594" s="961">
        <v>18</v>
      </c>
      <c r="B594" s="1377" t="s">
        <v>1391</v>
      </c>
      <c r="C594" s="1352"/>
      <c r="D594" s="1374"/>
      <c r="E594" s="340"/>
      <c r="F594" s="351"/>
      <c r="G594" s="541"/>
      <c r="H594" s="531"/>
      <c r="I594" s="532"/>
    </row>
    <row r="595" spans="1:11" ht="13">
      <c r="A595" s="961">
        <v>19</v>
      </c>
      <c r="B595" s="1352" t="s">
        <v>43</v>
      </c>
      <c r="C595" s="1352"/>
      <c r="D595" s="1374"/>
      <c r="E595" s="340"/>
      <c r="F595" s="1280">
        <f>F334</f>
        <v>21066761</v>
      </c>
      <c r="G595" s="1413">
        <f>G334</f>
        <v>10181600</v>
      </c>
      <c r="H595" s="1414">
        <f>H334</f>
        <v>326024</v>
      </c>
      <c r="I595" s="1415">
        <f>I334</f>
        <v>10559137</v>
      </c>
      <c r="J595" s="1280">
        <f>J334</f>
        <v>21066761</v>
      </c>
      <c r="K595" s="1280">
        <f t="shared" ref="K595" si="101">K316</f>
        <v>0</v>
      </c>
    </row>
    <row r="596" spans="1:11" ht="13">
      <c r="A596" s="961">
        <v>20</v>
      </c>
      <c r="B596" s="1352" t="s">
        <v>199</v>
      </c>
      <c r="C596" s="1352"/>
      <c r="D596" s="1374"/>
      <c r="E596" s="340"/>
      <c r="F596" s="1280">
        <f t="shared" ref="F596:K596" ca="1" si="102">F557</f>
        <v>3566167</v>
      </c>
      <c r="G596" s="1413">
        <f t="shared" ca="1" si="102"/>
        <v>1367879</v>
      </c>
      <c r="H596" s="1414">
        <f t="shared" ca="1" si="102"/>
        <v>672918</v>
      </c>
      <c r="I596" s="1415">
        <f t="shared" ca="1" si="102"/>
        <v>1525370</v>
      </c>
      <c r="J596" s="333">
        <f t="shared" ca="1" si="102"/>
        <v>3566167</v>
      </c>
      <c r="K596" s="333">
        <f t="shared" ca="1" si="102"/>
        <v>0</v>
      </c>
    </row>
    <row r="597" spans="1:11" ht="13">
      <c r="A597" s="961">
        <v>21</v>
      </c>
      <c r="B597" s="1352" t="s">
        <v>1392</v>
      </c>
      <c r="C597" s="1352"/>
      <c r="D597" s="1374"/>
      <c r="E597" s="340"/>
      <c r="F597" s="1280">
        <f>-F524</f>
        <v>-10100513</v>
      </c>
      <c r="G597" s="1413">
        <f t="shared" ref="G597:K597" si="103">-G524</f>
        <v>-4794364</v>
      </c>
      <c r="H597" s="1414">
        <f t="shared" si="103"/>
        <v>-249300</v>
      </c>
      <c r="I597" s="1415">
        <f t="shared" si="103"/>
        <v>-5056849</v>
      </c>
      <c r="J597" s="333">
        <f t="shared" si="103"/>
        <v>-10100513</v>
      </c>
      <c r="K597" s="333">
        <f t="shared" si="103"/>
        <v>0</v>
      </c>
    </row>
    <row r="598" spans="1:11" ht="13">
      <c r="A598" s="961">
        <v>22</v>
      </c>
      <c r="B598" s="1352" t="s">
        <v>1393</v>
      </c>
      <c r="C598" s="1352"/>
      <c r="D598" s="1374"/>
      <c r="E598" s="340"/>
      <c r="F598" s="1280">
        <f t="shared" ref="F598:K598" ca="1" si="104">-F580</f>
        <v>-4310711</v>
      </c>
      <c r="G598" s="1413">
        <f t="shared" ca="1" si="104"/>
        <v>-38710</v>
      </c>
      <c r="H598" s="1414">
        <f t="shared" ca="1" si="104"/>
        <v>0</v>
      </c>
      <c r="I598" s="1415">
        <f t="shared" ca="1" si="104"/>
        <v>-4272001</v>
      </c>
      <c r="J598" s="333">
        <f t="shared" ca="1" si="104"/>
        <v>-4310711</v>
      </c>
      <c r="K598" s="333">
        <f t="shared" ca="1" si="104"/>
        <v>0</v>
      </c>
    </row>
    <row r="599" spans="1:11" ht="13">
      <c r="A599" s="961">
        <v>23</v>
      </c>
      <c r="B599" s="1371" t="s">
        <v>1394</v>
      </c>
      <c r="C599" s="1371"/>
      <c r="D599" s="1374"/>
      <c r="E599" s="340"/>
      <c r="F599" s="1384">
        <f t="shared" ref="F599:K599" ca="1" si="105">F591</f>
        <v>402437</v>
      </c>
      <c r="G599" s="1416">
        <f t="shared" ca="1" si="105"/>
        <v>3614</v>
      </c>
      <c r="H599" s="1417">
        <f t="shared" ca="1" si="105"/>
        <v>0</v>
      </c>
      <c r="I599" s="1418">
        <f t="shared" ca="1" si="105"/>
        <v>398823</v>
      </c>
      <c r="J599" s="1388">
        <f t="shared" ca="1" si="105"/>
        <v>402437</v>
      </c>
      <c r="K599" s="1388">
        <f t="shared" ca="1" si="105"/>
        <v>0</v>
      </c>
    </row>
    <row r="600" spans="1:11" ht="13">
      <c r="A600" s="961">
        <v>24</v>
      </c>
      <c r="B600" s="1082" t="s">
        <v>1395</v>
      </c>
      <c r="C600" s="1352"/>
      <c r="D600" s="1374"/>
      <c r="E600" s="340"/>
      <c r="F600" s="1280">
        <f t="shared" ref="F600:K600" ca="1" si="106">SUM(F595:F599)</f>
        <v>10624141</v>
      </c>
      <c r="G600" s="1413">
        <f t="shared" ca="1" si="106"/>
        <v>6720019</v>
      </c>
      <c r="H600" s="1414">
        <f t="shared" ca="1" si="106"/>
        <v>749642</v>
      </c>
      <c r="I600" s="1415">
        <f t="shared" ca="1" si="106"/>
        <v>3154480</v>
      </c>
      <c r="J600" s="333">
        <f t="shared" ca="1" si="106"/>
        <v>10624141</v>
      </c>
      <c r="K600" s="333">
        <f t="shared" ca="1" si="106"/>
        <v>0</v>
      </c>
    </row>
    <row r="601" spans="1:11" ht="13">
      <c r="A601" s="961">
        <v>25</v>
      </c>
      <c r="B601" s="1352"/>
      <c r="C601" s="1352"/>
      <c r="D601" s="1374"/>
      <c r="E601" s="340"/>
      <c r="F601" s="351"/>
      <c r="G601" s="541"/>
      <c r="H601" s="531"/>
      <c r="I601" s="532"/>
    </row>
    <row r="602" spans="1:11" ht="13">
      <c r="A602" s="961">
        <v>26</v>
      </c>
      <c r="B602" s="1352" t="s">
        <v>1396</v>
      </c>
      <c r="C602" s="1352"/>
      <c r="D602" s="1374"/>
      <c r="E602" s="340"/>
      <c r="F602" s="1389">
        <f>ROUND(SIT/(1-SIT),8)</f>
        <v>5.2282660000000002E-2</v>
      </c>
      <c r="G602" s="1419">
        <f t="shared" ref="G602:K602" si="107">ROUND(SIT/(1-SIT),8)</f>
        <v>5.2282660000000002E-2</v>
      </c>
      <c r="H602" s="1420">
        <f t="shared" si="107"/>
        <v>5.2282660000000002E-2</v>
      </c>
      <c r="I602" s="1421">
        <f t="shared" si="107"/>
        <v>5.2282660000000002E-2</v>
      </c>
      <c r="J602" s="1389">
        <f t="shared" si="107"/>
        <v>5.2282660000000002E-2</v>
      </c>
      <c r="K602" s="1389">
        <f t="shared" si="107"/>
        <v>5.2282660000000002E-2</v>
      </c>
    </row>
    <row r="603" spans="1:11" ht="13">
      <c r="A603" s="961">
        <v>27</v>
      </c>
      <c r="B603" s="1352" t="s">
        <v>1397</v>
      </c>
      <c r="C603" s="1352"/>
      <c r="D603" s="1393" t="s">
        <v>1398</v>
      </c>
      <c r="E603" s="340"/>
      <c r="F603" s="1394">
        <f ca="1">ROUND(F600*F602,0)</f>
        <v>555458</v>
      </c>
      <c r="G603" s="1414">
        <f ca="1">ROUND(G600*G602,0)</f>
        <v>351340</v>
      </c>
      <c r="H603" s="1414">
        <f ca="1">ROUND(H600*H602,0)</f>
        <v>39193</v>
      </c>
      <c r="I603" s="1415">
        <f ca="1">ROUND(I600*I602,0)</f>
        <v>164925</v>
      </c>
      <c r="J603" s="345">
        <f ca="1">SUM(G603:I603)</f>
        <v>555458</v>
      </c>
      <c r="K603" s="345">
        <f ca="1">F603-J603</f>
        <v>0</v>
      </c>
    </row>
    <row r="604" spans="1:11" ht="13">
      <c r="A604" s="961">
        <v>28</v>
      </c>
      <c r="B604" s="1371" t="s">
        <v>1399</v>
      </c>
      <c r="C604" s="1371"/>
      <c r="D604" s="1374"/>
      <c r="E604" s="1395"/>
      <c r="F604" s="1394">
        <f ca="1">F591</f>
        <v>402437</v>
      </c>
      <c r="G604" s="1422">
        <f ca="1">G591</f>
        <v>3614</v>
      </c>
      <c r="H604" s="1423">
        <f ca="1">H591</f>
        <v>0</v>
      </c>
      <c r="I604" s="1424">
        <f ca="1">I591</f>
        <v>398823</v>
      </c>
      <c r="J604" s="345">
        <f ca="1">SUM(G604:I604)</f>
        <v>402437</v>
      </c>
      <c r="K604" s="345">
        <f ca="1">F604-J604</f>
        <v>0</v>
      </c>
    </row>
    <row r="605" spans="1:11" ht="13">
      <c r="A605" s="961">
        <v>29</v>
      </c>
      <c r="B605" s="1082" t="s">
        <v>1400</v>
      </c>
      <c r="C605" s="1352"/>
      <c r="D605" s="1374"/>
      <c r="E605" s="340"/>
      <c r="F605" s="1399">
        <f t="shared" ref="F605:K605" ca="1" si="108">F604+F603</f>
        <v>957895</v>
      </c>
      <c r="G605" s="1425">
        <f t="shared" ca="1" si="108"/>
        <v>354954</v>
      </c>
      <c r="H605" s="1426">
        <f t="shared" ca="1" si="108"/>
        <v>39193</v>
      </c>
      <c r="I605" s="1427">
        <f t="shared" ca="1" si="108"/>
        <v>563748</v>
      </c>
      <c r="J605" s="1399">
        <f t="shared" ca="1" si="108"/>
        <v>957895</v>
      </c>
      <c r="K605" s="1399">
        <f t="shared" ca="1" si="108"/>
        <v>0</v>
      </c>
    </row>
    <row r="606" spans="1:11" ht="13">
      <c r="A606" s="961">
        <v>30</v>
      </c>
      <c r="B606" s="1352"/>
      <c r="C606" s="1352"/>
      <c r="D606" s="1374"/>
      <c r="E606" s="340"/>
      <c r="F606" s="351"/>
      <c r="G606" s="541"/>
      <c r="H606" s="531"/>
      <c r="I606" s="532"/>
    </row>
    <row r="607" spans="1:11" ht="13">
      <c r="A607" s="961">
        <v>31</v>
      </c>
      <c r="B607" s="1352" t="s">
        <v>1401</v>
      </c>
      <c r="C607" s="1352"/>
      <c r="D607" s="1374"/>
      <c r="E607" s="340"/>
      <c r="F607" s="351"/>
      <c r="G607" s="541"/>
      <c r="H607" s="531"/>
      <c r="I607" s="532"/>
    </row>
    <row r="608" spans="1:11" ht="13">
      <c r="A608" s="961">
        <v>32</v>
      </c>
      <c r="B608" s="1352" t="s">
        <v>1397</v>
      </c>
      <c r="C608" s="1352"/>
      <c r="D608" s="1374"/>
      <c r="E608" s="340"/>
      <c r="F608" s="1394">
        <f t="shared" ref="F608:K608" ca="1" si="109">F603</f>
        <v>555458</v>
      </c>
      <c r="G608" s="1422">
        <f t="shared" ca="1" si="109"/>
        <v>351340</v>
      </c>
      <c r="H608" s="1423">
        <f t="shared" ca="1" si="109"/>
        <v>39193</v>
      </c>
      <c r="I608" s="1424">
        <f t="shared" ca="1" si="109"/>
        <v>164925</v>
      </c>
      <c r="J608" s="1394">
        <f t="shared" ca="1" si="109"/>
        <v>555458</v>
      </c>
      <c r="K608" s="1394">
        <f t="shared" ca="1" si="109"/>
        <v>0</v>
      </c>
    </row>
    <row r="609" spans="1:11" ht="13">
      <c r="A609" s="961">
        <v>33</v>
      </c>
      <c r="B609" s="1371" t="s">
        <v>1387</v>
      </c>
      <c r="C609" s="1371"/>
      <c r="D609" s="1374"/>
      <c r="E609" s="340"/>
      <c r="F609" s="1394">
        <f t="shared" ref="F609:K609" ca="1" si="110">F589</f>
        <v>0</v>
      </c>
      <c r="G609" s="1422">
        <f t="shared" ca="1" si="110"/>
        <v>0</v>
      </c>
      <c r="H609" s="1423">
        <f t="shared" ca="1" si="110"/>
        <v>0</v>
      </c>
      <c r="I609" s="1424">
        <f t="shared" ca="1" si="110"/>
        <v>0</v>
      </c>
      <c r="J609" s="1394">
        <f t="shared" ca="1" si="110"/>
        <v>0</v>
      </c>
      <c r="K609" s="1394">
        <f t="shared" ca="1" si="110"/>
        <v>0</v>
      </c>
    </row>
    <row r="610" spans="1:11" ht="13">
      <c r="A610" s="961">
        <v>34</v>
      </c>
      <c r="B610" s="1082" t="s">
        <v>1402</v>
      </c>
      <c r="C610" s="1352"/>
      <c r="D610" s="1374"/>
      <c r="E610" s="340"/>
      <c r="F610" s="1399">
        <f t="shared" ref="F610:K610" ca="1" si="111">F608+F609</f>
        <v>555458</v>
      </c>
      <c r="G610" s="1425">
        <f t="shared" ca="1" si="111"/>
        <v>351340</v>
      </c>
      <c r="H610" s="1426">
        <f t="shared" ca="1" si="111"/>
        <v>39193</v>
      </c>
      <c r="I610" s="1427">
        <f t="shared" ca="1" si="111"/>
        <v>164925</v>
      </c>
      <c r="J610" s="1399">
        <f t="shared" ca="1" si="111"/>
        <v>555458</v>
      </c>
      <c r="K610" s="1399">
        <f t="shared" ca="1" si="111"/>
        <v>0</v>
      </c>
    </row>
    <row r="611" spans="1:11" ht="13">
      <c r="A611" s="961">
        <v>35</v>
      </c>
      <c r="B611" s="1352"/>
      <c r="C611" s="1352"/>
      <c r="D611" s="1352"/>
      <c r="E611" s="340"/>
      <c r="F611" s="1394"/>
      <c r="G611" s="1422"/>
      <c r="H611" s="1423"/>
      <c r="I611" s="1424"/>
      <c r="J611" s="1394"/>
      <c r="K611" s="1394"/>
    </row>
    <row r="612" spans="1:11" ht="13">
      <c r="A612" s="961">
        <v>36</v>
      </c>
      <c r="B612" s="1352" t="s">
        <v>76</v>
      </c>
      <c r="C612" s="1352"/>
      <c r="D612" s="1352"/>
      <c r="E612" s="340"/>
      <c r="F612" s="1403">
        <f t="shared" ref="F612:K612" si="112">(SIT*(1-FIT))+((1-SIT)*(1-FIT)*RevTax)+FIT</f>
        <v>0.24925115</v>
      </c>
      <c r="G612" s="1428">
        <f t="shared" si="112"/>
        <v>0.24925115</v>
      </c>
      <c r="H612" s="1429">
        <f t="shared" si="112"/>
        <v>0.24925115</v>
      </c>
      <c r="I612" s="1430">
        <f t="shared" si="112"/>
        <v>0.24925115</v>
      </c>
      <c r="J612" s="1403">
        <f t="shared" si="112"/>
        <v>0.24925115</v>
      </c>
      <c r="K612" s="1403">
        <f t="shared" si="112"/>
        <v>0.24925115</v>
      </c>
    </row>
    <row r="614" spans="1:11" ht="13">
      <c r="A614" s="341" t="str">
        <f>co_name</f>
        <v>DUKE ENERGY KENTUCKY, INC.</v>
      </c>
      <c r="C614" s="195"/>
      <c r="D614" s="342"/>
      <c r="E614" s="195"/>
      <c r="F614" s="195"/>
      <c r="G614" s="195"/>
      <c r="H614" s="195"/>
      <c r="I614" s="195"/>
      <c r="J614" s="195" t="str">
        <f>$J$1</f>
        <v>FR-16(7)(v)-9</v>
      </c>
      <c r="K614" s="195"/>
    </row>
    <row r="615" spans="1:11" ht="13">
      <c r="A615" s="341" t="str">
        <f>$A$2</f>
        <v>RESIDENTIAL CLASSIFIED - GAS COST OF SERVICE</v>
      </c>
      <c r="C615" s="195"/>
      <c r="D615" s="342"/>
      <c r="E615" s="195"/>
      <c r="F615" s="195"/>
      <c r="G615" s="195"/>
      <c r="H615" s="195"/>
      <c r="I615" s="195"/>
      <c r="J615" s="195" t="str">
        <f>$J$2</f>
        <v>WITNESS RESPONSIBLE:</v>
      </c>
      <c r="K615" s="195"/>
    </row>
    <row r="616" spans="1:11" ht="13">
      <c r="A616" s="341" t="str">
        <f>case_name</f>
        <v>CASE NO: 2021-00190</v>
      </c>
      <c r="C616" s="195"/>
      <c r="D616" s="342"/>
      <c r="E616" s="195"/>
      <c r="F616" s="195"/>
      <c r="G616" s="195"/>
      <c r="H616" s="195"/>
      <c r="I616" s="195"/>
      <c r="J616" s="195" t="str">
        <f>Witness</f>
        <v>JAMES E. ZIOLKOWSKI</v>
      </c>
      <c r="K616" s="195"/>
    </row>
    <row r="617" spans="1:11" ht="13">
      <c r="A617" s="341" t="str">
        <f>data_filing</f>
        <v>DATA: 12 MONTH FORECASTED PERIOD</v>
      </c>
      <c r="C617" s="195"/>
      <c r="D617" s="342"/>
      <c r="E617" s="195"/>
      <c r="F617" s="195"/>
      <c r="G617" s="195"/>
      <c r="H617" s="195"/>
      <c r="I617" s="195"/>
      <c r="J617" s="195" t="str">
        <f>"PAGE "&amp;Pages2-1&amp;" OF "&amp;Pages2</f>
        <v>PAGE 14 OF 15</v>
      </c>
      <c r="K617" s="195"/>
    </row>
    <row r="618" spans="1:11" ht="13">
      <c r="A618" s="341" t="str">
        <f>type</f>
        <v xml:space="preserve">TYPE OF FILING: "X" ORIGINAL   UPDATED    REVISED  </v>
      </c>
      <c r="C618" s="195"/>
      <c r="D618" s="342"/>
      <c r="E618" s="195"/>
      <c r="F618" s="195"/>
      <c r="G618" s="195"/>
      <c r="H618" s="195"/>
      <c r="I618" s="195"/>
      <c r="J618" s="195"/>
      <c r="K618" s="195"/>
    </row>
    <row r="619" spans="1:11" ht="13">
      <c r="B619" s="341"/>
      <c r="C619" s="195"/>
      <c r="D619" s="342"/>
      <c r="E619" s="195"/>
      <c r="F619" s="195"/>
      <c r="G619" s="195"/>
      <c r="H619" s="195"/>
      <c r="I619" s="195"/>
      <c r="J619" s="195"/>
      <c r="K619" s="195"/>
    </row>
    <row r="620" spans="1:11" ht="13">
      <c r="B620" s="341"/>
      <c r="C620" s="195"/>
      <c r="D620" s="342"/>
      <c r="E620" s="195"/>
      <c r="F620" s="195"/>
      <c r="G620" s="195"/>
      <c r="H620" s="195"/>
      <c r="I620" s="195"/>
      <c r="J620" s="195"/>
      <c r="K620" s="195"/>
    </row>
    <row r="621" spans="1:11" ht="13">
      <c r="A621" s="342" t="s">
        <v>907</v>
      </c>
      <c r="B621" s="195"/>
      <c r="C621" s="195"/>
      <c r="D621" s="342"/>
      <c r="E621" s="195"/>
      <c r="F621" s="342" t="s">
        <v>229</v>
      </c>
      <c r="G621" s="539" t="s">
        <v>995</v>
      </c>
      <c r="H621" s="527"/>
      <c r="I621" s="528"/>
      <c r="J621" s="342" t="s">
        <v>229</v>
      </c>
      <c r="K621" s="342" t="s">
        <v>342</v>
      </c>
    </row>
    <row r="622" spans="1:11" ht="13">
      <c r="A622" s="344" t="s">
        <v>908</v>
      </c>
      <c r="B622" s="343" t="s">
        <v>77</v>
      </c>
      <c r="C622" s="343"/>
      <c r="D622" s="344" t="s">
        <v>337</v>
      </c>
      <c r="E622" s="343"/>
      <c r="F622" s="344" t="str">
        <f>$F$9</f>
        <v>RESIDENTIAL</v>
      </c>
      <c r="G622" s="540" t="s">
        <v>840</v>
      </c>
      <c r="H622" s="529" t="s">
        <v>841</v>
      </c>
      <c r="I622" s="530" t="s">
        <v>842</v>
      </c>
      <c r="J622" s="344" t="s">
        <v>341</v>
      </c>
      <c r="K622" s="344" t="s">
        <v>340</v>
      </c>
    </row>
    <row r="623" spans="1:11" ht="13">
      <c r="C623" s="572" t="s">
        <v>352</v>
      </c>
      <c r="D623" s="342"/>
      <c r="E623" s="195"/>
      <c r="G623" s="793">
        <f>$G$10</f>
        <v>3</v>
      </c>
      <c r="H623" s="794">
        <f>$H$10</f>
        <v>4</v>
      </c>
      <c r="I623" s="795">
        <f>$I$10</f>
        <v>5</v>
      </c>
    </row>
    <row r="624" spans="1:11" ht="13">
      <c r="A624" s="331">
        <v>1</v>
      </c>
      <c r="B624" s="330" t="s">
        <v>78</v>
      </c>
      <c r="D624" s="342"/>
      <c r="E624" s="195"/>
      <c r="G624" s="541"/>
      <c r="H624" s="531"/>
      <c r="I624" s="532"/>
    </row>
    <row r="625" spans="1:11" ht="13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3">
        <f>'FR-16(7)(v)-8 TOT CLASS Alloc'!G625</f>
        <v>47523</v>
      </c>
      <c r="G625" s="542">
        <f>'FR-16(7)(v)-5 DISTR Dem Alloc'!$G$625</f>
        <v>0</v>
      </c>
      <c r="H625" s="533">
        <f>'FR-16(7)(v)-3 PROD Comm Alloc'!$G$625</f>
        <v>0</v>
      </c>
      <c r="I625" s="534">
        <f>'FR-16(7)(v)-6 DISTR Cust Alloc'!$G$625</f>
        <v>47523</v>
      </c>
      <c r="J625" s="345">
        <f>SUM($G$625:$I$625)</f>
        <v>47523</v>
      </c>
      <c r="K625" s="345">
        <f>F625-$J$625</f>
        <v>0</v>
      </c>
    </row>
    <row r="626" spans="1:11" ht="13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3">
        <f>'FR-16(7)(v)-8 TOT CLASS Alloc'!G626</f>
        <v>0</v>
      </c>
      <c r="G626" s="542">
        <f>'FR-16(7)(v)-5 DISTR Dem Alloc'!$G$626</f>
        <v>0</v>
      </c>
      <c r="H626" s="533">
        <f>'FR-16(7)(v)-3 PROD Comm Alloc'!$G$626</f>
        <v>0</v>
      </c>
      <c r="I626" s="534">
        <f>'FR-16(7)(v)-6 DISTR Cust Alloc'!$G$626</f>
        <v>0</v>
      </c>
      <c r="J626" s="345">
        <f>SUM($G$626:$I$626)</f>
        <v>0</v>
      </c>
      <c r="K626" s="345">
        <f>F626-$J$626</f>
        <v>0</v>
      </c>
    </row>
    <row r="627" spans="1:11" ht="13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3">
        <f>'FR-16(7)(v)-8 TOT CLASS Alloc'!G627</f>
        <v>487</v>
      </c>
      <c r="G627" s="542">
        <f>'FR-16(7)(v)-5 DISTR Dem Alloc'!$G$627</f>
        <v>0</v>
      </c>
      <c r="H627" s="533">
        <f>'FR-16(7)(v)-3 PROD Comm Alloc'!$G$627</f>
        <v>0</v>
      </c>
      <c r="I627" s="534">
        <f>'FR-16(7)(v)-6 DISTR Cust Alloc'!$G$627</f>
        <v>487</v>
      </c>
      <c r="J627" s="345">
        <f>SUM($G$627:$I$627)</f>
        <v>487</v>
      </c>
      <c r="K627" s="345">
        <f>F627-$J$627</f>
        <v>0</v>
      </c>
    </row>
    <row r="628" spans="1:11" ht="13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3">
        <f>'FR-16(7)(v)-8 TOT CLASS Alloc'!G628</f>
        <v>0</v>
      </c>
      <c r="G628" s="542">
        <f>'FR-16(7)(v)-5 DISTR Dem Alloc'!$G$628</f>
        <v>0</v>
      </c>
      <c r="H628" s="533">
        <f>'FR-16(7)(v)-3 PROD Comm Alloc'!$G$628</f>
        <v>0</v>
      </c>
      <c r="I628" s="534">
        <f>'FR-16(7)(v)-6 DISTR Cust Alloc'!$G$628</f>
        <v>0</v>
      </c>
      <c r="J628" s="345">
        <f>SUM($G$628:$I$628)</f>
        <v>0</v>
      </c>
      <c r="K628" s="345">
        <f>F628-$J$628</f>
        <v>0</v>
      </c>
    </row>
    <row r="629" spans="1:11" ht="13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3">
        <f>'FR-16(7)(v)-8 TOT CLASS Alloc'!G629</f>
        <v>174767</v>
      </c>
      <c r="G629" s="542">
        <f>'FR-16(7)(v)-5 DISTR Dem Alloc'!$G$629</f>
        <v>61556</v>
      </c>
      <c r="H629" s="533">
        <f>'FR-16(7)(v)-3 PROD Comm Alloc'!$G$629</f>
        <v>25145</v>
      </c>
      <c r="I629" s="534">
        <f>'FR-16(7)(v)-6 DISTR Cust Alloc'!$G$629</f>
        <v>88066</v>
      </c>
      <c r="J629" s="345">
        <f>SUM($G$629:$I$629)</f>
        <v>174767</v>
      </c>
      <c r="K629" s="345">
        <f>F629-$J$629</f>
        <v>0</v>
      </c>
    </row>
    <row r="630" spans="1:11" ht="13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222777</v>
      </c>
      <c r="G630" s="543">
        <f>SUM($G$625:$G$629)</f>
        <v>61556</v>
      </c>
      <c r="H630" s="535">
        <f>SUM($H$625:$H$629)</f>
        <v>25145</v>
      </c>
      <c r="I630" s="536">
        <f>SUM($I$625:$I$629)</f>
        <v>136076</v>
      </c>
      <c r="J630" s="346">
        <f>SUM($J$625:$J$629)</f>
        <v>222777</v>
      </c>
      <c r="K630" s="346">
        <f>SUM($K$625:$K$629)</f>
        <v>0</v>
      </c>
    </row>
    <row r="631" spans="1:11" ht="13">
      <c r="A631" s="331">
        <v>8</v>
      </c>
      <c r="D631" s="342"/>
      <c r="E631" s="195"/>
      <c r="G631" s="541"/>
      <c r="H631" s="531"/>
      <c r="I631" s="532"/>
    </row>
    <row r="632" spans="1:11" ht="13">
      <c r="A632" s="331">
        <v>9</v>
      </c>
      <c r="B632" s="330" t="s">
        <v>77</v>
      </c>
      <c r="D632" s="342"/>
      <c r="E632" s="195"/>
      <c r="G632" s="541"/>
      <c r="H632" s="531"/>
      <c r="I632" s="532"/>
    </row>
    <row r="633" spans="1:11" ht="13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55971386</v>
      </c>
      <c r="G633" s="542">
        <f>$G$501</f>
        <v>12067376</v>
      </c>
      <c r="H633" s="533">
        <f>$H$501</f>
        <v>27653888</v>
      </c>
      <c r="I633" s="534">
        <f>$I$501</f>
        <v>16250122</v>
      </c>
      <c r="J633" s="345">
        <f>$J$501</f>
        <v>55971386</v>
      </c>
      <c r="K633" s="345">
        <f>$K$501</f>
        <v>0</v>
      </c>
    </row>
    <row r="634" spans="1:11" ht="13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 t="shared" ref="F634:K634" si="113">F334</f>
        <v>21066761</v>
      </c>
      <c r="G634" s="542">
        <f t="shared" si="113"/>
        <v>10181600</v>
      </c>
      <c r="H634" s="533">
        <f t="shared" si="113"/>
        <v>326024</v>
      </c>
      <c r="I634" s="534">
        <f t="shared" si="113"/>
        <v>10559137</v>
      </c>
      <c r="J634" s="345">
        <f t="shared" si="113"/>
        <v>21066761</v>
      </c>
      <c r="K634" s="345">
        <f t="shared" si="113"/>
        <v>0</v>
      </c>
    </row>
    <row r="635" spans="1:11" ht="13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 ca="1">F557</f>
        <v>3566167</v>
      </c>
      <c r="G635" s="542">
        <f ca="1">$G$557</f>
        <v>1367879</v>
      </c>
      <c r="H635" s="533">
        <f ca="1">$H$557</f>
        <v>672918</v>
      </c>
      <c r="I635" s="534">
        <f ca="1">$I$557</f>
        <v>1525370</v>
      </c>
      <c r="J635" s="345">
        <f ca="1">$J$557</f>
        <v>3566167</v>
      </c>
      <c r="K635" s="345">
        <f ca="1">$K$557</f>
        <v>0</v>
      </c>
    </row>
    <row r="636" spans="1:11" ht="13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-222777</v>
      </c>
      <c r="G636" s="542">
        <f>-$G$630</f>
        <v>-61556</v>
      </c>
      <c r="H636" s="533">
        <f>-$H$630</f>
        <v>-25145</v>
      </c>
      <c r="I636" s="534">
        <f>-$I$630</f>
        <v>-136076</v>
      </c>
      <c r="J636" s="345">
        <f>-$J$630</f>
        <v>-222777</v>
      </c>
      <c r="K636" s="345">
        <f>-$K$630</f>
        <v>0</v>
      </c>
    </row>
    <row r="637" spans="1:11" ht="13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 ca="1">SUM(F632:F636)</f>
        <v>80381537</v>
      </c>
      <c r="G637" s="543">
        <f ca="1">SUM($G$632:$G$636)</f>
        <v>23555299</v>
      </c>
      <c r="H637" s="535">
        <f ca="1">SUM($H$632:$H$636)</f>
        <v>28627685</v>
      </c>
      <c r="I637" s="536">
        <f ca="1">SUM($I$632:$I$636)</f>
        <v>28198553</v>
      </c>
      <c r="J637" s="346">
        <f ca="1">SUM($J$632:$J$636)</f>
        <v>80381537</v>
      </c>
      <c r="K637" s="346">
        <f ca="1">$J$637-F637</f>
        <v>0</v>
      </c>
    </row>
    <row r="638" spans="1:11" ht="13">
      <c r="A638" s="331">
        <v>15</v>
      </c>
      <c r="D638" s="342"/>
      <c r="E638" s="195"/>
      <c r="G638" s="541"/>
      <c r="H638" s="531"/>
      <c r="I638" s="532"/>
    </row>
    <row r="639" spans="1:11" ht="13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222777</v>
      </c>
      <c r="G639" s="542">
        <f>-$G$636</f>
        <v>61556</v>
      </c>
      <c r="H639" s="533">
        <f>-$H$636</f>
        <v>25145</v>
      </c>
      <c r="I639" s="534">
        <f>-$I$636</f>
        <v>136076</v>
      </c>
      <c r="J639" s="345">
        <f>-$J$636</f>
        <v>222777</v>
      </c>
      <c r="K639" s="345">
        <f>-$K$636</f>
        <v>0</v>
      </c>
    </row>
    <row r="640" spans="1:11" ht="13">
      <c r="A640" s="331">
        <v>17</v>
      </c>
      <c r="C640" s="357" t="str">
        <f>'FR-16(7)(v)-1 Functional'!C640</f>
        <v>LESS: REVS EXCL FROM REV TAX CALC</v>
      </c>
      <c r="D640" s="342"/>
      <c r="E640" s="195"/>
      <c r="F640" s="473">
        <f>'FR-16(7)(v)-8 TOT CLASS Alloc'!G640</f>
        <v>0</v>
      </c>
      <c r="G640" s="542">
        <f>'FR-16(7)(v)-5 DISTR Dem Alloc'!G640</f>
        <v>0</v>
      </c>
      <c r="H640" s="533">
        <f>'FR-16(7)(v)-3 PROD Comm Alloc'!G640</f>
        <v>0</v>
      </c>
      <c r="I640" s="534">
        <f>'FR-16(7)(v)-6 DISTR Cust Alloc'!G640</f>
        <v>0</v>
      </c>
      <c r="J640" s="345">
        <f>SUM(G640:I640)</f>
        <v>0</v>
      </c>
      <c r="K640" s="345">
        <f>'FR-16(7)(v)-3 PROD Comm Alloc'!L855</f>
        <v>0</v>
      </c>
    </row>
    <row r="641" spans="1:11" ht="13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222777</v>
      </c>
      <c r="G641" s="543">
        <f>$G$639-G640</f>
        <v>61556</v>
      </c>
      <c r="H641" s="535">
        <f>$H$639-H640</f>
        <v>25145</v>
      </c>
      <c r="I641" s="536">
        <f>$I$639-I640</f>
        <v>136076</v>
      </c>
      <c r="J641" s="346">
        <f>$J$639-J640</f>
        <v>222777</v>
      </c>
      <c r="K641" s="346">
        <f>$K$639-K640</f>
        <v>0</v>
      </c>
    </row>
    <row r="642" spans="1:11" ht="13">
      <c r="A642" s="331">
        <v>19</v>
      </c>
      <c r="D642" s="342"/>
      <c r="E642" s="195"/>
      <c r="G642" s="541"/>
      <c r="H642" s="531"/>
      <c r="I642" s="532"/>
    </row>
    <row r="643" spans="1:11" ht="13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K643" si="114">ROUND(F694/(1-F694),8)</f>
        <v>0</v>
      </c>
      <c r="G643" s="560">
        <f t="shared" si="114"/>
        <v>0</v>
      </c>
      <c r="H643" s="561">
        <f t="shared" si="114"/>
        <v>0</v>
      </c>
      <c r="I643" s="562">
        <f t="shared" si="114"/>
        <v>0</v>
      </c>
      <c r="J643" s="348">
        <f t="shared" si="114"/>
        <v>0</v>
      </c>
      <c r="K643" s="348">
        <f t="shared" si="114"/>
        <v>0</v>
      </c>
    </row>
    <row r="644" spans="1:11" ht="13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542">
        <f>ROUND(G643*G641,0)</f>
        <v>0</v>
      </c>
      <c r="H644" s="533">
        <f>ROUND(H643*H641,0)</f>
        <v>0</v>
      </c>
      <c r="I644" s="534">
        <f>ROUND(I643*I641,0)</f>
        <v>0</v>
      </c>
      <c r="J644" s="345">
        <f>SUM(G644:I644)</f>
        <v>0</v>
      </c>
      <c r="K644" s="345">
        <f>ROUND(K643*K641,0)</f>
        <v>0</v>
      </c>
    </row>
    <row r="645" spans="1:11" ht="13">
      <c r="A645" s="331">
        <v>22</v>
      </c>
      <c r="C645" s="330" t="str">
        <f>'FR-16(7)(v)-1 Functional'!C645</f>
        <v>REVENUE TAX ON COST OF SERVICE</v>
      </c>
      <c r="D645" s="342"/>
      <c r="E645" s="195"/>
      <c r="F645" s="506">
        <f ca="1">ROUND(F643*F637,0)</f>
        <v>0</v>
      </c>
      <c r="G645" s="542">
        <f ca="1">ROUND(G643*$G$637,0)</f>
        <v>0</v>
      </c>
      <c r="H645" s="533">
        <f ca="1">ROUND(H643*$H$637,0)</f>
        <v>0</v>
      </c>
      <c r="I645" s="534">
        <f ca="1">ROUND(I643*$I$637,0)</f>
        <v>0</v>
      </c>
      <c r="J645" s="506">
        <f ca="1">SUM(G645:I645)</f>
        <v>0</v>
      </c>
      <c r="K645" s="506">
        <f ca="1">ROUND(K643*$K$637,0)</f>
        <v>0</v>
      </c>
    </row>
    <row r="646" spans="1:11" ht="13">
      <c r="A646" s="331">
        <v>23</v>
      </c>
      <c r="C646" s="357" t="str">
        <f>'FR-16(7)(v)-1 Functional'!C646</f>
        <v>TOTAL REVENUE TAX</v>
      </c>
      <c r="D646" s="342"/>
      <c r="E646" s="195"/>
      <c r="F646" s="504">
        <f t="shared" ref="F646:K646" ca="1" si="115">F645+F644</f>
        <v>0</v>
      </c>
      <c r="G646" s="566">
        <f t="shared" ca="1" si="115"/>
        <v>0</v>
      </c>
      <c r="H646" s="567">
        <f t="shared" ca="1" si="115"/>
        <v>0</v>
      </c>
      <c r="I646" s="568">
        <f t="shared" ca="1" si="115"/>
        <v>0</v>
      </c>
      <c r="J646" s="504">
        <f t="shared" ca="1" si="115"/>
        <v>0</v>
      </c>
      <c r="K646" s="504">
        <f t="shared" ca="1" si="115"/>
        <v>0</v>
      </c>
    </row>
    <row r="647" spans="1:11" ht="13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 ca="1">F646+F637</f>
        <v>80381537</v>
      </c>
      <c r="G647" s="543">
        <f ca="1">G646+$G$637</f>
        <v>23555299</v>
      </c>
      <c r="H647" s="535">
        <f ca="1">H646+$H$637</f>
        <v>28627685</v>
      </c>
      <c r="I647" s="536">
        <f ca="1">I646+$I$637</f>
        <v>28198553</v>
      </c>
      <c r="J647" s="346">
        <f ca="1">J646+$J$637</f>
        <v>80381537</v>
      </c>
      <c r="K647" s="346">
        <f ca="1">K646+$K$637</f>
        <v>0</v>
      </c>
    </row>
    <row r="648" spans="1:11" ht="13">
      <c r="A648" s="331">
        <v>25</v>
      </c>
      <c r="D648" s="342"/>
      <c r="E648" s="195"/>
      <c r="G648" s="541"/>
      <c r="H648" s="531"/>
      <c r="I648" s="532"/>
    </row>
    <row r="649" spans="1:11" ht="13">
      <c r="A649" s="331">
        <v>26</v>
      </c>
      <c r="B649" s="330" t="s">
        <v>1172</v>
      </c>
      <c r="D649" s="342"/>
      <c r="E649" s="195"/>
      <c r="F649" s="473">
        <f>'FR-16(7)(v)-8 TOT CLASS Alloc'!G649</f>
        <v>85341377</v>
      </c>
      <c r="G649" s="542">
        <f>'FR-16(7)(v)-5 DISTR Dem Alloc'!G649</f>
        <v>31797068</v>
      </c>
      <c r="H649" s="533">
        <f>'FR-16(7)(v)-3 PROD Comm Alloc'!G649</f>
        <v>31413307</v>
      </c>
      <c r="I649" s="534">
        <f>'FR-16(7)(v)-6 DISTR Cust Alloc'!G649</f>
        <v>22131002</v>
      </c>
      <c r="J649" s="345">
        <f>SUM(G649:I649)</f>
        <v>85341377</v>
      </c>
      <c r="K649" s="345">
        <f>F649-J649</f>
        <v>0</v>
      </c>
    </row>
    <row r="650" spans="1:11" ht="13">
      <c r="A650" s="331">
        <v>27</v>
      </c>
      <c r="B650" s="330" t="s">
        <v>79</v>
      </c>
      <c r="D650" s="342"/>
      <c r="E650" s="195"/>
      <c r="F650" s="345">
        <f t="shared" ref="F650:K650" ca="1" si="116">-F647</f>
        <v>-80381537</v>
      </c>
      <c r="G650" s="542">
        <f t="shared" ca="1" si="116"/>
        <v>-23555299</v>
      </c>
      <c r="H650" s="533">
        <f t="shared" ca="1" si="116"/>
        <v>-28627685</v>
      </c>
      <c r="I650" s="534">
        <f t="shared" ca="1" si="116"/>
        <v>-28198553</v>
      </c>
      <c r="J650" s="345">
        <f t="shared" ca="1" si="116"/>
        <v>-80381537</v>
      </c>
      <c r="K650" s="345">
        <f t="shared" ca="1" si="116"/>
        <v>0</v>
      </c>
    </row>
    <row r="651" spans="1:11" ht="13">
      <c r="A651" s="331">
        <v>28</v>
      </c>
      <c r="B651" s="330" t="s">
        <v>80</v>
      </c>
      <c r="D651" s="342"/>
      <c r="E651" s="195"/>
      <c r="F651" s="345">
        <f ca="1">F650+F649</f>
        <v>4959840</v>
      </c>
      <c r="G651" s="542">
        <f ca="1">G650+G649</f>
        <v>8241769</v>
      </c>
      <c r="H651" s="533">
        <f ca="1">H650+H649</f>
        <v>2785622</v>
      </c>
      <c r="I651" s="534">
        <f ca="1">I650+I649</f>
        <v>-6067551</v>
      </c>
      <c r="J651" s="345">
        <f ca="1">SUM(G651:I651)</f>
        <v>4959840</v>
      </c>
      <c r="K651" s="345">
        <f ca="1">K650+K649</f>
        <v>0</v>
      </c>
    </row>
    <row r="652" spans="1:11" ht="13">
      <c r="A652" s="331">
        <v>29</v>
      </c>
      <c r="B652" s="330" t="s">
        <v>76</v>
      </c>
      <c r="D652" s="342"/>
      <c r="E652" s="195"/>
      <c r="F652" s="348">
        <f>F565</f>
        <v>0.24925</v>
      </c>
      <c r="G652" s="560">
        <f>$G$565</f>
        <v>0.24925</v>
      </c>
      <c r="H652" s="561">
        <f>$H$565</f>
        <v>0.24925</v>
      </c>
      <c r="I652" s="562">
        <f>$I$565</f>
        <v>0.24925</v>
      </c>
      <c r="J652" s="348">
        <f>$K$565</f>
        <v>0.24925</v>
      </c>
      <c r="K652" s="348">
        <f>$K$565</f>
        <v>0.24925</v>
      </c>
    </row>
    <row r="653" spans="1:11" ht="13">
      <c r="A653" s="331">
        <v>30</v>
      </c>
      <c r="B653" s="330" t="s">
        <v>81</v>
      </c>
      <c r="D653" s="342"/>
      <c r="E653" s="195"/>
      <c r="F653" s="345">
        <f ca="1">ROUND(F652*F651,0)</f>
        <v>1236240</v>
      </c>
      <c r="G653" s="542">
        <f ca="1">ROUND(F652*F651,0)-H653-I653</f>
        <v>2054261</v>
      </c>
      <c r="H653" s="533">
        <f ca="1">ROUND(H652*H651,0)</f>
        <v>694316</v>
      </c>
      <c r="I653" s="534">
        <f ca="1">ROUND(I652*I651,0)</f>
        <v>-1512337</v>
      </c>
      <c r="J653" s="345">
        <f ca="1">SUM(G653:I653)</f>
        <v>1236240</v>
      </c>
      <c r="K653" s="506">
        <f t="shared" ref="K653:K654" ca="1" si="117">F653-J653</f>
        <v>0</v>
      </c>
    </row>
    <row r="654" spans="1:11" ht="13">
      <c r="A654" s="331">
        <v>31</v>
      </c>
      <c r="B654" s="330" t="s">
        <v>82</v>
      </c>
      <c r="D654" s="342"/>
      <c r="E654" s="195"/>
      <c r="F654" s="345">
        <f ca="1">F651-F653</f>
        <v>3723600</v>
      </c>
      <c r="G654" s="544">
        <f ca="1">G651-G653</f>
        <v>6187508</v>
      </c>
      <c r="H654" s="537">
        <f ca="1">H651-H653</f>
        <v>2091306</v>
      </c>
      <c r="I654" s="538">
        <f ca="1">I651-I653</f>
        <v>-4555214</v>
      </c>
      <c r="J654" s="345">
        <f ca="1">SUM(G654:I654)</f>
        <v>3723600</v>
      </c>
      <c r="K654" s="506">
        <f t="shared" ca="1" si="117"/>
        <v>0</v>
      </c>
    </row>
    <row r="655" spans="1:11" ht="13">
      <c r="A655" s="526"/>
      <c r="B655" s="578"/>
      <c r="C655" s="578"/>
      <c r="D655" s="730"/>
      <c r="E655" s="578"/>
      <c r="F655" s="526"/>
      <c r="G655" s="526"/>
      <c r="H655" s="526"/>
      <c r="I655" s="526"/>
      <c r="J655" s="526"/>
      <c r="K655" s="526"/>
    </row>
    <row r="656" spans="1:11" ht="13">
      <c r="A656" s="341" t="str">
        <f>co_name</f>
        <v>DUKE ENERGY KENTUCKY, INC.</v>
      </c>
      <c r="C656" s="195"/>
      <c r="D656" s="342"/>
      <c r="E656" s="195"/>
      <c r="F656" s="195"/>
      <c r="G656" s="195"/>
      <c r="H656" s="195"/>
      <c r="I656" s="195"/>
      <c r="J656" s="195" t="str">
        <f>$J$1</f>
        <v>FR-16(7)(v)-9</v>
      </c>
      <c r="K656" s="195"/>
    </row>
    <row r="657" spans="1:11" ht="13">
      <c r="A657" s="341" t="str">
        <f>$A$2</f>
        <v>RESIDENTIAL CLASSIFIED - GAS COST OF SERVICE</v>
      </c>
      <c r="C657" s="195"/>
      <c r="D657" s="342"/>
      <c r="E657" s="195"/>
      <c r="F657" s="195"/>
      <c r="G657" s="195"/>
      <c r="H657" s="195"/>
      <c r="I657" s="195"/>
      <c r="J657" s="195" t="str">
        <f>$J$2</f>
        <v>WITNESS RESPONSIBLE:</v>
      </c>
      <c r="K657" s="195"/>
    </row>
    <row r="658" spans="1:11" ht="13">
      <c r="A658" s="341" t="str">
        <f>case_name</f>
        <v>CASE NO: 2021-00190</v>
      </c>
      <c r="C658" s="195"/>
      <c r="D658" s="342"/>
      <c r="E658" s="195"/>
      <c r="F658" s="195"/>
      <c r="G658" s="195"/>
      <c r="H658" s="195"/>
      <c r="I658" s="195"/>
      <c r="J658" s="195" t="str">
        <f>Witness</f>
        <v>JAMES E. ZIOLKOWSKI</v>
      </c>
      <c r="K658" s="195"/>
    </row>
    <row r="659" spans="1:11" ht="13">
      <c r="A659" s="341" t="str">
        <f>data_filing</f>
        <v>DATA: 12 MONTH FORECASTED PERIOD</v>
      </c>
      <c r="C659" s="195"/>
      <c r="D659" s="342"/>
      <c r="E659" s="195"/>
      <c r="F659" s="195"/>
      <c r="G659" s="195"/>
      <c r="H659" s="195"/>
      <c r="I659" s="195"/>
      <c r="J659" s="195" t="str">
        <f>"PAGE "&amp;Pages2&amp;" OF "&amp;Pages2</f>
        <v>PAGE 15 OF 15</v>
      </c>
      <c r="K659" s="195"/>
    </row>
    <row r="660" spans="1:11" ht="13">
      <c r="A660" s="341" t="str">
        <f>type</f>
        <v xml:space="preserve">TYPE OF FILING: "X" ORIGINAL   UPDATED    REVISED  </v>
      </c>
      <c r="C660" s="195"/>
      <c r="D660" s="342"/>
      <c r="E660" s="195"/>
      <c r="F660" s="195"/>
      <c r="G660" s="195"/>
      <c r="H660" s="195"/>
      <c r="I660" s="195"/>
      <c r="J660" s="195"/>
      <c r="K660" s="195"/>
    </row>
    <row r="661" spans="1:11" ht="13">
      <c r="B661" s="341"/>
      <c r="C661" s="195"/>
      <c r="D661" s="342"/>
      <c r="E661" s="195"/>
      <c r="F661" s="195"/>
      <c r="G661" s="195"/>
      <c r="H661" s="195"/>
      <c r="I661" s="195"/>
      <c r="J661" s="195"/>
      <c r="K661" s="195"/>
    </row>
    <row r="662" spans="1:11" ht="13">
      <c r="B662" s="341"/>
      <c r="C662" s="195"/>
      <c r="D662" s="342"/>
      <c r="E662" s="195"/>
      <c r="F662" s="195"/>
      <c r="G662" s="195"/>
      <c r="H662" s="195"/>
      <c r="I662" s="195"/>
      <c r="J662" s="195"/>
      <c r="K662" s="195"/>
    </row>
    <row r="663" spans="1:11" ht="13">
      <c r="A663" s="342" t="s">
        <v>907</v>
      </c>
      <c r="B663" s="195"/>
      <c r="C663" s="195"/>
      <c r="D663" s="342"/>
      <c r="E663" s="195"/>
      <c r="F663" s="342" t="s">
        <v>229</v>
      </c>
      <c r="G663" s="539" t="s">
        <v>995</v>
      </c>
      <c r="H663" s="527"/>
      <c r="I663" s="528"/>
      <c r="J663" s="342" t="s">
        <v>229</v>
      </c>
      <c r="K663" s="342" t="s">
        <v>342</v>
      </c>
    </row>
    <row r="664" spans="1:11" ht="13">
      <c r="A664" s="344" t="s">
        <v>908</v>
      </c>
      <c r="B664" s="343" t="s">
        <v>83</v>
      </c>
      <c r="C664" s="343"/>
      <c r="D664" s="344" t="s">
        <v>337</v>
      </c>
      <c r="E664" s="343"/>
      <c r="F664" s="344" t="str">
        <f>$F$9</f>
        <v>RESIDENTIAL</v>
      </c>
      <c r="G664" s="540" t="s">
        <v>840</v>
      </c>
      <c r="H664" s="529" t="s">
        <v>841</v>
      </c>
      <c r="I664" s="530" t="s">
        <v>842</v>
      </c>
      <c r="J664" s="344" t="s">
        <v>341</v>
      </c>
      <c r="K664" s="344" t="s">
        <v>340</v>
      </c>
    </row>
    <row r="665" spans="1:11" ht="13">
      <c r="C665" s="572" t="s">
        <v>353</v>
      </c>
      <c r="D665" s="342"/>
      <c r="E665" s="195"/>
      <c r="G665" s="817">
        <f>$G$10</f>
        <v>3</v>
      </c>
      <c r="H665" s="817">
        <f>$H$10</f>
        <v>4</v>
      </c>
      <c r="I665" s="817">
        <f>$I$10</f>
        <v>5</v>
      </c>
    </row>
    <row r="666" spans="1:11" ht="13">
      <c r="A666" s="331">
        <v>1</v>
      </c>
      <c r="B666" s="330" t="s">
        <v>84</v>
      </c>
      <c r="D666" s="342"/>
      <c r="E666" s="195"/>
    </row>
    <row r="667" spans="1:11" ht="13">
      <c r="A667" s="331">
        <v>2</v>
      </c>
      <c r="B667" s="330" t="s">
        <v>85</v>
      </c>
      <c r="D667" s="342"/>
      <c r="E667" s="195"/>
      <c r="G667" s="513" t="s">
        <v>339</v>
      </c>
    </row>
    <row r="668" spans="1:11" ht="13">
      <c r="A668" s="331">
        <v>3</v>
      </c>
      <c r="C668" s="330" t="str">
        <f>'FR-16(7)(v)-1 Functional'!C668</f>
        <v>LONG TERM DEBT</v>
      </c>
      <c r="D668" s="342"/>
      <c r="E668" s="195"/>
      <c r="F668" s="473">
        <f>'FR-16(7)(v)-1 Functional'!$F$668</f>
        <v>794320510</v>
      </c>
      <c r="G668" s="348">
        <f>IF($F$673=0,0,ROUND(F668/$F$673,5))</f>
        <v>0.46721000000000001</v>
      </c>
    </row>
    <row r="669" spans="1:11" ht="13">
      <c r="A669" s="331">
        <v>4</v>
      </c>
      <c r="C669" s="330" t="str">
        <f>'FR-16(7)(v)-1 Functional'!C669</f>
        <v>PREFERRED STOCK</v>
      </c>
      <c r="D669" s="342"/>
      <c r="E669" s="195"/>
      <c r="F669" s="473">
        <f>'FR-16(7)(v)-1 Functional'!$F$669</f>
        <v>0</v>
      </c>
      <c r="G669" s="348">
        <f>IF($F$673=0,0,ROUND(F669/$F$673,5))</f>
        <v>0</v>
      </c>
    </row>
    <row r="670" spans="1:11" ht="13">
      <c r="A670" s="331">
        <v>5</v>
      </c>
      <c r="C670" s="330" t="str">
        <f>'FR-16(7)(v)-1 Functional'!C670</f>
        <v>COMMON STOCK</v>
      </c>
      <c r="D670" s="342"/>
      <c r="E670" s="195"/>
      <c r="F670" s="473">
        <f>'FR-16(7)(v)-1 Functional'!$F$670</f>
        <v>861861344</v>
      </c>
      <c r="G670" s="348">
        <f>1-G668-G669-G671-G672</f>
        <v>0.50695000000000001</v>
      </c>
    </row>
    <row r="671" spans="1:11" ht="13">
      <c r="A671" s="331">
        <v>6</v>
      </c>
      <c r="C671" s="330" t="str">
        <f>'FR-16(7)(v)-1 Functional'!C671</f>
        <v>SHORT TERM DEBT</v>
      </c>
      <c r="D671" s="342"/>
      <c r="E671" s="195"/>
      <c r="F671" s="473">
        <f>'FR-16(7)(v)-1 Functional'!$F$671</f>
        <v>43936209</v>
      </c>
      <c r="G671" s="348">
        <f>IF($F$673=0,0,ROUND(F671/$F$673,5))</f>
        <v>2.5839999999999998E-2</v>
      </c>
    </row>
    <row r="672" spans="1:11" ht="13">
      <c r="A672" s="331">
        <v>7</v>
      </c>
      <c r="C672" s="330" t="str">
        <f>'FR-16(7)(v)-1 Functional'!C672</f>
        <v>UNAMORTIZED DISCOUNT</v>
      </c>
      <c r="D672" s="342"/>
      <c r="E672" s="195"/>
      <c r="F672" s="473">
        <f>'FR-16(7)(v)-1 Functional'!$F$672</f>
        <v>0</v>
      </c>
      <c r="G672" s="348">
        <f>IF($F$673=0,0,ROUND(F672/$F$673,5))</f>
        <v>0</v>
      </c>
    </row>
    <row r="673" spans="1:9" ht="13">
      <c r="A673" s="331">
        <v>8</v>
      </c>
      <c r="C673" s="330" t="str">
        <f>'FR-16(7)(v)-1 Functional'!C673</f>
        <v xml:space="preserve">  TOTAL</v>
      </c>
      <c r="D673" s="342"/>
      <c r="E673" s="195"/>
      <c r="F673" s="474">
        <f>SUM(F667:F672)</f>
        <v>1700118063</v>
      </c>
      <c r="G673" s="515">
        <f>SUM(G668:G672)</f>
        <v>1</v>
      </c>
    </row>
    <row r="674" spans="1:9" ht="13">
      <c r="A674" s="331">
        <v>9</v>
      </c>
      <c r="D674" s="342"/>
      <c r="E674" s="195"/>
    </row>
    <row r="675" spans="1:9" ht="13">
      <c r="A675" s="331">
        <v>10</v>
      </c>
      <c r="B675" s="330" t="s">
        <v>86</v>
      </c>
      <c r="D675" s="342"/>
      <c r="E675" s="195"/>
    </row>
    <row r="676" spans="1:9" ht="13">
      <c r="A676" s="331">
        <v>11</v>
      </c>
      <c r="C676" s="330" t="str">
        <f>'FR-16(7)(v)-1 Functional'!C676</f>
        <v>LONG TERM DEBT</v>
      </c>
      <c r="D676" s="342"/>
      <c r="E676" s="195"/>
      <c r="F676" s="580">
        <f>'FR-16(7)(v)-1 Functional'!$F$676</f>
        <v>3.8429999999999999E-2</v>
      </c>
      <c r="G676" s="516"/>
      <c r="H676" s="516"/>
      <c r="I676" s="516"/>
    </row>
    <row r="677" spans="1:9" ht="13">
      <c r="A677" s="331">
        <v>12</v>
      </c>
      <c r="C677" s="330" t="str">
        <f>'FR-16(7)(v)-1 Functional'!C677</f>
        <v>PREFERRED STOCK</v>
      </c>
      <c r="D677" s="342"/>
      <c r="E677" s="195"/>
      <c r="F677" s="580">
        <f>'FR-16(7)(v)-1 Functional'!$F$677</f>
        <v>0</v>
      </c>
      <c r="G677" s="516"/>
      <c r="H677" s="516"/>
      <c r="I677" s="516"/>
    </row>
    <row r="678" spans="1:9" ht="13">
      <c r="A678" s="331">
        <v>13</v>
      </c>
      <c r="C678" s="330" t="str">
        <f>'FR-16(7)(v)-1 Functional'!C678</f>
        <v>COMMON STOCK</v>
      </c>
      <c r="D678" s="342"/>
      <c r="E678" s="195"/>
      <c r="F678" s="580">
        <f>'FR-16(7)(v)-1 Functional'!$F$678</f>
        <v>0.10299999999999999</v>
      </c>
      <c r="G678" s="516"/>
      <c r="H678" s="516"/>
      <c r="I678" s="516"/>
    </row>
    <row r="679" spans="1:9" ht="13">
      <c r="A679" s="331">
        <v>14</v>
      </c>
      <c r="C679" s="330" t="str">
        <f>'FR-16(7)(v)-1 Functional'!C679</f>
        <v>SHORT TERM DEBT</v>
      </c>
      <c r="D679" s="342"/>
      <c r="E679" s="195"/>
      <c r="F679" s="580">
        <f>'FR-16(7)(v)-1 Functional'!$F$679</f>
        <v>1.6670000000000001E-2</v>
      </c>
      <c r="G679" s="516"/>
      <c r="H679" s="516"/>
      <c r="I679" s="516"/>
    </row>
    <row r="680" spans="1:9" ht="13">
      <c r="A680" s="331">
        <v>15</v>
      </c>
      <c r="C680" s="330" t="str">
        <f>'FR-16(7)(v)-1 Functional'!C680</f>
        <v>UNAMORTIZED DISCOUNT</v>
      </c>
      <c r="D680" s="342"/>
      <c r="E680" s="195"/>
      <c r="F680" s="580">
        <f>'FR-16(7)(v)-1 Functional'!$F$680</f>
        <v>0</v>
      </c>
      <c r="G680" s="516"/>
      <c r="H680" s="516"/>
      <c r="I680" s="516"/>
    </row>
    <row r="681" spans="1:9" ht="13">
      <c r="A681" s="331">
        <v>16</v>
      </c>
      <c r="D681" s="342"/>
      <c r="E681" s="195"/>
    </row>
    <row r="682" spans="1:9" ht="13">
      <c r="A682" s="331">
        <v>17</v>
      </c>
      <c r="B682" s="330" t="s">
        <v>87</v>
      </c>
      <c r="D682" s="342"/>
      <c r="E682" s="195"/>
    </row>
    <row r="683" spans="1:9" ht="13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G683" s="514"/>
      <c r="H683" s="514"/>
      <c r="I683" s="514"/>
    </row>
    <row r="684" spans="1:9" ht="13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G684" s="514"/>
      <c r="H684" s="514"/>
      <c r="I684" s="514"/>
    </row>
    <row r="685" spans="1:9" ht="13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G685" s="514"/>
      <c r="H685" s="514"/>
      <c r="I685" s="514"/>
    </row>
    <row r="686" spans="1:9" ht="13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G686" s="514"/>
      <c r="H686" s="514"/>
      <c r="I686" s="514"/>
    </row>
    <row r="687" spans="1:9" ht="13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G687" s="514"/>
      <c r="H687" s="514"/>
      <c r="I687" s="514"/>
    </row>
    <row r="688" spans="1:9" ht="13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7">
        <f>SUM(F683:F687)</f>
        <v>7.060000000000001E-2</v>
      </c>
      <c r="G688" s="518"/>
      <c r="H688" s="518"/>
      <c r="I688" s="518"/>
    </row>
    <row r="689" spans="1:11" ht="13">
      <c r="A689" s="331">
        <v>24</v>
      </c>
      <c r="D689" s="342"/>
      <c r="E689" s="195"/>
    </row>
    <row r="690" spans="1:11" ht="13">
      <c r="A690" s="331">
        <v>25</v>
      </c>
      <c r="B690" s="330" t="s">
        <v>88</v>
      </c>
      <c r="D690" s="342"/>
      <c r="E690" s="195"/>
      <c r="F690" s="363"/>
    </row>
    <row r="691" spans="1:11" ht="13">
      <c r="A691" s="331">
        <v>26</v>
      </c>
      <c r="C691" s="330" t="str">
        <f>'FR-16(7)(v)-1 Functional'!C691</f>
        <v>SHORT TERM DEBT COST</v>
      </c>
      <c r="D691" s="342"/>
      <c r="E691" s="195"/>
      <c r="F691" s="760">
        <v>0</v>
      </c>
      <c r="G691" s="519">
        <f>$F$691</f>
        <v>0</v>
      </c>
      <c r="H691" s="519">
        <f>$F$691</f>
        <v>0</v>
      </c>
      <c r="I691" s="519">
        <f>$F$691</f>
        <v>0</v>
      </c>
      <c r="J691" s="519">
        <f>$F$691</f>
        <v>0</v>
      </c>
      <c r="K691" s="519">
        <f>$F$691</f>
        <v>0</v>
      </c>
    </row>
    <row r="692" spans="1:11" ht="13">
      <c r="A692" s="331">
        <v>27</v>
      </c>
      <c r="C692" s="330" t="str">
        <f>'FR-16(7)(v)-1 Functional'!C692</f>
        <v>FEDERAL INCOME TAX RATE</v>
      </c>
      <c r="D692" s="342"/>
      <c r="E692" s="195"/>
      <c r="F692" s="519">
        <f t="shared" ref="F692:K692" si="118">FIT</f>
        <v>0.21</v>
      </c>
      <c r="G692" s="519">
        <f t="shared" si="118"/>
        <v>0.21</v>
      </c>
      <c r="H692" s="519">
        <f t="shared" si="118"/>
        <v>0.21</v>
      </c>
      <c r="I692" s="519">
        <f t="shared" si="118"/>
        <v>0.21</v>
      </c>
      <c r="J692" s="519">
        <f t="shared" si="118"/>
        <v>0.21</v>
      </c>
      <c r="K692" s="519">
        <f t="shared" si="118"/>
        <v>0.21</v>
      </c>
    </row>
    <row r="693" spans="1:11" ht="13">
      <c r="A693" s="331">
        <v>28</v>
      </c>
      <c r="C693" s="330" t="str">
        <f>'FR-16(7)(v)-1 Functional'!C693</f>
        <v>STATE INCOME TAX RATE</v>
      </c>
      <c r="D693" s="342"/>
      <c r="E693" s="195"/>
      <c r="F693" s="519">
        <f t="shared" ref="F693:K693" si="119">SIT</f>
        <v>4.9685000000000007E-2</v>
      </c>
      <c r="G693" s="519">
        <f t="shared" si="119"/>
        <v>4.9685000000000007E-2</v>
      </c>
      <c r="H693" s="519">
        <f t="shared" si="119"/>
        <v>4.9685000000000007E-2</v>
      </c>
      <c r="I693" s="519">
        <f t="shared" si="119"/>
        <v>4.9685000000000007E-2</v>
      </c>
      <c r="J693" s="519">
        <f t="shared" si="119"/>
        <v>4.9685000000000007E-2</v>
      </c>
      <c r="K693" s="519">
        <f t="shared" si="119"/>
        <v>4.9685000000000007E-2</v>
      </c>
    </row>
    <row r="694" spans="1:11" ht="13">
      <c r="A694" s="331">
        <v>29</v>
      </c>
      <c r="C694" s="330" t="str">
        <f>'FR-16(7)(v)-1 Functional'!C694</f>
        <v>REVENUE TAX RATE</v>
      </c>
      <c r="D694" s="342"/>
      <c r="E694" s="195"/>
      <c r="F694" s="516">
        <v>0</v>
      </c>
      <c r="G694" s="519">
        <f>RevTax</f>
        <v>0</v>
      </c>
      <c r="H694" s="519">
        <f>RevTax</f>
        <v>0</v>
      </c>
      <c r="I694" s="519">
        <f>RevTax</f>
        <v>0</v>
      </c>
      <c r="J694" s="519">
        <f>RevTax</f>
        <v>0</v>
      </c>
      <c r="K694" s="519">
        <f>RevTax</f>
        <v>0</v>
      </c>
    </row>
    <row r="696" spans="1:11" ht="13">
      <c r="A696" s="341"/>
      <c r="C696" s="195"/>
      <c r="D696" s="342"/>
      <c r="E696" s="195"/>
      <c r="F696" s="195"/>
      <c r="G696" s="195"/>
      <c r="H696" s="195"/>
      <c r="I696" s="195"/>
      <c r="J696" s="195"/>
      <c r="K696" s="195"/>
    </row>
    <row r="697" spans="1:11" ht="13">
      <c r="A697" s="341"/>
      <c r="C697" s="195"/>
      <c r="D697" s="342"/>
      <c r="E697" s="195"/>
      <c r="F697" s="195"/>
      <c r="G697" s="195"/>
      <c r="H697" s="195"/>
      <c r="I697" s="195"/>
      <c r="J697" s="195"/>
      <c r="K697" s="195"/>
    </row>
    <row r="698" spans="1:11" ht="13">
      <c r="A698" s="341"/>
      <c r="C698" s="195"/>
      <c r="D698" s="342"/>
      <c r="E698" s="195"/>
      <c r="F698" s="195"/>
      <c r="G698" s="195"/>
      <c r="H698" s="195"/>
      <c r="I698" s="195"/>
      <c r="J698" s="195"/>
      <c r="K698" s="195"/>
    </row>
    <row r="699" spans="1:11" ht="13">
      <c r="A699" s="341"/>
      <c r="C699" s="195"/>
      <c r="D699" s="342"/>
      <c r="E699" s="195"/>
      <c r="F699" s="195"/>
      <c r="G699" s="195"/>
      <c r="H699" s="195"/>
      <c r="I699" s="195"/>
      <c r="J699" s="195"/>
      <c r="K699" s="195"/>
    </row>
    <row r="700" spans="1:11" ht="13">
      <c r="A700" s="341"/>
      <c r="C700" s="195"/>
      <c r="D700" s="342"/>
      <c r="E700" s="195"/>
      <c r="F700" s="195"/>
      <c r="G700" s="195"/>
      <c r="H700" s="195"/>
      <c r="I700" s="195"/>
      <c r="J700" s="195"/>
      <c r="K700" s="195"/>
    </row>
    <row r="747" spans="1:11" ht="13">
      <c r="A747" s="341"/>
      <c r="C747" s="195"/>
      <c r="D747" s="342"/>
      <c r="E747" s="195"/>
      <c r="F747" s="195"/>
      <c r="G747" s="195"/>
      <c r="H747" s="195"/>
      <c r="I747" s="195"/>
      <c r="J747" s="195"/>
      <c r="K747" s="195"/>
    </row>
    <row r="748" spans="1:11" ht="13">
      <c r="A748" s="341"/>
      <c r="C748" s="195"/>
      <c r="D748" s="342"/>
      <c r="E748" s="195"/>
      <c r="F748" s="195"/>
      <c r="G748" s="195"/>
      <c r="H748" s="195"/>
      <c r="I748" s="195"/>
      <c r="J748" s="195"/>
      <c r="K748" s="195"/>
    </row>
    <row r="749" spans="1:11" ht="13">
      <c r="A749" s="341"/>
      <c r="C749" s="195"/>
      <c r="D749" s="342"/>
      <c r="E749" s="195"/>
      <c r="F749" s="195"/>
      <c r="G749" s="195"/>
      <c r="H749" s="195"/>
      <c r="I749" s="195"/>
      <c r="J749" s="195"/>
      <c r="K749" s="195"/>
    </row>
    <row r="750" spans="1:11" ht="13">
      <c r="A750" s="341"/>
      <c r="C750" s="195"/>
      <c r="D750" s="342"/>
      <c r="E750" s="195"/>
      <c r="F750" s="195"/>
      <c r="G750" s="195"/>
      <c r="H750" s="195"/>
      <c r="I750" s="195"/>
      <c r="J750" s="195"/>
      <c r="K750" s="195"/>
    </row>
    <row r="751" spans="1:11" ht="13">
      <c r="A751" s="341"/>
      <c r="C751" s="195"/>
      <c r="D751" s="342"/>
      <c r="E751" s="195"/>
      <c r="F751" s="195"/>
      <c r="G751" s="195"/>
      <c r="H751" s="195"/>
      <c r="I751" s="195"/>
      <c r="J751" s="195"/>
      <c r="K751" s="195"/>
    </row>
    <row r="805" spans="1:11" ht="13">
      <c r="A805" s="341"/>
      <c r="C805" s="195"/>
      <c r="D805" s="342"/>
      <c r="E805" s="195"/>
      <c r="F805" s="195"/>
      <c r="G805" s="195"/>
      <c r="H805" s="195"/>
      <c r="I805" s="195"/>
      <c r="J805" s="195"/>
      <c r="K805" s="195"/>
    </row>
    <row r="806" spans="1:11" ht="13">
      <c r="A806" s="341"/>
      <c r="C806" s="195"/>
      <c r="D806" s="342"/>
      <c r="E806" s="195"/>
      <c r="F806" s="195"/>
      <c r="G806" s="195"/>
      <c r="H806" s="195"/>
      <c r="I806" s="195"/>
      <c r="J806" s="195"/>
      <c r="K806" s="195"/>
    </row>
    <row r="807" spans="1:11" ht="13">
      <c r="A807" s="341"/>
      <c r="C807" s="195"/>
      <c r="D807" s="342"/>
      <c r="E807" s="195"/>
      <c r="F807" s="195"/>
      <c r="G807" s="195"/>
      <c r="H807" s="195"/>
      <c r="I807" s="195"/>
      <c r="J807" s="195"/>
      <c r="K807" s="195"/>
    </row>
    <row r="808" spans="1:11" ht="13">
      <c r="A808" s="341"/>
      <c r="C808" s="195"/>
      <c r="D808" s="342"/>
      <c r="E808" s="195"/>
      <c r="F808" s="195"/>
      <c r="G808" s="195"/>
      <c r="H808" s="195"/>
      <c r="I808" s="195"/>
      <c r="J808" s="195"/>
      <c r="K808" s="195"/>
    </row>
    <row r="809" spans="1:11" ht="13">
      <c r="A809" s="341"/>
      <c r="C809" s="195"/>
      <c r="D809" s="342"/>
      <c r="E809" s="195"/>
      <c r="F809" s="195"/>
      <c r="G809" s="195"/>
      <c r="H809" s="195"/>
      <c r="I809" s="195"/>
      <c r="J809" s="195"/>
      <c r="K809" s="195"/>
    </row>
    <row r="861" spans="1:11" ht="20">
      <c r="A861" s="1184" t="s">
        <v>1193</v>
      </c>
    </row>
    <row r="863" spans="1:11" ht="13">
      <c r="A863" s="342" t="s">
        <v>907</v>
      </c>
      <c r="B863" s="195"/>
      <c r="C863" s="195"/>
      <c r="D863" s="342"/>
      <c r="E863" s="195"/>
      <c r="F863" s="342" t="s">
        <v>229</v>
      </c>
      <c r="G863" s="539" t="s">
        <v>995</v>
      </c>
      <c r="H863" s="527"/>
      <c r="I863" s="528"/>
      <c r="J863" s="342" t="s">
        <v>229</v>
      </c>
      <c r="K863" s="342" t="s">
        <v>342</v>
      </c>
    </row>
    <row r="864" spans="1:11" ht="13">
      <c r="A864" s="344" t="s">
        <v>908</v>
      </c>
      <c r="B864" s="343" t="s">
        <v>99</v>
      </c>
      <c r="C864" s="343"/>
      <c r="D864" s="344" t="s">
        <v>337</v>
      </c>
      <c r="E864" s="343"/>
      <c r="F864" s="344" t="str">
        <f>$F$9</f>
        <v>RESIDENTIAL</v>
      </c>
      <c r="G864" s="540" t="s">
        <v>840</v>
      </c>
      <c r="H864" s="529" t="s">
        <v>841</v>
      </c>
      <c r="I864" s="530" t="s">
        <v>842</v>
      </c>
      <c r="J864" s="344" t="s">
        <v>341</v>
      </c>
      <c r="K864" s="344" t="s">
        <v>340</v>
      </c>
    </row>
    <row r="865" spans="1:11" ht="13">
      <c r="B865" s="195"/>
      <c r="C865" s="572" t="s">
        <v>4</v>
      </c>
      <c r="D865" s="342"/>
      <c r="E865" s="195"/>
      <c r="G865" s="793">
        <f>$G$10</f>
        <v>3</v>
      </c>
      <c r="H865" s="794">
        <f>$H$10</f>
        <v>4</v>
      </c>
      <c r="I865" s="795">
        <f>$I$10</f>
        <v>5</v>
      </c>
    </row>
    <row r="866" spans="1:11" ht="13">
      <c r="A866" s="331">
        <v>1</v>
      </c>
      <c r="B866" s="330" t="s">
        <v>100</v>
      </c>
      <c r="D866" s="342"/>
      <c r="E866" s="195"/>
      <c r="G866" s="541"/>
      <c r="H866" s="531"/>
      <c r="I866" s="532"/>
    </row>
    <row r="867" spans="1:11" ht="13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K867" ca="1" si="120">F647</f>
        <v>80381537</v>
      </c>
      <c r="G867" s="542">
        <f t="shared" ca="1" si="120"/>
        <v>23555299</v>
      </c>
      <c r="H867" s="533">
        <f t="shared" ca="1" si="120"/>
        <v>28627685</v>
      </c>
      <c r="I867" s="534">
        <f t="shared" ca="1" si="120"/>
        <v>28198553</v>
      </c>
      <c r="J867" s="345">
        <f t="shared" ca="1" si="120"/>
        <v>80381537</v>
      </c>
      <c r="K867" s="345">
        <f t="shared" ca="1" si="120"/>
        <v>0</v>
      </c>
    </row>
    <row r="868" spans="1:11" ht="13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222777</v>
      </c>
      <c r="G868" s="542">
        <f>$G$630</f>
        <v>61556</v>
      </c>
      <c r="H868" s="533">
        <f>$H$630</f>
        <v>25145</v>
      </c>
      <c r="I868" s="534">
        <f>$I$630</f>
        <v>136076</v>
      </c>
      <c r="J868" s="345">
        <f>$J$630</f>
        <v>222777</v>
      </c>
      <c r="K868" s="345">
        <f>$K$630</f>
        <v>0</v>
      </c>
    </row>
    <row r="869" spans="1:11" ht="13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K869" ca="1" si="121">SUM(F866:F868)</f>
        <v>80604314</v>
      </c>
      <c r="G869" s="543">
        <f t="shared" ca="1" si="121"/>
        <v>23616855</v>
      </c>
      <c r="H869" s="535">
        <f t="shared" ca="1" si="121"/>
        <v>28652830</v>
      </c>
      <c r="I869" s="536">
        <f t="shared" ca="1" si="121"/>
        <v>28334629</v>
      </c>
      <c r="J869" s="346">
        <f t="shared" ca="1" si="121"/>
        <v>80604314</v>
      </c>
      <c r="K869" s="346">
        <f t="shared" ca="1" si="121"/>
        <v>0</v>
      </c>
    </row>
    <row r="870" spans="1:11" ht="13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-55971386</v>
      </c>
      <c r="G870" s="542">
        <f>-$G$501</f>
        <v>-12067376</v>
      </c>
      <c r="H870" s="533">
        <f>-$H$501</f>
        <v>-27653888</v>
      </c>
      <c r="I870" s="534">
        <f>-$I$501</f>
        <v>-16250122</v>
      </c>
      <c r="J870" s="506">
        <f>-$J$501</f>
        <v>-55971386</v>
      </c>
      <c r="K870" s="345">
        <f>-$K$501</f>
        <v>0</v>
      </c>
    </row>
    <row r="871" spans="1:11" ht="13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 ca="1">-ROUND(F694*F867,0)</f>
        <v>0</v>
      </c>
      <c r="G871" s="542">
        <f ca="1">-ROUND(G694*G867,0)</f>
        <v>0</v>
      </c>
      <c r="H871" s="533">
        <f ca="1">-ROUND(H694*H867,0)</f>
        <v>0</v>
      </c>
      <c r="I871" s="534">
        <f ca="1">-ROUND(I694*I867,0)</f>
        <v>0</v>
      </c>
      <c r="J871" s="504">
        <f ca="1">SUM(G871:I871)</f>
        <v>0</v>
      </c>
      <c r="K871" s="345">
        <f ca="1">-ROUND('FR-16(7)(v)-1 Functional'!K694*K867,0)</f>
        <v>0</v>
      </c>
    </row>
    <row r="872" spans="1:11" ht="13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 ca="1">SUM(F869:F871)</f>
        <v>24632928</v>
      </c>
      <c r="G872" s="543">
        <f ca="1">SUM(G869:G871)</f>
        <v>11549479</v>
      </c>
      <c r="H872" s="535">
        <f ca="1">SUM(H869:H871)</f>
        <v>998942</v>
      </c>
      <c r="I872" s="536">
        <f ca="1">SUM(I869:I871)</f>
        <v>12084507</v>
      </c>
      <c r="J872" s="346">
        <f ca="1">SUM(G872:I872)</f>
        <v>24632928</v>
      </c>
      <c r="K872" s="346">
        <f ca="1">SUM(K869:K871)</f>
        <v>0</v>
      </c>
    </row>
    <row r="873" spans="1:11" ht="13">
      <c r="A873" s="331">
        <v>8</v>
      </c>
      <c r="D873" s="342"/>
      <c r="E873" s="195"/>
      <c r="G873" s="541"/>
      <c r="H873" s="531"/>
      <c r="I873" s="532"/>
    </row>
    <row r="874" spans="1:11" ht="13">
      <c r="A874" s="331">
        <v>9</v>
      </c>
      <c r="B874" s="330" t="s">
        <v>101</v>
      </c>
      <c r="D874" s="342"/>
      <c r="E874" s="195"/>
      <c r="G874" s="541"/>
      <c r="H874" s="531"/>
      <c r="I874" s="532"/>
    </row>
    <row r="875" spans="1:11" ht="13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-5486208</v>
      </c>
      <c r="G875" s="542">
        <f>-$G$516</f>
        <v>-2651495</v>
      </c>
      <c r="H875" s="533">
        <f>-$H$516</f>
        <v>-84918</v>
      </c>
      <c r="I875" s="534">
        <f>-$I$516</f>
        <v>-2749795</v>
      </c>
      <c r="J875" s="345">
        <f>-$J$516</f>
        <v>-5486208</v>
      </c>
      <c r="K875" s="345">
        <f>-$K$516</f>
        <v>0</v>
      </c>
    </row>
    <row r="876" spans="1:11" ht="13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-4614305</v>
      </c>
      <c r="G876" s="542">
        <f>-$G$522</f>
        <v>-2142869</v>
      </c>
      <c r="H876" s="533">
        <f>-$H$522</f>
        <v>-164382</v>
      </c>
      <c r="I876" s="534">
        <f>-$I$522</f>
        <v>-2307054</v>
      </c>
      <c r="J876" s="345">
        <f>-$J$522</f>
        <v>-4614305</v>
      </c>
      <c r="K876" s="345">
        <f>-$K$522</f>
        <v>0</v>
      </c>
    </row>
    <row r="877" spans="1:11" ht="13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 ca="1">SUM(F874:F876)+F872</f>
        <v>14532415</v>
      </c>
      <c r="G877" s="543">
        <f ca="1">SUM(G874:G876)+G872</f>
        <v>6755115</v>
      </c>
      <c r="H877" s="535">
        <f ca="1">SUM(H874:H876)+H872</f>
        <v>749642</v>
      </c>
      <c r="I877" s="536">
        <f ca="1">SUM(I874:I876)+I872</f>
        <v>7027658</v>
      </c>
      <c r="J877" s="346">
        <f ca="1">SUM(G877:I877)</f>
        <v>14532415</v>
      </c>
      <c r="K877" s="346">
        <f ca="1">SUM(K874:K876)+K872</f>
        <v>0</v>
      </c>
    </row>
    <row r="878" spans="1:11" ht="13">
      <c r="A878" s="331">
        <v>13</v>
      </c>
      <c r="D878" s="342"/>
      <c r="E878" s="195"/>
      <c r="G878" s="541"/>
      <c r="H878" s="531"/>
      <c r="I878" s="532"/>
    </row>
    <row r="879" spans="1:11" ht="13">
      <c r="A879" s="331">
        <v>14</v>
      </c>
      <c r="B879" s="330" t="s">
        <v>99</v>
      </c>
      <c r="D879" s="342"/>
      <c r="E879" s="195"/>
      <c r="G879" s="541"/>
      <c r="H879" s="531"/>
      <c r="I879" s="532"/>
    </row>
    <row r="880" spans="1:11" ht="13">
      <c r="A880" s="331">
        <v>15</v>
      </c>
      <c r="B880" s="330" t="s">
        <v>74</v>
      </c>
      <c r="D880" s="342"/>
      <c r="E880" s="195"/>
      <c r="G880" s="541"/>
      <c r="H880" s="531"/>
      <c r="I880" s="532"/>
    </row>
    <row r="881" spans="1:11" ht="13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K881" ca="1" si="122">F877</f>
        <v>14532415</v>
      </c>
      <c r="G881" s="542">
        <f t="shared" ca="1" si="122"/>
        <v>6755115</v>
      </c>
      <c r="H881" s="533">
        <f t="shared" ca="1" si="122"/>
        <v>749642</v>
      </c>
      <c r="I881" s="534">
        <f t="shared" ca="1" si="122"/>
        <v>7027658</v>
      </c>
      <c r="J881" s="345">
        <f t="shared" ca="1" si="122"/>
        <v>14532415</v>
      </c>
      <c r="K881" s="345">
        <f t="shared" ca="1" si="122"/>
        <v>0</v>
      </c>
    </row>
    <row r="882" spans="1:11" ht="13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K882" ca="1" si="123">SUM(F881:F881)</f>
        <v>14532415</v>
      </c>
      <c r="G882" s="542">
        <f t="shared" ca="1" si="123"/>
        <v>6755115</v>
      </c>
      <c r="H882" s="533">
        <f t="shared" ca="1" si="123"/>
        <v>749642</v>
      </c>
      <c r="I882" s="534">
        <f t="shared" ca="1" si="123"/>
        <v>7027658</v>
      </c>
      <c r="J882" s="345">
        <f t="shared" ca="1" si="123"/>
        <v>14532415</v>
      </c>
      <c r="K882" s="345">
        <f t="shared" ca="1" si="123"/>
        <v>0</v>
      </c>
    </row>
    <row r="883" spans="1:11" ht="13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560">
        <f>G692</f>
        <v>0.21</v>
      </c>
      <c r="H883" s="561">
        <f>H692</f>
        <v>0.21</v>
      </c>
      <c r="I883" s="562">
        <f>I692</f>
        <v>0.21</v>
      </c>
      <c r="J883" s="348"/>
      <c r="K883" s="348">
        <f>'FR-16(7)(v)-1 Functional'!K692</f>
        <v>0.21</v>
      </c>
    </row>
    <row r="884" spans="1:11" ht="13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 ca="1">ROUND(F883*F882,0)</f>
        <v>3051807</v>
      </c>
      <c r="G884" s="542">
        <f ca="1">ROUND(G883*G882,0)</f>
        <v>1418574</v>
      </c>
      <c r="H884" s="533">
        <f ca="1">ROUND(H883*H882,0)</f>
        <v>157425</v>
      </c>
      <c r="I884" s="534">
        <f ca="1">ROUND(I883*I882,0)</f>
        <v>1475808</v>
      </c>
      <c r="J884" s="345">
        <f ca="1">SUM(G884:I884)</f>
        <v>3051807</v>
      </c>
      <c r="K884" s="345">
        <f ca="1">ROUND(K883*K882,0)</f>
        <v>0</v>
      </c>
    </row>
    <row r="885" spans="1:11" ht="13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468550</v>
      </c>
      <c r="G885" s="542">
        <f>$G$532</f>
        <v>-32594</v>
      </c>
      <c r="H885" s="533">
        <f>$H$532</f>
        <v>515790</v>
      </c>
      <c r="I885" s="534">
        <f>$I$532</f>
        <v>-14646</v>
      </c>
      <c r="J885" s="345">
        <f>$J$532</f>
        <v>468550</v>
      </c>
      <c r="K885" s="345">
        <f>$K$532</f>
        <v>0</v>
      </c>
    </row>
    <row r="886" spans="1:11" ht="13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-38702</v>
      </c>
      <c r="G886" s="542">
        <f>-$G$536</f>
        <v>-18860</v>
      </c>
      <c r="H886" s="533">
        <f>-$H$536</f>
        <v>-297</v>
      </c>
      <c r="I886" s="534">
        <f>-$I$536</f>
        <v>-19545</v>
      </c>
      <c r="J886" s="345">
        <f>-$J$536</f>
        <v>-38702</v>
      </c>
      <c r="K886" s="345">
        <f>-$K$536</f>
        <v>0</v>
      </c>
    </row>
    <row r="887" spans="1:11" ht="13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K887" ca="1" si="124">SUM(F884:F886)</f>
        <v>3481655</v>
      </c>
      <c r="G887" s="543">
        <f t="shared" ca="1" si="124"/>
        <v>1367120</v>
      </c>
      <c r="H887" s="535">
        <f t="shared" ca="1" si="124"/>
        <v>672918</v>
      </c>
      <c r="I887" s="536">
        <f t="shared" ca="1" si="124"/>
        <v>1441617</v>
      </c>
      <c r="J887" s="346">
        <f t="shared" ca="1" si="124"/>
        <v>3481655</v>
      </c>
      <c r="K887" s="346">
        <f t="shared" ca="1" si="124"/>
        <v>0</v>
      </c>
    </row>
    <row r="888" spans="1:11" ht="13">
      <c r="A888" s="331">
        <v>23</v>
      </c>
      <c r="D888" s="342"/>
      <c r="E888" s="195"/>
      <c r="G888" s="541"/>
      <c r="H888" s="531"/>
      <c r="I888" s="532"/>
    </row>
    <row r="889" spans="1:11" ht="13">
      <c r="A889" s="331">
        <v>24</v>
      </c>
      <c r="B889" s="330" t="s">
        <v>75</v>
      </c>
      <c r="D889" s="342"/>
      <c r="E889" s="195"/>
      <c r="G889" s="541"/>
      <c r="H889" s="531"/>
      <c r="I889" s="532"/>
    </row>
    <row r="890" spans="1:11" ht="13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K890" ca="1" si="125">F884</f>
        <v>3051807</v>
      </c>
      <c r="G890" s="542">
        <f t="shared" ca="1" si="125"/>
        <v>1418574</v>
      </c>
      <c r="H890" s="533">
        <f t="shared" ca="1" si="125"/>
        <v>157425</v>
      </c>
      <c r="I890" s="534">
        <f t="shared" ca="1" si="125"/>
        <v>1475808</v>
      </c>
      <c r="J890" s="345">
        <f t="shared" ca="1" si="125"/>
        <v>3051807</v>
      </c>
      <c r="K890" s="345">
        <f t="shared" ca="1" si="125"/>
        <v>0</v>
      </c>
    </row>
    <row r="891" spans="1:11" ht="13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544">
        <f>-$G$540</f>
        <v>0</v>
      </c>
      <c r="H891" s="537">
        <f>-$H$540</f>
        <v>0</v>
      </c>
      <c r="I891" s="538">
        <f>-$I$540</f>
        <v>0</v>
      </c>
      <c r="J891" s="345">
        <f>-$J$540</f>
        <v>0</v>
      </c>
      <c r="K891" s="345">
        <f>-$K$540</f>
        <v>0</v>
      </c>
    </row>
    <row r="892" spans="1:11" ht="13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K892" ca="1" si="126">SUM(F889:F891)</f>
        <v>3051807</v>
      </c>
      <c r="G892" s="543">
        <f t="shared" ca="1" si="126"/>
        <v>1418574</v>
      </c>
      <c r="H892" s="535">
        <f t="shared" ca="1" si="126"/>
        <v>157425</v>
      </c>
      <c r="I892" s="536">
        <f t="shared" ca="1" si="126"/>
        <v>1475808</v>
      </c>
      <c r="J892" s="346">
        <f t="shared" ca="1" si="126"/>
        <v>3051807</v>
      </c>
      <c r="K892" s="346">
        <f t="shared" ca="1" si="126"/>
        <v>0</v>
      </c>
    </row>
    <row r="893" spans="1:11" ht="13">
      <c r="A893" s="331">
        <v>28</v>
      </c>
      <c r="D893" s="342"/>
      <c r="E893" s="195"/>
      <c r="G893" s="541"/>
      <c r="H893" s="531"/>
      <c r="I893" s="532"/>
    </row>
    <row r="894" spans="1:11" ht="13">
      <c r="A894" s="331">
        <v>29</v>
      </c>
      <c r="B894" s="330" t="s">
        <v>40</v>
      </c>
      <c r="D894" s="342"/>
      <c r="E894" s="195"/>
      <c r="G894" s="541"/>
      <c r="H894" s="531"/>
      <c r="I894" s="532"/>
    </row>
    <row r="895" spans="1:11" ht="13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K895" ca="1" si="127">F872</f>
        <v>24632928</v>
      </c>
      <c r="G895" s="542">
        <f t="shared" ca="1" si="127"/>
        <v>11549479</v>
      </c>
      <c r="H895" s="533">
        <f t="shared" ca="1" si="127"/>
        <v>998942</v>
      </c>
      <c r="I895" s="534">
        <f t="shared" ca="1" si="127"/>
        <v>12084507</v>
      </c>
      <c r="J895" s="345">
        <f t="shared" ca="1" si="127"/>
        <v>24632928</v>
      </c>
      <c r="K895" s="345">
        <f t="shared" ca="1" si="127"/>
        <v>0</v>
      </c>
    </row>
    <row r="896" spans="1:11" ht="13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K896" ca="1" si="128">-F887</f>
        <v>-3481655</v>
      </c>
      <c r="G896" s="542">
        <f t="shared" ca="1" si="128"/>
        <v>-1367120</v>
      </c>
      <c r="H896" s="533">
        <f t="shared" ca="1" si="128"/>
        <v>-672918</v>
      </c>
      <c r="I896" s="534">
        <f t="shared" ca="1" si="128"/>
        <v>-1441617</v>
      </c>
      <c r="J896" s="345">
        <f t="shared" ca="1" si="128"/>
        <v>-3481655</v>
      </c>
      <c r="K896" s="345">
        <f t="shared" ca="1" si="128"/>
        <v>0</v>
      </c>
    </row>
    <row r="897" spans="1:11" ht="13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K897" ca="1" si="129">SUM(F894:F896)</f>
        <v>21151273</v>
      </c>
      <c r="G897" s="543">
        <f t="shared" ca="1" si="129"/>
        <v>10182359</v>
      </c>
      <c r="H897" s="535">
        <f t="shared" ca="1" si="129"/>
        <v>326024</v>
      </c>
      <c r="I897" s="536">
        <f t="shared" ca="1" si="129"/>
        <v>10642890</v>
      </c>
      <c r="J897" s="346">
        <f t="shared" ca="1" si="129"/>
        <v>21151273</v>
      </c>
      <c r="K897" s="346">
        <f t="shared" ca="1" si="129"/>
        <v>0</v>
      </c>
    </row>
    <row r="898" spans="1:11" ht="13">
      <c r="A898" s="331">
        <v>33</v>
      </c>
      <c r="D898" s="342"/>
      <c r="E898" s="195"/>
      <c r="G898" s="541"/>
      <c r="H898" s="531"/>
      <c r="I898" s="532"/>
    </row>
    <row r="899" spans="1:11" ht="13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K899" ca="1" si="130">IF(F331=0,0,ROUND(F897/F331,5))</f>
        <v>7.0879999999999999E-2</v>
      </c>
      <c r="G899" s="569">
        <f t="shared" ca="1" si="130"/>
        <v>7.0610000000000006E-2</v>
      </c>
      <c r="H899" s="570">
        <f t="shared" ca="1" si="130"/>
        <v>7.0599999999999996E-2</v>
      </c>
      <c r="I899" s="571">
        <f t="shared" ca="1" si="130"/>
        <v>7.1160000000000001E-2</v>
      </c>
      <c r="J899" s="348">
        <f t="shared" ca="1" si="130"/>
        <v>7.0879999999999999E-2</v>
      </c>
      <c r="K899" s="348">
        <f t="shared" si="130"/>
        <v>0</v>
      </c>
    </row>
  </sheetData>
  <pageMargins left="1" right="1" top="1" bottom="1" header="1" footer="0.5"/>
  <pageSetup scale="67" orientation="landscape" blackAndWhite="1" r:id="rId1"/>
  <headerFooter alignWithMargins="0"/>
  <rowBreaks count="13" manualBreakCount="13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52">
    <tabColor rgb="FFFFFF00"/>
    <pageSetUpPr fitToPage="1"/>
  </sheetPr>
  <dimension ref="A1:N899"/>
  <sheetViews>
    <sheetView zoomScale="80" zoomScaleNormal="80" zoomScaleSheetLayoutView="80" workbookViewId="0"/>
  </sheetViews>
  <sheetFormatPr defaultColWidth="8.765625" defaultRowHeight="12.5"/>
  <cols>
    <col min="1" max="1" width="6.4609375" style="330" customWidth="1"/>
    <col min="2" max="2" width="3.53515625" style="330" customWidth="1"/>
    <col min="3" max="3" width="41.765625" style="330" customWidth="1"/>
    <col min="4" max="4" width="8.23046875" style="331" customWidth="1"/>
    <col min="5" max="5" width="8.765625" style="330" customWidth="1"/>
    <col min="6" max="6" width="14" style="330" customWidth="1"/>
    <col min="7" max="8" width="11.765625" style="330" customWidth="1"/>
    <col min="9" max="9" width="13.765625" style="330" customWidth="1"/>
    <col min="10" max="11" width="11.765625" style="330" customWidth="1"/>
    <col min="12" max="16384" width="8.765625" style="330"/>
  </cols>
  <sheetData>
    <row r="1" spans="1:11" ht="13">
      <c r="A1" s="341" t="str">
        <f>co_name</f>
        <v>DUKE ENERGY KENTUCKY, INC.</v>
      </c>
      <c r="C1" s="195"/>
      <c r="D1" s="342"/>
      <c r="E1" s="195"/>
      <c r="F1" s="195"/>
      <c r="G1" s="195"/>
      <c r="H1" s="195"/>
      <c r="I1" s="195"/>
      <c r="J1" s="577" t="s">
        <v>1461</v>
      </c>
      <c r="K1" s="195"/>
    </row>
    <row r="2" spans="1:11" ht="13">
      <c r="A2" s="577" t="s">
        <v>1258</v>
      </c>
      <c r="C2" s="195"/>
      <c r="D2" s="342"/>
      <c r="E2" s="195"/>
      <c r="F2" s="195"/>
      <c r="G2" s="195"/>
      <c r="H2" s="195"/>
      <c r="I2" s="195"/>
      <c r="J2" s="577" t="s">
        <v>435</v>
      </c>
      <c r="K2" s="195"/>
    </row>
    <row r="3" spans="1:11" ht="13">
      <c r="A3" s="341" t="str">
        <f>case_name</f>
        <v>CASE NO: 2021-00190</v>
      </c>
      <c r="C3" s="195"/>
      <c r="D3" s="342"/>
      <c r="E3" s="195"/>
      <c r="F3" s="195"/>
      <c r="G3" s="195"/>
      <c r="H3" s="195"/>
      <c r="I3" s="195"/>
      <c r="J3" s="195" t="str">
        <f>Witness</f>
        <v>JAMES E. ZIOLKOWSKI</v>
      </c>
      <c r="K3" s="195"/>
    </row>
    <row r="4" spans="1:11" ht="13">
      <c r="A4" s="341" t="str">
        <f>data_filing</f>
        <v>DATA: 12 MONTH FORECASTED PERIOD</v>
      </c>
      <c r="C4" s="195"/>
      <c r="D4" s="342"/>
      <c r="E4" s="195"/>
      <c r="F4" s="195"/>
      <c r="G4" s="195"/>
      <c r="H4" s="195"/>
      <c r="I4" s="195"/>
      <c r="J4" s="195" t="str">
        <f>"PAGE "&amp;Pages2-14&amp;" OF "&amp;Pages2</f>
        <v>PAGE 1 OF 15</v>
      </c>
      <c r="K4" s="195"/>
    </row>
    <row r="5" spans="1:11" ht="13">
      <c r="A5" s="341" t="str">
        <f>type</f>
        <v xml:space="preserve">TYPE OF FILING: "X" ORIGINAL   UPDATED    REVISED  </v>
      </c>
      <c r="C5" s="195"/>
      <c r="D5" s="342"/>
      <c r="E5" s="195"/>
      <c r="F5" s="195"/>
      <c r="G5" s="195"/>
      <c r="H5" s="195"/>
      <c r="I5" s="195"/>
      <c r="J5" s="195"/>
      <c r="K5" s="195"/>
    </row>
    <row r="6" spans="1:11" ht="13">
      <c r="A6" s="341"/>
      <c r="C6" s="195"/>
      <c r="D6" s="342"/>
      <c r="E6" s="195"/>
      <c r="F6" s="195"/>
      <c r="G6" s="195"/>
      <c r="H6" s="195"/>
      <c r="I6" s="195"/>
      <c r="J6" s="195"/>
      <c r="K6" s="195"/>
    </row>
    <row r="7" spans="1:11" ht="13">
      <c r="A7" s="341"/>
      <c r="C7" s="195"/>
      <c r="D7" s="342"/>
      <c r="E7" s="195"/>
      <c r="F7" s="195"/>
      <c r="G7" s="195"/>
      <c r="H7" s="195"/>
      <c r="I7" s="195"/>
      <c r="J7" s="195"/>
      <c r="K7" s="195"/>
    </row>
    <row r="8" spans="1:11" ht="13">
      <c r="A8" s="342" t="s">
        <v>907</v>
      </c>
      <c r="B8" s="195"/>
      <c r="C8" s="195"/>
      <c r="D8" s="342"/>
      <c r="E8" s="195"/>
      <c r="F8" s="342" t="s">
        <v>229</v>
      </c>
      <c r="G8" s="539" t="s">
        <v>995</v>
      </c>
      <c r="H8" s="527"/>
      <c r="I8" s="528"/>
      <c r="J8" s="342" t="s">
        <v>229</v>
      </c>
      <c r="K8" s="342" t="s">
        <v>342</v>
      </c>
    </row>
    <row r="9" spans="1:11" ht="13">
      <c r="A9" s="344" t="s">
        <v>908</v>
      </c>
      <c r="B9" s="343" t="s">
        <v>102</v>
      </c>
      <c r="C9" s="343"/>
      <c r="D9" s="344" t="s">
        <v>337</v>
      </c>
      <c r="E9" s="343"/>
      <c r="F9" s="822" t="s">
        <v>1256</v>
      </c>
      <c r="G9" s="540" t="s">
        <v>840</v>
      </c>
      <c r="H9" s="529" t="s">
        <v>841</v>
      </c>
      <c r="I9" s="530" t="s">
        <v>842</v>
      </c>
      <c r="J9" s="344" t="s">
        <v>341</v>
      </c>
      <c r="K9" s="344" t="s">
        <v>340</v>
      </c>
    </row>
    <row r="10" spans="1:11" ht="13">
      <c r="C10" s="572" t="s">
        <v>354</v>
      </c>
      <c r="D10" s="342"/>
      <c r="E10" s="195"/>
      <c r="G10" s="779">
        <v>3</v>
      </c>
      <c r="H10" s="780">
        <v>4</v>
      </c>
      <c r="I10" s="781">
        <v>5</v>
      </c>
    </row>
    <row r="11" spans="1:11" ht="13">
      <c r="A11" s="331">
        <v>1</v>
      </c>
      <c r="B11" s="330" t="s">
        <v>100</v>
      </c>
      <c r="D11" s="342"/>
      <c r="E11" s="195"/>
      <c r="G11" s="541"/>
      <c r="H11" s="531"/>
      <c r="I11" s="532"/>
    </row>
    <row r="12" spans="1:11" ht="13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>F101</f>
        <v>189656180</v>
      </c>
      <c r="G12" s="542">
        <f>G101</f>
        <v>146479260</v>
      </c>
      <c r="H12" s="533">
        <f>H101</f>
        <v>3632386</v>
      </c>
      <c r="I12" s="534">
        <f>I101</f>
        <v>39544534</v>
      </c>
      <c r="J12" s="345">
        <f>J101</f>
        <v>189656180</v>
      </c>
      <c r="K12" s="345">
        <f>F12-J12</f>
        <v>0</v>
      </c>
    </row>
    <row r="13" spans="1:11" ht="13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>-F151</f>
        <v>-48731655</v>
      </c>
      <c r="G13" s="542">
        <f>-G151</f>
        <v>-36412851</v>
      </c>
      <c r="H13" s="533">
        <f>-H151</f>
        <v>-1985758</v>
      </c>
      <c r="I13" s="534">
        <f>-I151</f>
        <v>-10333046</v>
      </c>
      <c r="J13" s="345">
        <f>-J151</f>
        <v>-48731655</v>
      </c>
      <c r="K13" s="345">
        <f>F13-J13</f>
        <v>0</v>
      </c>
    </row>
    <row r="14" spans="1:11" ht="13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>F326</f>
        <v>-23679452</v>
      </c>
      <c r="G14" s="542">
        <f>G326</f>
        <v>-19568221</v>
      </c>
      <c r="H14" s="533">
        <f>H326</f>
        <v>1081443</v>
      </c>
      <c r="I14" s="534">
        <f>I326</f>
        <v>-5192674</v>
      </c>
      <c r="J14" s="345">
        <f>J326</f>
        <v>-23679452</v>
      </c>
      <c r="K14" s="345">
        <f>F14-J14</f>
        <v>0</v>
      </c>
    </row>
    <row r="15" spans="1:11" ht="13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0">SUM(F12:F14)</f>
        <v>117245073</v>
      </c>
      <c r="G15" s="543">
        <f t="shared" si="0"/>
        <v>90498188</v>
      </c>
      <c r="H15" s="535">
        <f t="shared" si="0"/>
        <v>2728071</v>
      </c>
      <c r="I15" s="536">
        <f t="shared" si="0"/>
        <v>24018814</v>
      </c>
      <c r="J15" s="346">
        <f t="shared" si="0"/>
        <v>117245073</v>
      </c>
      <c r="K15" s="346">
        <f t="shared" si="0"/>
        <v>0</v>
      </c>
    </row>
    <row r="16" spans="1:11" ht="13">
      <c r="A16" s="331">
        <v>6</v>
      </c>
      <c r="D16" s="342"/>
      <c r="E16" s="195"/>
      <c r="G16" s="541"/>
      <c r="H16" s="531"/>
      <c r="I16" s="532"/>
    </row>
    <row r="17" spans="1:11" ht="13">
      <c r="A17" s="331">
        <v>7</v>
      </c>
      <c r="B17" s="330" t="s">
        <v>98</v>
      </c>
      <c r="D17" s="342"/>
      <c r="E17" s="195"/>
      <c r="G17" s="541"/>
      <c r="H17" s="531"/>
      <c r="I17" s="532"/>
    </row>
    <row r="18" spans="1:11" ht="13">
      <c r="A18" s="331">
        <v>8</v>
      </c>
      <c r="C18" s="330" t="str">
        <f>'FR-16(7)(v)-1 Functional'!C18</f>
        <v>TOTAL O&amp;M EXPENSE</v>
      </c>
      <c r="D18" s="342"/>
      <c r="E18" s="195"/>
      <c r="F18" s="345">
        <f>F433</f>
        <v>19892033</v>
      </c>
      <c r="G18" s="542">
        <f>G433</f>
        <v>3064689</v>
      </c>
      <c r="H18" s="533">
        <f>H433</f>
        <v>15894340</v>
      </c>
      <c r="I18" s="534">
        <f>I433</f>
        <v>933004</v>
      </c>
      <c r="J18" s="345">
        <f>J433</f>
        <v>19892033</v>
      </c>
      <c r="K18" s="345">
        <f t="shared" ref="K18:K24" si="1">F18-J18</f>
        <v>0</v>
      </c>
    </row>
    <row r="19" spans="1:11" ht="13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>F465</f>
        <v>4715415</v>
      </c>
      <c r="G19" s="542">
        <f>G465</f>
        <v>3501905</v>
      </c>
      <c r="H19" s="533">
        <f>H465</f>
        <v>283581</v>
      </c>
      <c r="I19" s="534">
        <f>I465</f>
        <v>929929</v>
      </c>
      <c r="J19" s="345">
        <f>J465</f>
        <v>4715415</v>
      </c>
      <c r="K19" s="345">
        <f t="shared" si="1"/>
        <v>0</v>
      </c>
    </row>
    <row r="20" spans="1:11" ht="13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1170831</v>
      </c>
      <c r="G20" s="542">
        <f>$G$495</f>
        <v>886439</v>
      </c>
      <c r="H20" s="533">
        <f>$H$495</f>
        <v>49022</v>
      </c>
      <c r="I20" s="534">
        <f>$I$495</f>
        <v>235370</v>
      </c>
      <c r="J20" s="345">
        <f>$J$495</f>
        <v>1170831</v>
      </c>
      <c r="K20" s="345">
        <f t="shared" si="1"/>
        <v>0</v>
      </c>
    </row>
    <row r="21" spans="1:11" ht="13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>SUM(F17:F20)</f>
        <v>25778279</v>
      </c>
      <c r="G21" s="543">
        <f>SUM(G17:G20)</f>
        <v>7453033</v>
      </c>
      <c r="H21" s="535">
        <f>SUM(H17:H20)</f>
        <v>16226943</v>
      </c>
      <c r="I21" s="536">
        <f>SUM(I17:I20)</f>
        <v>2098303</v>
      </c>
      <c r="J21" s="346">
        <f>SUM(J17:J20)</f>
        <v>25778279</v>
      </c>
      <c r="K21" s="346">
        <f t="shared" si="1"/>
        <v>0</v>
      </c>
    </row>
    <row r="22" spans="1:11" ht="13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>F557</f>
        <v>1527772</v>
      </c>
      <c r="G22" s="542">
        <f>$G$557</f>
        <v>860138</v>
      </c>
      <c r="H22" s="533">
        <f>$H$557</f>
        <v>394630</v>
      </c>
      <c r="I22" s="534">
        <f>$I$557</f>
        <v>273004</v>
      </c>
      <c r="J22" s="345">
        <f>$J$557</f>
        <v>1527772</v>
      </c>
      <c r="K22" s="345">
        <f t="shared" si="1"/>
        <v>0</v>
      </c>
    </row>
    <row r="23" spans="1:11" ht="13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>F605</f>
        <v>383837</v>
      </c>
      <c r="G23" s="542">
        <f>G605</f>
        <v>222642</v>
      </c>
      <c r="H23" s="533">
        <f>H605</f>
        <v>22961</v>
      </c>
      <c r="I23" s="534">
        <f>I605</f>
        <v>138234</v>
      </c>
      <c r="J23" s="345">
        <f>J605</f>
        <v>383837</v>
      </c>
      <c r="K23" s="345">
        <f t="shared" si="1"/>
        <v>0</v>
      </c>
    </row>
    <row r="24" spans="1:11" ht="13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>SUM(F21:F23)</f>
        <v>27689888</v>
      </c>
      <c r="G24" s="543">
        <f>SUM(G21:G23)</f>
        <v>8535813</v>
      </c>
      <c r="H24" s="535">
        <f>SUM(H21:H23)</f>
        <v>16644534</v>
      </c>
      <c r="I24" s="536">
        <f>SUM(I21:I23)</f>
        <v>2509541</v>
      </c>
      <c r="J24" s="346">
        <f>SUM(J21:J23)</f>
        <v>27689888</v>
      </c>
      <c r="K24" s="346">
        <f t="shared" si="1"/>
        <v>0</v>
      </c>
    </row>
    <row r="25" spans="1:11" ht="13">
      <c r="A25" s="331">
        <v>15</v>
      </c>
      <c r="D25" s="342"/>
      <c r="E25" s="195"/>
      <c r="G25" s="541"/>
      <c r="H25" s="531"/>
      <c r="I25" s="532"/>
    </row>
    <row r="26" spans="1:11" ht="13">
      <c r="A26" s="331">
        <v>16</v>
      </c>
      <c r="B26" s="330" t="s">
        <v>43</v>
      </c>
      <c r="D26" s="342"/>
      <c r="E26" s="195"/>
      <c r="F26" s="345">
        <f>F334</f>
        <v>8277502</v>
      </c>
      <c r="G26" s="542">
        <f>G334</f>
        <v>6389172</v>
      </c>
      <c r="H26" s="533">
        <f>H334</f>
        <v>192602</v>
      </c>
      <c r="I26" s="534">
        <f>I334</f>
        <v>1695728</v>
      </c>
      <c r="J26" s="345">
        <f>J334</f>
        <v>8277502</v>
      </c>
      <c r="K26" s="345">
        <f>F26-J26</f>
        <v>0</v>
      </c>
    </row>
    <row r="27" spans="1:11" ht="13">
      <c r="A27" s="331">
        <v>17</v>
      </c>
      <c r="B27" s="357" t="s">
        <v>103</v>
      </c>
      <c r="C27" s="357"/>
      <c r="D27" s="342"/>
      <c r="E27" s="195"/>
      <c r="F27" s="345">
        <f>-F630</f>
        <v>-66017</v>
      </c>
      <c r="G27" s="542">
        <f>-$G$630</f>
        <v>-37378</v>
      </c>
      <c r="H27" s="533">
        <f>-$H$630</f>
        <v>-14751</v>
      </c>
      <c r="I27" s="534">
        <f>-$I$630</f>
        <v>-13888</v>
      </c>
      <c r="J27" s="345">
        <f>-$J$630</f>
        <v>-66017</v>
      </c>
      <c r="K27" s="345">
        <f>F27-J27</f>
        <v>0</v>
      </c>
    </row>
    <row r="28" spans="1:11" ht="13">
      <c r="A28" s="1166">
        <v>18</v>
      </c>
      <c r="B28" s="351"/>
      <c r="C28" s="351" t="str">
        <f>'FR-16(7)(v)-1 Functional'!C28</f>
        <v>TOTAL GAS COST OF SERVICE</v>
      </c>
      <c r="D28" s="352"/>
      <c r="E28" s="340"/>
      <c r="F28" s="346">
        <f>SUM(F24:F27)</f>
        <v>35901373</v>
      </c>
      <c r="G28" s="1167">
        <f>SUM(G24:G27)</f>
        <v>14887607</v>
      </c>
      <c r="H28" s="1168">
        <f>SUM(H24:H27)</f>
        <v>16822385</v>
      </c>
      <c r="I28" s="1169">
        <f>SUM(I24:I27)</f>
        <v>4191381</v>
      </c>
      <c r="J28" s="346">
        <f>SUM(J24:J27)</f>
        <v>35901373</v>
      </c>
      <c r="K28" s="346">
        <f>F28-J28</f>
        <v>0</v>
      </c>
    </row>
    <row r="29" spans="1:11" ht="13">
      <c r="A29" s="1104">
        <v>19</v>
      </c>
      <c r="B29" s="1105" t="s">
        <v>1184</v>
      </c>
      <c r="C29" s="1106"/>
      <c r="D29" s="1107">
        <f>1-'WP FR-16(7)(v)Rate Incr (40.0%)'!I11</f>
        <v>0</v>
      </c>
      <c r="E29" s="1108"/>
      <c r="F29" s="1109">
        <f ca="1">'WP FR-16(7)(v)Rate Incr (40.0%)'!P16</f>
        <v>0</v>
      </c>
      <c r="G29" s="1141">
        <f ca="1">'WP FR-16(7)(v)Rate Incr (40.0%)'!T16</f>
        <v>0</v>
      </c>
      <c r="H29" s="1109">
        <f ca="1">'WP FR-16(7)(v)Rate Incr (40.0%)'!U16</f>
        <v>0</v>
      </c>
      <c r="I29" s="1142">
        <f ca="1">'WP FR-16(7)(v)Rate Incr (40.0%)'!V16</f>
        <v>0</v>
      </c>
      <c r="J29" s="1109">
        <f ca="1">SUM(G29:I29)</f>
        <v>0</v>
      </c>
      <c r="K29" s="1112">
        <f ca="1">F29-J29</f>
        <v>0</v>
      </c>
    </row>
    <row r="30" spans="1:11" ht="13">
      <c r="A30" s="1104">
        <v>20</v>
      </c>
      <c r="B30" s="1113" t="s">
        <v>1185</v>
      </c>
      <c r="C30" s="1017"/>
      <c r="D30" s="1114"/>
      <c r="E30" s="1108"/>
      <c r="F30" s="1115">
        <f t="shared" ref="F30:K30" ca="1" si="2">F28+F29</f>
        <v>35901373</v>
      </c>
      <c r="G30" s="1174">
        <f t="shared" ca="1" si="2"/>
        <v>14887607</v>
      </c>
      <c r="H30" s="1172">
        <f t="shared" ca="1" si="2"/>
        <v>16822385</v>
      </c>
      <c r="I30" s="1173">
        <f t="shared" ca="1" si="2"/>
        <v>4191381</v>
      </c>
      <c r="J30" s="1115">
        <f t="shared" ca="1" si="2"/>
        <v>35901373</v>
      </c>
      <c r="K30" s="1115">
        <f t="shared" ca="1" si="2"/>
        <v>0</v>
      </c>
    </row>
    <row r="31" spans="1:11" ht="13">
      <c r="A31" s="1104">
        <v>21</v>
      </c>
      <c r="B31" s="1120" t="s">
        <v>843</v>
      </c>
      <c r="C31" s="1106"/>
      <c r="D31" s="1114"/>
      <c r="E31" s="1108"/>
      <c r="F31" s="1140">
        <f>'FR-16(7)(v)-8 TOT CLASS Alloc'!H31</f>
        <v>32736157</v>
      </c>
      <c r="G31" s="1116">
        <f>'FR-16(7)(v)-5 DISTR Dem Alloc'!H31</f>
        <v>12197059</v>
      </c>
      <c r="H31" s="1117">
        <f>'FR-16(7)(v)-3 PROD Comm Alloc'!H31</f>
        <v>12049852</v>
      </c>
      <c r="I31" s="1118">
        <f>'FR-16(7)(v)-6 DISTR Cust Alloc'!H31</f>
        <v>8489246</v>
      </c>
      <c r="J31" s="1119">
        <f>SUM(G31:I31)</f>
        <v>32736157</v>
      </c>
      <c r="K31" s="1119">
        <f>F31-J31</f>
        <v>0</v>
      </c>
    </row>
    <row r="32" spans="1:11" ht="13">
      <c r="A32" s="1104">
        <v>22</v>
      </c>
      <c r="B32" s="1121" t="s">
        <v>1186</v>
      </c>
      <c r="C32" s="1017"/>
      <c r="D32" s="1114"/>
      <c r="E32" s="1108"/>
      <c r="F32" s="1124">
        <f t="shared" ref="F32:K32" ca="1" si="3">F30-F31</f>
        <v>3165216</v>
      </c>
      <c r="G32" s="1143">
        <f t="shared" ca="1" si="3"/>
        <v>2690548</v>
      </c>
      <c r="H32" s="1161">
        <f t="shared" ca="1" si="3"/>
        <v>4772533</v>
      </c>
      <c r="I32" s="1144">
        <f t="shared" ca="1" si="3"/>
        <v>-4297865</v>
      </c>
      <c r="J32" s="1124">
        <f t="shared" ca="1" si="3"/>
        <v>3165216</v>
      </c>
      <c r="K32" s="1124">
        <f t="shared" ca="1" si="3"/>
        <v>0</v>
      </c>
    </row>
    <row r="33" spans="1:14" ht="13">
      <c r="A33" s="1104">
        <v>23</v>
      </c>
      <c r="B33" s="1017"/>
      <c r="C33" s="1017"/>
      <c r="D33" s="1114"/>
      <c r="E33" s="1108"/>
      <c r="F33" s="1017"/>
      <c r="G33" s="1126"/>
      <c r="H33" s="1127"/>
      <c r="I33" s="1128"/>
      <c r="J33" s="1017"/>
      <c r="K33" s="1017"/>
    </row>
    <row r="34" spans="1:14" ht="13">
      <c r="A34" s="1104">
        <v>24</v>
      </c>
      <c r="B34" s="1017" t="s">
        <v>104</v>
      </c>
      <c r="C34" s="1017"/>
      <c r="D34" s="1114"/>
      <c r="E34" s="1108"/>
      <c r="F34" s="1119">
        <f>F654+F26</f>
        <v>6189382</v>
      </c>
      <c r="G34" s="1116">
        <f>G654+G26</f>
        <v>4536392</v>
      </c>
      <c r="H34" s="1117">
        <f>H654+H26</f>
        <v>-3373139</v>
      </c>
      <c r="I34" s="1118">
        <f>I654+I26</f>
        <v>5026129</v>
      </c>
      <c r="J34" s="1119">
        <f>J654+J26</f>
        <v>6189382</v>
      </c>
      <c r="K34" s="1119">
        <f>F34-J34</f>
        <v>0</v>
      </c>
    </row>
    <row r="35" spans="1:14" ht="13">
      <c r="A35" s="1104">
        <v>25</v>
      </c>
      <c r="B35" s="1017" t="s">
        <v>105</v>
      </c>
      <c r="C35" s="1017"/>
      <c r="D35" s="1114"/>
      <c r="E35" s="1108"/>
      <c r="F35" s="1129">
        <f t="shared" ref="F35:K35" si="4">IF(F331=0,0,ROUND(F34/F331,5))</f>
        <v>5.2789999999999997E-2</v>
      </c>
      <c r="G35" s="1130">
        <f t="shared" si="4"/>
        <v>5.0130000000000001E-2</v>
      </c>
      <c r="H35" s="1131">
        <f t="shared" si="4"/>
        <v>-1.2364599999999999</v>
      </c>
      <c r="I35" s="1132">
        <f t="shared" si="4"/>
        <v>0.20926</v>
      </c>
      <c r="J35" s="1129">
        <f t="shared" si="4"/>
        <v>5.2789999999999997E-2</v>
      </c>
      <c r="K35" s="1129">
        <f t="shared" si="4"/>
        <v>0</v>
      </c>
    </row>
    <row r="36" spans="1:14" ht="13">
      <c r="A36" s="1104">
        <v>26</v>
      </c>
      <c r="B36" s="1017" t="s">
        <v>42</v>
      </c>
      <c r="C36" s="1017"/>
      <c r="D36" s="1114"/>
      <c r="E36" s="1108"/>
      <c r="F36" s="1129">
        <f>$F$688</f>
        <v>7.060000000000001E-2</v>
      </c>
      <c r="G36" s="1130">
        <f>F688</f>
        <v>7.060000000000001E-2</v>
      </c>
      <c r="H36" s="1131">
        <f>F688</f>
        <v>7.060000000000001E-2</v>
      </c>
      <c r="I36" s="1132">
        <f>F688</f>
        <v>7.060000000000001E-2</v>
      </c>
      <c r="J36" s="1129">
        <f>$F$688</f>
        <v>7.060000000000001E-2</v>
      </c>
      <c r="K36" s="1129">
        <f>IF(K35=0,0,$F$688)</f>
        <v>0</v>
      </c>
      <c r="N36" s="653" t="s">
        <v>1188</v>
      </c>
    </row>
    <row r="37" spans="1:14" ht="13">
      <c r="A37" s="1104">
        <v>27</v>
      </c>
      <c r="B37" s="1017" t="s">
        <v>106</v>
      </c>
      <c r="C37" s="1017"/>
      <c r="D37" s="1114"/>
      <c r="E37" s="1108"/>
      <c r="F37" s="1129">
        <f>IF(F670=0,0,(F35-$F$683-$F$684-$F$686)*$F$673/$F$670)</f>
        <v>6.7877580257074382E-2</v>
      </c>
      <c r="G37" s="1130">
        <f>IF(F670=0,0,(G35-F683-F684-F686)*F673/F670)</f>
        <v>6.2630432233714381E-2</v>
      </c>
      <c r="H37" s="1131">
        <f>IF(F670=0,0,(H35-F683-F684-F686)*F673/F670)</f>
        <v>-2.4753124908395003</v>
      </c>
      <c r="I37" s="1132">
        <f>IF(F670=0,0,(I35-F683-F684-F686)*F673/F670)</f>
        <v>0.37653218597705201</v>
      </c>
      <c r="J37" s="1129">
        <f>IF(F670=0,0,(J35-F683-F684-F686)*F673/F670)</f>
        <v>6.7877580257074382E-2</v>
      </c>
      <c r="K37" s="1129">
        <f>IF(OR(E670=0,K35=0)=TRUE,0,(K35-E683-E684-E686)*E673/E670)</f>
        <v>0</v>
      </c>
      <c r="N37" s="653" t="s">
        <v>1189</v>
      </c>
    </row>
    <row r="38" spans="1:14" ht="13">
      <c r="A38" s="1104">
        <v>28</v>
      </c>
      <c r="B38" s="1017" t="s">
        <v>107</v>
      </c>
      <c r="C38" s="1017"/>
      <c r="D38" s="1114"/>
      <c r="E38" s="1108"/>
      <c r="F38" s="1129">
        <f>IF(F670=0,0,(F36-$F$683-$F$684-$F$686)*$F$673/$F$670)</f>
        <v>0.10300980066912017</v>
      </c>
      <c r="G38" s="1130">
        <f>IF(F670=0,0,(G36-F683-F684-F686)*F673/F670)</f>
        <v>0.10300980066912017</v>
      </c>
      <c r="H38" s="1131">
        <f>IF(F670=0,0,(H36-F683-F684-F686)*F673/F670)</f>
        <v>0.10300980066912017</v>
      </c>
      <c r="I38" s="1132">
        <f>IF(F670=0,0,(I36-F683-F684-F686)*F673/F670)</f>
        <v>0.10300980066912017</v>
      </c>
      <c r="J38" s="1129">
        <f>IF($F$670=0,0,(J36-$F$683-$F$684-$F$686)*$F$673/$F$670)</f>
        <v>0.10300980066912017</v>
      </c>
      <c r="K38" s="1129">
        <f>IF(OR($F$670=0,K36=0)=TRUE,0,(K36-$F$683-$F$684-$F$686)*$F$673/$F$670)</f>
        <v>0</v>
      </c>
    </row>
    <row r="39" spans="1:14" ht="13">
      <c r="A39" s="1104">
        <v>29</v>
      </c>
      <c r="B39" s="1017"/>
      <c r="C39" s="1017"/>
      <c r="D39" s="1114"/>
      <c r="E39" s="1108"/>
      <c r="F39" s="1017" t="s">
        <v>343</v>
      </c>
      <c r="G39" s="1126"/>
      <c r="H39" s="1127"/>
      <c r="I39" s="1128"/>
      <c r="J39" s="1017"/>
      <c r="K39" s="1017"/>
    </row>
    <row r="40" spans="1:14" ht="13">
      <c r="A40" s="1104">
        <v>30</v>
      </c>
      <c r="B40" s="1017" t="s">
        <v>108</v>
      </c>
      <c r="C40" s="1017"/>
      <c r="D40" s="1114"/>
      <c r="E40" s="1108"/>
      <c r="F40" s="1140">
        <f>'FR-16(7)(v)-8 TOT CLASS Alloc'!H40</f>
        <v>28525719</v>
      </c>
      <c r="G40" s="1116">
        <f>F40-SUM(H40:I40)</f>
        <v>10628306</v>
      </c>
      <c r="H40" s="1117">
        <f>'FR-16(7)(v)-3 PROD Comm Alloc'!H40</f>
        <v>10500032</v>
      </c>
      <c r="I40" s="1118">
        <f>'FR-16(7)(v)-6 DISTR Cust Alloc'!H40</f>
        <v>7397381</v>
      </c>
      <c r="J40" s="1119">
        <f>SUM(G40:I40)</f>
        <v>28525719</v>
      </c>
      <c r="K40" s="1119">
        <f>F40-J40</f>
        <v>0</v>
      </c>
    </row>
    <row r="41" spans="1:14" ht="13">
      <c r="A41" s="1104">
        <v>31</v>
      </c>
      <c r="B41" s="1017" t="s">
        <v>109</v>
      </c>
      <c r="C41" s="1017"/>
      <c r="D41" s="1114"/>
      <c r="E41" s="1108"/>
      <c r="F41" s="1119">
        <f t="shared" ref="F41:K41" si="5">F28-F40</f>
        <v>7375654</v>
      </c>
      <c r="G41" s="1116">
        <f t="shared" si="5"/>
        <v>4259301</v>
      </c>
      <c r="H41" s="1117">
        <f t="shared" si="5"/>
        <v>6322353</v>
      </c>
      <c r="I41" s="1118">
        <f t="shared" si="5"/>
        <v>-3206000</v>
      </c>
      <c r="J41" s="1119">
        <f t="shared" si="5"/>
        <v>7375654</v>
      </c>
      <c r="K41" s="1119">
        <f t="shared" si="5"/>
        <v>0</v>
      </c>
    </row>
    <row r="42" spans="1:14" ht="13">
      <c r="A42" s="1104">
        <v>32</v>
      </c>
      <c r="B42" s="1017"/>
      <c r="C42" s="1017" t="s">
        <v>283</v>
      </c>
      <c r="D42" s="1114"/>
      <c r="E42" s="1108"/>
      <c r="F42" s="1133">
        <f t="shared" ref="F42:K42" si="6">IF(F40=0,0,ROUND(F41/F40,5))</f>
        <v>0.25856000000000001</v>
      </c>
      <c r="G42" s="1134">
        <f t="shared" si="6"/>
        <v>0.40075</v>
      </c>
      <c r="H42" s="1135">
        <f t="shared" si="6"/>
        <v>0.60213000000000005</v>
      </c>
      <c r="I42" s="1136">
        <f t="shared" si="6"/>
        <v>-0.43340000000000001</v>
      </c>
      <c r="J42" s="1133">
        <f t="shared" si="6"/>
        <v>0.25856000000000001</v>
      </c>
      <c r="K42" s="1119">
        <f t="shared" si="6"/>
        <v>0</v>
      </c>
    </row>
    <row r="43" spans="1:14" ht="13">
      <c r="A43" s="1104">
        <v>33</v>
      </c>
      <c r="B43" s="1017" t="s">
        <v>110</v>
      </c>
      <c r="C43" s="1017"/>
      <c r="D43" s="1114"/>
      <c r="E43" s="1108"/>
      <c r="F43" s="1119">
        <f t="shared" ref="F43:K43" si="7">F31-F40</f>
        <v>4210438</v>
      </c>
      <c r="G43" s="1116">
        <f t="shared" si="7"/>
        <v>1568753</v>
      </c>
      <c r="H43" s="1117">
        <f t="shared" si="7"/>
        <v>1549820</v>
      </c>
      <c r="I43" s="1118">
        <f t="shared" si="7"/>
        <v>1091865</v>
      </c>
      <c r="J43" s="1119">
        <f t="shared" si="7"/>
        <v>4210438</v>
      </c>
      <c r="K43" s="1119">
        <f t="shared" si="7"/>
        <v>0</v>
      </c>
    </row>
    <row r="44" spans="1:14" ht="13">
      <c r="A44" s="1104">
        <v>34</v>
      </c>
      <c r="B44" s="1017"/>
      <c r="C44" s="1017" t="s">
        <v>283</v>
      </c>
      <c r="D44" s="1114"/>
      <c r="E44" s="1108"/>
      <c r="F44" s="1133">
        <f t="shared" ref="F44:K44" si="8">IF(F40=0,0,ROUND(F43/F40,5))</f>
        <v>0.14760000000000001</v>
      </c>
      <c r="G44" s="1137">
        <f t="shared" si="8"/>
        <v>0.14760000000000001</v>
      </c>
      <c r="H44" s="1138">
        <f t="shared" si="8"/>
        <v>0.14760000000000001</v>
      </c>
      <c r="I44" s="1139">
        <f t="shared" si="8"/>
        <v>0.14760000000000001</v>
      </c>
      <c r="J44" s="1133">
        <f t="shared" si="8"/>
        <v>0.14760000000000001</v>
      </c>
      <c r="K44" s="1119">
        <f t="shared" si="8"/>
        <v>0</v>
      </c>
    </row>
    <row r="45" spans="1:14" ht="13">
      <c r="A45" s="341"/>
      <c r="C45" s="195"/>
      <c r="D45" s="342"/>
      <c r="E45" s="195"/>
      <c r="F45" s="195"/>
      <c r="G45" s="195"/>
      <c r="H45" s="195"/>
      <c r="I45" s="195"/>
      <c r="J45" s="195"/>
      <c r="K45" s="195"/>
    </row>
    <row r="46" spans="1:14" ht="13">
      <c r="A46" s="341" t="str">
        <f>co_name</f>
        <v>DUKE ENERGY KENTUCKY, INC.</v>
      </c>
      <c r="C46" s="195"/>
      <c r="D46" s="342"/>
      <c r="E46" s="195"/>
      <c r="F46" s="195"/>
      <c r="G46" s="195"/>
      <c r="H46" s="195"/>
      <c r="I46" s="195"/>
      <c r="J46" s="195" t="str">
        <f>$J$1</f>
        <v>FR-16(7)(v)-10</v>
      </c>
      <c r="K46" s="195"/>
    </row>
    <row r="47" spans="1:14" ht="13">
      <c r="A47" s="341" t="str">
        <f>$A$2</f>
        <v>GS CLASSIFIED - GAS COST OF SERVICE</v>
      </c>
      <c r="C47" s="195"/>
      <c r="D47" s="342"/>
      <c r="E47" s="195"/>
      <c r="F47" s="195"/>
      <c r="G47" s="195"/>
      <c r="H47" s="195"/>
      <c r="I47" s="195"/>
      <c r="J47" s="195" t="str">
        <f>$J$2</f>
        <v>WITNESS RESPONSIBLE:</v>
      </c>
      <c r="K47" s="195"/>
    </row>
    <row r="48" spans="1:14" ht="13">
      <c r="A48" s="341" t="str">
        <f>case_name</f>
        <v>CASE NO: 2021-00190</v>
      </c>
      <c r="C48" s="195"/>
      <c r="D48" s="342"/>
      <c r="E48" s="195"/>
      <c r="F48" s="195"/>
      <c r="G48" s="195"/>
      <c r="H48" s="195"/>
      <c r="I48" s="195"/>
      <c r="J48" s="195" t="str">
        <f>Witness</f>
        <v>JAMES E. ZIOLKOWSKI</v>
      </c>
      <c r="K48" s="195"/>
    </row>
    <row r="49" spans="1:11" ht="13">
      <c r="A49" s="341" t="str">
        <f>data_filing</f>
        <v>DATA: 12 MONTH FORECASTED PERIOD</v>
      </c>
      <c r="C49" s="195"/>
      <c r="D49" s="342"/>
      <c r="E49" s="195"/>
      <c r="F49" s="195"/>
      <c r="G49" s="195"/>
      <c r="H49" s="195"/>
      <c r="I49" s="195"/>
      <c r="J49" s="195" t="str">
        <f>"PAGE "&amp;Pages2-13&amp;" OF "&amp;Pages2</f>
        <v>PAGE 2 OF 15</v>
      </c>
      <c r="K49" s="195"/>
    </row>
    <row r="50" spans="1:11" ht="13">
      <c r="A50" s="341" t="str">
        <f>type</f>
        <v xml:space="preserve">TYPE OF FILING: "X" ORIGINAL   UPDATED    REVISED  </v>
      </c>
      <c r="C50" s="195"/>
      <c r="D50" s="342"/>
      <c r="E50" s="195"/>
      <c r="F50" s="195"/>
      <c r="G50" s="195"/>
      <c r="H50" s="195"/>
      <c r="I50" s="195"/>
      <c r="J50" s="195"/>
      <c r="K50" s="195"/>
    </row>
    <row r="51" spans="1:11" ht="13">
      <c r="A51" s="341"/>
      <c r="C51" s="195"/>
      <c r="D51" s="342"/>
      <c r="E51" s="195"/>
      <c r="F51" s="195"/>
      <c r="G51" s="195"/>
      <c r="H51" s="195"/>
      <c r="I51" s="195"/>
      <c r="J51" s="195"/>
      <c r="K51" s="195"/>
    </row>
    <row r="52" spans="1:11" ht="13">
      <c r="A52" s="341"/>
      <c r="C52" s="195"/>
      <c r="D52" s="342"/>
      <c r="E52" s="195"/>
      <c r="F52" s="195"/>
      <c r="G52" s="195"/>
      <c r="H52" s="195"/>
      <c r="I52" s="195"/>
      <c r="J52" s="195"/>
      <c r="K52" s="195"/>
    </row>
    <row r="53" spans="1:11" ht="13">
      <c r="A53" s="342" t="s">
        <v>907</v>
      </c>
      <c r="B53" s="195"/>
      <c r="C53" s="195"/>
      <c r="D53" s="342"/>
      <c r="E53" s="195"/>
      <c r="F53" s="342" t="s">
        <v>229</v>
      </c>
      <c r="G53" s="539" t="s">
        <v>995</v>
      </c>
      <c r="H53" s="527"/>
      <c r="I53" s="528"/>
      <c r="J53" s="342" t="s">
        <v>229</v>
      </c>
      <c r="K53" s="342" t="s">
        <v>342</v>
      </c>
    </row>
    <row r="54" spans="1:11" ht="13">
      <c r="A54" s="344" t="s">
        <v>908</v>
      </c>
      <c r="B54" s="343" t="s">
        <v>95</v>
      </c>
      <c r="C54" s="343"/>
      <c r="D54" s="344" t="s">
        <v>337</v>
      </c>
      <c r="E54" s="343"/>
      <c r="F54" s="344" t="str">
        <f>$F$9</f>
        <v>GS</v>
      </c>
      <c r="G54" s="540" t="s">
        <v>840</v>
      </c>
      <c r="H54" s="529" t="s">
        <v>841</v>
      </c>
      <c r="I54" s="530" t="s">
        <v>842</v>
      </c>
      <c r="J54" s="344" t="s">
        <v>341</v>
      </c>
      <c r="K54" s="344" t="s">
        <v>340</v>
      </c>
    </row>
    <row r="55" spans="1:11" ht="13">
      <c r="C55" s="572" t="s">
        <v>344</v>
      </c>
      <c r="D55" s="342"/>
      <c r="E55" s="195"/>
      <c r="G55" s="793">
        <f>$G$10</f>
        <v>3</v>
      </c>
      <c r="H55" s="794">
        <f>$H$10</f>
        <v>4</v>
      </c>
      <c r="I55" s="795">
        <f>$I$10</f>
        <v>5</v>
      </c>
      <c r="K55" s="330" t="s">
        <v>343</v>
      </c>
    </row>
    <row r="56" spans="1:11" ht="13">
      <c r="A56" s="331">
        <v>1</v>
      </c>
      <c r="B56" s="330" t="s">
        <v>14</v>
      </c>
      <c r="E56" s="195"/>
      <c r="G56" s="541"/>
      <c r="H56" s="531"/>
      <c r="I56" s="532"/>
    </row>
    <row r="57" spans="1:11" ht="13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3">
        <f>'FR-16(7)(v)-8 TOT CLASS Alloc'!H57</f>
        <v>1501384</v>
      </c>
      <c r="G57" s="542">
        <f>'FR-16(7)(v)-5 DISTR Dem Alloc'!$H$57</f>
        <v>0</v>
      </c>
      <c r="H57" s="533">
        <f>'FR-16(7)(v)-3 PROD Comm Alloc'!$H$57</f>
        <v>1501384</v>
      </c>
      <c r="I57" s="534">
        <f>'FR-16(7)(v)-6 DISTR Cust Alloc'!$H$57</f>
        <v>0</v>
      </c>
      <c r="J57" s="345">
        <f>SUM($G$57:$I$57)</f>
        <v>1501384</v>
      </c>
      <c r="K57" s="345">
        <f>F57-$J$57</f>
        <v>0</v>
      </c>
    </row>
    <row r="58" spans="1:11" ht="13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3">
        <f>'FR-16(7)(v)-8 TOT CLASS Alloc'!H58</f>
        <v>0</v>
      </c>
      <c r="G58" s="542">
        <f>'FR-16(7)(v)-5 DISTR Dem Alloc'!$H$58</f>
        <v>0</v>
      </c>
      <c r="H58" s="533">
        <f>'FR-16(7)(v)-3 PROD Comm Alloc'!$H$58</f>
        <v>0</v>
      </c>
      <c r="I58" s="534">
        <f>'FR-16(7)(v)-6 DISTR Cust Alloc'!$H$58</f>
        <v>0</v>
      </c>
      <c r="J58" s="345">
        <f>SUM($G$58:$I$58)</f>
        <v>0</v>
      </c>
      <c r="K58" s="345">
        <f>F58-$J$58</f>
        <v>0</v>
      </c>
    </row>
    <row r="59" spans="1:11" ht="13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1501384</v>
      </c>
      <c r="G59" s="543">
        <f>SUM($G$57:$G$58)</f>
        <v>0</v>
      </c>
      <c r="H59" s="535">
        <f>SUM($H$57:$H$58)</f>
        <v>1501384</v>
      </c>
      <c r="I59" s="536">
        <f>SUM($I$57:$I$58)</f>
        <v>0</v>
      </c>
      <c r="J59" s="346">
        <f>SUM($J$57:$J$58)</f>
        <v>1501384</v>
      </c>
      <c r="K59" s="346">
        <f>SUM($K$57:$K$58)</f>
        <v>0</v>
      </c>
    </row>
    <row r="60" spans="1:11" ht="13">
      <c r="A60" s="331">
        <v>5</v>
      </c>
      <c r="D60" s="342"/>
      <c r="E60" s="195"/>
      <c r="G60" s="541"/>
      <c r="H60" s="531"/>
      <c r="I60" s="532"/>
    </row>
    <row r="61" spans="1:11" ht="13">
      <c r="A61" s="331">
        <v>6</v>
      </c>
      <c r="B61" s="330" t="s">
        <v>15</v>
      </c>
      <c r="D61" s="342"/>
      <c r="E61" s="195"/>
      <c r="G61" s="541"/>
      <c r="H61" s="531"/>
      <c r="I61" s="532"/>
    </row>
    <row r="62" spans="1:11" ht="13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1"/>
      <c r="G62" s="542"/>
      <c r="H62" s="533"/>
      <c r="I62" s="534"/>
      <c r="J62" s="345"/>
      <c r="K62" s="345"/>
    </row>
    <row r="63" spans="1:11" ht="13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543">
        <f>SUM($G$62)</f>
        <v>0</v>
      </c>
      <c r="H63" s="535">
        <f>SUM($H$62)</f>
        <v>0</v>
      </c>
      <c r="I63" s="536">
        <f>SUM($I$62)</f>
        <v>0</v>
      </c>
      <c r="J63" s="346">
        <f>SUM($J$62)</f>
        <v>0</v>
      </c>
      <c r="K63" s="346">
        <f>SUM($K$62)</f>
        <v>0</v>
      </c>
    </row>
    <row r="64" spans="1:11" ht="13">
      <c r="A64" s="331">
        <v>9</v>
      </c>
      <c r="D64" s="342"/>
      <c r="E64" s="195"/>
      <c r="G64" s="541"/>
      <c r="H64" s="531"/>
      <c r="I64" s="532"/>
    </row>
    <row r="65" spans="1:11" ht="13">
      <c r="A65" s="331">
        <v>10</v>
      </c>
      <c r="B65" s="330" t="s">
        <v>16</v>
      </c>
      <c r="D65" s="342"/>
      <c r="E65" s="195"/>
      <c r="F65" s="345">
        <f>F63+F59</f>
        <v>1501384</v>
      </c>
      <c r="G65" s="542">
        <f>$G$63+$G$59</f>
        <v>0</v>
      </c>
      <c r="H65" s="533">
        <f>$H$63+$H$59</f>
        <v>1501384</v>
      </c>
      <c r="I65" s="534">
        <f>$I$63+$I$59</f>
        <v>0</v>
      </c>
      <c r="J65" s="345">
        <f>$J$63+$J$59</f>
        <v>1501384</v>
      </c>
      <c r="K65" s="345">
        <f>$K$63+$K$59</f>
        <v>0</v>
      </c>
    </row>
    <row r="66" spans="1:11" ht="13">
      <c r="A66" s="331">
        <v>11</v>
      </c>
      <c r="D66" s="342"/>
      <c r="E66" s="195"/>
      <c r="G66" s="541"/>
      <c r="H66" s="531"/>
      <c r="I66" s="532"/>
    </row>
    <row r="67" spans="1:11" ht="13">
      <c r="A67" s="331">
        <v>12</v>
      </c>
      <c r="B67" s="330" t="s">
        <v>17</v>
      </c>
      <c r="D67" s="342"/>
      <c r="E67" s="195"/>
      <c r="G67" s="541"/>
      <c r="H67" s="531"/>
      <c r="I67" s="532"/>
    </row>
    <row r="68" spans="1:11" ht="13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3">
        <f>'FR-16(7)(v)-8 TOT CLASS Alloc'!H68</f>
        <v>12780986</v>
      </c>
      <c r="G68" s="542">
        <f>'FR-16(7)(v)-5 DISTR Dem Alloc'!H68</f>
        <v>12780986</v>
      </c>
      <c r="H68" s="533">
        <f>'FR-16(7)(v)-3 PROD Comm Alloc'!H68</f>
        <v>0</v>
      </c>
      <c r="I68" s="534">
        <f>'FR-16(7)(v)-6 DISTR Cust Alloc'!H68</f>
        <v>0</v>
      </c>
      <c r="J68" s="345">
        <f t="shared" ref="J68:J77" si="9">SUM(G68:I68)</f>
        <v>12780986</v>
      </c>
      <c r="K68" s="345">
        <f t="shared" ref="K68:K77" si="10">F68-J68</f>
        <v>0</v>
      </c>
    </row>
    <row r="69" spans="1:11" ht="13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3">
        <f>'FR-16(7)(v)-8 TOT CLASS Alloc'!H69</f>
        <v>844218</v>
      </c>
      <c r="G69" s="542">
        <f>'FR-16(7)(v)-5 DISTR Dem Alloc'!H69</f>
        <v>844218</v>
      </c>
      <c r="H69" s="533">
        <f>'FR-16(7)(v)-3 PROD Comm Alloc'!H69</f>
        <v>0</v>
      </c>
      <c r="I69" s="534">
        <f>'FR-16(7)(v)-6 DISTR Cust Alloc'!H69</f>
        <v>0</v>
      </c>
      <c r="J69" s="345">
        <f t="shared" si="9"/>
        <v>844218</v>
      </c>
      <c r="K69" s="345">
        <f t="shared" si="10"/>
        <v>0</v>
      </c>
    </row>
    <row r="70" spans="1:11" ht="13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3">
        <f>'FR-16(7)(v)-8 TOT CLASS Alloc'!H70</f>
        <v>0</v>
      </c>
      <c r="G70" s="542">
        <f>'FR-16(7)(v)-5 DISTR Dem Alloc'!H70</f>
        <v>0</v>
      </c>
      <c r="H70" s="533">
        <f>'FR-16(7)(v)-3 PROD Comm Alloc'!H70</f>
        <v>0</v>
      </c>
      <c r="I70" s="534">
        <f>'FR-16(7)(v)-6 DISTR Cust Alloc'!H70</f>
        <v>0</v>
      </c>
      <c r="J70" s="345">
        <f t="shared" si="9"/>
        <v>0</v>
      </c>
      <c r="K70" s="345">
        <f t="shared" si="10"/>
        <v>0</v>
      </c>
    </row>
    <row r="71" spans="1:11" ht="13">
      <c r="A71" s="331">
        <v>16</v>
      </c>
      <c r="C71" s="330" t="str">
        <f>'FR-16(7)(v)-1 Functional'!C71</f>
        <v>MAINS - (2761, 2762, 2763, 2765)</v>
      </c>
      <c r="D71" s="342" t="str">
        <f>'FR-16(7)(v)-1 Functional'!D71</f>
        <v>K415</v>
      </c>
      <c r="E71" s="195"/>
      <c r="F71" s="473">
        <f>'FR-16(7)(v)-8 TOT CLASS Alloc'!H71</f>
        <v>123028991</v>
      </c>
      <c r="G71" s="542">
        <f>'FR-16(7)(v)-5 DISTR Dem Alloc'!H71</f>
        <v>123028991</v>
      </c>
      <c r="H71" s="533">
        <f>'FR-16(7)(v)-3 PROD Comm Alloc'!H71</f>
        <v>0</v>
      </c>
      <c r="I71" s="534">
        <f>'FR-16(7)(v)-6 DISTR Cust Alloc'!H71</f>
        <v>0</v>
      </c>
      <c r="J71" s="345">
        <f t="shared" si="9"/>
        <v>123028991</v>
      </c>
      <c r="K71" s="345">
        <f t="shared" si="10"/>
        <v>0</v>
      </c>
    </row>
    <row r="72" spans="1:11" ht="13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3">
        <f>'FR-16(7)(v)-8 TOT CLASS Alloc'!H72</f>
        <v>27233498</v>
      </c>
      <c r="G72" s="542">
        <f>'FR-16(7)(v)-5 DISTR Dem Alloc'!H72</f>
        <v>0</v>
      </c>
      <c r="H72" s="533">
        <f>'FR-16(7)(v)-3 PROD Comm Alloc'!H72</f>
        <v>0</v>
      </c>
      <c r="I72" s="534">
        <f>'FR-16(7)(v)-6 DISTR Cust Alloc'!H72</f>
        <v>27233498</v>
      </c>
      <c r="J72" s="345">
        <f t="shared" si="9"/>
        <v>27233498</v>
      </c>
      <c r="K72" s="345">
        <f t="shared" si="10"/>
        <v>0</v>
      </c>
    </row>
    <row r="73" spans="1:11" ht="13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3">
        <f>'FR-16(7)(v)-8 TOT CLASS Alloc'!H73</f>
        <v>5195798</v>
      </c>
      <c r="G73" s="542">
        <f>'FR-16(7)(v)-5 DISTR Dem Alloc'!H73</f>
        <v>0</v>
      </c>
      <c r="H73" s="533">
        <f>'FR-16(7)(v)-3 PROD Comm Alloc'!H73</f>
        <v>0</v>
      </c>
      <c r="I73" s="534">
        <f>'FR-16(7)(v)-6 DISTR Cust Alloc'!H73</f>
        <v>5195798</v>
      </c>
      <c r="J73" s="345">
        <f t="shared" si="9"/>
        <v>5195798</v>
      </c>
      <c r="K73" s="345">
        <f t="shared" si="10"/>
        <v>0</v>
      </c>
    </row>
    <row r="74" spans="1:11" ht="13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3">
        <f>'FR-16(7)(v)-8 TOT CLASS Alloc'!H74</f>
        <v>3611625</v>
      </c>
      <c r="G74" s="542">
        <f>'FR-16(7)(v)-5 DISTR Dem Alloc'!H74</f>
        <v>3611625</v>
      </c>
      <c r="H74" s="533">
        <f>'FR-16(7)(v)-3 PROD Comm Alloc'!H74</f>
        <v>0</v>
      </c>
      <c r="I74" s="534">
        <f>'FR-16(7)(v)-6 DISTR Cust Alloc'!H74</f>
        <v>0</v>
      </c>
      <c r="J74" s="345">
        <f t="shared" si="9"/>
        <v>3611625</v>
      </c>
      <c r="K74" s="345">
        <f t="shared" si="10"/>
        <v>0</v>
      </c>
    </row>
    <row r="75" spans="1:11" ht="13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3">
        <f>'FR-16(7)(v)-8 TOT CLASS Alloc'!H75</f>
        <v>5482573</v>
      </c>
      <c r="G75" s="542">
        <f>'FR-16(7)(v)-5 DISTR Dem Alloc'!H75</f>
        <v>0</v>
      </c>
      <c r="H75" s="533">
        <f>'FR-16(7)(v)-3 PROD Comm Alloc'!H75</f>
        <v>0</v>
      </c>
      <c r="I75" s="534">
        <f>'FR-16(7)(v)-6 DISTR Cust Alloc'!H75</f>
        <v>5482573</v>
      </c>
      <c r="J75" s="345">
        <f t="shared" si="9"/>
        <v>5482573</v>
      </c>
      <c r="K75" s="345">
        <f t="shared" si="10"/>
        <v>0</v>
      </c>
    </row>
    <row r="76" spans="1:11" ht="13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3">
        <f>'FR-16(7)(v)-8 TOT CLASS Alloc'!H76</f>
        <v>91485</v>
      </c>
      <c r="G76" s="542">
        <f>'FR-16(7)(v)-5 DISTR Dem Alloc'!H76</f>
        <v>91485</v>
      </c>
      <c r="H76" s="533">
        <f>'FR-16(7)(v)-3 PROD Comm Alloc'!H76</f>
        <v>0</v>
      </c>
      <c r="I76" s="534">
        <f>'FR-16(7)(v)-6 DISTR Cust Alloc'!H76</f>
        <v>0</v>
      </c>
      <c r="J76" s="345">
        <f t="shared" si="9"/>
        <v>91485</v>
      </c>
      <c r="K76" s="345">
        <f t="shared" si="10"/>
        <v>0</v>
      </c>
    </row>
    <row r="77" spans="1:11" ht="13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3">
        <f>'FR-16(7)(v)-8 TOT CLASS Alloc'!H77</f>
        <v>0</v>
      </c>
      <c r="G77" s="542">
        <f>'FR-16(7)(v)-5 DISTR Dem Alloc'!H77</f>
        <v>0</v>
      </c>
      <c r="H77" s="533">
        <f>'FR-16(7)(v)-3 PROD Comm Alloc'!H77</f>
        <v>0</v>
      </c>
      <c r="I77" s="534">
        <f>'FR-16(7)(v)-6 DISTR Cust Alloc'!H77</f>
        <v>0</v>
      </c>
      <c r="J77" s="345">
        <f t="shared" si="9"/>
        <v>0</v>
      </c>
      <c r="K77" s="345">
        <f t="shared" si="10"/>
        <v>0</v>
      </c>
    </row>
    <row r="78" spans="1:11" ht="13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K78" si="11">SUM(F68:F77)</f>
        <v>178269174</v>
      </c>
      <c r="G78" s="543">
        <f t="shared" si="11"/>
        <v>140357305</v>
      </c>
      <c r="H78" s="535">
        <f t="shared" si="11"/>
        <v>0</v>
      </c>
      <c r="I78" s="536">
        <f t="shared" si="11"/>
        <v>37911869</v>
      </c>
      <c r="J78" s="346">
        <f t="shared" si="11"/>
        <v>178269174</v>
      </c>
      <c r="K78" s="346">
        <f t="shared" si="11"/>
        <v>0</v>
      </c>
    </row>
    <row r="79" spans="1:11" ht="13">
      <c r="A79" s="331">
        <v>24</v>
      </c>
      <c r="D79" s="342"/>
      <c r="E79" s="195"/>
      <c r="G79" s="541"/>
      <c r="H79" s="531"/>
      <c r="I79" s="532"/>
    </row>
    <row r="80" spans="1:11" ht="13">
      <c r="A80" s="331">
        <v>25</v>
      </c>
      <c r="B80" s="330" t="s">
        <v>18</v>
      </c>
      <c r="D80" s="342"/>
      <c r="E80" s="195"/>
      <c r="F80" s="345">
        <f>F78+F63</f>
        <v>178269174</v>
      </c>
      <c r="G80" s="542">
        <f>G78+$G$63</f>
        <v>140357305</v>
      </c>
      <c r="H80" s="533">
        <f>H78+$H$63</f>
        <v>0</v>
      </c>
      <c r="I80" s="534">
        <f>I78+$I$63</f>
        <v>37911869</v>
      </c>
      <c r="J80" s="345">
        <f>J78+$J$63</f>
        <v>178269174</v>
      </c>
      <c r="K80" s="345">
        <f>K78+$K$63</f>
        <v>0</v>
      </c>
    </row>
    <row r="81" spans="1:11" ht="13">
      <c r="A81" s="331">
        <v>26</v>
      </c>
      <c r="B81" s="330" t="s">
        <v>19</v>
      </c>
      <c r="D81" s="342"/>
      <c r="E81" s="195"/>
      <c r="F81" s="345">
        <f t="shared" ref="F81:K81" si="12">F78+F65</f>
        <v>179770558</v>
      </c>
      <c r="G81" s="542">
        <f t="shared" si="12"/>
        <v>140357305</v>
      </c>
      <c r="H81" s="533">
        <f t="shared" si="12"/>
        <v>1501384</v>
      </c>
      <c r="I81" s="534">
        <f t="shared" si="12"/>
        <v>37911869</v>
      </c>
      <c r="J81" s="345">
        <f t="shared" si="12"/>
        <v>179770558</v>
      </c>
      <c r="K81" s="345">
        <f t="shared" si="12"/>
        <v>0</v>
      </c>
    </row>
    <row r="82" spans="1:11" ht="13">
      <c r="A82" s="331">
        <v>27</v>
      </c>
      <c r="D82" s="342"/>
      <c r="E82" s="195"/>
      <c r="G82" s="541"/>
      <c r="H82" s="531"/>
      <c r="I82" s="532"/>
    </row>
    <row r="83" spans="1:11" ht="13">
      <c r="A83" s="331">
        <v>28</v>
      </c>
      <c r="B83" s="330" t="s">
        <v>20</v>
      </c>
      <c r="D83" s="342"/>
      <c r="E83" s="195"/>
      <c r="G83" s="541"/>
      <c r="H83" s="531"/>
      <c r="I83" s="532"/>
    </row>
    <row r="84" spans="1:11" ht="13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3">
        <f>'FR-16(7)(v)-8 TOT CLASS Alloc'!H84</f>
        <v>839930</v>
      </c>
      <c r="G84" s="542">
        <f>'FR-16(7)(v)-5 DISTR Dem Alloc'!H84</f>
        <v>0</v>
      </c>
      <c r="H84" s="533">
        <f>'FR-16(7)(v)-3 PROD Comm Alloc'!H84</f>
        <v>839930</v>
      </c>
      <c r="I84" s="534">
        <f>'FR-16(7)(v)-6 DISTR Cust Alloc'!H84</f>
        <v>0</v>
      </c>
      <c r="J84" s="345">
        <f t="shared" ref="J84:J89" si="13">SUM(G84:I84)</f>
        <v>839930</v>
      </c>
      <c r="K84" s="345">
        <f t="shared" ref="K84:K89" si="14">F84-J84</f>
        <v>0</v>
      </c>
    </row>
    <row r="85" spans="1:11" ht="13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3">
        <f>'FR-16(7)(v)-8 TOT CLASS Alloc'!H85</f>
        <v>772489</v>
      </c>
      <c r="G85" s="542">
        <f>'FR-16(7)(v)-5 DISTR Dem Alloc'!H85</f>
        <v>0</v>
      </c>
      <c r="H85" s="533">
        <f>'FR-16(7)(v)-3 PROD Comm Alloc'!H85</f>
        <v>772489</v>
      </c>
      <c r="I85" s="534">
        <f>'FR-16(7)(v)-6 DISTR Cust Alloc'!H85</f>
        <v>0</v>
      </c>
      <c r="J85" s="345">
        <f t="shared" si="13"/>
        <v>772489</v>
      </c>
      <c r="K85" s="345">
        <f t="shared" si="14"/>
        <v>0</v>
      </c>
    </row>
    <row r="86" spans="1:11" ht="13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3">
        <f>'FR-16(7)(v)-8 TOT CLASS Alloc'!H86</f>
        <v>5250686</v>
      </c>
      <c r="G86" s="542">
        <f>'FR-16(7)(v)-5 DISTR Dem Alloc'!H86</f>
        <v>4632167</v>
      </c>
      <c r="H86" s="533">
        <f>'FR-16(7)(v)-3 PROD Comm Alloc'!H86</f>
        <v>0</v>
      </c>
      <c r="I86" s="534">
        <f>'FR-16(7)(v)-6 DISTR Cust Alloc'!H86</f>
        <v>618519</v>
      </c>
      <c r="J86" s="345">
        <f t="shared" si="13"/>
        <v>5250686</v>
      </c>
      <c r="K86" s="345">
        <f t="shared" si="14"/>
        <v>0</v>
      </c>
    </row>
    <row r="87" spans="1:11" ht="13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3">
        <f>'FR-16(7)(v)-8 TOT CLASS Alloc'!H87</f>
        <v>562389</v>
      </c>
      <c r="G87" s="542">
        <f>'FR-16(7)(v)-5 DISTR Dem Alloc'!H87</f>
        <v>0</v>
      </c>
      <c r="H87" s="533">
        <f>'FR-16(7)(v)-3 PROD Comm Alloc'!H87</f>
        <v>0</v>
      </c>
      <c r="I87" s="534">
        <f>'FR-16(7)(v)-6 DISTR Cust Alloc'!H87</f>
        <v>562389</v>
      </c>
      <c r="J87" s="345">
        <f t="shared" si="13"/>
        <v>562389</v>
      </c>
      <c r="K87" s="345">
        <f t="shared" si="14"/>
        <v>0</v>
      </c>
    </row>
    <row r="88" spans="1:11" ht="13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3">
        <f>'FR-16(7)(v)-8 TOT CLASS Alloc'!H88</f>
        <v>54445</v>
      </c>
      <c r="G88" s="542">
        <f>'FR-16(7)(v)-5 DISTR Dem Alloc'!H88</f>
        <v>0</v>
      </c>
      <c r="H88" s="533">
        <f>'FR-16(7)(v)-3 PROD Comm Alloc'!H88</f>
        <v>0</v>
      </c>
      <c r="I88" s="534">
        <f>'FR-16(7)(v)-6 DISTR Cust Alloc'!H88</f>
        <v>54445</v>
      </c>
      <c r="J88" s="345">
        <f t="shared" si="13"/>
        <v>54445</v>
      </c>
      <c r="K88" s="345">
        <f t="shared" si="14"/>
        <v>0</v>
      </c>
    </row>
    <row r="89" spans="1:11" ht="13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3">
        <f>'FR-16(7)(v)-8 TOT CLASS Alloc'!H89</f>
        <v>0</v>
      </c>
      <c r="G89" s="542">
        <f>'FR-16(7)(v)-5 DISTR Dem Alloc'!H89</f>
        <v>0</v>
      </c>
      <c r="H89" s="533">
        <f>'FR-16(7)(v)-3 PROD Comm Alloc'!H89</f>
        <v>0</v>
      </c>
      <c r="I89" s="534">
        <f>'FR-16(7)(v)-6 DISTR Cust Alloc'!H89</f>
        <v>0</v>
      </c>
      <c r="J89" s="345">
        <f t="shared" si="13"/>
        <v>0</v>
      </c>
      <c r="K89" s="345">
        <f t="shared" si="14"/>
        <v>0</v>
      </c>
    </row>
    <row r="90" spans="1:11" ht="13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4">
        <f t="shared" ref="F90:K90" si="15">SUM(F84:F89)</f>
        <v>7479939</v>
      </c>
      <c r="G90" s="543">
        <f t="shared" si="15"/>
        <v>4632167</v>
      </c>
      <c r="H90" s="535">
        <f t="shared" si="15"/>
        <v>1612419</v>
      </c>
      <c r="I90" s="536">
        <f t="shared" si="15"/>
        <v>1235353</v>
      </c>
      <c r="J90" s="346">
        <f t="shared" si="15"/>
        <v>7479939</v>
      </c>
      <c r="K90" s="346">
        <f t="shared" si="15"/>
        <v>0</v>
      </c>
    </row>
    <row r="91" spans="1:11" ht="13">
      <c r="A91" s="331">
        <v>36</v>
      </c>
      <c r="D91" s="342"/>
      <c r="E91" s="195"/>
      <c r="G91" s="541"/>
      <c r="H91" s="531"/>
      <c r="I91" s="532"/>
    </row>
    <row r="92" spans="1:11" ht="13">
      <c r="A92" s="331">
        <v>37</v>
      </c>
      <c r="B92" s="330" t="s">
        <v>21</v>
      </c>
      <c r="D92" s="342"/>
      <c r="E92" s="195"/>
      <c r="G92" s="541"/>
      <c r="H92" s="531"/>
      <c r="I92" s="532"/>
    </row>
    <row r="93" spans="1:11" ht="13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3">
        <f>'FR-16(7)(v)-8 TOT CLASS Alloc'!H93</f>
        <v>270137</v>
      </c>
      <c r="G93" s="542">
        <f>'FR-16(7)(v)-5 DISTR Dem Alloc'!H93</f>
        <v>0</v>
      </c>
      <c r="H93" s="533">
        <f>'FR-16(7)(v)-3 PROD Comm Alloc'!H93</f>
        <v>270137</v>
      </c>
      <c r="I93" s="534">
        <f>'FR-16(7)(v)-6 DISTR Cust Alloc'!H93</f>
        <v>0</v>
      </c>
      <c r="J93" s="345">
        <f t="shared" ref="J93:J98" si="16">SUM(G93:I93)</f>
        <v>270137</v>
      </c>
      <c r="K93" s="345">
        <f t="shared" ref="K93:K98" si="17">F93-J93</f>
        <v>0</v>
      </c>
    </row>
    <row r="94" spans="1:11" ht="13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3">
        <f>'FR-16(7)(v)-8 TOT CLASS Alloc'!H94</f>
        <v>248446</v>
      </c>
      <c r="G94" s="542">
        <f>'FR-16(7)(v)-5 DISTR Dem Alloc'!H94</f>
        <v>0</v>
      </c>
      <c r="H94" s="533">
        <f>'FR-16(7)(v)-3 PROD Comm Alloc'!H94</f>
        <v>248446</v>
      </c>
      <c r="I94" s="534">
        <f>'FR-16(7)(v)-6 DISTR Cust Alloc'!H94</f>
        <v>0</v>
      </c>
      <c r="J94" s="345">
        <f t="shared" si="16"/>
        <v>248446</v>
      </c>
      <c r="K94" s="345">
        <f t="shared" si="17"/>
        <v>0</v>
      </c>
    </row>
    <row r="95" spans="1:11" ht="13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3">
        <f>'FR-16(7)(v)-8 TOT CLASS Alloc'!H95</f>
        <v>1688715</v>
      </c>
      <c r="G95" s="542">
        <f>'FR-16(7)(v)-5 DISTR Dem Alloc'!H95</f>
        <v>1489788</v>
      </c>
      <c r="H95" s="533">
        <f>'FR-16(7)(v)-3 PROD Comm Alloc'!H95</f>
        <v>0</v>
      </c>
      <c r="I95" s="534">
        <f>'FR-16(7)(v)-6 DISTR Cust Alloc'!H95</f>
        <v>198927</v>
      </c>
      <c r="J95" s="345">
        <f t="shared" si="16"/>
        <v>1688715</v>
      </c>
      <c r="K95" s="345">
        <f t="shared" si="17"/>
        <v>0</v>
      </c>
    </row>
    <row r="96" spans="1:11" ht="13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3">
        <f>'FR-16(7)(v)-8 TOT CLASS Alloc'!H96</f>
        <v>180874</v>
      </c>
      <c r="G96" s="542">
        <f>'FR-16(7)(v)-5 DISTR Dem Alloc'!H96</f>
        <v>0</v>
      </c>
      <c r="H96" s="533">
        <f>'FR-16(7)(v)-3 PROD Comm Alloc'!H96</f>
        <v>0</v>
      </c>
      <c r="I96" s="534">
        <f>'FR-16(7)(v)-6 DISTR Cust Alloc'!H96</f>
        <v>180874</v>
      </c>
      <c r="J96" s="345">
        <f t="shared" si="16"/>
        <v>180874</v>
      </c>
      <c r="K96" s="345">
        <f t="shared" si="17"/>
        <v>0</v>
      </c>
    </row>
    <row r="97" spans="1:11" ht="13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3">
        <f>'FR-16(7)(v)-8 TOT CLASS Alloc'!H97</f>
        <v>17511</v>
      </c>
      <c r="G97" s="542">
        <f>'FR-16(7)(v)-5 DISTR Dem Alloc'!H97</f>
        <v>0</v>
      </c>
      <c r="H97" s="533">
        <f>'FR-16(7)(v)-3 PROD Comm Alloc'!H97</f>
        <v>0</v>
      </c>
      <c r="I97" s="534">
        <f>'FR-16(7)(v)-6 DISTR Cust Alloc'!H97</f>
        <v>17511</v>
      </c>
      <c r="J97" s="345">
        <f t="shared" si="16"/>
        <v>17511</v>
      </c>
      <c r="K97" s="345">
        <f t="shared" si="17"/>
        <v>0</v>
      </c>
    </row>
    <row r="98" spans="1:11" ht="13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3">
        <f>'FR-16(7)(v)-8 TOT CLASS Alloc'!H98</f>
        <v>0</v>
      </c>
      <c r="G98" s="542">
        <f>'FR-16(7)(v)-5 DISTR Dem Alloc'!H98</f>
        <v>0</v>
      </c>
      <c r="H98" s="533">
        <f>'FR-16(7)(v)-3 PROD Comm Alloc'!H98</f>
        <v>0</v>
      </c>
      <c r="I98" s="534">
        <f>'FR-16(7)(v)-6 DISTR Cust Alloc'!H98</f>
        <v>0</v>
      </c>
      <c r="J98" s="345">
        <f t="shared" si="16"/>
        <v>0</v>
      </c>
      <c r="K98" s="345">
        <f t="shared" si="17"/>
        <v>0</v>
      </c>
    </row>
    <row r="99" spans="1:11" ht="13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K99" si="18">SUM(F93:F98)</f>
        <v>2405683</v>
      </c>
      <c r="G99" s="543">
        <f t="shared" si="18"/>
        <v>1489788</v>
      </c>
      <c r="H99" s="535">
        <f t="shared" si="18"/>
        <v>518583</v>
      </c>
      <c r="I99" s="536">
        <f t="shared" si="18"/>
        <v>397312</v>
      </c>
      <c r="J99" s="346">
        <f t="shared" si="18"/>
        <v>2405683</v>
      </c>
      <c r="K99" s="346">
        <f t="shared" si="18"/>
        <v>0</v>
      </c>
    </row>
    <row r="100" spans="1:11" ht="13">
      <c r="A100" s="331">
        <v>45</v>
      </c>
      <c r="E100" s="195"/>
      <c r="G100" s="541"/>
      <c r="H100" s="531"/>
      <c r="I100" s="532"/>
    </row>
    <row r="101" spans="1:11" ht="13">
      <c r="A101" s="331">
        <v>46</v>
      </c>
      <c r="B101" s="330" t="s">
        <v>95</v>
      </c>
      <c r="E101" s="195"/>
      <c r="F101" s="345">
        <f t="shared" ref="F101:K101" si="19">F81+F90+F99</f>
        <v>189656180</v>
      </c>
      <c r="G101" s="544">
        <f t="shared" si="19"/>
        <v>146479260</v>
      </c>
      <c r="H101" s="537">
        <f t="shared" si="19"/>
        <v>3632386</v>
      </c>
      <c r="I101" s="538">
        <f t="shared" si="19"/>
        <v>39544534</v>
      </c>
      <c r="J101" s="345">
        <f t="shared" si="19"/>
        <v>189656180</v>
      </c>
      <c r="K101" s="345">
        <f t="shared" si="19"/>
        <v>0</v>
      </c>
    </row>
    <row r="102" spans="1:11" ht="13">
      <c r="B102" s="341"/>
      <c r="C102" s="195"/>
      <c r="D102" s="342"/>
      <c r="E102" s="195"/>
      <c r="F102" s="195"/>
      <c r="G102" s="195"/>
      <c r="H102" s="195"/>
      <c r="I102" s="195"/>
      <c r="J102" s="195"/>
      <c r="K102" s="195"/>
    </row>
    <row r="103" spans="1:11" ht="13">
      <c r="A103" s="341" t="str">
        <f>co_name</f>
        <v>DUKE ENERGY KENTUCKY, INC.</v>
      </c>
      <c r="C103" s="195"/>
      <c r="D103" s="342"/>
      <c r="E103" s="195"/>
      <c r="F103" s="195"/>
      <c r="G103" s="195"/>
      <c r="H103" s="195"/>
      <c r="I103" s="195"/>
      <c r="J103" s="195" t="str">
        <f>$J$1</f>
        <v>FR-16(7)(v)-10</v>
      </c>
      <c r="K103" s="195"/>
    </row>
    <row r="104" spans="1:11" ht="13">
      <c r="A104" s="341" t="str">
        <f>$A$2</f>
        <v>GS CLASSIFIED - GAS COST OF SERVICE</v>
      </c>
      <c r="C104" s="195"/>
      <c r="D104" s="342"/>
      <c r="E104" s="195"/>
      <c r="F104" s="195"/>
      <c r="G104" s="195"/>
      <c r="H104" s="195"/>
      <c r="I104" s="195"/>
      <c r="J104" s="195" t="str">
        <f>$J$2</f>
        <v>WITNESS RESPONSIBLE:</v>
      </c>
      <c r="K104" s="195"/>
    </row>
    <row r="105" spans="1:11" ht="13">
      <c r="A105" s="341" t="str">
        <f>case_name</f>
        <v>CASE NO: 2021-00190</v>
      </c>
      <c r="C105" s="195"/>
      <c r="D105" s="342"/>
      <c r="E105" s="195"/>
      <c r="F105" s="195"/>
      <c r="G105" s="195"/>
      <c r="H105" s="195"/>
      <c r="I105" s="195"/>
      <c r="J105" s="195" t="str">
        <f>Witness</f>
        <v>JAMES E. ZIOLKOWSKI</v>
      </c>
      <c r="K105" s="195"/>
    </row>
    <row r="106" spans="1:11" ht="13">
      <c r="A106" s="341" t="str">
        <f>data_filing</f>
        <v>DATA: 12 MONTH FORECASTED PERIOD</v>
      </c>
      <c r="C106" s="195"/>
      <c r="D106" s="342"/>
      <c r="E106" s="195"/>
      <c r="F106" s="195"/>
      <c r="G106" s="195"/>
      <c r="H106" s="195"/>
      <c r="I106" s="195"/>
      <c r="J106" s="195" t="str">
        <f>"PAGE "&amp;Pages2-12&amp;" OF "&amp;Pages2</f>
        <v>PAGE 3 OF 15</v>
      </c>
      <c r="K106" s="195"/>
    </row>
    <row r="107" spans="1:11" ht="13">
      <c r="A107" s="341" t="str">
        <f>type</f>
        <v xml:space="preserve">TYPE OF FILING: "X" ORIGINAL   UPDATED    REVISED  </v>
      </c>
      <c r="C107" s="195"/>
      <c r="D107" s="342"/>
      <c r="E107" s="195"/>
      <c r="F107" s="195"/>
      <c r="G107" s="195"/>
      <c r="H107" s="195"/>
      <c r="I107" s="195"/>
      <c r="J107" s="195"/>
      <c r="K107" s="195"/>
    </row>
    <row r="108" spans="1:11" ht="13">
      <c r="A108" s="341"/>
      <c r="C108" s="195"/>
      <c r="D108" s="342"/>
      <c r="E108" s="195"/>
      <c r="F108" s="195"/>
      <c r="G108" s="195"/>
      <c r="H108" s="195"/>
      <c r="I108" s="195"/>
      <c r="J108" s="195"/>
      <c r="K108" s="195"/>
    </row>
    <row r="109" spans="1:11" ht="13">
      <c r="B109" s="341"/>
      <c r="C109" s="195"/>
      <c r="D109" s="342"/>
      <c r="E109" s="195"/>
      <c r="F109" s="195"/>
      <c r="G109" s="195"/>
      <c r="H109" s="195"/>
      <c r="I109" s="195"/>
      <c r="J109" s="195"/>
      <c r="K109" s="195"/>
    </row>
    <row r="110" spans="1:11" ht="13">
      <c r="A110" s="342" t="s">
        <v>907</v>
      </c>
      <c r="B110" s="195"/>
      <c r="C110" s="195"/>
      <c r="D110" s="342"/>
      <c r="E110" s="195"/>
      <c r="F110" s="342" t="s">
        <v>229</v>
      </c>
      <c r="G110" s="539" t="s">
        <v>995</v>
      </c>
      <c r="H110" s="527"/>
      <c r="I110" s="528"/>
      <c r="J110" s="342" t="s">
        <v>229</v>
      </c>
      <c r="K110" s="342" t="s">
        <v>342</v>
      </c>
    </row>
    <row r="111" spans="1:11" ht="13">
      <c r="A111" s="344" t="s">
        <v>908</v>
      </c>
      <c r="B111" s="343" t="s">
        <v>22</v>
      </c>
      <c r="C111" s="343"/>
      <c r="D111" s="344" t="s">
        <v>337</v>
      </c>
      <c r="E111" s="343"/>
      <c r="F111" s="344" t="str">
        <f>$F$9</f>
        <v>GS</v>
      </c>
      <c r="G111" s="540" t="s">
        <v>840</v>
      </c>
      <c r="H111" s="529" t="s">
        <v>841</v>
      </c>
      <c r="I111" s="530" t="s">
        <v>842</v>
      </c>
      <c r="J111" s="344" t="s">
        <v>341</v>
      </c>
      <c r="K111" s="344" t="s">
        <v>340</v>
      </c>
    </row>
    <row r="112" spans="1:11" ht="13">
      <c r="C112" s="572" t="s">
        <v>345</v>
      </c>
      <c r="D112" s="342"/>
      <c r="E112" s="195"/>
      <c r="G112" s="793">
        <f>$G$10</f>
        <v>3</v>
      </c>
      <c r="H112" s="794">
        <f>$H$10</f>
        <v>4</v>
      </c>
      <c r="I112" s="795">
        <f>$I$10</f>
        <v>5</v>
      </c>
    </row>
    <row r="113" spans="1:11" ht="13">
      <c r="A113" s="331">
        <v>1</v>
      </c>
      <c r="B113" s="330" t="s">
        <v>14</v>
      </c>
      <c r="D113" s="342"/>
      <c r="E113" s="195"/>
      <c r="G113" s="541"/>
      <c r="H113" s="531"/>
      <c r="I113" s="532"/>
    </row>
    <row r="114" spans="1:11" ht="13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3">
        <f>'FR-16(7)(v)-8 TOT CLASS Alloc'!H114</f>
        <v>828942</v>
      </c>
      <c r="G114" s="542">
        <f>'FR-16(7)(v)-5 DISTR Dem Alloc'!H114</f>
        <v>0</v>
      </c>
      <c r="H114" s="533">
        <f>'FR-16(7)(v)-3 PROD Comm Alloc'!H114</f>
        <v>828942</v>
      </c>
      <c r="I114" s="534">
        <f>'FR-16(7)(v)-6 DISTR Cust Alloc'!H114</f>
        <v>0</v>
      </c>
      <c r="J114" s="345">
        <f>SUM(G114:I114)</f>
        <v>828942</v>
      </c>
      <c r="K114" s="345">
        <f>F114-J114</f>
        <v>0</v>
      </c>
    </row>
    <row r="115" spans="1:11" ht="13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K115" si="20">SUM(F114:F114)</f>
        <v>828942</v>
      </c>
      <c r="G115" s="543">
        <f t="shared" si="20"/>
        <v>0</v>
      </c>
      <c r="H115" s="535">
        <f t="shared" si="20"/>
        <v>828942</v>
      </c>
      <c r="I115" s="536">
        <f t="shared" si="20"/>
        <v>0</v>
      </c>
      <c r="J115" s="346">
        <f t="shared" si="20"/>
        <v>828942</v>
      </c>
      <c r="K115" s="346">
        <f t="shared" si="20"/>
        <v>0</v>
      </c>
    </row>
    <row r="116" spans="1:11" ht="13">
      <c r="A116" s="331">
        <v>4</v>
      </c>
      <c r="D116" s="342"/>
      <c r="E116" s="195"/>
      <c r="G116" s="541"/>
      <c r="H116" s="531"/>
      <c r="I116" s="532"/>
    </row>
    <row r="117" spans="1:11" ht="13">
      <c r="A117" s="331">
        <v>5</v>
      </c>
      <c r="B117" s="330" t="s">
        <v>15</v>
      </c>
      <c r="D117" s="342"/>
      <c r="E117" s="195"/>
      <c r="G117" s="541"/>
      <c r="H117" s="531"/>
      <c r="I117" s="532"/>
    </row>
    <row r="118" spans="1:11" ht="13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1"/>
      <c r="G118" s="542"/>
      <c r="H118" s="533"/>
      <c r="I118" s="534"/>
      <c r="J118" s="345"/>
      <c r="K118" s="345"/>
    </row>
    <row r="119" spans="1:11" ht="13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K119" si="21">SUM(F118:F118)</f>
        <v>0</v>
      </c>
      <c r="G119" s="543">
        <f t="shared" si="21"/>
        <v>0</v>
      </c>
      <c r="H119" s="535">
        <f t="shared" si="21"/>
        <v>0</v>
      </c>
      <c r="I119" s="536">
        <f t="shared" si="21"/>
        <v>0</v>
      </c>
      <c r="J119" s="346">
        <f t="shared" si="21"/>
        <v>0</v>
      </c>
      <c r="K119" s="346">
        <f t="shared" si="21"/>
        <v>0</v>
      </c>
    </row>
    <row r="120" spans="1:11" ht="13">
      <c r="A120" s="331">
        <v>8</v>
      </c>
      <c r="D120" s="342"/>
      <c r="E120" s="195"/>
      <c r="G120" s="541"/>
      <c r="H120" s="531"/>
      <c r="I120" s="532"/>
    </row>
    <row r="121" spans="1:11" ht="13">
      <c r="A121" s="331">
        <v>9</v>
      </c>
      <c r="B121" s="330" t="s">
        <v>17</v>
      </c>
      <c r="D121" s="342"/>
      <c r="E121" s="195"/>
      <c r="G121" s="541"/>
      <c r="H121" s="531"/>
      <c r="I121" s="532"/>
    </row>
    <row r="122" spans="1:11" ht="13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3">
        <f>'FR-16(7)(v)-8 TOT CLASS Alloc'!H122</f>
        <v>800015</v>
      </c>
      <c r="G122" s="542">
        <f>'FR-16(7)(v)-5 DISTR Dem Alloc'!H122</f>
        <v>800015</v>
      </c>
      <c r="H122" s="533">
        <f>'FR-16(7)(v)-3 PROD Comm Alloc'!H122</f>
        <v>0</v>
      </c>
      <c r="I122" s="534">
        <f>'FR-16(7)(v)-6 DISTR Cust Alloc'!H122</f>
        <v>0</v>
      </c>
      <c r="J122" s="345">
        <f t="shared" ref="J122:J130" si="22">SUM(G122:I122)</f>
        <v>800015</v>
      </c>
      <c r="K122" s="345">
        <f t="shared" ref="K122:K130" si="23">F122-J122</f>
        <v>0</v>
      </c>
    </row>
    <row r="123" spans="1:11" ht="13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3">
        <f>'FR-16(7)(v)-8 TOT CLASS Alloc'!H123</f>
        <v>375398</v>
      </c>
      <c r="G123" s="542">
        <f>'FR-16(7)(v)-5 DISTR Dem Alloc'!H123</f>
        <v>375398</v>
      </c>
      <c r="H123" s="533">
        <f>'FR-16(7)(v)-3 PROD Comm Alloc'!H123</f>
        <v>0</v>
      </c>
      <c r="I123" s="534">
        <f>'FR-16(7)(v)-6 DISTR Cust Alloc'!H123</f>
        <v>0</v>
      </c>
      <c r="J123" s="345">
        <f t="shared" si="22"/>
        <v>375398</v>
      </c>
      <c r="K123" s="345">
        <f t="shared" si="23"/>
        <v>0</v>
      </c>
    </row>
    <row r="124" spans="1:11" ht="13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3">
        <f>'FR-16(7)(v)-8 TOT CLASS Alloc'!H124</f>
        <v>0</v>
      </c>
      <c r="G124" s="542">
        <f>'FR-16(7)(v)-5 DISTR Dem Alloc'!H124</f>
        <v>0</v>
      </c>
      <c r="H124" s="533">
        <f>'FR-16(7)(v)-3 PROD Comm Alloc'!H124</f>
        <v>0</v>
      </c>
      <c r="I124" s="534">
        <f>'FR-16(7)(v)-6 DISTR Cust Alloc'!H124</f>
        <v>0</v>
      </c>
      <c r="J124" s="345">
        <f t="shared" si="22"/>
        <v>0</v>
      </c>
      <c r="K124" s="345">
        <f t="shared" si="23"/>
        <v>0</v>
      </c>
    </row>
    <row r="125" spans="1:11" ht="13">
      <c r="A125" s="331">
        <v>13</v>
      </c>
      <c r="C125" s="330" t="str">
        <f>'FR-16(7)(v)-1 Functional'!C125</f>
        <v>MAINS - (2761, 2762, 2763, 2765)</v>
      </c>
      <c r="D125" s="342" t="str">
        <f>'FR-16(7)(v)-1 Functional'!D125</f>
        <v>K415</v>
      </c>
      <c r="E125" s="195"/>
      <c r="F125" s="473">
        <f>'FR-16(7)(v)-8 TOT CLASS Alloc'!H125</f>
        <v>35173615</v>
      </c>
      <c r="G125" s="542">
        <f>'FR-16(7)(v)-5 DISTR Dem Alloc'!H125</f>
        <v>35173615</v>
      </c>
      <c r="H125" s="533">
        <f>'FR-16(7)(v)-3 PROD Comm Alloc'!H125</f>
        <v>0</v>
      </c>
      <c r="I125" s="534">
        <f>'FR-16(7)(v)-6 DISTR Cust Alloc'!H125</f>
        <v>0</v>
      </c>
      <c r="J125" s="345">
        <f t="shared" si="22"/>
        <v>35173615</v>
      </c>
      <c r="K125" s="345">
        <f t="shared" si="23"/>
        <v>0</v>
      </c>
    </row>
    <row r="126" spans="1:11" ht="13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3">
        <f>'FR-16(7)(v)-8 TOT CLASS Alloc'!H126</f>
        <v>7384215</v>
      </c>
      <c r="G126" s="542">
        <f>'FR-16(7)(v)-5 DISTR Dem Alloc'!H126</f>
        <v>0</v>
      </c>
      <c r="H126" s="533">
        <f>'FR-16(7)(v)-3 PROD Comm Alloc'!H126</f>
        <v>0</v>
      </c>
      <c r="I126" s="534">
        <f>'FR-16(7)(v)-6 DISTR Cust Alloc'!H126</f>
        <v>7384215</v>
      </c>
      <c r="J126" s="345">
        <f t="shared" si="22"/>
        <v>7384215</v>
      </c>
      <c r="K126" s="345">
        <f t="shared" si="23"/>
        <v>0</v>
      </c>
    </row>
    <row r="127" spans="1:11" ht="13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3">
        <f>'FR-16(7)(v)-8 TOT CLASS Alloc'!H127</f>
        <v>-151220</v>
      </c>
      <c r="G127" s="542">
        <f>'FR-16(7)(v)-5 DISTR Dem Alloc'!H127</f>
        <v>0</v>
      </c>
      <c r="H127" s="533">
        <f>'FR-16(7)(v)-3 PROD Comm Alloc'!H127</f>
        <v>0</v>
      </c>
      <c r="I127" s="534">
        <f>'FR-16(7)(v)-6 DISTR Cust Alloc'!H127</f>
        <v>-151220</v>
      </c>
      <c r="J127" s="345">
        <f t="shared" si="22"/>
        <v>-151220</v>
      </c>
      <c r="K127" s="345">
        <f t="shared" si="23"/>
        <v>0</v>
      </c>
    </row>
    <row r="128" spans="1:11" ht="13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3">
        <f>'FR-16(7)(v)-8 TOT CLASS Alloc'!H128</f>
        <v>217388</v>
      </c>
      <c r="G128" s="542">
        <f>'FR-16(7)(v)-5 DISTR Dem Alloc'!H128</f>
        <v>217388</v>
      </c>
      <c r="H128" s="533">
        <f>'FR-16(7)(v)-3 PROD Comm Alloc'!H128</f>
        <v>0</v>
      </c>
      <c r="I128" s="534">
        <f>'FR-16(7)(v)-6 DISTR Cust Alloc'!H128</f>
        <v>0</v>
      </c>
      <c r="J128" s="345">
        <f t="shared" si="22"/>
        <v>217388</v>
      </c>
      <c r="K128" s="345">
        <f t="shared" si="23"/>
        <v>0</v>
      </c>
    </row>
    <row r="129" spans="1:11" ht="13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3">
        <f>'FR-16(7)(v)-8 TOT CLASS Alloc'!H129</f>
        <v>2213759</v>
      </c>
      <c r="G129" s="542">
        <f>'FR-16(7)(v)-5 DISTR Dem Alloc'!H129</f>
        <v>0</v>
      </c>
      <c r="H129" s="533">
        <f>'FR-16(7)(v)-3 PROD Comm Alloc'!H129</f>
        <v>0</v>
      </c>
      <c r="I129" s="534">
        <f>'FR-16(7)(v)-6 DISTR Cust Alloc'!H129</f>
        <v>2213759</v>
      </c>
      <c r="J129" s="345">
        <f t="shared" si="22"/>
        <v>2213759</v>
      </c>
      <c r="K129" s="345">
        <f t="shared" si="23"/>
        <v>0</v>
      </c>
    </row>
    <row r="130" spans="1:11" ht="13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3">
        <f>'FR-16(7)(v)-8 TOT CLASS Alloc'!H130</f>
        <v>-3476871</v>
      </c>
      <c r="G130" s="542">
        <f>'FR-16(7)(v)-5 DISTR Dem Alloc'!H130</f>
        <v>-3476871</v>
      </c>
      <c r="H130" s="533">
        <f>'FR-16(7)(v)-3 PROD Comm Alloc'!H130</f>
        <v>0</v>
      </c>
      <c r="I130" s="534">
        <f>'FR-16(7)(v)-6 DISTR Cust Alloc'!H130</f>
        <v>0</v>
      </c>
      <c r="J130" s="345">
        <f t="shared" si="22"/>
        <v>-3476871</v>
      </c>
      <c r="K130" s="345">
        <f t="shared" si="23"/>
        <v>0</v>
      </c>
    </row>
    <row r="131" spans="1:11" ht="13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K131" si="24">SUM(F121:F130)</f>
        <v>42536299</v>
      </c>
      <c r="G131" s="543">
        <f t="shared" si="24"/>
        <v>33089545</v>
      </c>
      <c r="H131" s="535">
        <f t="shared" si="24"/>
        <v>0</v>
      </c>
      <c r="I131" s="536">
        <f t="shared" si="24"/>
        <v>9446754</v>
      </c>
      <c r="J131" s="346">
        <f t="shared" si="24"/>
        <v>42536299</v>
      </c>
      <c r="K131" s="346">
        <f t="shared" si="24"/>
        <v>0</v>
      </c>
    </row>
    <row r="132" spans="1:11" ht="13">
      <c r="A132" s="331">
        <v>20</v>
      </c>
      <c r="D132" s="342"/>
      <c r="E132" s="195"/>
      <c r="G132" s="541"/>
      <c r="H132" s="531"/>
      <c r="I132" s="532"/>
    </row>
    <row r="133" spans="1:11" ht="13">
      <c r="A133" s="331">
        <v>21</v>
      </c>
      <c r="B133" s="330" t="s">
        <v>20</v>
      </c>
      <c r="D133" s="342"/>
      <c r="E133" s="195"/>
      <c r="G133" s="541"/>
      <c r="H133" s="531"/>
      <c r="I133" s="532"/>
    </row>
    <row r="134" spans="1:11" ht="13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3">
        <f>'FR-16(7)(v)-8 TOT CLASS Alloc'!H134</f>
        <v>413492</v>
      </c>
      <c r="G134" s="542">
        <f>'FR-16(7)(v)-5 DISTR Dem Alloc'!H134</f>
        <v>0</v>
      </c>
      <c r="H134" s="533">
        <f>'FR-16(7)(v)-3 PROD Comm Alloc'!H134</f>
        <v>413492</v>
      </c>
      <c r="I134" s="534">
        <f>'FR-16(7)(v)-6 DISTR Cust Alloc'!H134</f>
        <v>0</v>
      </c>
      <c r="J134" s="345">
        <f t="shared" ref="J134:J139" si="25">SUM(G134:I134)</f>
        <v>413492</v>
      </c>
      <c r="K134" s="345">
        <f t="shared" ref="K134:K139" si="26">F134-J134</f>
        <v>0</v>
      </c>
    </row>
    <row r="135" spans="1:11" ht="13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3">
        <f>'FR-16(7)(v)-8 TOT CLASS Alloc'!H135</f>
        <v>380290</v>
      </c>
      <c r="G135" s="542">
        <f>'FR-16(7)(v)-5 DISTR Dem Alloc'!H135</f>
        <v>0</v>
      </c>
      <c r="H135" s="533">
        <f>'FR-16(7)(v)-3 PROD Comm Alloc'!H135</f>
        <v>380290</v>
      </c>
      <c r="I135" s="534">
        <f>'FR-16(7)(v)-6 DISTR Cust Alloc'!H135</f>
        <v>0</v>
      </c>
      <c r="J135" s="345">
        <f t="shared" si="25"/>
        <v>380290</v>
      </c>
      <c r="K135" s="345">
        <f t="shared" si="26"/>
        <v>0</v>
      </c>
    </row>
    <row r="136" spans="1:11" ht="13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3">
        <f>'FR-16(7)(v)-8 TOT CLASS Alloc'!H136</f>
        <v>2584874</v>
      </c>
      <c r="G136" s="542">
        <f>'FR-16(7)(v)-5 DISTR Dem Alloc'!H136</f>
        <v>2280382</v>
      </c>
      <c r="H136" s="533">
        <f>'FR-16(7)(v)-3 PROD Comm Alloc'!H136</f>
        <v>0</v>
      </c>
      <c r="I136" s="534">
        <f>'FR-16(7)(v)-6 DISTR Cust Alloc'!H136</f>
        <v>304492</v>
      </c>
      <c r="J136" s="345">
        <f t="shared" si="25"/>
        <v>2584874</v>
      </c>
      <c r="K136" s="345">
        <f t="shared" si="26"/>
        <v>0</v>
      </c>
    </row>
    <row r="137" spans="1:11" ht="13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3">
        <f>'FR-16(7)(v)-8 TOT CLASS Alloc'!H137</f>
        <v>276860</v>
      </c>
      <c r="G137" s="542">
        <f>'FR-16(7)(v)-5 DISTR Dem Alloc'!H137</f>
        <v>0</v>
      </c>
      <c r="H137" s="533">
        <f>'FR-16(7)(v)-3 PROD Comm Alloc'!H137</f>
        <v>0</v>
      </c>
      <c r="I137" s="534">
        <f>'FR-16(7)(v)-6 DISTR Cust Alloc'!H137</f>
        <v>276860</v>
      </c>
      <c r="J137" s="345">
        <f t="shared" si="25"/>
        <v>276860</v>
      </c>
      <c r="K137" s="345">
        <f t="shared" si="26"/>
        <v>0</v>
      </c>
    </row>
    <row r="138" spans="1:11" ht="13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3">
        <f>'FR-16(7)(v)-8 TOT CLASS Alloc'!H138</f>
        <v>26803</v>
      </c>
      <c r="G138" s="542">
        <f>'FR-16(7)(v)-5 DISTR Dem Alloc'!H138</f>
        <v>0</v>
      </c>
      <c r="H138" s="533">
        <f>'FR-16(7)(v)-3 PROD Comm Alloc'!H138</f>
        <v>0</v>
      </c>
      <c r="I138" s="534">
        <f>'FR-16(7)(v)-6 DISTR Cust Alloc'!H138</f>
        <v>26803</v>
      </c>
      <c r="J138" s="345">
        <f t="shared" si="25"/>
        <v>26803</v>
      </c>
      <c r="K138" s="345">
        <f t="shared" si="26"/>
        <v>0</v>
      </c>
    </row>
    <row r="139" spans="1:11" ht="13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3">
        <f>'FR-16(7)(v)-8 TOT CLASS Alloc'!H139</f>
        <v>0</v>
      </c>
      <c r="G139" s="542">
        <f>'FR-16(7)(v)-5 DISTR Dem Alloc'!H139</f>
        <v>0</v>
      </c>
      <c r="H139" s="533">
        <f>'FR-16(7)(v)-3 PROD Comm Alloc'!H139</f>
        <v>0</v>
      </c>
      <c r="I139" s="534">
        <f>'FR-16(7)(v)-6 DISTR Cust Alloc'!H139</f>
        <v>0</v>
      </c>
      <c r="J139" s="345">
        <f t="shared" si="25"/>
        <v>0</v>
      </c>
      <c r="K139" s="345">
        <f t="shared" si="26"/>
        <v>0</v>
      </c>
    </row>
    <row r="140" spans="1:11" ht="13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K140" si="27">SUM(F133:F139)</f>
        <v>3682319</v>
      </c>
      <c r="G140" s="543">
        <f t="shared" si="27"/>
        <v>2280382</v>
      </c>
      <c r="H140" s="535">
        <f t="shared" si="27"/>
        <v>793782</v>
      </c>
      <c r="I140" s="536">
        <f t="shared" si="27"/>
        <v>608155</v>
      </c>
      <c r="J140" s="346">
        <f t="shared" si="27"/>
        <v>3682319</v>
      </c>
      <c r="K140" s="346">
        <f t="shared" si="27"/>
        <v>0</v>
      </c>
    </row>
    <row r="141" spans="1:11" ht="13">
      <c r="A141" s="331">
        <v>29</v>
      </c>
      <c r="C141" s="363"/>
      <c r="D141" s="342"/>
      <c r="E141" s="195"/>
      <c r="G141" s="541"/>
      <c r="H141" s="531"/>
      <c r="I141" s="532"/>
    </row>
    <row r="142" spans="1:11" ht="13">
      <c r="A142" s="331">
        <v>30</v>
      </c>
      <c r="B142" s="330" t="s">
        <v>21</v>
      </c>
      <c r="C142" s="363"/>
      <c r="D142" s="342"/>
      <c r="E142" s="195"/>
      <c r="G142" s="541"/>
      <c r="H142" s="531"/>
      <c r="I142" s="532"/>
    </row>
    <row r="143" spans="1:11" ht="13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3">
        <f>'FR-16(7)(v)-8 TOT CLASS Alloc'!H143</f>
        <v>189109</v>
      </c>
      <c r="G143" s="542">
        <f>'FR-16(7)(v)-5 DISTR Dem Alloc'!H143</f>
        <v>0</v>
      </c>
      <c r="H143" s="533">
        <f>'FR-16(7)(v)-3 PROD Comm Alloc'!H143</f>
        <v>189109</v>
      </c>
      <c r="I143" s="534">
        <f>'FR-16(7)(v)-6 DISTR Cust Alloc'!H143</f>
        <v>0</v>
      </c>
      <c r="J143" s="345">
        <f t="shared" ref="J143:J148" si="28">SUM(G143:I143)</f>
        <v>189109</v>
      </c>
      <c r="K143" s="345">
        <f t="shared" ref="K143:K148" si="29">F143-J143</f>
        <v>0</v>
      </c>
    </row>
    <row r="144" spans="1:11" ht="13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3">
        <f>'FR-16(7)(v)-8 TOT CLASS Alloc'!H144</f>
        <v>173925</v>
      </c>
      <c r="G144" s="542">
        <f>'FR-16(7)(v)-5 DISTR Dem Alloc'!H144</f>
        <v>0</v>
      </c>
      <c r="H144" s="533">
        <f>'FR-16(7)(v)-3 PROD Comm Alloc'!H144</f>
        <v>173925</v>
      </c>
      <c r="I144" s="534">
        <f>'FR-16(7)(v)-6 DISTR Cust Alloc'!H144</f>
        <v>0</v>
      </c>
      <c r="J144" s="345">
        <f t="shared" si="28"/>
        <v>173925</v>
      </c>
      <c r="K144" s="345">
        <f t="shared" si="29"/>
        <v>0</v>
      </c>
    </row>
    <row r="145" spans="1:11" ht="13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3">
        <f>'FR-16(7)(v)-8 TOT CLASS Alloc'!H145</f>
        <v>1182182</v>
      </c>
      <c r="G145" s="542">
        <f>'FR-16(7)(v)-5 DISTR Dem Alloc'!H145</f>
        <v>1042924</v>
      </c>
      <c r="H145" s="533">
        <f>'FR-16(7)(v)-3 PROD Comm Alloc'!H145</f>
        <v>0</v>
      </c>
      <c r="I145" s="534">
        <f>'FR-16(7)(v)-6 DISTR Cust Alloc'!H145</f>
        <v>139258</v>
      </c>
      <c r="J145" s="345">
        <f t="shared" si="28"/>
        <v>1182182</v>
      </c>
      <c r="K145" s="345">
        <f t="shared" si="29"/>
        <v>0</v>
      </c>
    </row>
    <row r="146" spans="1:11" ht="13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3">
        <f>'FR-16(7)(v)-8 TOT CLASS Alloc'!H146</f>
        <v>126621</v>
      </c>
      <c r="G146" s="542">
        <f>'FR-16(7)(v)-5 DISTR Dem Alloc'!H146</f>
        <v>0</v>
      </c>
      <c r="H146" s="533">
        <f>'FR-16(7)(v)-3 PROD Comm Alloc'!H146</f>
        <v>0</v>
      </c>
      <c r="I146" s="534">
        <f>'FR-16(7)(v)-6 DISTR Cust Alloc'!H146</f>
        <v>126621</v>
      </c>
      <c r="J146" s="345">
        <f t="shared" si="28"/>
        <v>126621</v>
      </c>
      <c r="K146" s="345">
        <f t="shared" si="29"/>
        <v>0</v>
      </c>
    </row>
    <row r="147" spans="1:11" ht="13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3">
        <f>'FR-16(7)(v)-8 TOT CLASS Alloc'!H147</f>
        <v>12258</v>
      </c>
      <c r="G147" s="542">
        <f>'FR-16(7)(v)-5 DISTR Dem Alloc'!H147</f>
        <v>0</v>
      </c>
      <c r="H147" s="533">
        <f>'FR-16(7)(v)-3 PROD Comm Alloc'!H147</f>
        <v>0</v>
      </c>
      <c r="I147" s="534">
        <f>'FR-16(7)(v)-6 DISTR Cust Alloc'!H147</f>
        <v>12258</v>
      </c>
      <c r="J147" s="345">
        <f t="shared" si="28"/>
        <v>12258</v>
      </c>
      <c r="K147" s="345">
        <f t="shared" si="29"/>
        <v>0</v>
      </c>
    </row>
    <row r="148" spans="1:11" ht="13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3">
        <f>'FR-16(7)(v)-8 TOT CLASS Alloc'!H148</f>
        <v>0</v>
      </c>
      <c r="G148" s="542">
        <f>'FR-16(7)(v)-5 DISTR Dem Alloc'!H148</f>
        <v>0</v>
      </c>
      <c r="H148" s="533">
        <f>'FR-16(7)(v)-3 PROD Comm Alloc'!H148</f>
        <v>0</v>
      </c>
      <c r="I148" s="534">
        <f>'FR-16(7)(v)-6 DISTR Cust Alloc'!H148</f>
        <v>0</v>
      </c>
      <c r="J148" s="345">
        <f t="shared" si="28"/>
        <v>0</v>
      </c>
      <c r="K148" s="345">
        <f t="shared" si="29"/>
        <v>0</v>
      </c>
    </row>
    <row r="149" spans="1:11" ht="13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1684095</v>
      </c>
      <c r="G149" s="543">
        <f>SUM(G142:G148)</f>
        <v>1042924</v>
      </c>
      <c r="H149" s="535">
        <f>SUM(H142:H148)</f>
        <v>363034</v>
      </c>
      <c r="I149" s="536">
        <f>SUM(I142:I148)</f>
        <v>278137</v>
      </c>
      <c r="J149" s="346">
        <f>SUM(J142:J148)</f>
        <v>1684095</v>
      </c>
      <c r="K149" s="346">
        <f>SUM(K142:K148)</f>
        <v>0</v>
      </c>
    </row>
    <row r="150" spans="1:11" ht="13">
      <c r="A150" s="331">
        <v>38</v>
      </c>
      <c r="D150" s="342"/>
      <c r="E150" s="195"/>
      <c r="G150" s="541"/>
      <c r="H150" s="531"/>
      <c r="I150" s="532"/>
    </row>
    <row r="151" spans="1:11" ht="13">
      <c r="A151" s="331">
        <v>39</v>
      </c>
      <c r="B151" s="330" t="s">
        <v>23</v>
      </c>
      <c r="D151" s="342"/>
      <c r="E151" s="195"/>
      <c r="F151" s="345">
        <f t="shared" ref="F151:K151" si="30">F149+F140+F131+F119+F115</f>
        <v>48731655</v>
      </c>
      <c r="G151" s="544">
        <f t="shared" si="30"/>
        <v>36412851</v>
      </c>
      <c r="H151" s="537">
        <f t="shared" si="30"/>
        <v>1985758</v>
      </c>
      <c r="I151" s="538">
        <f t="shared" si="30"/>
        <v>10333046</v>
      </c>
      <c r="J151" s="345">
        <f t="shared" si="30"/>
        <v>48731655</v>
      </c>
      <c r="K151" s="345">
        <f t="shared" si="30"/>
        <v>0</v>
      </c>
    </row>
    <row r="152" spans="1:11" ht="13">
      <c r="B152" s="341"/>
      <c r="C152" s="195"/>
      <c r="D152" s="342"/>
      <c r="E152" s="195"/>
      <c r="F152" s="195"/>
      <c r="G152" s="195"/>
      <c r="H152" s="195"/>
      <c r="I152" s="195"/>
      <c r="J152" s="195"/>
    </row>
    <row r="153" spans="1:11" ht="13">
      <c r="A153" s="341" t="str">
        <f>co_name</f>
        <v>DUKE ENERGY KENTUCKY, INC.</v>
      </c>
      <c r="C153" s="195"/>
      <c r="D153" s="342"/>
      <c r="E153" s="195"/>
      <c r="F153" s="195"/>
      <c r="G153" s="195"/>
      <c r="H153" s="195"/>
      <c r="I153" s="195"/>
      <c r="J153" s="195" t="str">
        <f>$J$1</f>
        <v>FR-16(7)(v)-10</v>
      </c>
      <c r="K153" s="195"/>
    </row>
    <row r="154" spans="1:11" ht="13">
      <c r="A154" s="341" t="str">
        <f>$A$2</f>
        <v>GS CLASSIFIED - GAS COST OF SERVICE</v>
      </c>
      <c r="C154" s="195"/>
      <c r="D154" s="342"/>
      <c r="E154" s="195"/>
      <c r="F154" s="195"/>
      <c r="G154" s="195"/>
      <c r="H154" s="195"/>
      <c r="I154" s="195"/>
      <c r="J154" s="195" t="str">
        <f>$J$2</f>
        <v>WITNESS RESPONSIBLE:</v>
      </c>
      <c r="K154" s="195"/>
    </row>
    <row r="155" spans="1:11" ht="13">
      <c r="A155" s="341" t="str">
        <f>case_name</f>
        <v>CASE NO: 2021-00190</v>
      </c>
      <c r="C155" s="195"/>
      <c r="D155" s="342"/>
      <c r="E155" s="195"/>
      <c r="F155" s="195"/>
      <c r="G155" s="195"/>
      <c r="H155" s="195"/>
      <c r="I155" s="195"/>
      <c r="J155" s="195" t="str">
        <f>Witness</f>
        <v>JAMES E. ZIOLKOWSKI</v>
      </c>
      <c r="K155" s="195"/>
    </row>
    <row r="156" spans="1:11" ht="13">
      <c r="A156" s="341" t="str">
        <f>data_filing</f>
        <v>DATA: 12 MONTH FORECASTED PERIOD</v>
      </c>
      <c r="C156" s="195"/>
      <c r="D156" s="342"/>
      <c r="E156" s="195"/>
      <c r="F156" s="195"/>
      <c r="G156" s="195"/>
      <c r="H156" s="195"/>
      <c r="I156" s="195"/>
      <c r="J156" s="195" t="str">
        <f>"PAGE "&amp;Pages2-11&amp;" OF "&amp;Pages2</f>
        <v>PAGE 4 OF 15</v>
      </c>
      <c r="K156" s="195"/>
    </row>
    <row r="157" spans="1:11" ht="13">
      <c r="A157" s="341" t="str">
        <f>type</f>
        <v xml:space="preserve">TYPE OF FILING: "X" ORIGINAL   UPDATED    REVISED  </v>
      </c>
      <c r="C157" s="195"/>
      <c r="D157" s="342"/>
      <c r="E157" s="195"/>
      <c r="F157" s="195"/>
      <c r="G157" s="195"/>
      <c r="H157" s="195"/>
      <c r="I157" s="195"/>
      <c r="J157" s="195"/>
      <c r="K157" s="195"/>
    </row>
    <row r="158" spans="1:11" ht="13">
      <c r="A158" s="341"/>
      <c r="C158" s="195"/>
      <c r="D158" s="342"/>
      <c r="E158" s="195"/>
      <c r="F158" s="195"/>
      <c r="G158" s="195"/>
      <c r="H158" s="195"/>
      <c r="I158" s="195"/>
      <c r="J158" s="195"/>
      <c r="K158" s="195"/>
    </row>
    <row r="159" spans="1:11" ht="13">
      <c r="B159" s="341"/>
      <c r="C159" s="195"/>
      <c r="D159" s="342"/>
      <c r="E159" s="195"/>
      <c r="F159" s="195"/>
      <c r="G159" s="195"/>
      <c r="H159" s="195"/>
      <c r="I159" s="195"/>
      <c r="J159" s="195"/>
    </row>
    <row r="160" spans="1:11" ht="13">
      <c r="A160" s="342" t="s">
        <v>907</v>
      </c>
      <c r="B160" s="195"/>
      <c r="C160" s="195"/>
      <c r="D160" s="342"/>
      <c r="E160" s="195"/>
      <c r="F160" s="342" t="s">
        <v>229</v>
      </c>
      <c r="G160" s="539" t="s">
        <v>995</v>
      </c>
      <c r="H160" s="527"/>
      <c r="I160" s="528"/>
      <c r="J160" s="342" t="s">
        <v>229</v>
      </c>
      <c r="K160" s="342" t="s">
        <v>342</v>
      </c>
    </row>
    <row r="161" spans="1:11" ht="13">
      <c r="A161" s="344" t="s">
        <v>908</v>
      </c>
      <c r="B161" s="343" t="str">
        <f>"NET GAS PLANT"</f>
        <v>NET GAS PLANT</v>
      </c>
      <c r="C161" s="343"/>
      <c r="D161" s="344" t="s">
        <v>337</v>
      </c>
      <c r="E161" s="343"/>
      <c r="F161" s="344" t="str">
        <f>$F$9</f>
        <v>GS</v>
      </c>
      <c r="G161" s="540" t="s">
        <v>840</v>
      </c>
      <c r="H161" s="529" t="s">
        <v>841</v>
      </c>
      <c r="I161" s="530" t="s">
        <v>842</v>
      </c>
      <c r="J161" s="344" t="s">
        <v>341</v>
      </c>
      <c r="K161" s="344" t="s">
        <v>340</v>
      </c>
    </row>
    <row r="162" spans="1:11" ht="13">
      <c r="C162" s="572" t="s">
        <v>346</v>
      </c>
      <c r="D162" s="342"/>
      <c r="E162" s="195"/>
      <c r="G162" s="793">
        <f>$G$10</f>
        <v>3</v>
      </c>
      <c r="H162" s="794">
        <f>$H$10</f>
        <v>4</v>
      </c>
      <c r="I162" s="795">
        <f>$I$10</f>
        <v>5</v>
      </c>
    </row>
    <row r="163" spans="1:11" ht="13">
      <c r="A163" s="331">
        <v>1</v>
      </c>
      <c r="B163" s="330" t="s">
        <v>14</v>
      </c>
      <c r="D163" s="342"/>
      <c r="E163" s="195"/>
      <c r="G163" s="541"/>
      <c r="H163" s="531"/>
      <c r="I163" s="532"/>
    </row>
    <row r="164" spans="1:11" ht="13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1501384</v>
      </c>
      <c r="G164" s="542">
        <f>$G$59</f>
        <v>0</v>
      </c>
      <c r="H164" s="533">
        <f>$H$59</f>
        <v>1501384</v>
      </c>
      <c r="I164" s="534">
        <f>$I$59</f>
        <v>0</v>
      </c>
      <c r="J164" s="345">
        <f>$J$59</f>
        <v>1501384</v>
      </c>
      <c r="K164" s="345">
        <f>F164-J164</f>
        <v>0</v>
      </c>
    </row>
    <row r="165" spans="1:11" ht="13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>-F115</f>
        <v>-828942</v>
      </c>
      <c r="G165" s="542">
        <f>-G115</f>
        <v>0</v>
      </c>
      <c r="H165" s="533">
        <f>-H115</f>
        <v>-828942</v>
      </c>
      <c r="I165" s="534">
        <f>-I115</f>
        <v>0</v>
      </c>
      <c r="J165" s="345">
        <f>-J115</f>
        <v>-828942</v>
      </c>
      <c r="K165" s="345">
        <f>F165-J165</f>
        <v>0</v>
      </c>
    </row>
    <row r="166" spans="1:11" ht="13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K166" si="31">SUM(F164:F165)</f>
        <v>672442</v>
      </c>
      <c r="G166" s="543">
        <f t="shared" si="31"/>
        <v>0</v>
      </c>
      <c r="H166" s="535">
        <f t="shared" si="31"/>
        <v>672442</v>
      </c>
      <c r="I166" s="536">
        <f t="shared" si="31"/>
        <v>0</v>
      </c>
      <c r="J166" s="346">
        <f t="shared" si="31"/>
        <v>672442</v>
      </c>
      <c r="K166" s="346">
        <f t="shared" si="31"/>
        <v>0</v>
      </c>
    </row>
    <row r="167" spans="1:11" ht="13">
      <c r="A167" s="331">
        <v>5</v>
      </c>
      <c r="D167" s="342"/>
      <c r="E167" s="195"/>
      <c r="G167" s="541"/>
      <c r="H167" s="531"/>
      <c r="I167" s="532"/>
    </row>
    <row r="168" spans="1:11" ht="13">
      <c r="A168" s="331">
        <v>6</v>
      </c>
      <c r="B168" s="357" t="s">
        <v>15</v>
      </c>
      <c r="C168" s="357"/>
      <c r="D168" s="342"/>
      <c r="E168" s="195"/>
      <c r="F168" s="345"/>
      <c r="G168" s="542"/>
      <c r="H168" s="533"/>
      <c r="I168" s="534"/>
      <c r="J168" s="345"/>
    </row>
    <row r="169" spans="1:11" ht="13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542">
        <f>$G$63</f>
        <v>0</v>
      </c>
      <c r="H169" s="533">
        <f>$H$63</f>
        <v>0</v>
      </c>
      <c r="I169" s="534">
        <f>$I$63</f>
        <v>0</v>
      </c>
      <c r="J169" s="345">
        <f>$J$63</f>
        <v>0</v>
      </c>
      <c r="K169" s="345">
        <f>F169-J169</f>
        <v>0</v>
      </c>
    </row>
    <row r="170" spans="1:11" ht="13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>-F119</f>
        <v>0</v>
      </c>
      <c r="G170" s="542">
        <f>-G119</f>
        <v>0</v>
      </c>
      <c r="H170" s="533">
        <f>-H119</f>
        <v>0</v>
      </c>
      <c r="I170" s="534">
        <f>-I119</f>
        <v>0</v>
      </c>
      <c r="J170" s="345">
        <f>-J119</f>
        <v>0</v>
      </c>
      <c r="K170" s="345">
        <f>F170-J170</f>
        <v>0</v>
      </c>
    </row>
    <row r="171" spans="1:11" ht="13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K171" si="32">SUM(F168:F170)</f>
        <v>0</v>
      </c>
      <c r="G171" s="543">
        <f t="shared" si="32"/>
        <v>0</v>
      </c>
      <c r="H171" s="535">
        <f t="shared" si="32"/>
        <v>0</v>
      </c>
      <c r="I171" s="536">
        <f t="shared" si="32"/>
        <v>0</v>
      </c>
      <c r="J171" s="346">
        <f t="shared" si="32"/>
        <v>0</v>
      </c>
      <c r="K171" s="346">
        <f t="shared" si="32"/>
        <v>0</v>
      </c>
    </row>
    <row r="172" spans="1:11" ht="13">
      <c r="A172" s="331">
        <v>10</v>
      </c>
      <c r="D172" s="342"/>
      <c r="E172" s="195"/>
      <c r="G172" s="541"/>
      <c r="H172" s="531"/>
      <c r="I172" s="532"/>
    </row>
    <row r="173" spans="1:11" ht="13">
      <c r="A173" s="331">
        <v>11</v>
      </c>
      <c r="B173" s="330" t="s">
        <v>17</v>
      </c>
      <c r="D173" s="342"/>
      <c r="E173" s="195"/>
      <c r="G173" s="541"/>
      <c r="H173" s="531"/>
      <c r="I173" s="532"/>
    </row>
    <row r="174" spans="1:11" ht="13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>F78</f>
        <v>178269174</v>
      </c>
      <c r="G174" s="542">
        <f>G78</f>
        <v>140357305</v>
      </c>
      <c r="H174" s="533">
        <f>H78</f>
        <v>0</v>
      </c>
      <c r="I174" s="534">
        <f>I78</f>
        <v>37911869</v>
      </c>
      <c r="J174" s="345">
        <f>J78</f>
        <v>178269174</v>
      </c>
      <c r="K174" s="345">
        <f>F174-J174</f>
        <v>0</v>
      </c>
    </row>
    <row r="175" spans="1:11" ht="13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>-F131</f>
        <v>-42536299</v>
      </c>
      <c r="G175" s="542">
        <f>-G131</f>
        <v>-33089545</v>
      </c>
      <c r="H175" s="533">
        <f>-H131</f>
        <v>0</v>
      </c>
      <c r="I175" s="534">
        <f>-I131</f>
        <v>-9446754</v>
      </c>
      <c r="J175" s="345">
        <f>-J131</f>
        <v>-42536299</v>
      </c>
      <c r="K175" s="345">
        <f>F175-J175</f>
        <v>0</v>
      </c>
    </row>
    <row r="176" spans="1:11" ht="13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K176" si="33">SUM(F173:F175)</f>
        <v>135732875</v>
      </c>
      <c r="G176" s="543">
        <f t="shared" si="33"/>
        <v>107267760</v>
      </c>
      <c r="H176" s="535">
        <f t="shared" si="33"/>
        <v>0</v>
      </c>
      <c r="I176" s="536">
        <f t="shared" si="33"/>
        <v>28465115</v>
      </c>
      <c r="J176" s="346">
        <f t="shared" si="33"/>
        <v>135732875</v>
      </c>
      <c r="K176" s="346">
        <f t="shared" si="33"/>
        <v>0</v>
      </c>
    </row>
    <row r="177" spans="1:11" ht="13">
      <c r="A177" s="331">
        <v>15</v>
      </c>
      <c r="D177" s="342"/>
      <c r="E177" s="195"/>
      <c r="G177" s="541"/>
      <c r="H177" s="531"/>
      <c r="I177" s="532"/>
    </row>
    <row r="178" spans="1:11" ht="13">
      <c r="A178" s="331">
        <v>16</v>
      </c>
      <c r="B178" s="330" t="s">
        <v>429</v>
      </c>
      <c r="D178" s="342"/>
      <c r="E178" s="195"/>
      <c r="F178" s="345">
        <f t="shared" ref="F178:K178" si="34">F176+F171+F166</f>
        <v>136405317</v>
      </c>
      <c r="G178" s="542">
        <f t="shared" si="34"/>
        <v>107267760</v>
      </c>
      <c r="H178" s="533">
        <f t="shared" si="34"/>
        <v>672442</v>
      </c>
      <c r="I178" s="534">
        <f t="shared" si="34"/>
        <v>28465115</v>
      </c>
      <c r="J178" s="345">
        <f t="shared" si="34"/>
        <v>136405317</v>
      </c>
      <c r="K178" s="345">
        <f t="shared" si="34"/>
        <v>0</v>
      </c>
    </row>
    <row r="179" spans="1:11" ht="13">
      <c r="A179" s="331">
        <v>17</v>
      </c>
      <c r="B179" s="330" t="s">
        <v>24</v>
      </c>
      <c r="D179" s="342"/>
      <c r="E179" s="195"/>
      <c r="F179" s="345">
        <f t="shared" ref="F179:K179" si="35">F176+F171</f>
        <v>135732875</v>
      </c>
      <c r="G179" s="542">
        <f t="shared" si="35"/>
        <v>107267760</v>
      </c>
      <c r="H179" s="533">
        <f t="shared" si="35"/>
        <v>0</v>
      </c>
      <c r="I179" s="534">
        <f t="shared" si="35"/>
        <v>28465115</v>
      </c>
      <c r="J179" s="345">
        <f t="shared" si="35"/>
        <v>135732875</v>
      </c>
      <c r="K179" s="345">
        <f t="shared" si="35"/>
        <v>0</v>
      </c>
    </row>
    <row r="180" spans="1:11" ht="13">
      <c r="A180" s="331">
        <v>18</v>
      </c>
      <c r="D180" s="342"/>
      <c r="E180" s="195"/>
      <c r="G180" s="541"/>
      <c r="H180" s="531"/>
      <c r="I180" s="532"/>
    </row>
    <row r="181" spans="1:11" ht="13">
      <c r="A181" s="331">
        <v>19</v>
      </c>
      <c r="B181" s="330" t="s">
        <v>20</v>
      </c>
      <c r="D181" s="342"/>
      <c r="E181" s="195"/>
      <c r="G181" s="541"/>
      <c r="H181" s="531"/>
      <c r="I181" s="532"/>
    </row>
    <row r="182" spans="1:11" ht="13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>F90</f>
        <v>7479939</v>
      </c>
      <c r="G182" s="542">
        <f>G90</f>
        <v>4632167</v>
      </c>
      <c r="H182" s="533">
        <f>H90</f>
        <v>1612419</v>
      </c>
      <c r="I182" s="534">
        <f>I90</f>
        <v>1235353</v>
      </c>
      <c r="J182" s="345">
        <f>J90</f>
        <v>7479939</v>
      </c>
      <c r="K182" s="345">
        <f>F182-J182</f>
        <v>0</v>
      </c>
    </row>
    <row r="183" spans="1:11" ht="13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>-F140</f>
        <v>-3682319</v>
      </c>
      <c r="G183" s="542">
        <f>-G140</f>
        <v>-2280382</v>
      </c>
      <c r="H183" s="533">
        <f>-H140</f>
        <v>-793782</v>
      </c>
      <c r="I183" s="534">
        <f>-I140</f>
        <v>-608155</v>
      </c>
      <c r="J183" s="345">
        <f>-J140</f>
        <v>-3682319</v>
      </c>
      <c r="K183" s="345">
        <f>F183-J183</f>
        <v>0</v>
      </c>
    </row>
    <row r="184" spans="1:11" ht="13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K184" si="36">SUM(F181:F183)</f>
        <v>3797620</v>
      </c>
      <c r="G184" s="543">
        <f t="shared" si="36"/>
        <v>2351785</v>
      </c>
      <c r="H184" s="535">
        <f t="shared" si="36"/>
        <v>818637</v>
      </c>
      <c r="I184" s="536">
        <f t="shared" si="36"/>
        <v>627198</v>
      </c>
      <c r="J184" s="346">
        <f t="shared" si="36"/>
        <v>3797620</v>
      </c>
      <c r="K184" s="346">
        <f t="shared" si="36"/>
        <v>0</v>
      </c>
    </row>
    <row r="185" spans="1:11" ht="13">
      <c r="A185" s="331">
        <v>23</v>
      </c>
      <c r="D185" s="342"/>
      <c r="E185" s="195"/>
      <c r="F185" s="345"/>
      <c r="G185" s="542"/>
      <c r="H185" s="533"/>
      <c r="I185" s="534"/>
      <c r="J185" s="345"/>
    </row>
    <row r="186" spans="1:11" ht="13">
      <c r="A186" s="331">
        <v>24</v>
      </c>
      <c r="B186" s="330" t="s">
        <v>21</v>
      </c>
      <c r="D186" s="342"/>
      <c r="E186" s="195"/>
      <c r="F186" s="345"/>
      <c r="G186" s="542"/>
      <c r="H186" s="533"/>
      <c r="I186" s="534"/>
      <c r="J186" s="345"/>
    </row>
    <row r="187" spans="1:11" ht="13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>F99</f>
        <v>2405683</v>
      </c>
      <c r="G187" s="542">
        <f>G99</f>
        <v>1489788</v>
      </c>
      <c r="H187" s="533">
        <f>H99</f>
        <v>518583</v>
      </c>
      <c r="I187" s="534">
        <f>I99</f>
        <v>397312</v>
      </c>
      <c r="J187" s="345">
        <f>J99</f>
        <v>2405683</v>
      </c>
      <c r="K187" s="345">
        <f>F187-J187</f>
        <v>0</v>
      </c>
    </row>
    <row r="188" spans="1:11" ht="13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>-F149</f>
        <v>-1684095</v>
      </c>
      <c r="G188" s="542">
        <f>-G149</f>
        <v>-1042924</v>
      </c>
      <c r="H188" s="533">
        <f>-H149</f>
        <v>-363034</v>
      </c>
      <c r="I188" s="534">
        <f>-I149</f>
        <v>-278137</v>
      </c>
      <c r="J188" s="345">
        <f>-J149</f>
        <v>-1684095</v>
      </c>
      <c r="K188" s="345">
        <f>F188-J188</f>
        <v>0</v>
      </c>
    </row>
    <row r="189" spans="1:11" ht="13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K189" si="37">SUM(F186:F188)</f>
        <v>721588</v>
      </c>
      <c r="G189" s="543">
        <f t="shared" si="37"/>
        <v>446864</v>
      </c>
      <c r="H189" s="535">
        <f t="shared" si="37"/>
        <v>155549</v>
      </c>
      <c r="I189" s="536">
        <f t="shared" si="37"/>
        <v>119175</v>
      </c>
      <c r="J189" s="346">
        <f t="shared" si="37"/>
        <v>721588</v>
      </c>
      <c r="K189" s="346">
        <f t="shared" si="37"/>
        <v>0</v>
      </c>
    </row>
    <row r="190" spans="1:11" ht="13">
      <c r="A190" s="331">
        <v>28</v>
      </c>
      <c r="D190" s="342"/>
      <c r="E190" s="195"/>
      <c r="F190" s="345"/>
      <c r="G190" s="542"/>
      <c r="H190" s="533"/>
      <c r="I190" s="534"/>
      <c r="J190" s="345"/>
      <c r="K190" s="345"/>
    </row>
    <row r="191" spans="1:11" ht="13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K191" si="38">F189+F184+F176+F171+F166</f>
        <v>140924525</v>
      </c>
      <c r="G191" s="544">
        <f t="shared" si="38"/>
        <v>110066409</v>
      </c>
      <c r="H191" s="537">
        <f t="shared" si="38"/>
        <v>1646628</v>
      </c>
      <c r="I191" s="538">
        <f t="shared" si="38"/>
        <v>29211488</v>
      </c>
      <c r="J191" s="345">
        <f t="shared" si="38"/>
        <v>140924525</v>
      </c>
      <c r="K191" s="345">
        <f t="shared" si="38"/>
        <v>0</v>
      </c>
    </row>
    <row r="192" spans="1:11" ht="13">
      <c r="B192" s="341"/>
      <c r="C192" s="195"/>
      <c r="D192" s="342"/>
      <c r="E192" s="195"/>
      <c r="F192" s="195"/>
      <c r="G192" s="195"/>
      <c r="H192" s="195"/>
      <c r="I192" s="195"/>
      <c r="J192" s="195"/>
      <c r="K192" s="195"/>
    </row>
    <row r="193" spans="1:11" ht="13">
      <c r="A193" s="341" t="str">
        <f>co_name</f>
        <v>DUKE ENERGY KENTUCKY, INC.</v>
      </c>
      <c r="C193" s="195"/>
      <c r="D193" s="342"/>
      <c r="E193" s="195"/>
      <c r="F193" s="195"/>
      <c r="G193" s="195"/>
      <c r="H193" s="195"/>
      <c r="I193" s="195"/>
      <c r="J193" s="195" t="str">
        <f>$J$1</f>
        <v>FR-16(7)(v)-10</v>
      </c>
      <c r="K193" s="195"/>
    </row>
    <row r="194" spans="1:11" ht="13">
      <c r="A194" s="341" t="str">
        <f>$A$2</f>
        <v>GS CLASSIFIED - GAS COST OF SERVICE</v>
      </c>
      <c r="C194" s="195"/>
      <c r="D194" s="342"/>
      <c r="E194" s="195"/>
      <c r="F194" s="195"/>
      <c r="G194" s="195"/>
      <c r="H194" s="195"/>
      <c r="I194" s="195"/>
      <c r="J194" s="195" t="str">
        <f>$J$2</f>
        <v>WITNESS RESPONSIBLE:</v>
      </c>
      <c r="K194" s="195"/>
    </row>
    <row r="195" spans="1:11" ht="13">
      <c r="A195" s="341" t="str">
        <f>case_name</f>
        <v>CASE NO: 2021-00190</v>
      </c>
      <c r="C195" s="195"/>
      <c r="D195" s="342"/>
      <c r="E195" s="195"/>
      <c r="F195" s="195"/>
      <c r="G195" s="195"/>
      <c r="H195" s="195"/>
      <c r="I195" s="195"/>
      <c r="J195" s="195" t="str">
        <f>Witness</f>
        <v>JAMES E. ZIOLKOWSKI</v>
      </c>
      <c r="K195" s="195"/>
    </row>
    <row r="196" spans="1:11" ht="13">
      <c r="A196" s="341" t="str">
        <f>data_filing</f>
        <v>DATA: 12 MONTH FORECASTED PERIOD</v>
      </c>
      <c r="C196" s="195"/>
      <c r="D196" s="342"/>
      <c r="E196" s="195"/>
      <c r="F196" s="195"/>
      <c r="G196" s="195"/>
      <c r="H196" s="195"/>
      <c r="I196" s="195"/>
      <c r="J196" s="195" t="str">
        <f>"PAGE "&amp;Pages2-10&amp;" OF "&amp;Pages2</f>
        <v>PAGE 5 OF 15</v>
      </c>
      <c r="K196" s="195"/>
    </row>
    <row r="197" spans="1:11" ht="13">
      <c r="A197" s="341" t="str">
        <f>type</f>
        <v xml:space="preserve">TYPE OF FILING: "X" ORIGINAL   UPDATED    REVISED  </v>
      </c>
      <c r="C197" s="195"/>
      <c r="D197" s="342"/>
      <c r="E197" s="195"/>
      <c r="F197" s="195"/>
      <c r="G197" s="195"/>
      <c r="H197" s="195"/>
      <c r="I197" s="195"/>
      <c r="J197" s="195"/>
      <c r="K197" s="195"/>
    </row>
    <row r="198" spans="1:11" ht="13">
      <c r="B198" s="341"/>
      <c r="C198" s="195"/>
      <c r="D198" s="342"/>
      <c r="E198" s="195"/>
      <c r="F198" s="195"/>
      <c r="G198" s="195"/>
      <c r="H198" s="195"/>
      <c r="I198" s="195"/>
      <c r="J198" s="195"/>
      <c r="K198" s="195"/>
    </row>
    <row r="199" spans="1:11" ht="13">
      <c r="B199" s="341"/>
      <c r="C199" s="195"/>
      <c r="D199" s="342"/>
      <c r="E199" s="195"/>
      <c r="F199" s="195"/>
      <c r="G199" s="195"/>
      <c r="H199" s="195"/>
      <c r="I199" s="195"/>
      <c r="J199" s="195"/>
      <c r="K199" s="195"/>
    </row>
    <row r="200" spans="1:11" ht="13">
      <c r="A200" s="342" t="s">
        <v>907</v>
      </c>
      <c r="B200" s="195"/>
      <c r="C200" s="195"/>
      <c r="D200" s="342"/>
      <c r="E200" s="195"/>
      <c r="F200" s="342" t="s">
        <v>229</v>
      </c>
      <c r="G200" s="539" t="s">
        <v>995</v>
      </c>
      <c r="H200" s="527"/>
      <c r="I200" s="528"/>
      <c r="J200" s="342" t="s">
        <v>229</v>
      </c>
      <c r="K200" s="342" t="s">
        <v>342</v>
      </c>
    </row>
    <row r="201" spans="1:11" ht="13">
      <c r="A201" s="344" t="s">
        <v>908</v>
      </c>
      <c r="B201" s="343" t="s">
        <v>946</v>
      </c>
      <c r="C201" s="343"/>
      <c r="D201" s="344" t="s">
        <v>337</v>
      </c>
      <c r="E201" s="343"/>
      <c r="F201" s="344" t="str">
        <f>$F$9</f>
        <v>GS</v>
      </c>
      <c r="G201" s="540" t="s">
        <v>840</v>
      </c>
      <c r="H201" s="529" t="s">
        <v>841</v>
      </c>
      <c r="I201" s="530" t="s">
        <v>842</v>
      </c>
      <c r="J201" s="344" t="s">
        <v>341</v>
      </c>
      <c r="K201" s="344" t="s">
        <v>340</v>
      </c>
    </row>
    <row r="202" spans="1:11" ht="13">
      <c r="C202" s="572" t="s">
        <v>347</v>
      </c>
      <c r="D202" s="342"/>
      <c r="E202" s="195"/>
      <c r="G202" s="793">
        <f>$G$10</f>
        <v>3</v>
      </c>
      <c r="H202" s="794">
        <f>$H$10</f>
        <v>4</v>
      </c>
      <c r="I202" s="795">
        <f>$I$10</f>
        <v>5</v>
      </c>
    </row>
    <row r="203" spans="1:11" ht="13">
      <c r="A203" s="331">
        <v>1</v>
      </c>
      <c r="B203" s="330" t="s">
        <v>26</v>
      </c>
      <c r="D203" s="342"/>
      <c r="E203" s="195"/>
      <c r="G203" s="541"/>
      <c r="H203" s="531"/>
      <c r="I203" s="532"/>
    </row>
    <row r="204" spans="1:11" ht="13">
      <c r="A204" s="331">
        <v>2</v>
      </c>
      <c r="B204" s="330" t="s">
        <v>816</v>
      </c>
      <c r="D204" s="342"/>
      <c r="E204" s="195"/>
      <c r="G204" s="541"/>
      <c r="H204" s="531"/>
      <c r="I204" s="532"/>
    </row>
    <row r="205" spans="1:11" ht="13">
      <c r="A205" s="331">
        <v>3</v>
      </c>
      <c r="B205" s="330" t="s">
        <v>27</v>
      </c>
      <c r="D205" s="342"/>
      <c r="E205" s="195"/>
      <c r="G205" s="541"/>
      <c r="H205" s="531"/>
      <c r="I205" s="532"/>
    </row>
    <row r="206" spans="1:11" ht="13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3">
        <f>'FR-16(7)(v)-8 TOT CLASS Alloc'!H206</f>
        <v>16473117</v>
      </c>
      <c r="G206" s="542">
        <f>'FR-16(7)(v)-5 DISTR Dem Alloc'!H206</f>
        <v>12866220</v>
      </c>
      <c r="H206" s="533">
        <f>'FR-16(7)(v)-3 PROD Comm Alloc'!H206</f>
        <v>192416</v>
      </c>
      <c r="I206" s="534">
        <f>'FR-16(7)(v)-6 DISTR Cust Alloc'!H206</f>
        <v>3414481</v>
      </c>
      <c r="J206" s="345">
        <f t="shared" ref="J206:J214" si="39">SUM(G206:I206)</f>
        <v>16473117</v>
      </c>
      <c r="K206" s="345">
        <f t="shared" ref="K206:K214" si="40">F206-J206</f>
        <v>0</v>
      </c>
    </row>
    <row r="207" spans="1:11" ht="13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3">
        <f>'FR-16(7)(v)-8 TOT CLASS Alloc'!H207</f>
        <v>0</v>
      </c>
      <c r="G207" s="542">
        <f>'FR-16(7)(v)-5 DISTR Dem Alloc'!H207</f>
        <v>0</v>
      </c>
      <c r="H207" s="533">
        <f>'FR-16(7)(v)-3 PROD Comm Alloc'!H207</f>
        <v>0</v>
      </c>
      <c r="I207" s="534">
        <f>'FR-16(7)(v)-6 DISTR Cust Alloc'!H207</f>
        <v>0</v>
      </c>
      <c r="J207" s="345">
        <f t="shared" si="39"/>
        <v>0</v>
      </c>
      <c r="K207" s="345">
        <f t="shared" si="40"/>
        <v>0</v>
      </c>
    </row>
    <row r="208" spans="1:11" ht="13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3">
        <f>'FR-16(7)(v)-8 TOT CLASS Alloc'!H208</f>
        <v>-373869</v>
      </c>
      <c r="G208" s="542">
        <f>'FR-16(7)(v)-5 DISTR Dem Alloc'!H208</f>
        <v>-295465</v>
      </c>
      <c r="H208" s="533">
        <f>'FR-16(7)(v)-3 PROD Comm Alloc'!H208</f>
        <v>0</v>
      </c>
      <c r="I208" s="534">
        <f>'FR-16(7)(v)-6 DISTR Cust Alloc'!H208</f>
        <v>-78404</v>
      </c>
      <c r="J208" s="345">
        <f t="shared" si="39"/>
        <v>-373869</v>
      </c>
      <c r="K208" s="345">
        <f t="shared" si="40"/>
        <v>0</v>
      </c>
    </row>
    <row r="209" spans="1:11" ht="13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3">
        <f>'FR-16(7)(v)-8 TOT CLASS Alloc'!H209</f>
        <v>-388177</v>
      </c>
      <c r="G209" s="542">
        <f>'FR-16(7)(v)-5 DISTR Dem Alloc'!H209</f>
        <v>-303183</v>
      </c>
      <c r="H209" s="533">
        <f>'FR-16(7)(v)-3 PROD Comm Alloc'!H209</f>
        <v>-4534</v>
      </c>
      <c r="I209" s="534">
        <f>'FR-16(7)(v)-6 DISTR Cust Alloc'!H209</f>
        <v>-80460</v>
      </c>
      <c r="J209" s="345">
        <f t="shared" si="39"/>
        <v>-388177</v>
      </c>
      <c r="K209" s="345">
        <f t="shared" si="40"/>
        <v>0</v>
      </c>
    </row>
    <row r="210" spans="1:11" ht="13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3">
        <f>'FR-16(7)(v)-8 TOT CLASS Alloc'!H210</f>
        <v>0</v>
      </c>
      <c r="G210" s="542">
        <f>'FR-16(7)(v)-5 DISTR Dem Alloc'!H210</f>
        <v>0</v>
      </c>
      <c r="H210" s="533">
        <f>'FR-16(7)(v)-3 PROD Comm Alloc'!H210</f>
        <v>0</v>
      </c>
      <c r="I210" s="534">
        <f>'FR-16(7)(v)-6 DISTR Cust Alloc'!H210</f>
        <v>0</v>
      </c>
      <c r="J210" s="345">
        <f t="shared" si="39"/>
        <v>0</v>
      </c>
      <c r="K210" s="345">
        <f t="shared" si="40"/>
        <v>0</v>
      </c>
    </row>
    <row r="211" spans="1:11" ht="13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3">
        <f>'FR-16(7)(v)-8 TOT CLASS Alloc'!H211</f>
        <v>0</v>
      </c>
      <c r="G211" s="542">
        <f>'FR-16(7)(v)-5 DISTR Dem Alloc'!H211</f>
        <v>0</v>
      </c>
      <c r="H211" s="533">
        <f>'FR-16(7)(v)-3 PROD Comm Alloc'!H211</f>
        <v>0</v>
      </c>
      <c r="I211" s="534">
        <f>'FR-16(7)(v)-6 DISTR Cust Alloc'!H211</f>
        <v>0</v>
      </c>
      <c r="J211" s="345">
        <f t="shared" si="39"/>
        <v>0</v>
      </c>
      <c r="K211" s="345">
        <f t="shared" si="40"/>
        <v>0</v>
      </c>
    </row>
    <row r="212" spans="1:11" ht="13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3">
        <f>'FR-16(7)(v)-8 TOT CLASS Alloc'!H212</f>
        <v>-150093</v>
      </c>
      <c r="G212" s="542">
        <f>'FR-16(7)(v)-5 DISTR Dem Alloc'!H212</f>
        <v>-90345</v>
      </c>
      <c r="H212" s="533">
        <f>'FR-16(7)(v)-3 PROD Comm Alloc'!H212</f>
        <v>-35654</v>
      </c>
      <c r="I212" s="534">
        <f>'FR-16(7)(v)-6 DISTR Cust Alloc'!H212</f>
        <v>-24094</v>
      </c>
      <c r="J212" s="345">
        <f t="shared" si="39"/>
        <v>-150093</v>
      </c>
      <c r="K212" s="345">
        <f t="shared" si="40"/>
        <v>0</v>
      </c>
    </row>
    <row r="213" spans="1:11" ht="13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3">
        <f>'FR-16(7)(v)-8 TOT CLASS Alloc'!H213</f>
        <v>0</v>
      </c>
      <c r="G213" s="542">
        <f>'FR-16(7)(v)-5 DISTR Dem Alloc'!H213</f>
        <v>0</v>
      </c>
      <c r="H213" s="533">
        <f>'FR-16(7)(v)-3 PROD Comm Alloc'!H213</f>
        <v>0</v>
      </c>
      <c r="I213" s="534">
        <f>'FR-16(7)(v)-6 DISTR Cust Alloc'!H213</f>
        <v>0</v>
      </c>
      <c r="J213" s="345">
        <f t="shared" si="39"/>
        <v>0</v>
      </c>
      <c r="K213" s="345">
        <f t="shared" si="40"/>
        <v>0</v>
      </c>
    </row>
    <row r="214" spans="1:11" ht="13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3">
        <f>'FR-16(7)(v)-8 TOT CLASS Alloc'!H214</f>
        <v>1951431</v>
      </c>
      <c r="G214" s="542">
        <f>'FR-16(7)(v)-5 DISTR Dem Alloc'!H214</f>
        <v>1524152</v>
      </c>
      <c r="H214" s="533">
        <f>'FR-16(7)(v)-3 PROD Comm Alloc'!H214</f>
        <v>22794</v>
      </c>
      <c r="I214" s="534">
        <f>'FR-16(7)(v)-6 DISTR Cust Alloc'!H214</f>
        <v>404485</v>
      </c>
      <c r="J214" s="345">
        <f t="shared" si="39"/>
        <v>1951431</v>
      </c>
      <c r="K214" s="345">
        <f t="shared" si="40"/>
        <v>0</v>
      </c>
    </row>
    <row r="215" spans="1:11" ht="13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K215" si="41">SUM(F206:F214)</f>
        <v>17512409</v>
      </c>
      <c r="G215" s="543">
        <f t="shared" si="41"/>
        <v>13701379</v>
      </c>
      <c r="H215" s="535">
        <f t="shared" si="41"/>
        <v>175022</v>
      </c>
      <c r="I215" s="536">
        <f t="shared" si="41"/>
        <v>3636008</v>
      </c>
      <c r="J215" s="346">
        <f t="shared" si="41"/>
        <v>17512409</v>
      </c>
      <c r="K215" s="346">
        <f t="shared" si="41"/>
        <v>0</v>
      </c>
    </row>
    <row r="216" spans="1:11" ht="13">
      <c r="A216" s="331">
        <v>14</v>
      </c>
      <c r="D216" s="342"/>
      <c r="E216" s="195"/>
      <c r="G216" s="541"/>
      <c r="H216" s="531"/>
      <c r="I216" s="532"/>
    </row>
    <row r="217" spans="1:11" ht="13">
      <c r="A217" s="331">
        <v>15</v>
      </c>
      <c r="B217" s="330" t="s">
        <v>28</v>
      </c>
      <c r="D217" s="342"/>
      <c r="E217" s="195"/>
      <c r="G217" s="541"/>
      <c r="H217" s="531"/>
      <c r="I217" s="532"/>
    </row>
    <row r="218" spans="1:11" ht="13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3">
        <f>'FR-16(7)(v)-8 TOT CLASS Alloc'!H218</f>
        <v>0</v>
      </c>
      <c r="G218" s="542">
        <f>'FR-16(7)(v)-5 DISTR Dem Alloc'!H218</f>
        <v>0</v>
      </c>
      <c r="H218" s="533">
        <f>'FR-16(7)(v)-3 PROD Comm Alloc'!H218</f>
        <v>0</v>
      </c>
      <c r="I218" s="534">
        <f>'FR-16(7)(v)-6 DISTR Cust Alloc'!H218</f>
        <v>0</v>
      </c>
      <c r="J218" s="345">
        <f t="shared" ref="J218:J228" si="42">SUM(G218:I218)</f>
        <v>0</v>
      </c>
      <c r="K218" s="345">
        <f t="shared" ref="K218:K228" si="43">F218-J218</f>
        <v>0</v>
      </c>
    </row>
    <row r="219" spans="1:11" ht="13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3">
        <f>'FR-16(7)(v)-8 TOT CLASS Alloc'!H219</f>
        <v>0</v>
      </c>
      <c r="G219" s="542">
        <f>'FR-16(7)(v)-5 DISTR Dem Alloc'!H219</f>
        <v>0</v>
      </c>
      <c r="H219" s="533">
        <f>'FR-16(7)(v)-3 PROD Comm Alloc'!H219</f>
        <v>0</v>
      </c>
      <c r="I219" s="534">
        <f>'FR-16(7)(v)-6 DISTR Cust Alloc'!H219</f>
        <v>0</v>
      </c>
      <c r="J219" s="345">
        <f t="shared" si="42"/>
        <v>0</v>
      </c>
      <c r="K219" s="345">
        <f t="shared" si="43"/>
        <v>0</v>
      </c>
    </row>
    <row r="220" spans="1:11" ht="13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3">
        <f>'FR-16(7)(v)-8 TOT CLASS Alloc'!H220</f>
        <v>0</v>
      </c>
      <c r="G220" s="542">
        <f>'FR-16(7)(v)-5 DISTR Dem Alloc'!H220</f>
        <v>0</v>
      </c>
      <c r="H220" s="533">
        <f>'FR-16(7)(v)-3 PROD Comm Alloc'!H220</f>
        <v>0</v>
      </c>
      <c r="I220" s="534">
        <f>'FR-16(7)(v)-6 DISTR Cust Alloc'!H220</f>
        <v>0</v>
      </c>
      <c r="J220" s="345">
        <f t="shared" si="42"/>
        <v>0</v>
      </c>
      <c r="K220" s="345">
        <f t="shared" si="43"/>
        <v>0</v>
      </c>
    </row>
    <row r="221" spans="1:11" ht="13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3">
        <f>'FR-16(7)(v)-8 TOT CLASS Alloc'!H221</f>
        <v>0</v>
      </c>
      <c r="G221" s="542">
        <f>'FR-16(7)(v)-5 DISTR Dem Alloc'!H221</f>
        <v>0</v>
      </c>
      <c r="H221" s="533">
        <f>'FR-16(7)(v)-3 PROD Comm Alloc'!H221</f>
        <v>0</v>
      </c>
      <c r="I221" s="534">
        <f>'FR-16(7)(v)-6 DISTR Cust Alloc'!H221</f>
        <v>0</v>
      </c>
      <c r="J221" s="345">
        <f t="shared" si="42"/>
        <v>0</v>
      </c>
      <c r="K221" s="345">
        <f t="shared" si="43"/>
        <v>0</v>
      </c>
    </row>
    <row r="222" spans="1:11" ht="13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3">
        <f>'FR-16(7)(v)-8 TOT CLASS Alloc'!H222</f>
        <v>0</v>
      </c>
      <c r="G222" s="542">
        <f>'FR-16(7)(v)-5 DISTR Dem Alloc'!H222</f>
        <v>0</v>
      </c>
      <c r="H222" s="533">
        <f>'FR-16(7)(v)-3 PROD Comm Alloc'!H222</f>
        <v>0</v>
      </c>
      <c r="I222" s="534">
        <f>'FR-16(7)(v)-6 DISTR Cust Alloc'!H222</f>
        <v>0</v>
      </c>
      <c r="J222" s="345">
        <f t="shared" si="42"/>
        <v>0</v>
      </c>
      <c r="K222" s="345">
        <f t="shared" si="43"/>
        <v>0</v>
      </c>
    </row>
    <row r="223" spans="1:11" ht="13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3">
        <f>'FR-16(7)(v)-8 TOT CLASS Alloc'!H223</f>
        <v>0</v>
      </c>
      <c r="G223" s="542">
        <f>'FR-16(7)(v)-5 DISTR Dem Alloc'!H223</f>
        <v>0</v>
      </c>
      <c r="H223" s="533">
        <f>'FR-16(7)(v)-3 PROD Comm Alloc'!H223</f>
        <v>0</v>
      </c>
      <c r="I223" s="534">
        <f>'FR-16(7)(v)-6 DISTR Cust Alloc'!H223</f>
        <v>0</v>
      </c>
      <c r="J223" s="345">
        <f t="shared" si="42"/>
        <v>0</v>
      </c>
      <c r="K223" s="345">
        <f t="shared" si="43"/>
        <v>0</v>
      </c>
    </row>
    <row r="224" spans="1:11" ht="13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3">
        <f>'FR-16(7)(v)-8 TOT CLASS Alloc'!H224</f>
        <v>0</v>
      </c>
      <c r="G224" s="542">
        <f>'FR-16(7)(v)-5 DISTR Dem Alloc'!H224</f>
        <v>0</v>
      </c>
      <c r="H224" s="533">
        <f>'FR-16(7)(v)-3 PROD Comm Alloc'!H224</f>
        <v>0</v>
      </c>
      <c r="I224" s="534">
        <f>'FR-16(7)(v)-6 DISTR Cust Alloc'!H224</f>
        <v>0</v>
      </c>
      <c r="J224" s="345">
        <f t="shared" si="42"/>
        <v>0</v>
      </c>
      <c r="K224" s="345">
        <f t="shared" si="43"/>
        <v>0</v>
      </c>
    </row>
    <row r="225" spans="1:11" ht="13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3">
        <f>'FR-16(7)(v)-8 TOT CLASS Alloc'!H225</f>
        <v>0</v>
      </c>
      <c r="G225" s="542">
        <f>'FR-16(7)(v)-5 DISTR Dem Alloc'!H225</f>
        <v>0</v>
      </c>
      <c r="H225" s="533">
        <f>'FR-16(7)(v)-3 PROD Comm Alloc'!H225</f>
        <v>0</v>
      </c>
      <c r="I225" s="534">
        <f>'FR-16(7)(v)-6 DISTR Cust Alloc'!H225</f>
        <v>0</v>
      </c>
      <c r="J225" s="345">
        <f t="shared" si="42"/>
        <v>0</v>
      </c>
      <c r="K225" s="345">
        <f t="shared" si="43"/>
        <v>0</v>
      </c>
    </row>
    <row r="226" spans="1:11" ht="13">
      <c r="A226" s="331">
        <v>24</v>
      </c>
      <c r="C226" s="612" t="str">
        <f>'FR-16(7)(v)-1 Functional'!C226</f>
        <v>RATE CASE EXPENSE AMORT</v>
      </c>
      <c r="D226" s="342" t="str">
        <f>'FR-16(7)(v)-1 Functional'!D226</f>
        <v>AG39</v>
      </c>
      <c r="F226" s="473">
        <f>'FR-16(7)(v)-8 TOT CLASS Alloc'!H226</f>
        <v>0</v>
      </c>
      <c r="G226" s="542">
        <f>'FR-16(7)(v)-5 DISTR Dem Alloc'!H226</f>
        <v>0</v>
      </c>
      <c r="H226" s="533">
        <f>'FR-16(7)(v)-3 PROD Comm Alloc'!H226</f>
        <v>0</v>
      </c>
      <c r="I226" s="534">
        <f>'FR-16(7)(v)-6 DISTR Cust Alloc'!H226</f>
        <v>0</v>
      </c>
      <c r="J226" s="345">
        <f>SUM(G226:I226)</f>
        <v>0</v>
      </c>
      <c r="K226" s="345">
        <f>F226-J226</f>
        <v>0</v>
      </c>
    </row>
    <row r="227" spans="1:11" ht="13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3">
        <f>'FR-16(7)(v)-8 TOT CLASS Alloc'!H227</f>
        <v>0</v>
      </c>
      <c r="G227" s="542">
        <f>'FR-16(7)(v)-5 DISTR Dem Alloc'!H227</f>
        <v>0</v>
      </c>
      <c r="H227" s="533">
        <f>'FR-16(7)(v)-3 PROD Comm Alloc'!H227</f>
        <v>0</v>
      </c>
      <c r="I227" s="534">
        <f>'FR-16(7)(v)-6 DISTR Cust Alloc'!H227</f>
        <v>0</v>
      </c>
      <c r="J227" s="345">
        <f>SUM(G227:I227)</f>
        <v>0</v>
      </c>
      <c r="K227" s="345">
        <f>F227-J227</f>
        <v>0</v>
      </c>
    </row>
    <row r="228" spans="1:11" ht="13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3">
        <f>'FR-16(7)(v)-8 TOT CLASS Alloc'!H228</f>
        <v>0</v>
      </c>
      <c r="G228" s="542">
        <f>'FR-16(7)(v)-5 DISTR Dem Alloc'!H228</f>
        <v>0</v>
      </c>
      <c r="H228" s="533">
        <f>'FR-16(7)(v)-3 PROD Comm Alloc'!H228</f>
        <v>0</v>
      </c>
      <c r="I228" s="534">
        <f>'FR-16(7)(v)-6 DISTR Cust Alloc'!H228</f>
        <v>0</v>
      </c>
      <c r="J228" s="345">
        <f t="shared" si="42"/>
        <v>0</v>
      </c>
      <c r="K228" s="345">
        <f t="shared" si="43"/>
        <v>0</v>
      </c>
    </row>
    <row r="229" spans="1:11" ht="13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K229" si="44">SUM(F217:F228)</f>
        <v>0</v>
      </c>
      <c r="G229" s="543">
        <f t="shared" si="44"/>
        <v>0</v>
      </c>
      <c r="H229" s="535">
        <f t="shared" si="44"/>
        <v>0</v>
      </c>
      <c r="I229" s="536">
        <f t="shared" si="44"/>
        <v>0</v>
      </c>
      <c r="J229" s="346">
        <f t="shared" si="44"/>
        <v>0</v>
      </c>
      <c r="K229" s="346">
        <f t="shared" si="44"/>
        <v>0</v>
      </c>
    </row>
    <row r="230" spans="1:11" ht="13">
      <c r="A230" s="331">
        <v>28</v>
      </c>
      <c r="D230" s="342"/>
      <c r="E230" s="195"/>
      <c r="G230" s="541"/>
      <c r="H230" s="531"/>
      <c r="I230" s="532"/>
    </row>
    <row r="231" spans="1:11" ht="13">
      <c r="A231" s="331">
        <v>29</v>
      </c>
      <c r="B231" s="351" t="s">
        <v>817</v>
      </c>
      <c r="C231" s="351"/>
      <c r="D231" s="342"/>
      <c r="E231" s="195"/>
      <c r="G231" s="541"/>
      <c r="H231" s="531"/>
      <c r="I231" s="532"/>
    </row>
    <row r="232" spans="1:11" ht="13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3">
        <f>'FR-16(7)(v)-8 TOT CLASS Alloc'!H232</f>
        <v>410325</v>
      </c>
      <c r="G232" s="542">
        <f>'FR-16(7)(v)-5 DISTR Dem Alloc'!H232</f>
        <v>324276</v>
      </c>
      <c r="H232" s="533">
        <f>'FR-16(7)(v)-3 PROD Comm Alloc'!H232</f>
        <v>0</v>
      </c>
      <c r="I232" s="534">
        <f>'FR-16(7)(v)-6 DISTR Cust Alloc'!H232</f>
        <v>86049</v>
      </c>
      <c r="J232" s="345">
        <f>SUM(G232:I232)</f>
        <v>410325</v>
      </c>
      <c r="K232" s="345">
        <f>F232-J232</f>
        <v>0</v>
      </c>
    </row>
    <row r="233" spans="1:11" ht="13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3">
        <f>'FR-16(7)(v)-8 TOT CLASS Alloc'!H233</f>
        <v>0</v>
      </c>
      <c r="G233" s="542">
        <f>'FR-16(7)(v)-5 DISTR Dem Alloc'!H233</f>
        <v>0</v>
      </c>
      <c r="H233" s="533">
        <f>'FR-16(7)(v)-3 PROD Comm Alloc'!H233</f>
        <v>0</v>
      </c>
      <c r="I233" s="534">
        <f>'FR-16(7)(v)-6 DISTR Cust Alloc'!H233</f>
        <v>0</v>
      </c>
      <c r="J233" s="345">
        <f>SUM(G233:I233)</f>
        <v>0</v>
      </c>
      <c r="K233" s="345">
        <f>F233-J233</f>
        <v>0</v>
      </c>
    </row>
    <row r="234" spans="1:11" ht="13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3">
        <f>'FR-16(7)(v)-8 TOT CLASS Alloc'!H234</f>
        <v>0</v>
      </c>
      <c r="G234" s="542">
        <f>'FR-16(7)(v)-5 DISTR Dem Alloc'!H234</f>
        <v>0</v>
      </c>
      <c r="H234" s="533">
        <f>'FR-16(7)(v)-3 PROD Comm Alloc'!H234</f>
        <v>0</v>
      </c>
      <c r="I234" s="534">
        <f>'FR-16(7)(v)-6 DISTR Cust Alloc'!H234</f>
        <v>0</v>
      </c>
      <c r="J234" s="345">
        <f>SUM(G234:I234)</f>
        <v>0</v>
      </c>
      <c r="K234" s="345">
        <f>F234-J234</f>
        <v>0</v>
      </c>
    </row>
    <row r="235" spans="1:11" ht="13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3">
        <f>'FR-16(7)(v)-8 TOT CLASS Alloc'!H235</f>
        <v>7301874</v>
      </c>
      <c r="G235" s="542">
        <f>'FR-16(7)(v)-5 DISTR Dem Alloc'!H235</f>
        <v>5703081</v>
      </c>
      <c r="H235" s="533">
        <f>'FR-16(7)(v)-3 PROD Comm Alloc'!H235</f>
        <v>85290</v>
      </c>
      <c r="I235" s="534">
        <f>'FR-16(7)(v)-6 DISTR Cust Alloc'!H235</f>
        <v>1513503</v>
      </c>
      <c r="J235" s="345">
        <f>SUM(G235:I235)</f>
        <v>7301874</v>
      </c>
      <c r="K235" s="345">
        <f>F235-J235</f>
        <v>0</v>
      </c>
    </row>
    <row r="236" spans="1:11" ht="13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K236" si="45">SUM(F231:F235)</f>
        <v>7712199</v>
      </c>
      <c r="G236" s="543">
        <f t="shared" si="45"/>
        <v>6027357</v>
      </c>
      <c r="H236" s="535">
        <f t="shared" si="45"/>
        <v>85290</v>
      </c>
      <c r="I236" s="536">
        <f t="shared" si="45"/>
        <v>1599552</v>
      </c>
      <c r="J236" s="346">
        <f t="shared" si="45"/>
        <v>7712199</v>
      </c>
      <c r="K236" s="346">
        <f t="shared" si="45"/>
        <v>0</v>
      </c>
    </row>
    <row r="237" spans="1:11" ht="13">
      <c r="A237" s="331">
        <v>35</v>
      </c>
      <c r="D237" s="342"/>
      <c r="E237" s="195"/>
      <c r="G237" s="541"/>
      <c r="H237" s="531"/>
      <c r="I237" s="532"/>
    </row>
    <row r="238" spans="1:11" ht="13">
      <c r="A238" s="331">
        <v>36</v>
      </c>
      <c r="B238" s="330" t="s">
        <v>821</v>
      </c>
      <c r="D238" s="342"/>
      <c r="E238" s="195"/>
      <c r="F238" s="345">
        <f t="shared" ref="F238:K238" si="46">F236+F229+F215</f>
        <v>25224608</v>
      </c>
      <c r="G238" s="544">
        <f t="shared" si="46"/>
        <v>19728736</v>
      </c>
      <c r="H238" s="537">
        <f t="shared" si="46"/>
        <v>260312</v>
      </c>
      <c r="I238" s="538">
        <f t="shared" si="46"/>
        <v>5235560</v>
      </c>
      <c r="J238" s="345">
        <f t="shared" si="46"/>
        <v>25224608</v>
      </c>
      <c r="K238" s="345">
        <f t="shared" si="46"/>
        <v>0</v>
      </c>
    </row>
    <row r="239" spans="1:11" ht="13">
      <c r="B239" s="341"/>
      <c r="C239" s="195"/>
      <c r="D239" s="342"/>
      <c r="E239" s="195"/>
      <c r="F239" s="195"/>
      <c r="G239" s="195"/>
      <c r="H239" s="195"/>
      <c r="I239" s="195"/>
      <c r="J239" s="195"/>
      <c r="K239" s="195"/>
    </row>
    <row r="240" spans="1:11" ht="13">
      <c r="A240" s="341" t="str">
        <f>co_name</f>
        <v>DUKE ENERGY KENTUCKY, INC.</v>
      </c>
      <c r="C240" s="195"/>
      <c r="D240" s="342"/>
      <c r="E240" s="195"/>
      <c r="F240" s="195"/>
      <c r="G240" s="195"/>
      <c r="H240" s="195"/>
      <c r="I240" s="195"/>
      <c r="J240" s="195" t="str">
        <f>$J$1</f>
        <v>FR-16(7)(v)-10</v>
      </c>
      <c r="K240" s="195"/>
    </row>
    <row r="241" spans="1:11" ht="13">
      <c r="A241" s="341" t="str">
        <f>$A$2</f>
        <v>GS CLASSIFIED - GAS COST OF SERVICE</v>
      </c>
      <c r="C241" s="195"/>
      <c r="D241" s="342"/>
      <c r="E241" s="195"/>
      <c r="F241" s="195"/>
      <c r="G241" s="195"/>
      <c r="H241" s="195"/>
      <c r="I241" s="195"/>
      <c r="J241" s="195" t="str">
        <f>$J$2</f>
        <v>WITNESS RESPONSIBLE:</v>
      </c>
      <c r="K241" s="195"/>
    </row>
    <row r="242" spans="1:11" ht="13">
      <c r="A242" s="341" t="str">
        <f>case_name</f>
        <v>CASE NO: 2021-00190</v>
      </c>
      <c r="C242" s="195"/>
      <c r="D242" s="342"/>
      <c r="E242" s="195"/>
      <c r="F242" s="195"/>
      <c r="G242" s="195"/>
      <c r="H242" s="195"/>
      <c r="I242" s="195"/>
      <c r="J242" s="195" t="str">
        <f>Witness</f>
        <v>JAMES E. ZIOLKOWSKI</v>
      </c>
      <c r="K242" s="195"/>
    </row>
    <row r="243" spans="1:11" ht="13">
      <c r="A243" s="341" t="str">
        <f>data_filing</f>
        <v>DATA: 12 MONTH FORECASTED PERIOD</v>
      </c>
      <c r="C243" s="195"/>
      <c r="D243" s="342"/>
      <c r="E243" s="195"/>
      <c r="F243" s="195"/>
      <c r="G243" s="195"/>
      <c r="H243" s="195"/>
      <c r="I243" s="195"/>
      <c r="J243" s="195" t="str">
        <f>"PAGE "&amp;Pages2-9&amp;" OF "&amp;Pages2</f>
        <v>PAGE 6 OF 15</v>
      </c>
      <c r="K243" s="195"/>
    </row>
    <row r="244" spans="1:11" ht="13">
      <c r="A244" s="341" t="str">
        <f>type</f>
        <v xml:space="preserve">TYPE OF FILING: "X" ORIGINAL   UPDATED    REVISED  </v>
      </c>
      <c r="C244" s="195"/>
      <c r="D244" s="342"/>
      <c r="E244" s="195"/>
      <c r="F244" s="195"/>
      <c r="G244" s="195"/>
      <c r="H244" s="195"/>
      <c r="I244" s="195"/>
      <c r="J244" s="195"/>
      <c r="K244" s="195"/>
    </row>
    <row r="245" spans="1:11" ht="13">
      <c r="B245" s="341"/>
      <c r="C245" s="195"/>
      <c r="D245" s="342"/>
      <c r="E245" s="195"/>
      <c r="F245" s="195"/>
      <c r="G245" s="195"/>
      <c r="H245" s="195"/>
      <c r="I245" s="195"/>
      <c r="J245" s="195"/>
      <c r="K245" s="195"/>
    </row>
    <row r="246" spans="1:11" ht="13">
      <c r="B246" s="341"/>
      <c r="C246" s="195"/>
      <c r="D246" s="342"/>
      <c r="E246" s="195"/>
      <c r="F246" s="195"/>
      <c r="G246" s="195"/>
      <c r="H246" s="195"/>
      <c r="I246" s="195"/>
      <c r="J246" s="195"/>
      <c r="K246" s="195"/>
    </row>
    <row r="247" spans="1:11" ht="13">
      <c r="A247" s="342" t="s">
        <v>907</v>
      </c>
      <c r="B247" s="195"/>
      <c r="C247" s="195"/>
      <c r="D247" s="342"/>
      <c r="E247" s="195"/>
      <c r="F247" s="342" t="s">
        <v>229</v>
      </c>
      <c r="G247" s="539" t="s">
        <v>995</v>
      </c>
      <c r="H247" s="527"/>
      <c r="I247" s="528"/>
      <c r="J247" s="342" t="s">
        <v>229</v>
      </c>
      <c r="K247" s="342" t="s">
        <v>342</v>
      </c>
    </row>
    <row r="248" spans="1:11" ht="13">
      <c r="A248" s="344" t="s">
        <v>908</v>
      </c>
      <c r="B248" s="343" t="s">
        <v>947</v>
      </c>
      <c r="C248" s="343"/>
      <c r="D248" s="344" t="s">
        <v>337</v>
      </c>
      <c r="E248" s="343"/>
      <c r="F248" s="344" t="str">
        <f>$F$9</f>
        <v>GS</v>
      </c>
      <c r="G248" s="540" t="s">
        <v>840</v>
      </c>
      <c r="H248" s="529" t="s">
        <v>841</v>
      </c>
      <c r="I248" s="530" t="s">
        <v>842</v>
      </c>
      <c r="J248" s="344" t="s">
        <v>341</v>
      </c>
      <c r="K248" s="344" t="s">
        <v>340</v>
      </c>
    </row>
    <row r="249" spans="1:11" ht="13">
      <c r="C249" s="572" t="s">
        <v>555</v>
      </c>
      <c r="D249" s="342"/>
      <c r="E249" s="195"/>
      <c r="G249" s="793">
        <f>$G$10</f>
        <v>3</v>
      </c>
      <c r="H249" s="794">
        <f>$H$10</f>
        <v>4</v>
      </c>
      <c r="I249" s="795">
        <f>$I$10</f>
        <v>5</v>
      </c>
    </row>
    <row r="250" spans="1:11" ht="13">
      <c r="A250" s="331">
        <v>1</v>
      </c>
      <c r="B250" s="330" t="s">
        <v>819</v>
      </c>
      <c r="D250" s="342"/>
      <c r="E250" s="195"/>
      <c r="G250" s="545"/>
      <c r="H250" s="546"/>
      <c r="I250" s="547"/>
    </row>
    <row r="251" spans="1:11" ht="13">
      <c r="A251" s="331">
        <v>2</v>
      </c>
      <c r="B251" s="330" t="s">
        <v>29</v>
      </c>
      <c r="D251" s="342"/>
      <c r="E251" s="195"/>
      <c r="G251" s="541"/>
      <c r="H251" s="531"/>
      <c r="I251" s="532"/>
    </row>
    <row r="252" spans="1:11" ht="13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3">
        <f>'FR-16(7)(v)-8 TOT CLASS Alloc'!H252</f>
        <v>0</v>
      </c>
      <c r="G252" s="542">
        <f>'FR-16(7)(v)-5 DISTR Dem Alloc'!H252</f>
        <v>0</v>
      </c>
      <c r="H252" s="533">
        <f>'FR-16(7)(v)-3 PROD Comm Alloc'!H252</f>
        <v>0</v>
      </c>
      <c r="I252" s="534">
        <f>'FR-16(7)(v)-6 DISTR Cust Alloc'!H252</f>
        <v>0</v>
      </c>
      <c r="J252" s="345">
        <f t="shared" ref="J252:J274" si="47">SUM(G252:I252)</f>
        <v>0</v>
      </c>
      <c r="K252" s="345">
        <f t="shared" ref="K252:K274" si="48">F252-J252</f>
        <v>0</v>
      </c>
    </row>
    <row r="253" spans="1:11" ht="13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3">
        <f>'FR-16(7)(v)-8 TOT CLASS Alloc'!H253</f>
        <v>0</v>
      </c>
      <c r="G253" s="542">
        <f>'FR-16(7)(v)-5 DISTR Dem Alloc'!H253</f>
        <v>0</v>
      </c>
      <c r="H253" s="533">
        <f>'FR-16(7)(v)-3 PROD Comm Alloc'!H253</f>
        <v>0</v>
      </c>
      <c r="I253" s="534">
        <f>'FR-16(7)(v)-6 DISTR Cust Alloc'!H253</f>
        <v>0</v>
      </c>
      <c r="J253" s="345">
        <f t="shared" si="47"/>
        <v>0</v>
      </c>
      <c r="K253" s="345">
        <f t="shared" si="48"/>
        <v>0</v>
      </c>
    </row>
    <row r="254" spans="1:11" ht="13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3">
        <f>'FR-16(7)(v)-8 TOT CLASS Alloc'!H254</f>
        <v>0</v>
      </c>
      <c r="G254" s="542">
        <f>'FR-16(7)(v)-5 DISTR Dem Alloc'!H254</f>
        <v>0</v>
      </c>
      <c r="H254" s="533">
        <f>'FR-16(7)(v)-3 PROD Comm Alloc'!H254</f>
        <v>0</v>
      </c>
      <c r="I254" s="534">
        <f>'FR-16(7)(v)-6 DISTR Cust Alloc'!H254</f>
        <v>0</v>
      </c>
      <c r="J254" s="345">
        <f t="shared" si="47"/>
        <v>0</v>
      </c>
      <c r="K254" s="345">
        <f t="shared" si="48"/>
        <v>0</v>
      </c>
    </row>
    <row r="255" spans="1:11" ht="13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3">
        <f>'FR-16(7)(v)-8 TOT CLASS Alloc'!H255</f>
        <v>0</v>
      </c>
      <c r="G255" s="542">
        <f>'FR-16(7)(v)-5 DISTR Dem Alloc'!H255</f>
        <v>0</v>
      </c>
      <c r="H255" s="533">
        <f>'FR-16(7)(v)-3 PROD Comm Alloc'!H255</f>
        <v>0</v>
      </c>
      <c r="I255" s="534">
        <f>'FR-16(7)(v)-6 DISTR Cust Alloc'!H255</f>
        <v>0</v>
      </c>
      <c r="J255" s="345">
        <f t="shared" si="47"/>
        <v>0</v>
      </c>
      <c r="K255" s="345">
        <f t="shared" si="48"/>
        <v>0</v>
      </c>
    </row>
    <row r="256" spans="1:11" ht="13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3">
        <f>'FR-16(7)(v)-8 TOT CLASS Alloc'!H256</f>
        <v>0</v>
      </c>
      <c r="G256" s="542">
        <f>'FR-16(7)(v)-5 DISTR Dem Alloc'!H256</f>
        <v>0</v>
      </c>
      <c r="H256" s="533">
        <f>'FR-16(7)(v)-3 PROD Comm Alloc'!H256</f>
        <v>0</v>
      </c>
      <c r="I256" s="534">
        <f>'FR-16(7)(v)-6 DISTR Cust Alloc'!H256</f>
        <v>0</v>
      </c>
      <c r="J256" s="345">
        <f t="shared" si="47"/>
        <v>0</v>
      </c>
      <c r="K256" s="345">
        <f t="shared" si="48"/>
        <v>0</v>
      </c>
    </row>
    <row r="257" spans="1:11" ht="13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3">
        <f>'FR-16(7)(v)-8 TOT CLASS Alloc'!H257</f>
        <v>0</v>
      </c>
      <c r="G257" s="542">
        <f>'FR-16(7)(v)-5 DISTR Dem Alloc'!H257</f>
        <v>0</v>
      </c>
      <c r="H257" s="533">
        <f>'FR-16(7)(v)-3 PROD Comm Alloc'!H257</f>
        <v>0</v>
      </c>
      <c r="I257" s="534">
        <f>'FR-16(7)(v)-6 DISTR Cust Alloc'!H257</f>
        <v>0</v>
      </c>
      <c r="J257" s="345">
        <f t="shared" si="47"/>
        <v>0</v>
      </c>
      <c r="K257" s="345">
        <f t="shared" si="48"/>
        <v>0</v>
      </c>
    </row>
    <row r="258" spans="1:11" ht="13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3">
        <f>'FR-16(7)(v)-8 TOT CLASS Alloc'!H258</f>
        <v>0</v>
      </c>
      <c r="G258" s="542">
        <f>'FR-16(7)(v)-5 DISTR Dem Alloc'!H258</f>
        <v>0</v>
      </c>
      <c r="H258" s="533">
        <f>'FR-16(7)(v)-3 PROD Comm Alloc'!H258</f>
        <v>0</v>
      </c>
      <c r="I258" s="534">
        <f>'FR-16(7)(v)-6 DISTR Cust Alloc'!H258</f>
        <v>0</v>
      </c>
      <c r="J258" s="345">
        <f t="shared" si="47"/>
        <v>0</v>
      </c>
      <c r="K258" s="345">
        <f t="shared" si="48"/>
        <v>0</v>
      </c>
    </row>
    <row r="259" spans="1:11" ht="13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3">
        <f>'FR-16(7)(v)-8 TOT CLASS Alloc'!H259</f>
        <v>0</v>
      </c>
      <c r="G259" s="542">
        <f>'FR-16(7)(v)-5 DISTR Dem Alloc'!H259</f>
        <v>0</v>
      </c>
      <c r="H259" s="533">
        <f>'FR-16(7)(v)-3 PROD Comm Alloc'!H259</f>
        <v>0</v>
      </c>
      <c r="I259" s="534">
        <f>'FR-16(7)(v)-6 DISTR Cust Alloc'!H259</f>
        <v>0</v>
      </c>
      <c r="J259" s="345">
        <f t="shared" si="47"/>
        <v>0</v>
      </c>
      <c r="K259" s="345">
        <f t="shared" si="48"/>
        <v>0</v>
      </c>
    </row>
    <row r="260" spans="1:11" ht="13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3">
        <f>'FR-16(7)(v)-8 TOT CLASS Alloc'!H260</f>
        <v>0</v>
      </c>
      <c r="G260" s="542">
        <f>'FR-16(7)(v)-5 DISTR Dem Alloc'!H260</f>
        <v>0</v>
      </c>
      <c r="H260" s="533">
        <f>'FR-16(7)(v)-3 PROD Comm Alloc'!H260</f>
        <v>0</v>
      </c>
      <c r="I260" s="534">
        <f>'FR-16(7)(v)-6 DISTR Cust Alloc'!H260</f>
        <v>0</v>
      </c>
      <c r="J260" s="345">
        <f t="shared" si="47"/>
        <v>0</v>
      </c>
      <c r="K260" s="345">
        <f t="shared" si="48"/>
        <v>0</v>
      </c>
    </row>
    <row r="261" spans="1:11" ht="13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3">
        <f>'FR-16(7)(v)-8 TOT CLASS Alloc'!H261</f>
        <v>0</v>
      </c>
      <c r="G261" s="542">
        <f>'FR-16(7)(v)-5 DISTR Dem Alloc'!H261</f>
        <v>0</v>
      </c>
      <c r="H261" s="533">
        <f>'FR-16(7)(v)-3 PROD Comm Alloc'!H261</f>
        <v>0</v>
      </c>
      <c r="I261" s="534">
        <f>'FR-16(7)(v)-6 DISTR Cust Alloc'!H261</f>
        <v>0</v>
      </c>
      <c r="J261" s="345">
        <f t="shared" si="47"/>
        <v>0</v>
      </c>
      <c r="K261" s="345">
        <f t="shared" si="48"/>
        <v>0</v>
      </c>
    </row>
    <row r="262" spans="1:11" ht="13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3">
        <f>'FR-16(7)(v)-8 TOT CLASS Alloc'!H262</f>
        <v>0</v>
      </c>
      <c r="G262" s="542">
        <f>'FR-16(7)(v)-5 DISTR Dem Alloc'!H262</f>
        <v>0</v>
      </c>
      <c r="H262" s="533">
        <f>'FR-16(7)(v)-3 PROD Comm Alloc'!H262</f>
        <v>0</v>
      </c>
      <c r="I262" s="534">
        <f>'FR-16(7)(v)-6 DISTR Cust Alloc'!H262</f>
        <v>0</v>
      </c>
      <c r="J262" s="345">
        <f t="shared" si="47"/>
        <v>0</v>
      </c>
      <c r="K262" s="345">
        <f t="shared" si="48"/>
        <v>0</v>
      </c>
    </row>
    <row r="263" spans="1:11" ht="13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3">
        <f>'FR-16(7)(v)-8 TOT CLASS Alloc'!H263</f>
        <v>0</v>
      </c>
      <c r="G263" s="542">
        <f>'FR-16(7)(v)-5 DISTR Dem Alloc'!H263</f>
        <v>0</v>
      </c>
      <c r="H263" s="533">
        <f>'FR-16(7)(v)-3 PROD Comm Alloc'!H263</f>
        <v>0</v>
      </c>
      <c r="I263" s="534">
        <f>'FR-16(7)(v)-6 DISTR Cust Alloc'!H263</f>
        <v>0</v>
      </c>
      <c r="J263" s="345">
        <f t="shared" si="47"/>
        <v>0</v>
      </c>
      <c r="K263" s="345">
        <f t="shared" si="48"/>
        <v>0</v>
      </c>
    </row>
    <row r="264" spans="1:11" ht="13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3">
        <f>'FR-16(7)(v)-8 TOT CLASS Alloc'!H264</f>
        <v>0</v>
      </c>
      <c r="G264" s="542">
        <f>'FR-16(7)(v)-5 DISTR Dem Alloc'!H264</f>
        <v>0</v>
      </c>
      <c r="H264" s="533">
        <f>'FR-16(7)(v)-3 PROD Comm Alloc'!H264</f>
        <v>0</v>
      </c>
      <c r="I264" s="534">
        <f>'FR-16(7)(v)-6 DISTR Cust Alloc'!H264</f>
        <v>0</v>
      </c>
      <c r="J264" s="345">
        <f t="shared" si="47"/>
        <v>0</v>
      </c>
      <c r="K264" s="345">
        <f t="shared" si="48"/>
        <v>0</v>
      </c>
    </row>
    <row r="265" spans="1:11" ht="13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3">
        <f>'FR-16(7)(v)-8 TOT CLASS Alloc'!H265</f>
        <v>0</v>
      </c>
      <c r="G265" s="542">
        <f>'FR-16(7)(v)-5 DISTR Dem Alloc'!H265</f>
        <v>0</v>
      </c>
      <c r="H265" s="533">
        <f>'FR-16(7)(v)-3 PROD Comm Alloc'!H265</f>
        <v>0</v>
      </c>
      <c r="I265" s="534">
        <f>'FR-16(7)(v)-6 DISTR Cust Alloc'!H265</f>
        <v>0</v>
      </c>
      <c r="J265" s="345">
        <f t="shared" si="47"/>
        <v>0</v>
      </c>
      <c r="K265" s="345">
        <f t="shared" si="48"/>
        <v>0</v>
      </c>
    </row>
    <row r="266" spans="1:11" ht="13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3">
        <f>'FR-16(7)(v)-8 TOT CLASS Alloc'!H266</f>
        <v>0</v>
      </c>
      <c r="G266" s="542">
        <f>'FR-16(7)(v)-5 DISTR Dem Alloc'!H266</f>
        <v>0</v>
      </c>
      <c r="H266" s="533">
        <f>'FR-16(7)(v)-3 PROD Comm Alloc'!H266</f>
        <v>0</v>
      </c>
      <c r="I266" s="534">
        <f>'FR-16(7)(v)-6 DISTR Cust Alloc'!H266</f>
        <v>0</v>
      </c>
      <c r="J266" s="345">
        <f t="shared" si="47"/>
        <v>0</v>
      </c>
      <c r="K266" s="345">
        <f t="shared" si="48"/>
        <v>0</v>
      </c>
    </row>
    <row r="267" spans="1:11" ht="13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3">
        <f>'FR-16(7)(v)-8 TOT CLASS Alloc'!H267</f>
        <v>0</v>
      </c>
      <c r="G267" s="542">
        <f>'FR-16(7)(v)-5 DISTR Dem Alloc'!H267</f>
        <v>0</v>
      </c>
      <c r="H267" s="533">
        <f>'FR-16(7)(v)-3 PROD Comm Alloc'!H267</f>
        <v>0</v>
      </c>
      <c r="I267" s="534">
        <f>'FR-16(7)(v)-6 DISTR Cust Alloc'!H267</f>
        <v>0</v>
      </c>
      <c r="J267" s="345">
        <f t="shared" si="47"/>
        <v>0</v>
      </c>
      <c r="K267" s="345">
        <f t="shared" si="48"/>
        <v>0</v>
      </c>
    </row>
    <row r="268" spans="1:11" ht="13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3">
        <f>'FR-16(7)(v)-8 TOT CLASS Alloc'!H268</f>
        <v>0</v>
      </c>
      <c r="G268" s="542">
        <f>'FR-16(7)(v)-5 DISTR Dem Alloc'!H268</f>
        <v>0</v>
      </c>
      <c r="H268" s="533">
        <f>'FR-16(7)(v)-3 PROD Comm Alloc'!H268</f>
        <v>0</v>
      </c>
      <c r="I268" s="534">
        <f>'FR-16(7)(v)-6 DISTR Cust Alloc'!H268</f>
        <v>0</v>
      </c>
      <c r="J268" s="345">
        <f t="shared" si="47"/>
        <v>0</v>
      </c>
      <c r="K268" s="345">
        <f t="shared" si="48"/>
        <v>0</v>
      </c>
    </row>
    <row r="269" spans="1:11" ht="13">
      <c r="A269" s="331">
        <v>20</v>
      </c>
      <c r="C269" s="483" t="str">
        <f>'FR-16(7)(v)-1 Functional'!C269</f>
        <v>401K INCENTIVE PLAN</v>
      </c>
      <c r="D269" s="342" t="str">
        <f>'FR-16(7)(v)-1 Functional'!D269</f>
        <v>AG39</v>
      </c>
      <c r="F269" s="473">
        <f>'FR-16(7)(v)-8 TOT CLASS Alloc'!H269</f>
        <v>0</v>
      </c>
      <c r="G269" s="542">
        <f>'FR-16(7)(v)-5 DISTR Dem Alloc'!H269</f>
        <v>0</v>
      </c>
      <c r="H269" s="533">
        <f>'FR-16(7)(v)-3 PROD Comm Alloc'!H269</f>
        <v>0</v>
      </c>
      <c r="I269" s="534">
        <f>'FR-16(7)(v)-6 DISTR Cust Alloc'!H269</f>
        <v>0</v>
      </c>
      <c r="J269" s="345">
        <f t="shared" si="47"/>
        <v>0</v>
      </c>
      <c r="K269" s="345">
        <f t="shared" si="48"/>
        <v>0</v>
      </c>
    </row>
    <row r="270" spans="1:11" ht="13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3">
        <f>'FR-16(7)(v)-8 TOT CLASS Alloc'!H270</f>
        <v>0</v>
      </c>
      <c r="G270" s="542">
        <f>'FR-16(7)(v)-5 DISTR Dem Alloc'!H270</f>
        <v>0</v>
      </c>
      <c r="H270" s="533">
        <f>'FR-16(7)(v)-3 PROD Comm Alloc'!H270</f>
        <v>0</v>
      </c>
      <c r="I270" s="534">
        <f>'FR-16(7)(v)-6 DISTR Cust Alloc'!H270</f>
        <v>0</v>
      </c>
      <c r="J270" s="345">
        <f t="shared" si="47"/>
        <v>0</v>
      </c>
      <c r="K270" s="345">
        <f t="shared" si="48"/>
        <v>0</v>
      </c>
    </row>
    <row r="271" spans="1:11" ht="13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3">
        <f>'FR-16(7)(v)-8 TOT CLASS Alloc'!H271</f>
        <v>0</v>
      </c>
      <c r="G271" s="542">
        <f>'FR-16(7)(v)-5 DISTR Dem Alloc'!H271</f>
        <v>0</v>
      </c>
      <c r="H271" s="533">
        <f>'FR-16(7)(v)-3 PROD Comm Alloc'!H271</f>
        <v>0</v>
      </c>
      <c r="I271" s="534">
        <f>'FR-16(7)(v)-6 DISTR Cust Alloc'!H271</f>
        <v>0</v>
      </c>
      <c r="J271" s="345">
        <f t="shared" si="47"/>
        <v>0</v>
      </c>
      <c r="K271" s="345">
        <f t="shared" si="48"/>
        <v>0</v>
      </c>
    </row>
    <row r="272" spans="1:11" ht="13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3">
        <f>'FR-16(7)(v)-8 TOT CLASS Alloc'!H272</f>
        <v>0</v>
      </c>
      <c r="G272" s="542">
        <f>'FR-16(7)(v)-5 DISTR Dem Alloc'!H272</f>
        <v>0</v>
      </c>
      <c r="H272" s="533">
        <f>'FR-16(7)(v)-3 PROD Comm Alloc'!H272</f>
        <v>0</v>
      </c>
      <c r="I272" s="534">
        <f>'FR-16(7)(v)-6 DISTR Cust Alloc'!H272</f>
        <v>0</v>
      </c>
      <c r="J272" s="345">
        <f t="shared" si="47"/>
        <v>0</v>
      </c>
      <c r="K272" s="345">
        <f t="shared" si="48"/>
        <v>0</v>
      </c>
    </row>
    <row r="273" spans="1:11" ht="13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3">
        <f>'FR-16(7)(v)-8 TOT CLASS Alloc'!H273</f>
        <v>0</v>
      </c>
      <c r="G273" s="542">
        <f>'FR-16(7)(v)-5 DISTR Dem Alloc'!H273</f>
        <v>0</v>
      </c>
      <c r="H273" s="533">
        <f>'FR-16(7)(v)-3 PROD Comm Alloc'!H273</f>
        <v>0</v>
      </c>
      <c r="I273" s="534">
        <f>'FR-16(7)(v)-6 DISTR Cust Alloc'!H273</f>
        <v>0</v>
      </c>
      <c r="J273" s="345">
        <f t="shared" si="47"/>
        <v>0</v>
      </c>
      <c r="K273" s="345">
        <f t="shared" si="48"/>
        <v>0</v>
      </c>
    </row>
    <row r="274" spans="1:11" ht="13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3">
        <f>'FR-16(7)(v)-8 TOT CLASS Alloc'!H274</f>
        <v>121811</v>
      </c>
      <c r="G274" s="542">
        <f>'FR-16(7)(v)-5 DISTR Dem Alloc'!H274</f>
        <v>73321</v>
      </c>
      <c r="H274" s="533">
        <f>'FR-16(7)(v)-3 PROD Comm Alloc'!H274</f>
        <v>28936</v>
      </c>
      <c r="I274" s="534">
        <f>'FR-16(7)(v)-6 DISTR Cust Alloc'!H274</f>
        <v>19554</v>
      </c>
      <c r="J274" s="345">
        <f t="shared" si="47"/>
        <v>121811</v>
      </c>
      <c r="K274" s="345">
        <f t="shared" si="48"/>
        <v>0</v>
      </c>
    </row>
    <row r="275" spans="1:11" ht="13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K275" si="49">SUM(F251:F274)</f>
        <v>121811</v>
      </c>
      <c r="G275" s="543">
        <f t="shared" si="49"/>
        <v>73321</v>
      </c>
      <c r="H275" s="535">
        <f t="shared" si="49"/>
        <v>28936</v>
      </c>
      <c r="I275" s="536">
        <f t="shared" si="49"/>
        <v>19554</v>
      </c>
      <c r="J275" s="346">
        <f t="shared" si="49"/>
        <v>121811</v>
      </c>
      <c r="K275" s="346">
        <f t="shared" si="49"/>
        <v>0</v>
      </c>
    </row>
    <row r="276" spans="1:11" ht="13">
      <c r="A276" s="331">
        <v>27</v>
      </c>
      <c r="D276" s="342"/>
      <c r="E276" s="195"/>
      <c r="G276" s="541"/>
      <c r="H276" s="531"/>
      <c r="I276" s="532"/>
    </row>
    <row r="277" spans="1:11" ht="13">
      <c r="A277" s="331">
        <v>28</v>
      </c>
      <c r="B277" s="330" t="s">
        <v>30</v>
      </c>
      <c r="D277" s="342"/>
      <c r="E277" s="195"/>
      <c r="G277" s="541"/>
      <c r="H277" s="531"/>
      <c r="I277" s="532"/>
    </row>
    <row r="278" spans="1:11" ht="13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3">
        <f>'FR-16(7)(v)-8 TOT CLASS Alloc'!H278</f>
        <v>0</v>
      </c>
      <c r="G278" s="542">
        <f>'FR-16(7)(v)-5 DISTR Dem Alloc'!H278</f>
        <v>0</v>
      </c>
      <c r="H278" s="533">
        <f>'FR-16(7)(v)-3 PROD Comm Alloc'!H278</f>
        <v>0</v>
      </c>
      <c r="I278" s="534">
        <f>'FR-16(7)(v)-6 DISTR Cust Alloc'!H278</f>
        <v>0</v>
      </c>
      <c r="J278" s="345">
        <f>SUM(G278:I278)</f>
        <v>0</v>
      </c>
      <c r="K278" s="345">
        <f>F278-J278</f>
        <v>0</v>
      </c>
    </row>
    <row r="279" spans="1:11" ht="13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3">
        <f>'FR-16(7)(v)-8 TOT CLASS Alloc'!H279</f>
        <v>0</v>
      </c>
      <c r="G279" s="542">
        <f>'FR-16(7)(v)-5 DISTR Dem Alloc'!H279</f>
        <v>0</v>
      </c>
      <c r="H279" s="533">
        <f>'FR-16(7)(v)-3 PROD Comm Alloc'!H279</f>
        <v>0</v>
      </c>
      <c r="I279" s="534">
        <f>'FR-16(7)(v)-6 DISTR Cust Alloc'!H279</f>
        <v>0</v>
      </c>
      <c r="J279" s="345">
        <f>SUM(G279:I279)</f>
        <v>0</v>
      </c>
      <c r="K279" s="345">
        <f>F279-J279</f>
        <v>0</v>
      </c>
    </row>
    <row r="280" spans="1:11" ht="13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3">
        <f>'FR-16(7)(v)-8 TOT CLASS Alloc'!H280</f>
        <v>0</v>
      </c>
      <c r="G280" s="542">
        <f>'FR-16(7)(v)-5 DISTR Dem Alloc'!H280</f>
        <v>0</v>
      </c>
      <c r="H280" s="533">
        <f>'FR-16(7)(v)-3 PROD Comm Alloc'!H280</f>
        <v>0</v>
      </c>
      <c r="I280" s="534">
        <f>'FR-16(7)(v)-6 DISTR Cust Alloc'!H280</f>
        <v>0</v>
      </c>
      <c r="J280" s="345">
        <f>SUM(G280:I280)</f>
        <v>0</v>
      </c>
      <c r="K280" s="345">
        <f>F280-J280</f>
        <v>0</v>
      </c>
    </row>
    <row r="281" spans="1:11" ht="13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543">
        <f>SUM(G277:G280)</f>
        <v>0</v>
      </c>
      <c r="H281" s="535">
        <f>SUM(H277:H280)</f>
        <v>0</v>
      </c>
      <c r="I281" s="536">
        <f>SUM(I277:I280)</f>
        <v>0</v>
      </c>
      <c r="J281" s="346">
        <f>SUM(J277:J280)</f>
        <v>0</v>
      </c>
      <c r="K281" s="346">
        <f>SUM(K277:K280)</f>
        <v>0</v>
      </c>
    </row>
    <row r="282" spans="1:11" ht="13">
      <c r="A282" s="331">
        <v>33</v>
      </c>
      <c r="D282" s="342"/>
      <c r="F282" s="333" t="s">
        <v>343</v>
      </c>
      <c r="G282" s="541"/>
      <c r="H282" s="531"/>
      <c r="I282" s="532"/>
    </row>
    <row r="283" spans="1:11" ht="13">
      <c r="A283" s="331">
        <v>34</v>
      </c>
      <c r="B283" s="330" t="s">
        <v>818</v>
      </c>
      <c r="D283" s="342"/>
      <c r="F283" s="345">
        <f t="shared" ref="F283:K283" si="50">F275+F281</f>
        <v>121811</v>
      </c>
      <c r="G283" s="544">
        <f t="shared" si="50"/>
        <v>73321</v>
      </c>
      <c r="H283" s="537">
        <f t="shared" si="50"/>
        <v>28936</v>
      </c>
      <c r="I283" s="538">
        <f t="shared" si="50"/>
        <v>19554</v>
      </c>
      <c r="J283" s="345">
        <f t="shared" si="50"/>
        <v>121811</v>
      </c>
      <c r="K283" s="345">
        <f t="shared" si="50"/>
        <v>0</v>
      </c>
    </row>
    <row r="284" spans="1:11" ht="13">
      <c r="B284" s="341"/>
      <c r="C284" s="195"/>
      <c r="D284" s="342"/>
      <c r="E284" s="195"/>
      <c r="F284" s="195"/>
      <c r="G284" s="195"/>
      <c r="H284" s="195"/>
      <c r="I284" s="195"/>
      <c r="J284" s="195"/>
      <c r="K284" s="195"/>
    </row>
    <row r="285" spans="1:11" ht="13">
      <c r="A285" s="341" t="str">
        <f>co_name</f>
        <v>DUKE ENERGY KENTUCKY, INC.</v>
      </c>
      <c r="C285" s="195"/>
      <c r="D285" s="342"/>
      <c r="E285" s="195"/>
      <c r="F285" s="195"/>
      <c r="G285" s="195"/>
      <c r="H285" s="195"/>
      <c r="I285" s="195"/>
      <c r="J285" s="195" t="str">
        <f>$J$1</f>
        <v>FR-16(7)(v)-10</v>
      </c>
      <c r="K285" s="195"/>
    </row>
    <row r="286" spans="1:11" ht="13">
      <c r="A286" s="341" t="str">
        <f>$A$2</f>
        <v>GS CLASSIFIED - GAS COST OF SERVICE</v>
      </c>
      <c r="C286" s="195"/>
      <c r="D286" s="342"/>
      <c r="E286" s="195"/>
      <c r="F286" s="195"/>
      <c r="G286" s="195"/>
      <c r="H286" s="195"/>
      <c r="I286" s="195"/>
      <c r="J286" s="195" t="str">
        <f>$J$2</f>
        <v>WITNESS RESPONSIBLE:</v>
      </c>
      <c r="K286" s="195"/>
    </row>
    <row r="287" spans="1:11" ht="13">
      <c r="A287" s="341" t="str">
        <f>case_name</f>
        <v>CASE NO: 2021-00190</v>
      </c>
      <c r="C287" s="195"/>
      <c r="D287" s="342"/>
      <c r="E287" s="195"/>
      <c r="F287" s="195"/>
      <c r="G287" s="195"/>
      <c r="H287" s="195"/>
      <c r="I287" s="195"/>
      <c r="J287" s="195" t="str">
        <f>Witness</f>
        <v>JAMES E. ZIOLKOWSKI</v>
      </c>
      <c r="K287" s="195"/>
    </row>
    <row r="288" spans="1:11" ht="13">
      <c r="A288" s="341" t="str">
        <f>data_filing</f>
        <v>DATA: 12 MONTH FORECASTED PERIOD</v>
      </c>
      <c r="C288" s="195"/>
      <c r="D288" s="342"/>
      <c r="E288" s="195"/>
      <c r="F288" s="195"/>
      <c r="G288" s="195"/>
      <c r="H288" s="195"/>
      <c r="I288" s="195"/>
      <c r="J288" s="195" t="str">
        <f>"PAGE "&amp;Pages2-8&amp;" OF "&amp;Pages2</f>
        <v>PAGE 7 OF 15</v>
      </c>
      <c r="K288" s="195"/>
    </row>
    <row r="289" spans="1:13" ht="13">
      <c r="A289" s="341" t="str">
        <f>type</f>
        <v xml:space="preserve">TYPE OF FILING: "X" ORIGINAL   UPDATED    REVISED  </v>
      </c>
      <c r="C289" s="195"/>
      <c r="D289" s="342"/>
      <c r="E289" s="195"/>
      <c r="F289" s="195"/>
      <c r="G289" s="195"/>
      <c r="H289" s="195"/>
      <c r="I289" s="195"/>
      <c r="J289" s="195"/>
      <c r="K289" s="195"/>
    </row>
    <row r="290" spans="1:13" ht="13">
      <c r="B290" s="341"/>
      <c r="C290" s="195"/>
      <c r="D290" s="342"/>
      <c r="E290" s="195"/>
      <c r="F290" s="195"/>
      <c r="G290" s="195"/>
      <c r="H290" s="195"/>
      <c r="I290" s="195"/>
      <c r="J290" s="195"/>
      <c r="K290" s="195"/>
    </row>
    <row r="291" spans="1:13" ht="13">
      <c r="B291" s="341"/>
      <c r="C291" s="195"/>
      <c r="D291" s="342"/>
      <c r="E291" s="195"/>
      <c r="F291" s="195"/>
      <c r="G291" s="195"/>
      <c r="H291" s="195"/>
      <c r="I291" s="195"/>
      <c r="J291" s="195"/>
      <c r="K291" s="195"/>
    </row>
    <row r="292" spans="1:13" ht="13">
      <c r="A292" s="342" t="s">
        <v>907</v>
      </c>
      <c r="B292" s="195"/>
      <c r="C292" s="195"/>
      <c r="D292" s="342"/>
      <c r="E292" s="195"/>
      <c r="F292" s="342" t="s">
        <v>229</v>
      </c>
      <c r="G292" s="539" t="s">
        <v>995</v>
      </c>
      <c r="H292" s="527"/>
      <c r="I292" s="528"/>
      <c r="J292" s="342" t="s">
        <v>229</v>
      </c>
      <c r="K292" s="342" t="s">
        <v>342</v>
      </c>
    </row>
    <row r="293" spans="1:13" ht="13">
      <c r="A293" s="344" t="s">
        <v>908</v>
      </c>
      <c r="B293" s="343" t="s">
        <v>32</v>
      </c>
      <c r="C293" s="343"/>
      <c r="D293" s="344" t="s">
        <v>337</v>
      </c>
      <c r="E293" s="343"/>
      <c r="F293" s="344" t="str">
        <f>$F$9</f>
        <v>GS</v>
      </c>
      <c r="G293" s="540" t="s">
        <v>840</v>
      </c>
      <c r="H293" s="529" t="s">
        <v>841</v>
      </c>
      <c r="I293" s="530" t="s">
        <v>842</v>
      </c>
      <c r="J293" s="344" t="s">
        <v>341</v>
      </c>
      <c r="K293" s="344" t="s">
        <v>340</v>
      </c>
    </row>
    <row r="294" spans="1:13" ht="13">
      <c r="C294" s="572" t="s">
        <v>556</v>
      </c>
      <c r="D294" s="342"/>
      <c r="E294" s="484"/>
      <c r="F294" s="485"/>
      <c r="G294" s="793">
        <f>$G$10</f>
        <v>3</v>
      </c>
      <c r="H294" s="794">
        <f>$H$10</f>
        <v>4</v>
      </c>
      <c r="I294" s="795">
        <f>$I$10</f>
        <v>5</v>
      </c>
      <c r="J294" s="484"/>
      <c r="K294" s="484"/>
    </row>
    <row r="295" spans="1:13" ht="13">
      <c r="C295" s="572"/>
      <c r="D295" s="342"/>
      <c r="E295" s="484"/>
      <c r="F295" s="485"/>
      <c r="G295" s="793"/>
      <c r="H295" s="794"/>
      <c r="I295" s="795"/>
      <c r="J295" s="484"/>
      <c r="K295" s="484"/>
    </row>
    <row r="296" spans="1:13" ht="13">
      <c r="A296" s="331">
        <v>1</v>
      </c>
      <c r="B296" s="330" t="s">
        <v>31</v>
      </c>
      <c r="D296" s="342"/>
      <c r="E296" s="195"/>
      <c r="F296" s="345">
        <f t="shared" ref="F296:K296" si="51">F191-F238+F283</f>
        <v>115821728</v>
      </c>
      <c r="G296" s="542">
        <f t="shared" si="51"/>
        <v>90410994</v>
      </c>
      <c r="H296" s="533">
        <f t="shared" si="51"/>
        <v>1415252</v>
      </c>
      <c r="I296" s="534">
        <f t="shared" si="51"/>
        <v>23995482</v>
      </c>
      <c r="J296" s="345">
        <f t="shared" si="51"/>
        <v>115821728</v>
      </c>
      <c r="K296" s="345">
        <f t="shared" si="51"/>
        <v>0</v>
      </c>
    </row>
    <row r="297" spans="1:13" ht="13">
      <c r="A297" s="331">
        <v>2</v>
      </c>
      <c r="D297" s="342"/>
      <c r="E297" s="195"/>
      <c r="G297" s="541"/>
      <c r="H297" s="531"/>
      <c r="I297" s="532"/>
    </row>
    <row r="298" spans="1:13" ht="13">
      <c r="A298" s="331">
        <v>3</v>
      </c>
      <c r="B298" s="330" t="s">
        <v>32</v>
      </c>
      <c r="D298" s="342"/>
      <c r="E298" s="195"/>
      <c r="G298" s="541"/>
      <c r="H298" s="531"/>
      <c r="I298" s="532"/>
    </row>
    <row r="299" spans="1:13" ht="13">
      <c r="A299" s="331">
        <v>4</v>
      </c>
      <c r="D299" s="342"/>
      <c r="E299" s="195"/>
      <c r="G299" s="541"/>
      <c r="H299" s="531"/>
      <c r="I299" s="532"/>
    </row>
    <row r="300" spans="1:13" ht="13">
      <c r="A300" s="331">
        <v>5</v>
      </c>
      <c r="B300" s="330" t="s">
        <v>33</v>
      </c>
      <c r="D300" s="342"/>
      <c r="E300" s="195"/>
      <c r="G300" s="541"/>
      <c r="H300" s="531"/>
      <c r="I300" s="532"/>
    </row>
    <row r="301" spans="1:13" ht="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3">
        <f>'FR-16(7)(v)-8 TOT CLASS Alloc'!H301</f>
        <v>660044</v>
      </c>
      <c r="G301" s="542">
        <f>'FR-16(7)(v)-5 DISTR Dem Alloc'!H301</f>
        <v>0</v>
      </c>
      <c r="H301" s="533">
        <f>'FR-16(7)(v)-3 PROD Comm Alloc'!H301</f>
        <v>660044</v>
      </c>
      <c r="I301" s="534">
        <f>'FR-16(7)(v)-6 DISTR Cust Alloc'!H301</f>
        <v>0</v>
      </c>
      <c r="J301" s="345">
        <f>SUM(G301:I301)</f>
        <v>660044</v>
      </c>
      <c r="K301" s="345">
        <f>F301-J301</f>
        <v>0</v>
      </c>
      <c r="M301" s="333"/>
    </row>
    <row r="302" spans="1:13" ht="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3">
        <f>'FR-16(7)(v)-8 TOT CLASS Alloc'!H302</f>
        <v>105319</v>
      </c>
      <c r="G302" s="542">
        <f>'FR-16(7)(v)-5 DISTR Dem Alloc'!H302</f>
        <v>82259</v>
      </c>
      <c r="H302" s="533">
        <f>'FR-16(7)(v)-3 PROD Comm Alloc'!H302</f>
        <v>1230</v>
      </c>
      <c r="I302" s="534">
        <f>'FR-16(7)(v)-6 DISTR Cust Alloc'!H302</f>
        <v>21830</v>
      </c>
      <c r="J302" s="345">
        <f>SUM(G302:I302)</f>
        <v>105319</v>
      </c>
      <c r="K302" s="345">
        <f>F302-J302</f>
        <v>0</v>
      </c>
      <c r="M302" s="333"/>
    </row>
    <row r="303" spans="1:13" ht="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K303" si="52">SUM(F300:F302)</f>
        <v>765363</v>
      </c>
      <c r="G303" s="543">
        <f t="shared" si="52"/>
        <v>82259</v>
      </c>
      <c r="H303" s="535">
        <f t="shared" si="52"/>
        <v>661274</v>
      </c>
      <c r="I303" s="536">
        <f t="shared" si="52"/>
        <v>21830</v>
      </c>
      <c r="J303" s="346">
        <f t="shared" si="52"/>
        <v>765363</v>
      </c>
      <c r="K303" s="346">
        <f t="shared" si="52"/>
        <v>0</v>
      </c>
    </row>
    <row r="304" spans="1:13" ht="13">
      <c r="A304" s="331">
        <v>9</v>
      </c>
      <c r="B304" s="330" t="s">
        <v>34</v>
      </c>
      <c r="D304" s="342"/>
      <c r="E304" s="195"/>
      <c r="F304" s="345">
        <f t="shared" ref="F304:K304" si="53">F303</f>
        <v>765363</v>
      </c>
      <c r="G304" s="542">
        <f t="shared" si="53"/>
        <v>82259</v>
      </c>
      <c r="H304" s="533">
        <f t="shared" si="53"/>
        <v>661274</v>
      </c>
      <c r="I304" s="534">
        <f t="shared" si="53"/>
        <v>21830</v>
      </c>
      <c r="J304" s="345">
        <f t="shared" si="53"/>
        <v>765363</v>
      </c>
      <c r="K304" s="345">
        <f t="shared" si="53"/>
        <v>0</v>
      </c>
    </row>
    <row r="305" spans="1:13" ht="13">
      <c r="A305" s="331">
        <v>10</v>
      </c>
      <c r="D305" s="342"/>
      <c r="E305" s="195"/>
      <c r="G305" s="541"/>
      <c r="H305" s="531"/>
      <c r="I305" s="532"/>
    </row>
    <row r="306" spans="1:13" ht="13">
      <c r="A306" s="331">
        <v>11</v>
      </c>
      <c r="B306" s="330" t="s">
        <v>35</v>
      </c>
      <c r="D306" s="342"/>
      <c r="E306" s="195"/>
      <c r="G306" s="541"/>
      <c r="H306" s="531"/>
      <c r="I306" s="532"/>
    </row>
    <row r="307" spans="1:13" ht="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3">
        <f>'FR-16(7)(v)-8 TOT CLASS Alloc'!H307</f>
        <v>32029</v>
      </c>
      <c r="G307" s="542">
        <f>'FR-16(7)(v)-5 DISTR Dem Alloc'!H307</f>
        <v>4935</v>
      </c>
      <c r="H307" s="533">
        <f>'FR-16(7)(v)-3 PROD Comm Alloc'!H307</f>
        <v>25592</v>
      </c>
      <c r="I307" s="534">
        <f>'FR-16(7)(v)-6 DISTR Cust Alloc'!H307</f>
        <v>1502</v>
      </c>
      <c r="J307" s="345">
        <f>SUM(G307:I307)</f>
        <v>32029</v>
      </c>
      <c r="K307" s="345">
        <f>F307-J307</f>
        <v>0</v>
      </c>
      <c r="M307" s="333"/>
    </row>
    <row r="308" spans="1:13" ht="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3">
        <f>'FR-16(7)(v)-8 TOT CLASS Alloc'!H308</f>
        <v>0</v>
      </c>
      <c r="G308" s="542">
        <f>'FR-16(7)(v)-5 DISTR Dem Alloc'!H308</f>
        <v>0</v>
      </c>
      <c r="H308" s="533">
        <f>'FR-16(7)(v)-3 PROD Comm Alloc'!H308</f>
        <v>0</v>
      </c>
      <c r="I308" s="534">
        <f>'FR-16(7)(v)-6 DISTR Cust Alloc'!H308</f>
        <v>0</v>
      </c>
      <c r="J308" s="345">
        <f>SUM(G308:I308)</f>
        <v>0</v>
      </c>
      <c r="K308" s="345">
        <f>F308-J308</f>
        <v>0</v>
      </c>
      <c r="M308" s="333"/>
    </row>
    <row r="309" spans="1:13" ht="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3">
        <f>'FR-16(7)(v)-8 TOT CLASS Alloc'!H309</f>
        <v>0</v>
      </c>
      <c r="G309" s="542">
        <f>'FR-16(7)(v)-5 DISTR Dem Alloc'!H309</f>
        <v>0</v>
      </c>
      <c r="H309" s="533">
        <f>'FR-16(7)(v)-3 PROD Comm Alloc'!H309</f>
        <v>0</v>
      </c>
      <c r="I309" s="534">
        <f>'FR-16(7)(v)-6 DISTR Cust Alloc'!H309</f>
        <v>0</v>
      </c>
      <c r="J309" s="345">
        <f>SUM(G309:I309)</f>
        <v>0</v>
      </c>
      <c r="K309" s="345">
        <f>F309-J309</f>
        <v>0</v>
      </c>
      <c r="M309" s="333"/>
    </row>
    <row r="310" spans="1:13" ht="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3">
        <f t="shared" ref="F310:K310" si="54">SUM(F306:F309)</f>
        <v>32029</v>
      </c>
      <c r="G310" s="574">
        <f t="shared" si="54"/>
        <v>4935</v>
      </c>
      <c r="H310" s="575">
        <f t="shared" si="54"/>
        <v>25592</v>
      </c>
      <c r="I310" s="576">
        <f t="shared" si="54"/>
        <v>1502</v>
      </c>
      <c r="J310" s="573">
        <f t="shared" si="54"/>
        <v>32029</v>
      </c>
      <c r="K310" s="573">
        <f t="shared" si="54"/>
        <v>0</v>
      </c>
    </row>
    <row r="311" spans="1:13" ht="13">
      <c r="A311" s="331">
        <v>16</v>
      </c>
      <c r="D311" s="342"/>
      <c r="E311" s="195"/>
      <c r="G311" s="541"/>
      <c r="H311" s="531"/>
      <c r="I311" s="532"/>
    </row>
    <row r="312" spans="1:13" ht="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542">
        <f>IF(WorkingCap="No",0,ROUND((G433-G348-G353)/8,0))</f>
        <v>0</v>
      </c>
      <c r="H312" s="533">
        <f>IF(WorkingCap="No",0,ROUND((H433-H348-H353)/8,0))</f>
        <v>0</v>
      </c>
      <c r="I312" s="534">
        <f>IF(WorkingCap="No",0,ROUND((I433-I348-I353)/8,0))</f>
        <v>0</v>
      </c>
      <c r="J312" s="345">
        <f>SUM(G312:I312)</f>
        <v>0</v>
      </c>
      <c r="K312" s="345">
        <f>F312-J312</f>
        <v>0</v>
      </c>
    </row>
    <row r="313" spans="1:13" ht="13">
      <c r="A313" s="331">
        <v>18</v>
      </c>
      <c r="B313" s="330" t="s">
        <v>37</v>
      </c>
      <c r="D313" s="342"/>
      <c r="E313" s="195"/>
      <c r="F313" s="345">
        <f t="shared" ref="F313:K313" si="55">F312</f>
        <v>0</v>
      </c>
      <c r="G313" s="542">
        <f t="shared" si="55"/>
        <v>0</v>
      </c>
      <c r="H313" s="533">
        <f t="shared" si="55"/>
        <v>0</v>
      </c>
      <c r="I313" s="534">
        <f t="shared" si="55"/>
        <v>0</v>
      </c>
      <c r="J313" s="345">
        <f t="shared" si="55"/>
        <v>0</v>
      </c>
      <c r="K313" s="345">
        <f t="shared" si="55"/>
        <v>0</v>
      </c>
    </row>
    <row r="314" spans="1:13" ht="13">
      <c r="A314" s="331">
        <v>19</v>
      </c>
      <c r="D314" s="342"/>
      <c r="E314" s="195"/>
      <c r="G314" s="541"/>
      <c r="H314" s="531"/>
      <c r="I314" s="532"/>
    </row>
    <row r="315" spans="1:13" ht="13">
      <c r="A315" s="331">
        <v>20</v>
      </c>
      <c r="B315" s="330" t="s">
        <v>38</v>
      </c>
      <c r="D315" s="342"/>
      <c r="E315" s="195"/>
      <c r="G315" s="541"/>
      <c r="H315" s="531"/>
      <c r="I315" s="532"/>
    </row>
    <row r="316" spans="1:13" ht="13">
      <c r="A316" s="331">
        <v>21</v>
      </c>
      <c r="C316" s="612" t="str">
        <f>'FR-16(7)(v)-1 Functional'!C316</f>
        <v>GAS STORED UNDERGROUND</v>
      </c>
      <c r="D316" s="342" t="str">
        <f>'FR-16(7)(v)-1 Functional'!D316</f>
        <v>K301</v>
      </c>
      <c r="E316" s="195"/>
      <c r="F316" s="473">
        <f>'FR-16(7)(v)-8 TOT CLASS Alloc'!H316</f>
        <v>625953</v>
      </c>
      <c r="G316" s="542">
        <f>'FR-16(7)(v)-5 DISTR Dem Alloc'!H316</f>
        <v>0</v>
      </c>
      <c r="H316" s="533">
        <f>'FR-16(7)(v)-3 PROD Comm Alloc'!H316</f>
        <v>625953</v>
      </c>
      <c r="I316" s="534">
        <f>'FR-16(7)(v)-6 DISTR Cust Alloc'!H316</f>
        <v>0</v>
      </c>
      <c r="J316" s="345">
        <f>SUM(G316:I316)</f>
        <v>625953</v>
      </c>
      <c r="K316" s="345">
        <f>F316-J316</f>
        <v>0</v>
      </c>
      <c r="M316" s="333"/>
    </row>
    <row r="317" spans="1:13" ht="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3">
        <f>'FR-16(7)(v)-8 TOT CLASS Alloc'!H317</f>
        <v>0</v>
      </c>
      <c r="G317" s="542">
        <f>'FR-16(7)(v)-5 DISTR Dem Alloc'!H317</f>
        <v>0</v>
      </c>
      <c r="H317" s="533">
        <f>'FR-16(7)(v)-3 PROD Comm Alloc'!H317</f>
        <v>0</v>
      </c>
      <c r="I317" s="534">
        <f>'FR-16(7)(v)-6 DISTR Cust Alloc'!H317</f>
        <v>0</v>
      </c>
      <c r="J317" s="345">
        <f>SUM(G317:I317)</f>
        <v>0</v>
      </c>
      <c r="K317" s="345">
        <f>F317-J317</f>
        <v>0</v>
      </c>
      <c r="M317" s="333"/>
    </row>
    <row r="318" spans="1:13" ht="13">
      <c r="A318" s="331">
        <v>23</v>
      </c>
      <c r="C318" s="505" t="str">
        <f>'FR-16(7)(v)-1 Functional'!C318</f>
        <v>RESERVED FOR FUTURE USE</v>
      </c>
      <c r="D318" s="342" t="str">
        <f>'FR-16(7)(v)-1 Functional'!D318</f>
        <v>D249</v>
      </c>
      <c r="E318" s="195"/>
      <c r="F318" s="473">
        <f>'FR-16(7)(v)-8 TOT CLASS Alloc'!H318</f>
        <v>0</v>
      </c>
      <c r="G318" s="542">
        <f>'FR-16(7)(v)-5 DISTR Dem Alloc'!H318</f>
        <v>0</v>
      </c>
      <c r="H318" s="533">
        <f>'FR-16(7)(v)-3 PROD Comm Alloc'!H318</f>
        <v>0</v>
      </c>
      <c r="I318" s="534">
        <f>'FR-16(7)(v)-6 DISTR Cust Alloc'!H318</f>
        <v>0</v>
      </c>
      <c r="J318" s="345">
        <f>SUM(G318:I318)</f>
        <v>0</v>
      </c>
      <c r="K318" s="345">
        <f>F318-J318</f>
        <v>0</v>
      </c>
      <c r="M318" s="333"/>
    </row>
    <row r="319" spans="1:13" ht="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K319" si="56">SUM(F315:F318)</f>
        <v>625953</v>
      </c>
      <c r="G319" s="543">
        <f t="shared" si="56"/>
        <v>0</v>
      </c>
      <c r="H319" s="535">
        <f t="shared" si="56"/>
        <v>625953</v>
      </c>
      <c r="I319" s="536">
        <f t="shared" si="56"/>
        <v>0</v>
      </c>
      <c r="J319" s="346">
        <f t="shared" si="56"/>
        <v>625953</v>
      </c>
      <c r="K319" s="346">
        <f t="shared" si="56"/>
        <v>0</v>
      </c>
    </row>
    <row r="320" spans="1:13" ht="13">
      <c r="A320" s="331">
        <v>25</v>
      </c>
      <c r="D320" s="342"/>
      <c r="E320" s="195"/>
      <c r="G320" s="541"/>
      <c r="H320" s="531"/>
      <c r="I320" s="532"/>
    </row>
    <row r="321" spans="1:13" ht="13">
      <c r="A321" s="331">
        <v>26</v>
      </c>
      <c r="B321" s="330" t="s">
        <v>39</v>
      </c>
      <c r="D321" s="342"/>
      <c r="E321" s="195"/>
      <c r="F321" s="345">
        <f t="shared" ref="F321:K321" si="57">F304+F310+F313+F319</f>
        <v>1423345</v>
      </c>
      <c r="G321" s="542">
        <f t="shared" si="57"/>
        <v>87194</v>
      </c>
      <c r="H321" s="533">
        <f t="shared" si="57"/>
        <v>1312819</v>
      </c>
      <c r="I321" s="534">
        <f t="shared" si="57"/>
        <v>23332</v>
      </c>
      <c r="J321" s="345">
        <f t="shared" si="57"/>
        <v>1423345</v>
      </c>
      <c r="K321" s="345">
        <f t="shared" si="57"/>
        <v>0</v>
      </c>
    </row>
    <row r="322" spans="1:13" ht="13">
      <c r="A322" s="331">
        <v>27</v>
      </c>
      <c r="B322" s="330" t="s">
        <v>40</v>
      </c>
      <c r="D322" s="342"/>
      <c r="E322" s="195"/>
      <c r="G322" s="541"/>
      <c r="H322" s="531"/>
      <c r="I322" s="532"/>
    </row>
    <row r="323" spans="1:13" ht="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K323" si="58">-F238</f>
        <v>-25224608</v>
      </c>
      <c r="G323" s="542">
        <f t="shared" si="58"/>
        <v>-19728736</v>
      </c>
      <c r="H323" s="533">
        <f t="shared" si="58"/>
        <v>-260312</v>
      </c>
      <c r="I323" s="534">
        <f t="shared" si="58"/>
        <v>-5235560</v>
      </c>
      <c r="J323" s="345">
        <f t="shared" si="58"/>
        <v>-25224608</v>
      </c>
      <c r="K323" s="345">
        <f t="shared" si="58"/>
        <v>0</v>
      </c>
      <c r="M323" s="333"/>
    </row>
    <row r="324" spans="1:13" ht="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K324" si="59">F283</f>
        <v>121811</v>
      </c>
      <c r="G324" s="542">
        <f t="shared" si="59"/>
        <v>73321</v>
      </c>
      <c r="H324" s="533">
        <f t="shared" si="59"/>
        <v>28936</v>
      </c>
      <c r="I324" s="534">
        <f t="shared" si="59"/>
        <v>19554</v>
      </c>
      <c r="J324" s="345">
        <f t="shared" si="59"/>
        <v>121811</v>
      </c>
      <c r="K324" s="345">
        <f t="shared" si="59"/>
        <v>0</v>
      </c>
      <c r="M324" s="333"/>
    </row>
    <row r="325" spans="1:13" ht="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K325" si="60">F321</f>
        <v>1423345</v>
      </c>
      <c r="G325" s="542">
        <f t="shared" si="60"/>
        <v>87194</v>
      </c>
      <c r="H325" s="533">
        <f t="shared" si="60"/>
        <v>1312819</v>
      </c>
      <c r="I325" s="534">
        <f t="shared" si="60"/>
        <v>23332</v>
      </c>
      <c r="J325" s="345">
        <f t="shared" si="60"/>
        <v>1423345</v>
      </c>
      <c r="K325" s="345">
        <f t="shared" si="60"/>
        <v>0</v>
      </c>
      <c r="M325" s="333"/>
    </row>
    <row r="326" spans="1:13" ht="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K326" si="61">SUM(F322:F325)</f>
        <v>-23679452</v>
      </c>
      <c r="G326" s="543">
        <f t="shared" si="61"/>
        <v>-19568221</v>
      </c>
      <c r="H326" s="535">
        <f t="shared" si="61"/>
        <v>1081443</v>
      </c>
      <c r="I326" s="536">
        <f t="shared" si="61"/>
        <v>-5192674</v>
      </c>
      <c r="J326" s="346">
        <f>SUM(J322:J325)</f>
        <v>-23679452</v>
      </c>
      <c r="K326" s="346">
        <f t="shared" si="61"/>
        <v>0</v>
      </c>
    </row>
    <row r="327" spans="1:13" ht="13">
      <c r="A327" s="331">
        <v>32</v>
      </c>
      <c r="D327" s="342"/>
      <c r="E327" s="195"/>
      <c r="G327" s="541"/>
      <c r="H327" s="531"/>
      <c r="I327" s="532"/>
    </row>
    <row r="328" spans="1:13" ht="13">
      <c r="A328" s="331">
        <v>33</v>
      </c>
      <c r="B328" s="330" t="s">
        <v>41</v>
      </c>
      <c r="D328" s="342"/>
      <c r="E328" s="195"/>
      <c r="G328" s="541"/>
      <c r="H328" s="531"/>
      <c r="I328" s="532"/>
    </row>
    <row r="329" spans="1:13" ht="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K329" si="62">F191</f>
        <v>140924525</v>
      </c>
      <c r="G329" s="542">
        <f t="shared" si="62"/>
        <v>110066409</v>
      </c>
      <c r="H329" s="533">
        <f t="shared" si="62"/>
        <v>1646628</v>
      </c>
      <c r="I329" s="534">
        <f t="shared" si="62"/>
        <v>29211488</v>
      </c>
      <c r="J329" s="345">
        <f t="shared" si="62"/>
        <v>140924525</v>
      </c>
      <c r="K329" s="345">
        <f t="shared" si="62"/>
        <v>0</v>
      </c>
    </row>
    <row r="330" spans="1:13" ht="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K330" si="63">F326</f>
        <v>-23679452</v>
      </c>
      <c r="G330" s="542">
        <f t="shared" si="63"/>
        <v>-19568221</v>
      </c>
      <c r="H330" s="533">
        <f t="shared" si="63"/>
        <v>1081443</v>
      </c>
      <c r="I330" s="534">
        <f t="shared" si="63"/>
        <v>-5192674</v>
      </c>
      <c r="J330" s="345">
        <f t="shared" si="63"/>
        <v>-23679452</v>
      </c>
      <c r="K330" s="345">
        <f t="shared" si="63"/>
        <v>0</v>
      </c>
    </row>
    <row r="331" spans="1:13" ht="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K331" si="64">SUM(F328:F330)</f>
        <v>117245073</v>
      </c>
      <c r="G331" s="543">
        <f t="shared" si="64"/>
        <v>90498188</v>
      </c>
      <c r="H331" s="535">
        <f t="shared" si="64"/>
        <v>2728071</v>
      </c>
      <c r="I331" s="536">
        <f t="shared" si="64"/>
        <v>24018814</v>
      </c>
      <c r="J331" s="346">
        <f t="shared" si="64"/>
        <v>117245073</v>
      </c>
      <c r="K331" s="346">
        <f t="shared" si="64"/>
        <v>0</v>
      </c>
    </row>
    <row r="332" spans="1:13" ht="13">
      <c r="A332" s="331">
        <v>37</v>
      </c>
      <c r="D332" s="342"/>
      <c r="E332" s="195"/>
      <c r="G332" s="541"/>
      <c r="H332" s="531"/>
      <c r="I332" s="532"/>
    </row>
    <row r="333" spans="1:13" ht="13">
      <c r="A333" s="331">
        <v>38</v>
      </c>
      <c r="B333" s="330" t="s">
        <v>42</v>
      </c>
      <c r="D333" s="342"/>
      <c r="E333" s="195"/>
      <c r="F333" s="348">
        <f>$F$688</f>
        <v>7.060000000000001E-2</v>
      </c>
      <c r="G333" s="1267">
        <f>F688</f>
        <v>7.060000000000001E-2</v>
      </c>
      <c r="H333" s="1268">
        <f>F688</f>
        <v>7.060000000000001E-2</v>
      </c>
      <c r="I333" s="1269">
        <f>F688</f>
        <v>7.060000000000001E-2</v>
      </c>
      <c r="J333" s="348">
        <f>F688</f>
        <v>7.060000000000001E-2</v>
      </c>
      <c r="K333" s="348">
        <f>'FR-16(7)(v)-1 Functional'!F688</f>
        <v>7.060000000000001E-2</v>
      </c>
    </row>
    <row r="334" spans="1:13" ht="13">
      <c r="A334" s="331">
        <v>39</v>
      </c>
      <c r="B334" s="330" t="s">
        <v>43</v>
      </c>
      <c r="D334" s="342"/>
      <c r="E334" s="195"/>
      <c r="F334" s="345">
        <f>ROUND(F333*F331,0)</f>
        <v>8277502</v>
      </c>
      <c r="G334" s="548">
        <f>F334-SUM(H334:I334)</f>
        <v>6389172</v>
      </c>
      <c r="H334" s="549">
        <f>ROUND(H331*H333,0)</f>
        <v>192602</v>
      </c>
      <c r="I334" s="550">
        <f>ROUND(I331*I333,0)</f>
        <v>1695728</v>
      </c>
      <c r="J334" s="345">
        <f>SUM(G334:I334)</f>
        <v>8277502</v>
      </c>
      <c r="K334" s="345">
        <f>ROUND(K331*K333,0)</f>
        <v>0</v>
      </c>
    </row>
    <row r="335" spans="1:13" ht="13">
      <c r="B335" s="341"/>
      <c r="C335" s="195"/>
      <c r="D335" s="342"/>
      <c r="E335" s="195"/>
      <c r="F335" s="195"/>
      <c r="G335" s="195"/>
      <c r="H335" s="195"/>
      <c r="I335" s="195"/>
      <c r="J335" s="195"/>
      <c r="K335" s="195"/>
    </row>
    <row r="336" spans="1:13" ht="13">
      <c r="A336" s="341" t="str">
        <f>co_name</f>
        <v>DUKE ENERGY KENTUCKY, INC.</v>
      </c>
      <c r="C336" s="195"/>
      <c r="D336" s="342"/>
      <c r="E336" s="195"/>
      <c r="F336" s="195"/>
      <c r="G336" s="195"/>
      <c r="H336" s="195"/>
      <c r="I336" s="195"/>
      <c r="J336" s="195" t="str">
        <f>$J$1</f>
        <v>FR-16(7)(v)-10</v>
      </c>
      <c r="K336" s="195"/>
    </row>
    <row r="337" spans="1:11" ht="13">
      <c r="A337" s="341" t="str">
        <f>$A$2</f>
        <v>GS CLASSIFIED - GAS COST OF SERVICE</v>
      </c>
      <c r="C337" s="195"/>
      <c r="D337" s="342"/>
      <c r="E337" s="195"/>
      <c r="F337" s="195"/>
      <c r="G337" s="195"/>
      <c r="H337" s="195"/>
      <c r="I337" s="195"/>
      <c r="J337" s="195" t="str">
        <f>$J$2</f>
        <v>WITNESS RESPONSIBLE:</v>
      </c>
      <c r="K337" s="195"/>
    </row>
    <row r="338" spans="1:11" ht="13">
      <c r="A338" s="341" t="str">
        <f>case_name</f>
        <v>CASE NO: 2021-00190</v>
      </c>
      <c r="C338" s="195"/>
      <c r="D338" s="342"/>
      <c r="E338" s="195"/>
      <c r="F338" s="195"/>
      <c r="G338" s="195"/>
      <c r="H338" s="195"/>
      <c r="I338" s="195"/>
      <c r="J338" s="195" t="str">
        <f>Witness</f>
        <v>JAMES E. ZIOLKOWSKI</v>
      </c>
      <c r="K338" s="195"/>
    </row>
    <row r="339" spans="1:11" ht="13">
      <c r="A339" s="341" t="str">
        <f>data_filing</f>
        <v>DATA: 12 MONTH FORECASTED PERIOD</v>
      </c>
      <c r="C339" s="195"/>
      <c r="D339" s="342"/>
      <c r="E339" s="195"/>
      <c r="F339" s="195"/>
      <c r="G339" s="195"/>
      <c r="H339" s="195"/>
      <c r="I339" s="195"/>
      <c r="J339" s="195" t="str">
        <f>"PAGE "&amp;Pages2-7&amp;" OF "&amp;Pages2</f>
        <v>PAGE 8 OF 15</v>
      </c>
      <c r="K339" s="195"/>
    </row>
    <row r="340" spans="1:11" ht="13">
      <c r="A340" s="341" t="str">
        <f>type</f>
        <v xml:space="preserve">TYPE OF FILING: "X" ORIGINAL   UPDATED    REVISED  </v>
      </c>
      <c r="C340" s="195"/>
      <c r="D340" s="342"/>
      <c r="E340" s="195"/>
      <c r="F340" s="195"/>
      <c r="G340" s="195"/>
      <c r="H340" s="195"/>
      <c r="I340" s="195"/>
      <c r="J340" s="195"/>
      <c r="K340" s="195"/>
    </row>
    <row r="341" spans="1:11" ht="13">
      <c r="B341" s="341"/>
      <c r="C341" s="195"/>
      <c r="D341" s="342"/>
      <c r="E341" s="195"/>
      <c r="F341" s="195"/>
      <c r="G341" s="195"/>
      <c r="H341" s="195"/>
      <c r="I341" s="195"/>
      <c r="J341" s="195"/>
      <c r="K341" s="195"/>
    </row>
    <row r="342" spans="1:11" ht="13">
      <c r="B342" s="341"/>
      <c r="C342" s="195"/>
      <c r="D342" s="342"/>
      <c r="E342" s="195"/>
      <c r="F342" s="195"/>
      <c r="G342" s="195"/>
      <c r="H342" s="195"/>
      <c r="I342" s="195"/>
      <c r="J342" s="195"/>
      <c r="K342" s="195"/>
    </row>
    <row r="343" spans="1:11" ht="13">
      <c r="A343" s="342" t="s">
        <v>907</v>
      </c>
      <c r="B343" s="195"/>
      <c r="C343" s="195"/>
      <c r="D343" s="342"/>
      <c r="E343" s="195"/>
      <c r="F343" s="342" t="s">
        <v>229</v>
      </c>
      <c r="G343" s="539" t="s">
        <v>995</v>
      </c>
      <c r="H343" s="527"/>
      <c r="I343" s="528"/>
      <c r="J343" s="342" t="s">
        <v>229</v>
      </c>
      <c r="K343" s="342" t="s">
        <v>342</v>
      </c>
    </row>
    <row r="344" spans="1:11" ht="13">
      <c r="A344" s="344" t="s">
        <v>908</v>
      </c>
      <c r="B344" s="343" t="s">
        <v>44</v>
      </c>
      <c r="C344" s="343"/>
      <c r="D344" s="344" t="s">
        <v>337</v>
      </c>
      <c r="E344" s="343"/>
      <c r="F344" s="344" t="str">
        <f>$F$9</f>
        <v>GS</v>
      </c>
      <c r="G344" s="540" t="s">
        <v>840</v>
      </c>
      <c r="H344" s="529" t="s">
        <v>841</v>
      </c>
      <c r="I344" s="530" t="s">
        <v>842</v>
      </c>
      <c r="J344" s="344" t="s">
        <v>341</v>
      </c>
      <c r="K344" s="344" t="s">
        <v>340</v>
      </c>
    </row>
    <row r="345" spans="1:11" ht="13">
      <c r="C345" s="572" t="s">
        <v>348</v>
      </c>
      <c r="D345" s="342"/>
      <c r="E345" s="195"/>
      <c r="G345" s="793">
        <f>$G$10</f>
        <v>3</v>
      </c>
      <c r="H345" s="794">
        <f>$H$10</f>
        <v>4</v>
      </c>
      <c r="I345" s="795">
        <f>$I$10</f>
        <v>5</v>
      </c>
    </row>
    <row r="346" spans="1:11" ht="13">
      <c r="A346" s="331">
        <v>1</v>
      </c>
      <c r="B346" s="330" t="s">
        <v>45</v>
      </c>
      <c r="D346" s="342"/>
      <c r="E346" s="195"/>
      <c r="G346" s="541"/>
      <c r="H346" s="531"/>
      <c r="I346" s="532"/>
    </row>
    <row r="347" spans="1:11" ht="13">
      <c r="A347" s="331">
        <v>2</v>
      </c>
      <c r="B347" s="330" t="s">
        <v>46</v>
      </c>
      <c r="D347" s="342"/>
      <c r="E347" s="195"/>
      <c r="G347" s="541"/>
      <c r="H347" s="531"/>
      <c r="I347" s="532"/>
    </row>
    <row r="348" spans="1:11" ht="13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3">
        <f>'FR-16(7)(v)-8 TOT CLASS Alloc'!H348</f>
        <v>15172790</v>
      </c>
      <c r="G348" s="542">
        <f>'FR-16(7)(v)-5 DISTR Dem Alloc'!H348</f>
        <v>0</v>
      </c>
      <c r="H348" s="533">
        <f>'FR-16(7)(v)-3 PROD Comm Alloc'!H348</f>
        <v>15172790</v>
      </c>
      <c r="I348" s="534">
        <f>'FR-16(7)(v)-6 DISTR Cust Alloc'!H348</f>
        <v>0</v>
      </c>
      <c r="J348" s="345">
        <f>SUM(G348:I348)</f>
        <v>15172790</v>
      </c>
      <c r="K348" s="345">
        <f>F348-J348</f>
        <v>0</v>
      </c>
    </row>
    <row r="349" spans="1:11" ht="13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3">
        <f>'FR-16(7)(v)-8 TOT CLASS Alloc'!H349</f>
        <v>318393</v>
      </c>
      <c r="G349" s="542">
        <f>'FR-16(7)(v)-5 DISTR Dem Alloc'!H349</f>
        <v>0</v>
      </c>
      <c r="H349" s="533">
        <f>'FR-16(7)(v)-3 PROD Comm Alloc'!H349</f>
        <v>318393</v>
      </c>
      <c r="I349" s="534">
        <f>'FR-16(7)(v)-6 DISTR Cust Alloc'!H349</f>
        <v>0</v>
      </c>
      <c r="J349" s="345">
        <f>SUM(G349:I349)</f>
        <v>318393</v>
      </c>
      <c r="K349" s="345">
        <f>F349-J349</f>
        <v>0</v>
      </c>
    </row>
    <row r="350" spans="1:11" ht="13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K350" si="65">SUM(F348:F349)</f>
        <v>15491183</v>
      </c>
      <c r="G350" s="543">
        <f t="shared" si="65"/>
        <v>0</v>
      </c>
      <c r="H350" s="535">
        <f t="shared" si="65"/>
        <v>15491183</v>
      </c>
      <c r="I350" s="536">
        <f t="shared" si="65"/>
        <v>0</v>
      </c>
      <c r="J350" s="346">
        <f t="shared" si="65"/>
        <v>15491183</v>
      </c>
      <c r="K350" s="346">
        <f t="shared" si="65"/>
        <v>0</v>
      </c>
    </row>
    <row r="351" spans="1:11" ht="13">
      <c r="A351" s="331">
        <v>6</v>
      </c>
      <c r="D351" s="342"/>
      <c r="E351" s="195"/>
      <c r="G351" s="541"/>
      <c r="H351" s="531"/>
      <c r="I351" s="532"/>
    </row>
    <row r="352" spans="1:11" ht="13">
      <c r="A352" s="331">
        <v>7</v>
      </c>
      <c r="B352" s="357" t="s">
        <v>47</v>
      </c>
      <c r="C352" s="357"/>
      <c r="D352" s="342"/>
      <c r="E352" s="195"/>
      <c r="F352" s="345"/>
      <c r="G352" s="542"/>
      <c r="H352" s="533"/>
      <c r="I352" s="534"/>
      <c r="J352" s="345"/>
      <c r="K352" s="345"/>
    </row>
    <row r="353" spans="1:11" ht="13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3">
        <f>'FR-16(7)(v)-8 TOT CLASS Alloc'!H353</f>
        <v>0</v>
      </c>
      <c r="G353" s="542">
        <f>'FR-16(7)(v)-5 DISTR Dem Alloc'!H353</f>
        <v>0</v>
      </c>
      <c r="H353" s="533">
        <f>'FR-16(7)(v)-3 PROD Comm Alloc'!H353</f>
        <v>0</v>
      </c>
      <c r="I353" s="534">
        <f>'FR-16(7)(v)-6 DISTR Cust Alloc'!H353</f>
        <v>0</v>
      </c>
      <c r="J353" s="345">
        <f>SUM(G353:I353)</f>
        <v>0</v>
      </c>
      <c r="K353" s="345">
        <f>F353-J353</f>
        <v>0</v>
      </c>
    </row>
    <row r="354" spans="1:11" ht="13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K354" si="66">SUM(F352:F353)</f>
        <v>0</v>
      </c>
      <c r="G354" s="543">
        <f t="shared" si="66"/>
        <v>0</v>
      </c>
      <c r="H354" s="535">
        <f t="shared" si="66"/>
        <v>0</v>
      </c>
      <c r="I354" s="536">
        <f t="shared" si="66"/>
        <v>0</v>
      </c>
      <c r="J354" s="346">
        <f t="shared" si="66"/>
        <v>0</v>
      </c>
      <c r="K354" s="346">
        <f t="shared" si="66"/>
        <v>0</v>
      </c>
    </row>
    <row r="355" spans="1:11" ht="13">
      <c r="A355" s="331">
        <v>10</v>
      </c>
      <c r="D355" s="342"/>
      <c r="E355" s="195"/>
      <c r="G355" s="541"/>
      <c r="H355" s="531"/>
      <c r="I355" s="532"/>
    </row>
    <row r="356" spans="1:11" ht="13">
      <c r="A356" s="331">
        <v>11</v>
      </c>
      <c r="B356" s="330" t="s">
        <v>1000</v>
      </c>
      <c r="D356" s="342"/>
      <c r="E356" s="195"/>
      <c r="G356" s="541"/>
      <c r="H356" s="531"/>
      <c r="I356" s="532"/>
    </row>
    <row r="357" spans="1:11" ht="13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3">
        <f>'FR-16(7)(v)-8 TOT CLASS Alloc'!H357</f>
        <v>0</v>
      </c>
      <c r="G357" s="542">
        <f>'FR-16(7)(v)-5 DISTR Dem Alloc'!H357</f>
        <v>0</v>
      </c>
      <c r="H357" s="533">
        <f>'FR-16(7)(v)-3 PROD Comm Alloc'!H357</f>
        <v>0</v>
      </c>
      <c r="I357" s="534">
        <f>'FR-16(7)(v)-6 DISTR Cust Alloc'!H357</f>
        <v>0</v>
      </c>
      <c r="J357" s="345">
        <f>SUM(G357:I357)</f>
        <v>0</v>
      </c>
      <c r="K357" s="345">
        <f>F357-J357</f>
        <v>0</v>
      </c>
    </row>
    <row r="358" spans="1:11" ht="13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K358" si="67">SUM(F356:F357)</f>
        <v>0</v>
      </c>
      <c r="G358" s="543">
        <f t="shared" si="67"/>
        <v>0</v>
      </c>
      <c r="H358" s="535">
        <f t="shared" si="67"/>
        <v>0</v>
      </c>
      <c r="I358" s="536">
        <f t="shared" si="67"/>
        <v>0</v>
      </c>
      <c r="J358" s="346">
        <f t="shared" si="67"/>
        <v>0</v>
      </c>
      <c r="K358" s="346">
        <f t="shared" si="67"/>
        <v>0</v>
      </c>
    </row>
    <row r="359" spans="1:11" ht="13">
      <c r="A359" s="331">
        <v>14</v>
      </c>
      <c r="D359" s="342"/>
      <c r="E359" s="195"/>
      <c r="F359" s="345"/>
      <c r="G359" s="542"/>
      <c r="H359" s="533"/>
      <c r="I359" s="534"/>
      <c r="J359" s="345"/>
      <c r="K359" s="345"/>
    </row>
    <row r="360" spans="1:11" ht="13">
      <c r="A360" s="331">
        <v>15</v>
      </c>
      <c r="B360" s="330" t="s">
        <v>48</v>
      </c>
      <c r="D360" s="342"/>
      <c r="E360" s="195" t="s">
        <v>343</v>
      </c>
      <c r="F360" s="345">
        <f t="shared" ref="F360:K360" si="68">F358+F354+F350</f>
        <v>15491183</v>
      </c>
      <c r="G360" s="542">
        <f t="shared" si="68"/>
        <v>0</v>
      </c>
      <c r="H360" s="533">
        <f t="shared" si="68"/>
        <v>15491183</v>
      </c>
      <c r="I360" s="534">
        <f t="shared" si="68"/>
        <v>0</v>
      </c>
      <c r="J360" s="345">
        <f t="shared" si="68"/>
        <v>15491183</v>
      </c>
      <c r="K360" s="345">
        <f t="shared" si="68"/>
        <v>0</v>
      </c>
    </row>
    <row r="361" spans="1:11" ht="13">
      <c r="A361" s="331">
        <v>16</v>
      </c>
      <c r="D361" s="342"/>
      <c r="E361" s="195"/>
      <c r="G361" s="541"/>
      <c r="H361" s="531"/>
      <c r="I361" s="532"/>
    </row>
    <row r="362" spans="1:11" ht="13">
      <c r="A362" s="331">
        <v>17</v>
      </c>
      <c r="B362" s="330" t="s">
        <v>49</v>
      </c>
      <c r="D362" s="342"/>
      <c r="E362" s="195"/>
      <c r="G362" s="541"/>
      <c r="H362" s="531"/>
      <c r="I362" s="532"/>
    </row>
    <row r="363" spans="1:11" ht="13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1"/>
      <c r="G363" s="542"/>
      <c r="H363" s="533"/>
      <c r="I363" s="534"/>
      <c r="J363" s="345"/>
      <c r="K363" s="345"/>
    </row>
    <row r="364" spans="1:11" ht="13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K364" si="69">SUM(F363)</f>
        <v>0</v>
      </c>
      <c r="G364" s="543">
        <f t="shared" si="69"/>
        <v>0</v>
      </c>
      <c r="H364" s="535">
        <f t="shared" si="69"/>
        <v>0</v>
      </c>
      <c r="I364" s="536">
        <f t="shared" si="69"/>
        <v>0</v>
      </c>
      <c r="J364" s="346">
        <f t="shared" si="69"/>
        <v>0</v>
      </c>
      <c r="K364" s="346">
        <f t="shared" si="69"/>
        <v>0</v>
      </c>
    </row>
    <row r="365" spans="1:11" ht="13">
      <c r="A365" s="331">
        <v>20</v>
      </c>
      <c r="D365" s="342"/>
      <c r="E365" s="195"/>
      <c r="G365" s="541"/>
      <c r="H365" s="531"/>
      <c r="I365" s="532"/>
    </row>
    <row r="366" spans="1:11" ht="13">
      <c r="A366" s="331">
        <v>21</v>
      </c>
      <c r="B366" s="330" t="s">
        <v>50</v>
      </c>
      <c r="D366" s="342"/>
      <c r="E366" s="195"/>
      <c r="G366" s="541"/>
      <c r="H366" s="531"/>
      <c r="I366" s="532"/>
    </row>
    <row r="367" spans="1:11" ht="13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3">
        <f>'FR-16(7)(v)-8 TOT CLASS Alloc'!H367</f>
        <v>80059</v>
      </c>
      <c r="G367" s="542">
        <f>'FR-16(7)(v)-5 DISTR Dem Alloc'!H367</f>
        <v>80059</v>
      </c>
      <c r="H367" s="533">
        <f>'FR-16(7)(v)-3 PROD Comm Alloc'!H367</f>
        <v>0</v>
      </c>
      <c r="I367" s="534">
        <f>'FR-16(7)(v)-6 DISTR Cust Alloc'!H367</f>
        <v>0</v>
      </c>
      <c r="J367" s="345">
        <f t="shared" ref="J367:J377" si="70">SUM(G367:I367)</f>
        <v>80059</v>
      </c>
      <c r="K367" s="345">
        <f t="shared" ref="K367:K377" si="71">F367-J367</f>
        <v>0</v>
      </c>
    </row>
    <row r="368" spans="1:11" ht="13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3">
        <f>'FR-16(7)(v)-8 TOT CLASS Alloc'!H368</f>
        <v>320035</v>
      </c>
      <c r="G368" s="542">
        <f>'FR-16(7)(v)-5 DISTR Dem Alloc'!H368</f>
        <v>261055</v>
      </c>
      <c r="H368" s="533">
        <f>'FR-16(7)(v)-3 PROD Comm Alloc'!H368</f>
        <v>0</v>
      </c>
      <c r="I368" s="534">
        <f>'FR-16(7)(v)-6 DISTR Cust Alloc'!H368</f>
        <v>58980</v>
      </c>
      <c r="J368" s="345">
        <f t="shared" si="70"/>
        <v>320035</v>
      </c>
      <c r="K368" s="345">
        <f t="shared" si="71"/>
        <v>0</v>
      </c>
    </row>
    <row r="369" spans="1:11" ht="13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3">
        <f>'FR-16(7)(v)-8 TOT CLASS Alloc'!H369</f>
        <v>61665</v>
      </c>
      <c r="G369" s="542">
        <f>'FR-16(7)(v)-5 DISTR Dem Alloc'!H369</f>
        <v>61665</v>
      </c>
      <c r="H369" s="533">
        <f>'FR-16(7)(v)-3 PROD Comm Alloc'!H369</f>
        <v>0</v>
      </c>
      <c r="I369" s="534">
        <f>'FR-16(7)(v)-6 DISTR Cust Alloc'!H369</f>
        <v>0</v>
      </c>
      <c r="J369" s="345">
        <f t="shared" si="70"/>
        <v>61665</v>
      </c>
      <c r="K369" s="345">
        <f t="shared" si="71"/>
        <v>0</v>
      </c>
    </row>
    <row r="370" spans="1:11" ht="13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3">
        <f>'FR-16(7)(v)-8 TOT CLASS Alloc'!H370</f>
        <v>401084</v>
      </c>
      <c r="G370" s="542">
        <f>'FR-16(7)(v)-5 DISTR Dem Alloc'!H370</f>
        <v>401084</v>
      </c>
      <c r="H370" s="533">
        <f>'FR-16(7)(v)-3 PROD Comm Alloc'!H370</f>
        <v>0</v>
      </c>
      <c r="I370" s="534">
        <f>'FR-16(7)(v)-6 DISTR Cust Alloc'!H370</f>
        <v>0</v>
      </c>
      <c r="J370" s="345">
        <f t="shared" si="70"/>
        <v>401084</v>
      </c>
      <c r="K370" s="345">
        <f t="shared" si="71"/>
        <v>0</v>
      </c>
    </row>
    <row r="371" spans="1:11" ht="13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3">
        <f>'FR-16(7)(v)-8 TOT CLASS Alloc'!H371</f>
        <v>135873</v>
      </c>
      <c r="G371" s="542">
        <f>'FR-16(7)(v)-5 DISTR Dem Alloc'!H371</f>
        <v>0</v>
      </c>
      <c r="H371" s="533">
        <f>'FR-16(7)(v)-3 PROD Comm Alloc'!H371</f>
        <v>0</v>
      </c>
      <c r="I371" s="534">
        <f>'FR-16(7)(v)-6 DISTR Cust Alloc'!H371</f>
        <v>135873</v>
      </c>
      <c r="J371" s="345">
        <f t="shared" si="70"/>
        <v>135873</v>
      </c>
      <c r="K371" s="345">
        <f t="shared" si="71"/>
        <v>0</v>
      </c>
    </row>
    <row r="372" spans="1:11" ht="13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3">
        <f>'FR-16(7)(v)-8 TOT CLASS Alloc'!H372</f>
        <v>349754</v>
      </c>
      <c r="G372" s="542">
        <f>'FR-16(7)(v)-5 DISTR Dem Alloc'!H372</f>
        <v>349754</v>
      </c>
      <c r="H372" s="533">
        <f>'FR-16(7)(v)-3 PROD Comm Alloc'!H372</f>
        <v>0</v>
      </c>
      <c r="I372" s="534">
        <f>'FR-16(7)(v)-6 DISTR Cust Alloc'!H372</f>
        <v>0</v>
      </c>
      <c r="J372" s="345">
        <f t="shared" si="70"/>
        <v>349754</v>
      </c>
      <c r="K372" s="345">
        <f t="shared" si="71"/>
        <v>0</v>
      </c>
    </row>
    <row r="373" spans="1:11" ht="13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3">
        <f>'FR-16(7)(v)-8 TOT CLASS Alloc'!H373</f>
        <v>77969</v>
      </c>
      <c r="G373" s="542">
        <f>'FR-16(7)(v)-5 DISTR Dem Alloc'!H373</f>
        <v>0</v>
      </c>
      <c r="H373" s="533">
        <f>'FR-16(7)(v)-3 PROD Comm Alloc'!H373</f>
        <v>0</v>
      </c>
      <c r="I373" s="534">
        <f>'FR-16(7)(v)-6 DISTR Cust Alloc'!H373</f>
        <v>77969</v>
      </c>
      <c r="J373" s="345">
        <f t="shared" si="70"/>
        <v>77969</v>
      </c>
      <c r="K373" s="345">
        <f t="shared" si="71"/>
        <v>0</v>
      </c>
    </row>
    <row r="374" spans="1:11" ht="13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3">
        <f>'FR-16(7)(v)-8 TOT CLASS Alloc'!H374</f>
        <v>0</v>
      </c>
      <c r="G374" s="542">
        <f>'FR-16(7)(v)-5 DISTR Dem Alloc'!H374</f>
        <v>0</v>
      </c>
      <c r="H374" s="533">
        <f>'FR-16(7)(v)-3 PROD Comm Alloc'!H374</f>
        <v>0</v>
      </c>
      <c r="I374" s="534">
        <f>'FR-16(7)(v)-6 DISTR Cust Alloc'!H374</f>
        <v>0</v>
      </c>
      <c r="J374" s="345">
        <f t="shared" si="70"/>
        <v>0</v>
      </c>
      <c r="K374" s="345">
        <f t="shared" si="71"/>
        <v>0</v>
      </c>
    </row>
    <row r="375" spans="1:11" ht="13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3">
        <f>'FR-16(7)(v)-8 TOT CLASS Alloc'!H375</f>
        <v>0</v>
      </c>
      <c r="G375" s="542">
        <f>'FR-16(7)(v)-5 DISTR Dem Alloc'!H375</f>
        <v>0</v>
      </c>
      <c r="H375" s="533">
        <f>'FR-16(7)(v)-3 PROD Comm Alloc'!H375</f>
        <v>0</v>
      </c>
      <c r="I375" s="534">
        <f>'FR-16(7)(v)-6 DISTR Cust Alloc'!H375</f>
        <v>0</v>
      </c>
      <c r="J375" s="345">
        <f t="shared" si="70"/>
        <v>0</v>
      </c>
      <c r="K375" s="345">
        <f t="shared" si="71"/>
        <v>0</v>
      </c>
    </row>
    <row r="376" spans="1:11" ht="13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3">
        <f>'FR-16(7)(v)-8 TOT CLASS Alloc'!H376</f>
        <v>0</v>
      </c>
      <c r="G376" s="542">
        <f>'FR-16(7)(v)-5 DISTR Dem Alloc'!H376</f>
        <v>0</v>
      </c>
      <c r="H376" s="533">
        <f>'FR-16(7)(v)-3 PROD Comm Alloc'!H376</f>
        <v>0</v>
      </c>
      <c r="I376" s="534">
        <f>'FR-16(7)(v)-6 DISTR Cust Alloc'!H376</f>
        <v>0</v>
      </c>
      <c r="J376" s="345">
        <f t="shared" si="70"/>
        <v>0</v>
      </c>
      <c r="K376" s="345">
        <f t="shared" si="71"/>
        <v>0</v>
      </c>
    </row>
    <row r="377" spans="1:11" ht="13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3">
        <f>'FR-16(7)(v)-8 TOT CLASS Alloc'!H377</f>
        <v>889485</v>
      </c>
      <c r="G377" s="542">
        <f>'FR-16(7)(v)-5 DISTR Dem Alloc'!H377</f>
        <v>889485</v>
      </c>
      <c r="H377" s="533">
        <f>'FR-16(7)(v)-3 PROD Comm Alloc'!H377</f>
        <v>0</v>
      </c>
      <c r="I377" s="534">
        <f>'FR-16(7)(v)-6 DISTR Cust Alloc'!H377</f>
        <v>0</v>
      </c>
      <c r="J377" s="345">
        <f t="shared" si="70"/>
        <v>889485</v>
      </c>
      <c r="K377" s="345">
        <f t="shared" si="71"/>
        <v>0</v>
      </c>
    </row>
    <row r="378" spans="1:11" ht="13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K378" si="72">SUM(F366:F377)</f>
        <v>2315924</v>
      </c>
      <c r="G378" s="543">
        <f t="shared" si="72"/>
        <v>2043102</v>
      </c>
      <c r="H378" s="535">
        <f t="shared" si="72"/>
        <v>0</v>
      </c>
      <c r="I378" s="536">
        <f t="shared" si="72"/>
        <v>272822</v>
      </c>
      <c r="J378" s="346">
        <f t="shared" si="72"/>
        <v>2315924</v>
      </c>
      <c r="K378" s="346">
        <f t="shared" si="72"/>
        <v>0</v>
      </c>
    </row>
    <row r="379" spans="1:11" ht="13">
      <c r="A379" s="331">
        <v>34</v>
      </c>
      <c r="C379" s="330" t="s">
        <v>343</v>
      </c>
      <c r="D379" s="342"/>
      <c r="E379" s="195"/>
      <c r="G379" s="541"/>
      <c r="H379" s="531"/>
      <c r="I379" s="532"/>
    </row>
    <row r="380" spans="1:11" ht="13">
      <c r="A380" s="331">
        <v>35</v>
      </c>
      <c r="B380" s="330" t="s">
        <v>51</v>
      </c>
      <c r="D380" s="342"/>
      <c r="E380" s="195"/>
      <c r="F380" s="330" t="s">
        <v>343</v>
      </c>
      <c r="G380" s="541"/>
      <c r="H380" s="531"/>
      <c r="I380" s="532"/>
    </row>
    <row r="381" spans="1:11" ht="13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3">
        <f>'FR-16(7)(v)-8 TOT CLASS Alloc'!H381</f>
        <v>14136</v>
      </c>
      <c r="G381" s="542">
        <f>'FR-16(7)(v)-5 DISTR Dem Alloc'!H381</f>
        <v>0</v>
      </c>
      <c r="H381" s="533">
        <f>'FR-16(7)(v)-3 PROD Comm Alloc'!H381</f>
        <v>0</v>
      </c>
      <c r="I381" s="534">
        <f>'FR-16(7)(v)-6 DISTR Cust Alloc'!H381</f>
        <v>14136</v>
      </c>
      <c r="J381" s="345">
        <f t="shared" ref="J381:J388" si="73">SUM(G381:I381)</f>
        <v>14136</v>
      </c>
      <c r="K381" s="345">
        <f t="shared" ref="K381:K388" si="74">F381-J381</f>
        <v>0</v>
      </c>
    </row>
    <row r="382" spans="1:11" ht="13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3">
        <f>'FR-16(7)(v)-8 TOT CLASS Alloc'!H382</f>
        <v>72</v>
      </c>
      <c r="G382" s="542">
        <f>'FR-16(7)(v)-5 DISTR Dem Alloc'!H382</f>
        <v>0</v>
      </c>
      <c r="H382" s="533">
        <f>'FR-16(7)(v)-3 PROD Comm Alloc'!H382</f>
        <v>0</v>
      </c>
      <c r="I382" s="534">
        <f>'FR-16(7)(v)-6 DISTR Cust Alloc'!H382</f>
        <v>72</v>
      </c>
      <c r="J382" s="345">
        <f t="shared" si="73"/>
        <v>72</v>
      </c>
      <c r="K382" s="345">
        <f t="shared" si="74"/>
        <v>0</v>
      </c>
    </row>
    <row r="383" spans="1:11" ht="13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3">
        <f>'FR-16(7)(v)-8 TOT CLASS Alloc'!H383</f>
        <v>320472</v>
      </c>
      <c r="G383" s="542">
        <f>'FR-16(7)(v)-5 DISTR Dem Alloc'!H383</f>
        <v>0</v>
      </c>
      <c r="H383" s="533">
        <f>'FR-16(7)(v)-3 PROD Comm Alloc'!H383</f>
        <v>0</v>
      </c>
      <c r="I383" s="534">
        <f>'FR-16(7)(v)-6 DISTR Cust Alloc'!H383</f>
        <v>320472</v>
      </c>
      <c r="J383" s="345">
        <f t="shared" si="73"/>
        <v>320472</v>
      </c>
      <c r="K383" s="345">
        <f t="shared" si="74"/>
        <v>0</v>
      </c>
    </row>
    <row r="384" spans="1:11" ht="13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3">
        <f>'FR-16(7)(v)-8 TOT CLASS Alloc'!H384</f>
        <v>-92515</v>
      </c>
      <c r="G384" s="542">
        <f>'FR-16(7)(v)-5 DISTR Dem Alloc'!H384</f>
        <v>0</v>
      </c>
      <c r="H384" s="533">
        <f>'FR-16(7)(v)-3 PROD Comm Alloc'!H384</f>
        <v>0</v>
      </c>
      <c r="I384" s="534">
        <f>'FR-16(7)(v)-6 DISTR Cust Alloc'!H384</f>
        <v>-92515</v>
      </c>
      <c r="J384" s="345">
        <f t="shared" si="73"/>
        <v>-92515</v>
      </c>
      <c r="K384" s="345">
        <f t="shared" si="74"/>
        <v>0</v>
      </c>
    </row>
    <row r="385" spans="1:11" ht="13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3">
        <f>'FR-16(7)(v)-8 TOT CLASS Alloc'!H385</f>
        <v>-2204</v>
      </c>
      <c r="G385" s="542">
        <f>'FR-16(7)(v)-5 DISTR Dem Alloc'!H385</f>
        <v>0</v>
      </c>
      <c r="H385" s="533">
        <f>'FR-16(7)(v)-3 PROD Comm Alloc'!H385</f>
        <v>0</v>
      </c>
      <c r="I385" s="534">
        <f>'FR-16(7)(v)-6 DISTR Cust Alloc'!H385</f>
        <v>-2204</v>
      </c>
      <c r="J385" s="345">
        <f t="shared" si="73"/>
        <v>-2204</v>
      </c>
      <c r="K385" s="345">
        <f t="shared" si="74"/>
        <v>0</v>
      </c>
    </row>
    <row r="386" spans="1:11" ht="13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3">
        <f>'FR-16(7)(v)-8 TOT CLASS Alloc'!H386</f>
        <v>88348</v>
      </c>
      <c r="G386" s="542">
        <f>'FR-16(7)(v)-5 DISTR Dem Alloc'!H386</f>
        <v>0</v>
      </c>
      <c r="H386" s="533">
        <f>'FR-16(7)(v)-3 PROD Comm Alloc'!H386</f>
        <v>0</v>
      </c>
      <c r="I386" s="534">
        <f>'FR-16(7)(v)-6 DISTR Cust Alloc'!H386</f>
        <v>88348</v>
      </c>
      <c r="J386" s="345">
        <f t="shared" si="73"/>
        <v>88348</v>
      </c>
      <c r="K386" s="345">
        <f t="shared" si="74"/>
        <v>0</v>
      </c>
    </row>
    <row r="387" spans="1:11" ht="13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3">
        <f>'FR-16(7)(v)-8 TOT CLASS Alloc'!H387</f>
        <v>0</v>
      </c>
      <c r="G387" s="542">
        <f>'FR-16(7)(v)-5 DISTR Dem Alloc'!H387</f>
        <v>0</v>
      </c>
      <c r="H387" s="533">
        <f>'FR-16(7)(v)-3 PROD Comm Alloc'!H387</f>
        <v>0</v>
      </c>
      <c r="I387" s="534">
        <f>'FR-16(7)(v)-6 DISTR Cust Alloc'!H387</f>
        <v>0</v>
      </c>
      <c r="J387" s="345">
        <f t="shared" si="73"/>
        <v>0</v>
      </c>
      <c r="K387" s="345">
        <f t="shared" si="74"/>
        <v>0</v>
      </c>
    </row>
    <row r="388" spans="1:11" ht="13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3">
        <f>'FR-16(7)(v)-8 TOT CLASS Alloc'!H388</f>
        <v>0</v>
      </c>
      <c r="G388" s="542">
        <f>'FR-16(7)(v)-5 DISTR Dem Alloc'!H388</f>
        <v>0</v>
      </c>
      <c r="H388" s="533">
        <f>'FR-16(7)(v)-3 PROD Comm Alloc'!H388</f>
        <v>0</v>
      </c>
      <c r="I388" s="534">
        <f>'FR-16(7)(v)-6 DISTR Cust Alloc'!H388</f>
        <v>0</v>
      </c>
      <c r="J388" s="345">
        <f t="shared" si="73"/>
        <v>0</v>
      </c>
      <c r="K388" s="345">
        <f t="shared" si="74"/>
        <v>0</v>
      </c>
    </row>
    <row r="389" spans="1:11" ht="13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K389" si="75">SUM(F380:F388)</f>
        <v>328309</v>
      </c>
      <c r="G389" s="551">
        <f t="shared" si="75"/>
        <v>0</v>
      </c>
      <c r="H389" s="552">
        <f t="shared" si="75"/>
        <v>0</v>
      </c>
      <c r="I389" s="553">
        <f t="shared" si="75"/>
        <v>328309</v>
      </c>
      <c r="J389" s="346">
        <f t="shared" si="75"/>
        <v>328309</v>
      </c>
      <c r="K389" s="346">
        <f t="shared" si="75"/>
        <v>0</v>
      </c>
    </row>
    <row r="390" spans="1:11" ht="13">
      <c r="B390" s="341"/>
      <c r="C390" s="195"/>
      <c r="D390" s="342"/>
      <c r="E390" s="195"/>
      <c r="F390" s="195"/>
      <c r="G390" s="195"/>
      <c r="H390" s="195"/>
      <c r="I390" s="195"/>
      <c r="J390" s="195"/>
      <c r="K390" s="195"/>
    </row>
    <row r="391" spans="1:11" ht="13">
      <c r="A391" s="341" t="str">
        <f>co_name</f>
        <v>DUKE ENERGY KENTUCKY, INC.</v>
      </c>
      <c r="C391" s="195"/>
      <c r="D391" s="342"/>
      <c r="E391" s="195"/>
      <c r="F391" s="195"/>
      <c r="G391" s="195"/>
      <c r="H391" s="195"/>
      <c r="I391" s="195"/>
      <c r="J391" s="195" t="str">
        <f>$J$1</f>
        <v>FR-16(7)(v)-10</v>
      </c>
      <c r="K391" s="195"/>
    </row>
    <row r="392" spans="1:11" ht="13">
      <c r="A392" s="341" t="str">
        <f>$A$2</f>
        <v>GS CLASSIFIED - GAS COST OF SERVICE</v>
      </c>
      <c r="C392" s="195"/>
      <c r="D392" s="342"/>
      <c r="E392" s="195"/>
      <c r="F392" s="195"/>
      <c r="G392" s="195"/>
      <c r="H392" s="195"/>
      <c r="I392" s="195"/>
      <c r="J392" s="195" t="str">
        <f>$J$2</f>
        <v>WITNESS RESPONSIBLE:</v>
      </c>
      <c r="K392" s="195"/>
    </row>
    <row r="393" spans="1:11" ht="13">
      <c r="A393" s="341" t="str">
        <f>case_name</f>
        <v>CASE NO: 2021-00190</v>
      </c>
      <c r="C393" s="195"/>
      <c r="D393" s="342"/>
      <c r="E393" s="195"/>
      <c r="F393" s="195"/>
      <c r="G393" s="195"/>
      <c r="H393" s="195"/>
      <c r="I393" s="195"/>
      <c r="J393" s="195" t="str">
        <f>Witness</f>
        <v>JAMES E. ZIOLKOWSKI</v>
      </c>
      <c r="K393" s="195"/>
    </row>
    <row r="394" spans="1:11" ht="13">
      <c r="A394" s="341" t="str">
        <f>data_filing</f>
        <v>DATA: 12 MONTH FORECASTED PERIOD</v>
      </c>
      <c r="C394" s="195"/>
      <c r="D394" s="342"/>
      <c r="E394" s="195"/>
      <c r="F394" s="195"/>
      <c r="G394" s="195"/>
      <c r="H394" s="195"/>
      <c r="I394" s="195"/>
      <c r="J394" s="195" t="str">
        <f>"PAGE "&amp;Pages2-6&amp;" OF "&amp;Pages2</f>
        <v>PAGE 9 OF 15</v>
      </c>
      <c r="K394" s="195"/>
    </row>
    <row r="395" spans="1:11" ht="13">
      <c r="A395" s="341" t="str">
        <f>type</f>
        <v xml:space="preserve">TYPE OF FILING: "X" ORIGINAL   UPDATED    REVISED  </v>
      </c>
      <c r="C395" s="195"/>
      <c r="D395" s="342"/>
      <c r="E395" s="195"/>
      <c r="F395" s="195"/>
      <c r="G395" s="195"/>
      <c r="H395" s="195"/>
      <c r="I395" s="195"/>
      <c r="J395" s="195"/>
      <c r="K395" s="195"/>
    </row>
    <row r="396" spans="1:11" ht="13">
      <c r="B396" s="341"/>
      <c r="C396" s="195"/>
      <c r="D396" s="342"/>
      <c r="E396" s="195"/>
      <c r="F396" s="195"/>
      <c r="G396" s="195"/>
      <c r="H396" s="195"/>
      <c r="I396" s="195"/>
      <c r="J396" s="195"/>
      <c r="K396" s="195"/>
    </row>
    <row r="397" spans="1:11" ht="13">
      <c r="B397" s="341"/>
      <c r="C397" s="195"/>
      <c r="D397" s="342"/>
      <c r="E397" s="195"/>
      <c r="F397" s="195"/>
      <c r="G397" s="195"/>
      <c r="H397" s="195"/>
      <c r="I397" s="195"/>
      <c r="J397" s="195"/>
      <c r="K397" s="195"/>
    </row>
    <row r="398" spans="1:11" ht="13">
      <c r="A398" s="342" t="s">
        <v>907</v>
      </c>
      <c r="B398" s="195"/>
      <c r="C398" s="195"/>
      <c r="D398" s="342"/>
      <c r="E398" s="195"/>
      <c r="F398" s="342" t="s">
        <v>229</v>
      </c>
      <c r="G398" s="539" t="s">
        <v>995</v>
      </c>
      <c r="H398" s="527"/>
      <c r="I398" s="528"/>
      <c r="J398" s="342" t="s">
        <v>229</v>
      </c>
      <c r="K398" s="342" t="s">
        <v>342</v>
      </c>
    </row>
    <row r="399" spans="1:11" ht="13">
      <c r="A399" s="344" t="s">
        <v>908</v>
      </c>
      <c r="B399" s="343" t="s">
        <v>44</v>
      </c>
      <c r="C399" s="343"/>
      <c r="D399" s="344" t="s">
        <v>337</v>
      </c>
      <c r="E399" s="343"/>
      <c r="F399" s="344" t="str">
        <f>$F$9</f>
        <v>GS</v>
      </c>
      <c r="G399" s="540" t="s">
        <v>840</v>
      </c>
      <c r="H399" s="529" t="s">
        <v>841</v>
      </c>
      <c r="I399" s="530" t="s">
        <v>842</v>
      </c>
      <c r="J399" s="344" t="s">
        <v>341</v>
      </c>
      <c r="K399" s="344" t="s">
        <v>340</v>
      </c>
    </row>
    <row r="400" spans="1:11" ht="13">
      <c r="C400" s="572" t="s">
        <v>557</v>
      </c>
      <c r="D400" s="342"/>
      <c r="E400" s="195"/>
      <c r="G400" s="793">
        <f>$G$10</f>
        <v>3</v>
      </c>
      <c r="H400" s="794">
        <f>$H$10</f>
        <v>4</v>
      </c>
      <c r="I400" s="795">
        <f>$I$10</f>
        <v>5</v>
      </c>
    </row>
    <row r="401" spans="1:11" ht="13">
      <c r="A401" s="331">
        <v>1</v>
      </c>
      <c r="B401" s="330" t="s">
        <v>52</v>
      </c>
      <c r="D401" s="342"/>
      <c r="E401" s="195"/>
      <c r="G401" s="541"/>
      <c r="H401" s="531"/>
      <c r="I401" s="532"/>
    </row>
    <row r="402" spans="1:11" ht="13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3">
        <f>'FR-16(7)(v)-8 TOT CLASS Alloc'!H402</f>
        <v>29327</v>
      </c>
      <c r="G402" s="542">
        <f>'FR-16(7)(v)-5 DISTR Dem Alloc'!H402</f>
        <v>0</v>
      </c>
      <c r="H402" s="533">
        <f>'FR-16(7)(v)-3 PROD Comm Alloc'!H402</f>
        <v>0</v>
      </c>
      <c r="I402" s="534">
        <f>'FR-16(7)(v)-6 DISTR Cust Alloc'!H402</f>
        <v>29327</v>
      </c>
      <c r="J402" s="345">
        <f>SUM(G402:I402)</f>
        <v>29327</v>
      </c>
      <c r="K402" s="345">
        <f>F402-J402</f>
        <v>0</v>
      </c>
    </row>
    <row r="403" spans="1:11" ht="13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K403" si="76">SUM(F402:F402)</f>
        <v>29327</v>
      </c>
      <c r="G403" s="543">
        <f t="shared" si="76"/>
        <v>0</v>
      </c>
      <c r="H403" s="535">
        <f t="shared" si="76"/>
        <v>0</v>
      </c>
      <c r="I403" s="536">
        <f t="shared" si="76"/>
        <v>29327</v>
      </c>
      <c r="J403" s="346">
        <f t="shared" si="76"/>
        <v>29327</v>
      </c>
      <c r="K403" s="346">
        <f t="shared" si="76"/>
        <v>0</v>
      </c>
    </row>
    <row r="404" spans="1:11" ht="13">
      <c r="A404" s="331">
        <v>4</v>
      </c>
      <c r="D404" s="342"/>
      <c r="E404" s="195"/>
      <c r="F404" s="345"/>
      <c r="G404" s="542"/>
      <c r="H404" s="533"/>
      <c r="I404" s="534"/>
      <c r="J404" s="345"/>
      <c r="K404" s="345"/>
    </row>
    <row r="405" spans="1:11" ht="13">
      <c r="A405" s="331">
        <v>5</v>
      </c>
      <c r="B405" s="330" t="s">
        <v>53</v>
      </c>
      <c r="D405" s="342"/>
      <c r="E405" s="195"/>
      <c r="F405" s="345"/>
      <c r="G405" s="542"/>
      <c r="H405" s="533"/>
      <c r="I405" s="534"/>
      <c r="J405" s="345"/>
      <c r="K405" s="345"/>
    </row>
    <row r="406" spans="1:11" ht="13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3">
        <f>'FR-16(7)(v)-8 TOT CLASS Alloc'!H406</f>
        <v>30099</v>
      </c>
      <c r="G406" s="542">
        <f>'FR-16(7)(v)-5 DISTR Dem Alloc'!H406</f>
        <v>0</v>
      </c>
      <c r="H406" s="533">
        <f>'FR-16(7)(v)-3 PROD Comm Alloc'!H406</f>
        <v>0</v>
      </c>
      <c r="I406" s="534">
        <f>'FR-16(7)(v)-6 DISTR Cust Alloc'!H406</f>
        <v>30099</v>
      </c>
      <c r="J406" s="345">
        <f>SUM(G406:I406)</f>
        <v>30099</v>
      </c>
      <c r="K406" s="345">
        <f>F406-J406</f>
        <v>0</v>
      </c>
    </row>
    <row r="407" spans="1:11" ht="13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K407" si="77">SUM(F405:F406)</f>
        <v>30099</v>
      </c>
      <c r="G407" s="543">
        <f t="shared" si="77"/>
        <v>0</v>
      </c>
      <c r="H407" s="535">
        <f t="shared" si="77"/>
        <v>0</v>
      </c>
      <c r="I407" s="536">
        <f t="shared" si="77"/>
        <v>30099</v>
      </c>
      <c r="J407" s="346">
        <f t="shared" si="77"/>
        <v>30099</v>
      </c>
      <c r="K407" s="346">
        <f t="shared" si="77"/>
        <v>0</v>
      </c>
    </row>
    <row r="408" spans="1:11" ht="13">
      <c r="A408" s="331">
        <v>8</v>
      </c>
      <c r="D408" s="342"/>
      <c r="E408" s="195"/>
      <c r="G408" s="541"/>
      <c r="H408" s="531"/>
      <c r="I408" s="532"/>
    </row>
    <row r="409" spans="1:11" ht="13">
      <c r="A409" s="331">
        <v>9</v>
      </c>
      <c r="B409" s="330" t="s">
        <v>54</v>
      </c>
      <c r="D409" s="342"/>
      <c r="E409" s="195"/>
      <c r="G409" s="541"/>
      <c r="H409" s="531"/>
      <c r="I409" s="532"/>
    </row>
    <row r="410" spans="1:11" ht="13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3">
        <f>'FR-16(7)(v)-8 TOT CLASS Alloc'!H410</f>
        <v>241287</v>
      </c>
      <c r="G410" s="542">
        <f>'FR-16(7)(v)-5 DISTR Dem Alloc'!H410</f>
        <v>0</v>
      </c>
      <c r="H410" s="533">
        <f>'FR-16(7)(v)-3 PROD Comm Alloc'!H410</f>
        <v>241287</v>
      </c>
      <c r="I410" s="534">
        <f>'FR-16(7)(v)-6 DISTR Cust Alloc'!H410</f>
        <v>0</v>
      </c>
      <c r="J410" s="345">
        <f t="shared" ref="J410:J415" si="78">SUM(G410:I410)</f>
        <v>241287</v>
      </c>
      <c r="K410" s="345">
        <f t="shared" ref="K410:K415" si="79">F410-J410</f>
        <v>0</v>
      </c>
    </row>
    <row r="411" spans="1:11" ht="13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3">
        <f>'FR-16(7)(v)-8 TOT CLASS Alloc'!H411</f>
        <v>179407</v>
      </c>
      <c r="G411" s="542">
        <f>'FR-16(7)(v)-5 DISTR Dem Alloc'!H411</f>
        <v>0</v>
      </c>
      <c r="H411" s="533">
        <f>'FR-16(7)(v)-3 PROD Comm Alloc'!H411</f>
        <v>179407</v>
      </c>
      <c r="I411" s="534">
        <f>'FR-16(7)(v)-6 DISTR Cust Alloc'!H411</f>
        <v>0</v>
      </c>
      <c r="J411" s="345">
        <f t="shared" si="78"/>
        <v>179407</v>
      </c>
      <c r="K411" s="345">
        <f t="shared" si="79"/>
        <v>0</v>
      </c>
    </row>
    <row r="412" spans="1:11" ht="13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3">
        <f>'FR-16(7)(v)-8 TOT CLASS Alloc'!H412</f>
        <v>1208365</v>
      </c>
      <c r="G412" s="542">
        <f>'FR-16(7)(v)-5 DISTR Dem Alloc'!H412</f>
        <v>1066022</v>
      </c>
      <c r="H412" s="533">
        <f>'FR-16(7)(v)-3 PROD Comm Alloc'!H412</f>
        <v>0</v>
      </c>
      <c r="I412" s="534">
        <f>'FR-16(7)(v)-6 DISTR Cust Alloc'!H412</f>
        <v>142343</v>
      </c>
      <c r="J412" s="345">
        <f t="shared" si="78"/>
        <v>1208365</v>
      </c>
      <c r="K412" s="345">
        <f t="shared" si="79"/>
        <v>0</v>
      </c>
    </row>
    <row r="413" spans="1:11" ht="13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3">
        <f>'FR-16(7)(v)-8 TOT CLASS Alloc'!H413</f>
        <v>129425</v>
      </c>
      <c r="G413" s="542">
        <f>'FR-16(7)(v)-5 DISTR Dem Alloc'!H413</f>
        <v>0</v>
      </c>
      <c r="H413" s="533">
        <f>'FR-16(7)(v)-3 PROD Comm Alloc'!H413</f>
        <v>0</v>
      </c>
      <c r="I413" s="534">
        <f>'FR-16(7)(v)-6 DISTR Cust Alloc'!H413</f>
        <v>129425</v>
      </c>
      <c r="J413" s="345">
        <f t="shared" si="78"/>
        <v>129425</v>
      </c>
      <c r="K413" s="345">
        <f t="shared" si="79"/>
        <v>0</v>
      </c>
    </row>
    <row r="414" spans="1:11" ht="13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3">
        <f>'FR-16(7)(v)-8 TOT CLASS Alloc'!H414</f>
        <v>12530</v>
      </c>
      <c r="G414" s="542">
        <f>'FR-16(7)(v)-5 DISTR Dem Alloc'!H414</f>
        <v>0</v>
      </c>
      <c r="H414" s="533">
        <f>'FR-16(7)(v)-3 PROD Comm Alloc'!H414</f>
        <v>0</v>
      </c>
      <c r="I414" s="534">
        <f>'FR-16(7)(v)-6 DISTR Cust Alloc'!H414</f>
        <v>12530</v>
      </c>
      <c r="J414" s="345">
        <f t="shared" si="78"/>
        <v>12530</v>
      </c>
      <c r="K414" s="345">
        <f t="shared" si="79"/>
        <v>0</v>
      </c>
    </row>
    <row r="415" spans="1:11" ht="13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3">
        <f>'FR-16(7)(v)-8 TOT CLASS Alloc'!H415</f>
        <v>0</v>
      </c>
      <c r="G415" s="542">
        <f>'FR-16(7)(v)-5 DISTR Dem Alloc'!H415</f>
        <v>0</v>
      </c>
      <c r="H415" s="533">
        <f>'FR-16(7)(v)-3 PROD Comm Alloc'!H415</f>
        <v>0</v>
      </c>
      <c r="I415" s="534">
        <f>'FR-16(7)(v)-6 DISTR Cust Alloc'!H415</f>
        <v>0</v>
      </c>
      <c r="J415" s="345">
        <f t="shared" si="78"/>
        <v>0</v>
      </c>
      <c r="K415" s="496">
        <f t="shared" si="79"/>
        <v>0</v>
      </c>
    </row>
    <row r="416" spans="1:11" ht="13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7">
        <f t="shared" ref="F416:K416" si="80">SUM(F410:F415)</f>
        <v>1771014</v>
      </c>
      <c r="G416" s="557">
        <f t="shared" si="80"/>
        <v>1066022</v>
      </c>
      <c r="H416" s="558">
        <f t="shared" si="80"/>
        <v>420694</v>
      </c>
      <c r="I416" s="559">
        <f t="shared" si="80"/>
        <v>284298</v>
      </c>
      <c r="J416" s="1018">
        <f t="shared" si="80"/>
        <v>1771014</v>
      </c>
      <c r="K416" s="471">
        <f t="shared" si="80"/>
        <v>0</v>
      </c>
    </row>
    <row r="417" spans="1:11" ht="13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3">
        <f>'FR-16(7)(v)-8 TOT CLASS Alloc'!H417</f>
        <v>17000</v>
      </c>
      <c r="G417" s="542">
        <f>'FR-16(7)(v)-5 DISTR Dem Alloc'!H417</f>
        <v>10233</v>
      </c>
      <c r="H417" s="533">
        <f>'FR-16(7)(v)-3 PROD Comm Alloc'!H417</f>
        <v>4038</v>
      </c>
      <c r="I417" s="534">
        <f>'FR-16(7)(v)-6 DISTR Cust Alloc'!H417</f>
        <v>2729</v>
      </c>
      <c r="J417" s="345">
        <f t="shared" ref="J417:J430" si="81">SUM(G417:I417)</f>
        <v>17000</v>
      </c>
      <c r="K417" s="345">
        <f t="shared" ref="K417:K430" si="82">F417-J417</f>
        <v>0</v>
      </c>
    </row>
    <row r="418" spans="1:11" ht="13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3">
        <f>'FR-16(7)(v)-8 TOT CLASS Alloc'!H418</f>
        <v>-140284</v>
      </c>
      <c r="G418" s="542">
        <f>'FR-16(7)(v)-5 DISTR Dem Alloc'!H418</f>
        <v>-84440</v>
      </c>
      <c r="H418" s="533">
        <f>'FR-16(7)(v)-3 PROD Comm Alloc'!H418</f>
        <v>-33324</v>
      </c>
      <c r="I418" s="534">
        <f>'FR-16(7)(v)-6 DISTR Cust Alloc'!H418</f>
        <v>-22520</v>
      </c>
      <c r="J418" s="345">
        <f t="shared" si="81"/>
        <v>-140284</v>
      </c>
      <c r="K418" s="345">
        <f t="shared" si="82"/>
        <v>0</v>
      </c>
    </row>
    <row r="419" spans="1:11" ht="13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3">
        <f>'FR-16(7)(v)-8 TOT CLASS Alloc'!H419</f>
        <v>-48596</v>
      </c>
      <c r="G419" s="542">
        <f>'FR-16(7)(v)-5 DISTR Dem Alloc'!H419</f>
        <v>-29251</v>
      </c>
      <c r="H419" s="533">
        <f>'FR-16(7)(v)-3 PROD Comm Alloc'!H419</f>
        <v>-11544</v>
      </c>
      <c r="I419" s="534">
        <f>'FR-16(7)(v)-6 DISTR Cust Alloc'!H419</f>
        <v>-7801</v>
      </c>
      <c r="J419" s="345">
        <f t="shared" si="81"/>
        <v>-48596</v>
      </c>
      <c r="K419" s="345">
        <f t="shared" si="82"/>
        <v>0</v>
      </c>
    </row>
    <row r="420" spans="1:11" ht="13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3">
        <f>'FR-16(7)(v)-8 TOT CLASS Alloc'!H420</f>
        <v>0</v>
      </c>
      <c r="G420" s="542">
        <f>'FR-16(7)(v)-5 DISTR Dem Alloc'!H420</f>
        <v>0</v>
      </c>
      <c r="H420" s="533">
        <f>'FR-16(7)(v)-3 PROD Comm Alloc'!H420</f>
        <v>0</v>
      </c>
      <c r="I420" s="534">
        <f>'FR-16(7)(v)-6 DISTR Cust Alloc'!H420</f>
        <v>0</v>
      </c>
      <c r="J420" s="345">
        <f t="shared" si="81"/>
        <v>0</v>
      </c>
      <c r="K420" s="345">
        <f t="shared" si="82"/>
        <v>0</v>
      </c>
    </row>
    <row r="421" spans="1:11" ht="13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3">
        <f>'FR-16(7)(v)-8 TOT CLASS Alloc'!H421</f>
        <v>98057</v>
      </c>
      <c r="G421" s="542">
        <f>'FR-16(7)(v)-5 DISTR Dem Alloc'!H421</f>
        <v>59023</v>
      </c>
      <c r="H421" s="533">
        <f>'FR-16(7)(v)-3 PROD Comm Alloc'!H421</f>
        <v>23293</v>
      </c>
      <c r="I421" s="534">
        <f>'FR-16(7)(v)-6 DISTR Cust Alloc'!H421</f>
        <v>15741</v>
      </c>
      <c r="J421" s="345">
        <f t="shared" si="81"/>
        <v>98057</v>
      </c>
      <c r="K421" s="345">
        <f t="shared" si="82"/>
        <v>0</v>
      </c>
    </row>
    <row r="422" spans="1:11" ht="13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3">
        <f>'FR-16(7)(v)-8 TOT CLASS Alloc'!H422</f>
        <v>0</v>
      </c>
      <c r="G422" s="542">
        <f>'FR-16(7)(v)-5 DISTR Dem Alloc'!H422</f>
        <v>0</v>
      </c>
      <c r="H422" s="533">
        <f>'FR-16(7)(v)-3 PROD Comm Alloc'!H422</f>
        <v>0</v>
      </c>
      <c r="I422" s="534">
        <f>'FR-16(7)(v)-6 DISTR Cust Alloc'!H422</f>
        <v>0</v>
      </c>
      <c r="J422" s="345">
        <f t="shared" si="81"/>
        <v>0</v>
      </c>
      <c r="K422" s="345">
        <f t="shared" si="82"/>
        <v>0</v>
      </c>
    </row>
    <row r="423" spans="1:11" ht="13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3">
        <f>'FR-16(7)(v)-8 TOT CLASS Alloc'!H423</f>
        <v>0</v>
      </c>
      <c r="G423" s="542">
        <f>'FR-16(7)(v)-5 DISTR Dem Alloc'!H423</f>
        <v>0</v>
      </c>
      <c r="H423" s="533">
        <f>'FR-16(7)(v)-3 PROD Comm Alloc'!H423</f>
        <v>0</v>
      </c>
      <c r="I423" s="534">
        <f>'FR-16(7)(v)-6 DISTR Cust Alloc'!H423</f>
        <v>0</v>
      </c>
      <c r="J423" s="345">
        <f t="shared" si="81"/>
        <v>0</v>
      </c>
      <c r="K423" s="345">
        <f t="shared" si="82"/>
        <v>0</v>
      </c>
    </row>
    <row r="424" spans="1:11" ht="13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3">
        <f>'FR-16(7)(v)-8 TOT CLASS Alloc'!H424</f>
        <v>0</v>
      </c>
      <c r="G424" s="542">
        <f>'FR-16(7)(v)-5 DISTR Dem Alloc'!H424</f>
        <v>0</v>
      </c>
      <c r="H424" s="533">
        <f>'FR-16(7)(v)-3 PROD Comm Alloc'!H424</f>
        <v>0</v>
      </c>
      <c r="I424" s="534">
        <f>'FR-16(7)(v)-6 DISTR Cust Alloc'!H424</f>
        <v>0</v>
      </c>
      <c r="J424" s="345">
        <f t="shared" ref="J424:J429" si="83">SUM(G424:I424)</f>
        <v>0</v>
      </c>
      <c r="K424" s="345">
        <f t="shared" ref="K424:K429" si="84">F424-J424</f>
        <v>0</v>
      </c>
    </row>
    <row r="425" spans="1:11" ht="13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3">
        <f>'FR-16(7)(v)-8 TOT CLASS Alloc'!H425</f>
        <v>0</v>
      </c>
      <c r="G425" s="542">
        <f>'FR-16(7)(v)-5 DISTR Dem Alloc'!H425</f>
        <v>0</v>
      </c>
      <c r="H425" s="533">
        <f>'FR-16(7)(v)-3 PROD Comm Alloc'!H425</f>
        <v>0</v>
      </c>
      <c r="I425" s="534">
        <f>'FR-16(7)(v)-6 DISTR Cust Alloc'!H425</f>
        <v>0</v>
      </c>
      <c r="J425" s="345">
        <f t="shared" si="83"/>
        <v>0</v>
      </c>
      <c r="K425" s="345">
        <f t="shared" si="84"/>
        <v>0</v>
      </c>
    </row>
    <row r="426" spans="1:11" ht="13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3">
        <f>'FR-16(7)(v)-8 TOT CLASS Alloc'!H426</f>
        <v>0</v>
      </c>
      <c r="G426" s="542">
        <f>'FR-16(7)(v)-5 DISTR Dem Alloc'!H426</f>
        <v>0</v>
      </c>
      <c r="H426" s="533">
        <f>'FR-16(7)(v)-3 PROD Comm Alloc'!H426</f>
        <v>0</v>
      </c>
      <c r="I426" s="534">
        <f>'FR-16(7)(v)-6 DISTR Cust Alloc'!H426</f>
        <v>0</v>
      </c>
      <c r="J426" s="345">
        <f t="shared" si="83"/>
        <v>0</v>
      </c>
      <c r="K426" s="345">
        <f t="shared" si="84"/>
        <v>0</v>
      </c>
    </row>
    <row r="427" spans="1:11" ht="13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3">
        <f>'FR-16(7)(v)-8 TOT CLASS Alloc'!H427</f>
        <v>0</v>
      </c>
      <c r="G427" s="542">
        <f>'FR-16(7)(v)-5 DISTR Dem Alloc'!H427</f>
        <v>0</v>
      </c>
      <c r="H427" s="533">
        <f>'FR-16(7)(v)-3 PROD Comm Alloc'!H427</f>
        <v>0</v>
      </c>
      <c r="I427" s="534">
        <f>'FR-16(7)(v)-6 DISTR Cust Alloc'!H427</f>
        <v>0</v>
      </c>
      <c r="J427" s="345">
        <f t="shared" si="83"/>
        <v>0</v>
      </c>
      <c r="K427" s="345">
        <f t="shared" si="84"/>
        <v>0</v>
      </c>
    </row>
    <row r="428" spans="1:11" ht="13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3">
        <f>'FR-16(7)(v)-8 TOT CLASS Alloc'!H428</f>
        <v>0</v>
      </c>
      <c r="G428" s="542">
        <f>'FR-16(7)(v)-5 DISTR Dem Alloc'!H428</f>
        <v>0</v>
      </c>
      <c r="H428" s="533">
        <f>'FR-16(7)(v)-3 PROD Comm Alloc'!H428</f>
        <v>0</v>
      </c>
      <c r="I428" s="534">
        <f>'FR-16(7)(v)-6 DISTR Cust Alloc'!H428</f>
        <v>0</v>
      </c>
      <c r="J428" s="345">
        <f t="shared" si="83"/>
        <v>0</v>
      </c>
      <c r="K428" s="345">
        <f t="shared" si="84"/>
        <v>0</v>
      </c>
    </row>
    <row r="429" spans="1:11" ht="13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3">
        <f>'FR-16(7)(v)-8 TOT CLASS Alloc'!H429</f>
        <v>0</v>
      </c>
      <c r="G429" s="542">
        <f>'FR-16(7)(v)-5 DISTR Dem Alloc'!H429</f>
        <v>0</v>
      </c>
      <c r="H429" s="533">
        <f>'FR-16(7)(v)-3 PROD Comm Alloc'!H429</f>
        <v>0</v>
      </c>
      <c r="I429" s="534">
        <f>'FR-16(7)(v)-6 DISTR Cust Alloc'!H429</f>
        <v>0</v>
      </c>
      <c r="J429" s="345">
        <f t="shared" si="83"/>
        <v>0</v>
      </c>
      <c r="K429" s="345">
        <f t="shared" si="84"/>
        <v>0</v>
      </c>
    </row>
    <row r="430" spans="1:11" ht="13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3">
        <f>'FR-16(7)(v)-8 TOT CLASS Alloc'!H430</f>
        <v>0</v>
      </c>
      <c r="G430" s="542">
        <f>'FR-16(7)(v)-5 DISTR Dem Alloc'!H430</f>
        <v>0</v>
      </c>
      <c r="H430" s="533">
        <f>'FR-16(7)(v)-3 PROD Comm Alloc'!H430</f>
        <v>0</v>
      </c>
      <c r="I430" s="534">
        <f>'FR-16(7)(v)-6 DISTR Cust Alloc'!H430</f>
        <v>0</v>
      </c>
      <c r="J430" s="345">
        <f t="shared" si="81"/>
        <v>0</v>
      </c>
      <c r="K430" s="345">
        <f t="shared" si="82"/>
        <v>0</v>
      </c>
    </row>
    <row r="431" spans="1:11" ht="13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K431" si="85">SUM(F416:F430)</f>
        <v>1697191</v>
      </c>
      <c r="G431" s="543">
        <f t="shared" si="85"/>
        <v>1021587</v>
      </c>
      <c r="H431" s="535">
        <f t="shared" si="85"/>
        <v>403157</v>
      </c>
      <c r="I431" s="536">
        <f t="shared" si="85"/>
        <v>272447</v>
      </c>
      <c r="J431" s="346">
        <f t="shared" si="85"/>
        <v>1697191</v>
      </c>
      <c r="K431" s="346">
        <f t="shared" si="85"/>
        <v>0</v>
      </c>
    </row>
    <row r="432" spans="1:11" ht="13">
      <c r="A432" s="331">
        <v>32</v>
      </c>
      <c r="D432" s="342"/>
      <c r="E432" s="195"/>
      <c r="F432" s="333"/>
      <c r="G432" s="542"/>
      <c r="H432" s="533"/>
      <c r="I432" s="534"/>
      <c r="J432" s="345"/>
      <c r="K432" s="345"/>
    </row>
    <row r="433" spans="1:11" ht="13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K433" si="86">F431+F407+F403+F389+F378+F364+F360</f>
        <v>19892033</v>
      </c>
      <c r="G433" s="544">
        <f t="shared" si="86"/>
        <v>3064689</v>
      </c>
      <c r="H433" s="537">
        <f t="shared" si="86"/>
        <v>15894340</v>
      </c>
      <c r="I433" s="538">
        <f t="shared" si="86"/>
        <v>933004</v>
      </c>
      <c r="J433" s="345">
        <f t="shared" si="86"/>
        <v>19892033</v>
      </c>
      <c r="K433" s="345">
        <f t="shared" si="86"/>
        <v>0</v>
      </c>
    </row>
    <row r="434" spans="1:11" ht="13">
      <c r="B434" s="341"/>
      <c r="C434" s="195"/>
      <c r="D434" s="342"/>
      <c r="E434" s="195"/>
      <c r="F434" s="195"/>
      <c r="G434" s="195"/>
      <c r="H434" s="195"/>
      <c r="I434" s="195"/>
      <c r="J434" s="195"/>
      <c r="K434" s="195"/>
    </row>
    <row r="435" spans="1:11" ht="13">
      <c r="A435" s="341" t="str">
        <f>co_name</f>
        <v>DUKE ENERGY KENTUCKY, INC.</v>
      </c>
      <c r="C435" s="195"/>
      <c r="D435" s="342"/>
      <c r="E435" s="195"/>
      <c r="F435" s="195"/>
      <c r="G435" s="195"/>
      <c r="H435" s="195"/>
      <c r="I435" s="195"/>
      <c r="J435" s="195" t="str">
        <f>$J$1</f>
        <v>FR-16(7)(v)-10</v>
      </c>
      <c r="K435" s="195"/>
    </row>
    <row r="436" spans="1:11" ht="13">
      <c r="A436" s="341" t="str">
        <f>$A$2</f>
        <v>GS CLASSIFIED - GAS COST OF SERVICE</v>
      </c>
      <c r="C436" s="195"/>
      <c r="D436" s="342"/>
      <c r="E436" s="195"/>
      <c r="F436" s="195"/>
      <c r="G436" s="195"/>
      <c r="H436" s="195"/>
      <c r="I436" s="195"/>
      <c r="J436" s="195" t="str">
        <f>$J$2</f>
        <v>WITNESS RESPONSIBLE:</v>
      </c>
      <c r="K436" s="195"/>
    </row>
    <row r="437" spans="1:11" ht="13">
      <c r="A437" s="341" t="str">
        <f>case_name</f>
        <v>CASE NO: 2021-00190</v>
      </c>
      <c r="C437" s="195"/>
      <c r="D437" s="342"/>
      <c r="E437" s="195"/>
      <c r="F437" s="195"/>
      <c r="G437" s="195"/>
      <c r="H437" s="195"/>
      <c r="I437" s="195"/>
      <c r="J437" s="195" t="str">
        <f>Witness</f>
        <v>JAMES E. ZIOLKOWSKI</v>
      </c>
      <c r="K437" s="195"/>
    </row>
    <row r="438" spans="1:11" ht="13">
      <c r="A438" s="341" t="str">
        <f>data_filing</f>
        <v>DATA: 12 MONTH FORECASTED PERIOD</v>
      </c>
      <c r="C438" s="195"/>
      <c r="D438" s="342"/>
      <c r="E438" s="195"/>
      <c r="F438" s="195"/>
      <c r="G438" s="195"/>
      <c r="H438" s="195"/>
      <c r="I438" s="195"/>
      <c r="J438" s="195" t="str">
        <f>"PAGE "&amp;Pages2-5&amp;" OF "&amp;Pages2</f>
        <v>PAGE 10 OF 15</v>
      </c>
      <c r="K438" s="195"/>
    </row>
    <row r="439" spans="1:11" ht="13">
      <c r="A439" s="341" t="str">
        <f>type</f>
        <v xml:space="preserve">TYPE OF FILING: "X" ORIGINAL   UPDATED    REVISED  </v>
      </c>
      <c r="C439" s="195"/>
      <c r="D439" s="342"/>
      <c r="E439" s="195"/>
      <c r="F439" s="195"/>
      <c r="G439" s="195"/>
      <c r="H439" s="195"/>
      <c r="I439" s="195"/>
      <c r="J439" s="195"/>
      <c r="K439" s="195"/>
    </row>
    <row r="440" spans="1:11" ht="13">
      <c r="B440" s="341"/>
      <c r="C440" s="195"/>
      <c r="D440" s="342"/>
      <c r="E440" s="195"/>
      <c r="F440" s="195"/>
      <c r="G440" s="195"/>
      <c r="H440" s="195"/>
      <c r="I440" s="195"/>
      <c r="J440" s="195"/>
      <c r="K440" s="195"/>
    </row>
    <row r="441" spans="1:11" ht="13">
      <c r="B441" s="341"/>
      <c r="C441" s="195"/>
      <c r="D441" s="342"/>
      <c r="E441" s="195"/>
      <c r="F441" s="195"/>
      <c r="G441" s="195"/>
      <c r="H441" s="195"/>
      <c r="I441" s="195"/>
      <c r="J441" s="195"/>
      <c r="K441" s="195"/>
    </row>
    <row r="442" spans="1:11" ht="13">
      <c r="A442" s="342" t="s">
        <v>907</v>
      </c>
      <c r="B442" s="195"/>
      <c r="C442" s="195"/>
      <c r="D442" s="342"/>
      <c r="E442" s="195"/>
      <c r="F442" s="342" t="s">
        <v>229</v>
      </c>
      <c r="G442" s="539" t="s">
        <v>995</v>
      </c>
      <c r="H442" s="527"/>
      <c r="I442" s="528"/>
      <c r="J442" s="342" t="s">
        <v>229</v>
      </c>
      <c r="K442" s="342" t="s">
        <v>342</v>
      </c>
    </row>
    <row r="443" spans="1:11" ht="13">
      <c r="A443" s="344" t="s">
        <v>908</v>
      </c>
      <c r="B443" s="343" t="s">
        <v>55</v>
      </c>
      <c r="C443" s="343"/>
      <c r="D443" s="344" t="s">
        <v>337</v>
      </c>
      <c r="E443" s="343"/>
      <c r="F443" s="344" t="str">
        <f>$F$9</f>
        <v>GS</v>
      </c>
      <c r="G443" s="540" t="s">
        <v>840</v>
      </c>
      <c r="H443" s="529" t="s">
        <v>841</v>
      </c>
      <c r="I443" s="530" t="s">
        <v>842</v>
      </c>
      <c r="J443" s="344" t="s">
        <v>341</v>
      </c>
      <c r="K443" s="344" t="s">
        <v>340</v>
      </c>
    </row>
    <row r="444" spans="1:11" ht="13">
      <c r="C444" s="572" t="s">
        <v>349</v>
      </c>
      <c r="D444" s="342"/>
      <c r="E444" s="195"/>
      <c r="F444" s="504"/>
      <c r="G444" s="793">
        <f>$G$10</f>
        <v>3</v>
      </c>
      <c r="H444" s="794">
        <f>$H$10</f>
        <v>4</v>
      </c>
      <c r="I444" s="795">
        <f>$I$10</f>
        <v>5</v>
      </c>
      <c r="J444" s="504"/>
      <c r="K444" s="504"/>
    </row>
    <row r="445" spans="1:11" ht="13">
      <c r="A445" s="331">
        <v>1</v>
      </c>
      <c r="B445" s="351" t="s">
        <v>56</v>
      </c>
      <c r="C445" s="351"/>
      <c r="D445" s="342"/>
      <c r="E445" s="195"/>
      <c r="G445" s="541"/>
      <c r="H445" s="531"/>
      <c r="I445" s="532"/>
    </row>
    <row r="446" spans="1:11" ht="13">
      <c r="A446" s="331">
        <v>2</v>
      </c>
      <c r="B446" s="351"/>
      <c r="C446" s="505" t="str">
        <f>'FR-16(7)(v)-1 Functional'!C446</f>
        <v>PRODUCTION DEPRECIATION</v>
      </c>
      <c r="D446" s="342" t="str">
        <f>'FR-16(7)(v)-1 Functional'!D446</f>
        <v>P229</v>
      </c>
      <c r="E446" s="195"/>
      <c r="F446" s="473">
        <f>'FR-16(7)(v)-8 TOT CLASS Alloc'!H446</f>
        <v>108334</v>
      </c>
      <c r="G446" s="542">
        <f>'FR-16(7)(v)-5 DISTR Dem Alloc'!H446</f>
        <v>0</v>
      </c>
      <c r="H446" s="533">
        <f>'FR-16(7)(v)-3 PROD Comm Alloc'!H446</f>
        <v>108334</v>
      </c>
      <c r="I446" s="534">
        <f>'FR-16(7)(v)-6 DISTR Cust Alloc'!H446</f>
        <v>0</v>
      </c>
      <c r="J446" s="345">
        <f>SUM(G446:I446)</f>
        <v>108334</v>
      </c>
      <c r="K446" s="345">
        <f>F446-J446</f>
        <v>0</v>
      </c>
    </row>
    <row r="447" spans="1:11" ht="13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K447" si="87">SUM(F446:F446)</f>
        <v>108334</v>
      </c>
      <c r="G447" s="543">
        <f t="shared" si="87"/>
        <v>0</v>
      </c>
      <c r="H447" s="535">
        <f t="shared" si="87"/>
        <v>108334</v>
      </c>
      <c r="I447" s="536">
        <f t="shared" si="87"/>
        <v>0</v>
      </c>
      <c r="J447" s="346">
        <f t="shared" si="87"/>
        <v>108334</v>
      </c>
      <c r="K447" s="346">
        <f t="shared" si="87"/>
        <v>0</v>
      </c>
    </row>
    <row r="448" spans="1:11" ht="13">
      <c r="A448" s="331">
        <v>4</v>
      </c>
      <c r="B448" s="351"/>
      <c r="C448" s="351"/>
      <c r="D448" s="342"/>
      <c r="E448" s="195"/>
      <c r="F448" s="351"/>
      <c r="G448" s="541"/>
      <c r="H448" s="531"/>
      <c r="I448" s="532"/>
    </row>
    <row r="449" spans="1:11" ht="13">
      <c r="A449" s="331">
        <v>5</v>
      </c>
      <c r="B449" s="505" t="s">
        <v>57</v>
      </c>
      <c r="C449" s="505"/>
      <c r="D449" s="342"/>
      <c r="E449" s="195"/>
      <c r="F449" s="347"/>
      <c r="G449" s="542"/>
      <c r="H449" s="533"/>
      <c r="I449" s="534"/>
      <c r="J449" s="345"/>
      <c r="K449" s="345"/>
    </row>
    <row r="450" spans="1:11" ht="13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K450" si="88">SUM(F449)</f>
        <v>0</v>
      </c>
      <c r="G450" s="543">
        <f t="shared" si="88"/>
        <v>0</v>
      </c>
      <c r="H450" s="535">
        <f t="shared" si="88"/>
        <v>0</v>
      </c>
      <c r="I450" s="536">
        <f t="shared" si="88"/>
        <v>0</v>
      </c>
      <c r="J450" s="346">
        <f t="shared" si="88"/>
        <v>0</v>
      </c>
      <c r="K450" s="346">
        <f t="shared" si="88"/>
        <v>0</v>
      </c>
    </row>
    <row r="451" spans="1:11" ht="13">
      <c r="A451" s="331">
        <v>7</v>
      </c>
      <c r="B451" s="351"/>
      <c r="C451" s="351"/>
      <c r="D451" s="342"/>
      <c r="E451" s="195"/>
      <c r="F451" s="351"/>
      <c r="G451" s="541"/>
      <c r="H451" s="531"/>
      <c r="I451" s="532"/>
    </row>
    <row r="452" spans="1:11" ht="13">
      <c r="A452" s="331">
        <v>8</v>
      </c>
      <c r="B452" s="351" t="s">
        <v>58</v>
      </c>
      <c r="C452" s="351"/>
      <c r="D452" s="342"/>
      <c r="E452" s="195"/>
      <c r="F452" s="351"/>
      <c r="G452" s="541"/>
      <c r="H452" s="531"/>
      <c r="I452" s="532"/>
    </row>
    <row r="453" spans="1:11" ht="13">
      <c r="A453" s="331">
        <v>9</v>
      </c>
      <c r="B453" s="351"/>
      <c r="C453" s="505" t="str">
        <f>'FR-16(7)(v)-1 Functional'!C453</f>
        <v>DISTRIBUTION DEPRECIATION</v>
      </c>
      <c r="D453" s="342" t="str">
        <f>'FR-16(7)(v)-1 Functional'!D453</f>
        <v>D249</v>
      </c>
      <c r="E453" s="195"/>
      <c r="F453" s="473">
        <f>'FR-16(7)(v)-8 TOT CLASS Alloc'!H453</f>
        <v>3794113</v>
      </c>
      <c r="G453" s="542">
        <f>'FR-16(7)(v)-5 DISTR Dem Alloc'!H453</f>
        <v>2998451</v>
      </c>
      <c r="H453" s="533">
        <f>'FR-16(7)(v)-3 PROD Comm Alloc'!H453</f>
        <v>0</v>
      </c>
      <c r="I453" s="534">
        <f>'FR-16(7)(v)-6 DISTR Cust Alloc'!H453</f>
        <v>795662</v>
      </c>
      <c r="J453" s="345">
        <f>SUM(G453:I453)</f>
        <v>3794113</v>
      </c>
      <c r="K453" s="345">
        <f>F453-J453</f>
        <v>0</v>
      </c>
    </row>
    <row r="454" spans="1:11" ht="13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K454" si="89">SUM(F453:F453)</f>
        <v>3794113</v>
      </c>
      <c r="G454" s="543">
        <f t="shared" si="89"/>
        <v>2998451</v>
      </c>
      <c r="H454" s="535">
        <f t="shared" si="89"/>
        <v>0</v>
      </c>
      <c r="I454" s="536">
        <f t="shared" si="89"/>
        <v>795662</v>
      </c>
      <c r="J454" s="346">
        <f t="shared" si="89"/>
        <v>3794113</v>
      </c>
      <c r="K454" s="346">
        <f t="shared" si="89"/>
        <v>0</v>
      </c>
    </row>
    <row r="455" spans="1:11" ht="13">
      <c r="A455" s="331">
        <v>11</v>
      </c>
      <c r="B455" s="351"/>
      <c r="C455" s="351"/>
      <c r="D455" s="342"/>
      <c r="E455" s="195"/>
      <c r="F455" s="351" t="s">
        <v>343</v>
      </c>
      <c r="G455" s="541"/>
      <c r="H455" s="531"/>
      <c r="I455" s="532"/>
    </row>
    <row r="456" spans="1:11" ht="13">
      <c r="A456" s="331">
        <v>12</v>
      </c>
      <c r="B456" s="351" t="s">
        <v>59</v>
      </c>
      <c r="C456" s="351"/>
      <c r="D456" s="342"/>
      <c r="E456" s="195"/>
      <c r="F456" s="351"/>
      <c r="G456" s="541"/>
      <c r="H456" s="531"/>
      <c r="I456" s="532"/>
    </row>
    <row r="457" spans="1:11" ht="13">
      <c r="A457" s="331">
        <v>13</v>
      </c>
      <c r="B457" s="351"/>
      <c r="C457" s="505" t="str">
        <f>'FR-16(7)(v)-1 Functional'!C457</f>
        <v>GENERAL DEPRECIATION</v>
      </c>
      <c r="D457" s="342" t="str">
        <f>'FR-16(7)(v)-1 Functional'!D457</f>
        <v>G229</v>
      </c>
      <c r="E457" s="195"/>
      <c r="F457" s="473">
        <f>'FR-16(7)(v)-8 TOT CLASS Alloc'!H457</f>
        <v>823944</v>
      </c>
      <c r="G457" s="542">
        <f>'FR-16(7)(v)-5 DISTR Dem Alloc'!H457</f>
        <v>510251</v>
      </c>
      <c r="H457" s="533">
        <f>'FR-16(7)(v)-3 PROD Comm Alloc'!H457</f>
        <v>177613</v>
      </c>
      <c r="I457" s="534">
        <f>'FR-16(7)(v)-6 DISTR Cust Alloc'!H457</f>
        <v>136080</v>
      </c>
      <c r="J457" s="345">
        <f>SUM(G457:I457)</f>
        <v>823944</v>
      </c>
      <c r="K457" s="345">
        <f>F457-J457</f>
        <v>0</v>
      </c>
    </row>
    <row r="458" spans="1:11" ht="13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K458" si="90">SUM(F457:F457)</f>
        <v>823944</v>
      </c>
      <c r="G458" s="543">
        <f t="shared" si="90"/>
        <v>510251</v>
      </c>
      <c r="H458" s="535">
        <f t="shared" si="90"/>
        <v>177613</v>
      </c>
      <c r="I458" s="536">
        <f t="shared" si="90"/>
        <v>136080</v>
      </c>
      <c r="J458" s="346">
        <f t="shared" si="90"/>
        <v>823944</v>
      </c>
      <c r="K458" s="346">
        <f t="shared" si="90"/>
        <v>0</v>
      </c>
    </row>
    <row r="459" spans="1:11" ht="13">
      <c r="A459" s="331">
        <v>15</v>
      </c>
      <c r="B459" s="351"/>
      <c r="C459" s="351"/>
      <c r="D459" s="342"/>
      <c r="E459" s="195"/>
      <c r="F459" s="351"/>
      <c r="G459" s="541"/>
      <c r="H459" s="531"/>
      <c r="I459" s="532"/>
    </row>
    <row r="460" spans="1:11" ht="13">
      <c r="A460" s="331">
        <v>16</v>
      </c>
      <c r="B460" s="351" t="s">
        <v>60</v>
      </c>
      <c r="C460" s="351"/>
      <c r="D460" s="342"/>
      <c r="E460" s="195"/>
      <c r="F460" s="470"/>
      <c r="G460" s="542"/>
      <c r="H460" s="533"/>
      <c r="I460" s="534"/>
      <c r="J460" s="345"/>
      <c r="K460" s="345"/>
    </row>
    <row r="461" spans="1:11" ht="13">
      <c r="A461" s="331">
        <v>17</v>
      </c>
      <c r="B461" s="351"/>
      <c r="C461" s="505" t="str">
        <f>'FR-16(7)(v)-1 Functional'!C461</f>
        <v>COMMON DEPRECIATION</v>
      </c>
      <c r="D461" s="342" t="str">
        <f>'FR-16(7)(v)-1 Functional'!D461</f>
        <v>C229</v>
      </c>
      <c r="E461" s="195"/>
      <c r="F461" s="473">
        <f>'FR-16(7)(v)-8 TOT CLASS Alloc'!H461</f>
        <v>-10976</v>
      </c>
      <c r="G461" s="542">
        <f>'FR-16(7)(v)-5 DISTR Dem Alloc'!H461</f>
        <v>-6797</v>
      </c>
      <c r="H461" s="533">
        <f>'FR-16(7)(v)-3 PROD Comm Alloc'!H461</f>
        <v>-2366</v>
      </c>
      <c r="I461" s="534">
        <f>'FR-16(7)(v)-6 DISTR Cust Alloc'!H461</f>
        <v>-1813</v>
      </c>
      <c r="J461" s="345">
        <f>SUM(G461:I461)</f>
        <v>-10976</v>
      </c>
      <c r="K461" s="345">
        <f>F461-J461</f>
        <v>0</v>
      </c>
    </row>
    <row r="462" spans="1:11" ht="13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K462" si="91">SUM(F461:F461)</f>
        <v>-10976</v>
      </c>
      <c r="G462" s="543">
        <f t="shared" si="91"/>
        <v>-6797</v>
      </c>
      <c r="H462" s="535">
        <f t="shared" si="91"/>
        <v>-2366</v>
      </c>
      <c r="I462" s="536">
        <f t="shared" si="91"/>
        <v>-1813</v>
      </c>
      <c r="J462" s="346">
        <f t="shared" si="91"/>
        <v>-10976</v>
      </c>
      <c r="K462" s="346">
        <f t="shared" si="91"/>
        <v>0</v>
      </c>
    </row>
    <row r="463" spans="1:11" ht="13">
      <c r="A463" s="331">
        <v>19</v>
      </c>
      <c r="B463" s="351"/>
      <c r="C463" s="351"/>
      <c r="D463" s="342"/>
      <c r="E463" s="195"/>
      <c r="G463" s="541"/>
      <c r="H463" s="531"/>
      <c r="I463" s="532"/>
    </row>
    <row r="464" spans="1:11" ht="13">
      <c r="A464" s="331">
        <v>20</v>
      </c>
      <c r="B464" s="351"/>
      <c r="C464" s="351"/>
      <c r="D464" s="342"/>
      <c r="E464" s="195"/>
      <c r="G464" s="541"/>
      <c r="H464" s="531"/>
      <c r="I464" s="532"/>
    </row>
    <row r="465" spans="1:12" ht="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K465" si="92">F462+F458+F454+F450+F447</f>
        <v>4715415</v>
      </c>
      <c r="G465" s="544">
        <f t="shared" si="92"/>
        <v>3501905</v>
      </c>
      <c r="H465" s="537">
        <f t="shared" si="92"/>
        <v>283581</v>
      </c>
      <c r="I465" s="538">
        <f t="shared" si="92"/>
        <v>929929</v>
      </c>
      <c r="J465" s="345">
        <f t="shared" si="92"/>
        <v>4715415</v>
      </c>
      <c r="K465" s="345">
        <f t="shared" si="92"/>
        <v>0</v>
      </c>
    </row>
    <row r="466" spans="1:12" ht="13">
      <c r="B466" s="341"/>
      <c r="C466" s="195"/>
      <c r="D466" s="342"/>
      <c r="E466" s="195"/>
      <c r="F466" s="195"/>
      <c r="G466" s="195"/>
      <c r="H466" s="195"/>
      <c r="I466" s="195"/>
      <c r="J466" s="195"/>
      <c r="K466" s="195"/>
    </row>
    <row r="467" spans="1:12" ht="13">
      <c r="A467" s="341" t="str">
        <f>co_name</f>
        <v>DUKE ENERGY KENTUCKY, INC.</v>
      </c>
      <c r="C467" s="195"/>
      <c r="D467" s="342"/>
      <c r="E467" s="195"/>
      <c r="F467" s="195"/>
      <c r="G467" s="195"/>
      <c r="H467" s="195"/>
      <c r="I467" s="195"/>
      <c r="J467" s="195" t="str">
        <f>$J$1</f>
        <v>FR-16(7)(v)-10</v>
      </c>
      <c r="K467" s="195"/>
    </row>
    <row r="468" spans="1:12" ht="13">
      <c r="A468" s="341" t="str">
        <f>$A$2</f>
        <v>GS CLASSIFIED - GAS COST OF SERVICE</v>
      </c>
      <c r="C468" s="195"/>
      <c r="D468" s="342"/>
      <c r="E468" s="195"/>
      <c r="F468" s="195"/>
      <c r="G468" s="195"/>
      <c r="H468" s="195"/>
      <c r="I468" s="195"/>
      <c r="J468" s="195" t="str">
        <f>$J$2</f>
        <v>WITNESS RESPONSIBLE:</v>
      </c>
      <c r="K468" s="195"/>
    </row>
    <row r="469" spans="1:12" ht="13">
      <c r="A469" s="341" t="str">
        <f>case_name</f>
        <v>CASE NO: 2021-00190</v>
      </c>
      <c r="C469" s="195"/>
      <c r="D469" s="342"/>
      <c r="E469" s="195"/>
      <c r="F469" s="195"/>
      <c r="G469" s="195"/>
      <c r="H469" s="195"/>
      <c r="I469" s="195"/>
      <c r="J469" s="195" t="str">
        <f>Witness</f>
        <v>JAMES E. ZIOLKOWSKI</v>
      </c>
      <c r="K469" s="195"/>
    </row>
    <row r="470" spans="1:12" ht="13">
      <c r="A470" s="341" t="str">
        <f>data_filing</f>
        <v>DATA: 12 MONTH FORECASTED PERIOD</v>
      </c>
      <c r="C470" s="195"/>
      <c r="D470" s="342"/>
      <c r="E470" s="195"/>
      <c r="F470" s="195"/>
      <c r="G470" s="195"/>
      <c r="H470" s="195"/>
      <c r="I470" s="195"/>
      <c r="J470" s="195" t="str">
        <f>"PAGE "&amp;Pages2-4&amp;" OF "&amp;Pages2</f>
        <v>PAGE 11 OF 15</v>
      </c>
      <c r="K470" s="195"/>
    </row>
    <row r="471" spans="1:12" ht="13">
      <c r="A471" s="341" t="str">
        <f>type</f>
        <v xml:space="preserve">TYPE OF FILING: "X" ORIGINAL   UPDATED    REVISED  </v>
      </c>
      <c r="C471" s="195"/>
      <c r="D471" s="342"/>
      <c r="E471" s="195"/>
      <c r="F471" s="195"/>
      <c r="G471" s="195"/>
      <c r="H471" s="195"/>
      <c r="I471" s="195"/>
      <c r="J471" s="195"/>
      <c r="K471" s="195"/>
    </row>
    <row r="472" spans="1:12" ht="13">
      <c r="B472" s="341"/>
      <c r="C472" s="195"/>
      <c r="D472" s="342"/>
      <c r="E472" s="195"/>
      <c r="F472" s="195"/>
      <c r="G472" s="195"/>
      <c r="H472" s="195"/>
      <c r="I472" s="195"/>
      <c r="J472" s="195"/>
      <c r="K472" s="195"/>
    </row>
    <row r="473" spans="1:12" ht="13">
      <c r="B473" s="341"/>
      <c r="C473" s="195"/>
      <c r="D473" s="342"/>
      <c r="E473" s="195"/>
      <c r="F473" s="195"/>
      <c r="G473" s="195"/>
      <c r="H473" s="195"/>
      <c r="I473" s="195"/>
      <c r="J473" s="195"/>
      <c r="K473" s="195"/>
    </row>
    <row r="474" spans="1:12" ht="13">
      <c r="A474" s="342" t="s">
        <v>907</v>
      </c>
      <c r="B474" s="195"/>
      <c r="C474" s="195"/>
      <c r="D474" s="342"/>
      <c r="E474" s="195"/>
      <c r="F474" s="342" t="s">
        <v>229</v>
      </c>
      <c r="G474" s="539" t="s">
        <v>995</v>
      </c>
      <c r="H474" s="527"/>
      <c r="I474" s="528"/>
      <c r="J474" s="342" t="s">
        <v>229</v>
      </c>
      <c r="K474" s="342" t="s">
        <v>342</v>
      </c>
    </row>
    <row r="475" spans="1:12" ht="13">
      <c r="A475" s="344" t="s">
        <v>908</v>
      </c>
      <c r="B475" s="343" t="s">
        <v>62</v>
      </c>
      <c r="C475" s="343"/>
      <c r="D475" s="344" t="s">
        <v>337</v>
      </c>
      <c r="E475" s="343"/>
      <c r="F475" s="344" t="str">
        <f>$F$9</f>
        <v>GS</v>
      </c>
      <c r="G475" s="540" t="s">
        <v>840</v>
      </c>
      <c r="H475" s="529" t="s">
        <v>841</v>
      </c>
      <c r="I475" s="530" t="s">
        <v>842</v>
      </c>
      <c r="J475" s="344" t="s">
        <v>341</v>
      </c>
      <c r="K475" s="344" t="s">
        <v>340</v>
      </c>
      <c r="L475" s="363"/>
    </row>
    <row r="476" spans="1:12" ht="13">
      <c r="C476" s="572" t="s">
        <v>350</v>
      </c>
      <c r="D476" s="342"/>
      <c r="E476" s="195"/>
      <c r="F476" s="504"/>
      <c r="G476" s="793">
        <f>$G$10</f>
        <v>3</v>
      </c>
      <c r="H476" s="794">
        <f>$H$10</f>
        <v>4</v>
      </c>
      <c r="I476" s="795">
        <f>$I$10</f>
        <v>5</v>
      </c>
      <c r="J476" s="504"/>
      <c r="K476" s="504"/>
    </row>
    <row r="477" spans="1:12" ht="13">
      <c r="A477" s="331">
        <v>1</v>
      </c>
      <c r="B477" s="330" t="s">
        <v>63</v>
      </c>
      <c r="D477" s="342"/>
      <c r="E477" s="195"/>
      <c r="G477" s="541"/>
      <c r="H477" s="531"/>
      <c r="I477" s="532"/>
    </row>
    <row r="478" spans="1:12" ht="13">
      <c r="A478" s="331">
        <v>2</v>
      </c>
      <c r="B478" s="330" t="s">
        <v>64</v>
      </c>
      <c r="D478" s="342"/>
      <c r="E478" s="195"/>
      <c r="G478" s="541"/>
      <c r="H478" s="531"/>
      <c r="I478" s="532"/>
    </row>
    <row r="479" spans="1:12" ht="13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3">
        <f>'FR-16(7)(v)-8 TOT CLASS Alloc'!H479</f>
        <v>1014339</v>
      </c>
      <c r="G479" s="542">
        <f>'FR-16(7)(v)-5 DISTR Dem Alloc'!$H$479</f>
        <v>792243</v>
      </c>
      <c r="H479" s="533">
        <f>'FR-16(7)(v)-3 PROD Comm Alloc'!$H$479</f>
        <v>11848</v>
      </c>
      <c r="I479" s="534">
        <f>'FR-16(7)(v)-6 DISTR Cust Alloc'!$H$479</f>
        <v>210248</v>
      </c>
      <c r="J479" s="345">
        <f>SUM($G$479:$I$479)</f>
        <v>1014339</v>
      </c>
      <c r="K479" s="345">
        <f>F479-$J$479</f>
        <v>0</v>
      </c>
    </row>
    <row r="480" spans="1:12" ht="13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3">
        <f>'FR-16(7)(v)-8 TOT CLASS Alloc'!H480</f>
        <v>0</v>
      </c>
      <c r="G480" s="542">
        <f>'FR-16(7)(v)-5 DISTR Dem Alloc'!$H$480</f>
        <v>0</v>
      </c>
      <c r="H480" s="533">
        <f>'FR-16(7)(v)-3 PROD Comm Alloc'!$H$480</f>
        <v>0</v>
      </c>
      <c r="I480" s="534">
        <f>'FR-16(7)(v)-6 DISTR Cust Alloc'!$H$480</f>
        <v>0</v>
      </c>
      <c r="J480" s="345">
        <f>SUM($G$480:$I$480)</f>
        <v>0</v>
      </c>
      <c r="K480" s="345">
        <f>F480-$J$480</f>
        <v>0</v>
      </c>
    </row>
    <row r="481" spans="1:11" ht="13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1014339</v>
      </c>
      <c r="G481" s="543">
        <f>SUM($G$479:$G$480)</f>
        <v>792243</v>
      </c>
      <c r="H481" s="535">
        <f>SUM($H$479:$H$480)</f>
        <v>11848</v>
      </c>
      <c r="I481" s="536">
        <f>SUM($I$479:$I$480)</f>
        <v>210248</v>
      </c>
      <c r="J481" s="346">
        <f>SUM($J$479:$J$480)</f>
        <v>1014339</v>
      </c>
      <c r="K481" s="346">
        <f>SUM($K$479:$K$480)</f>
        <v>0</v>
      </c>
    </row>
    <row r="482" spans="1:11" ht="13">
      <c r="A482" s="331">
        <v>6</v>
      </c>
      <c r="D482" s="342"/>
      <c r="E482" s="195"/>
      <c r="F482" s="351"/>
      <c r="G482" s="541"/>
      <c r="H482" s="531"/>
      <c r="I482" s="532"/>
    </row>
    <row r="483" spans="1:11" ht="13">
      <c r="A483" s="331">
        <v>7</v>
      </c>
      <c r="B483" s="330" t="s">
        <v>65</v>
      </c>
      <c r="D483" s="342"/>
      <c r="E483" s="195"/>
      <c r="F483" s="351"/>
      <c r="G483" s="541"/>
      <c r="H483" s="531"/>
      <c r="I483" s="532"/>
    </row>
    <row r="484" spans="1:11" ht="13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3">
        <f>'FR-16(7)(v)-8 TOT CLASS Alloc'!H484</f>
        <v>149168</v>
      </c>
      <c r="G484" s="542">
        <f>'FR-16(7)(v)-5 DISTR Dem Alloc'!$H$484</f>
        <v>89788</v>
      </c>
      <c r="H484" s="533">
        <f>'FR-16(7)(v)-3 PROD Comm Alloc'!$H$484</f>
        <v>35434</v>
      </c>
      <c r="I484" s="534">
        <f>'FR-16(7)(v)-6 DISTR Cust Alloc'!$H$484</f>
        <v>23946</v>
      </c>
      <c r="J484" s="345">
        <f>SUM($G$484:$I$484)</f>
        <v>149168</v>
      </c>
      <c r="K484" s="345">
        <f>F484-$J$484</f>
        <v>0</v>
      </c>
    </row>
    <row r="485" spans="1:11" ht="13">
      <c r="A485" s="331">
        <v>9</v>
      </c>
      <c r="C485" s="330" t="str">
        <f>'FR-16(7)(v)-1 Functional'!C485</f>
        <v>UNEMPLOYMENT COMPENSATION</v>
      </c>
      <c r="D485" s="342" t="str">
        <f>'FR-16(7)(v)-1 Functional'!D485</f>
        <v>AG39</v>
      </c>
      <c r="E485" s="195"/>
      <c r="F485" s="473">
        <f>'FR-16(7)(v)-8 TOT CLASS Alloc'!H485</f>
        <v>0</v>
      </c>
      <c r="G485" s="542">
        <f>'FR-16(7)(v)-5 DISTR Dem Alloc'!$H$485</f>
        <v>0</v>
      </c>
      <c r="H485" s="533">
        <f>'FR-16(7)(v)-3 PROD Comm Alloc'!$H$485</f>
        <v>0</v>
      </c>
      <c r="I485" s="534">
        <f>'FR-16(7)(v)-6 DISTR Cust Alloc'!$H$485</f>
        <v>0</v>
      </c>
      <c r="J485" s="345">
        <f>SUM($G$485:$I$485)</f>
        <v>0</v>
      </c>
      <c r="K485" s="345">
        <f>F485-$J$485</f>
        <v>0</v>
      </c>
    </row>
    <row r="486" spans="1:11" ht="13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3">
        <f>'FR-16(7)(v)-8 TOT CLASS Alloc'!H486</f>
        <v>0</v>
      </c>
      <c r="G486" s="542">
        <f>'FR-16(7)(v)-5 DISTR Dem Alloc'!$H$486</f>
        <v>0</v>
      </c>
      <c r="H486" s="533">
        <f>'FR-16(7)(v)-3 PROD Comm Alloc'!$H$486</f>
        <v>0</v>
      </c>
      <c r="I486" s="534">
        <f>'FR-16(7)(v)-6 DISTR Cust Alloc'!$H$486</f>
        <v>0</v>
      </c>
      <c r="J486" s="345">
        <f>SUM($G$486:$I$486)</f>
        <v>0</v>
      </c>
      <c r="K486" s="345">
        <f>F486-$J$486</f>
        <v>0</v>
      </c>
    </row>
    <row r="487" spans="1:11" ht="13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3">
        <f>'FR-16(7)(v)-8 TOT CLASS Alloc'!H487</f>
        <v>0</v>
      </c>
      <c r="G487" s="542">
        <f>'FR-16(7)(v)-5 DISTR Dem Alloc'!$H$487</f>
        <v>0</v>
      </c>
      <c r="H487" s="533">
        <f>'FR-16(7)(v)-3 PROD Comm Alloc'!$H$487</f>
        <v>0</v>
      </c>
      <c r="I487" s="534">
        <f>'FR-16(7)(v)-6 DISTR Cust Alloc'!$H$487</f>
        <v>0</v>
      </c>
      <c r="J487" s="345">
        <f>SUM($G$487:$I$487)</f>
        <v>0</v>
      </c>
      <c r="K487" s="345">
        <f>F487-$J$487</f>
        <v>0</v>
      </c>
    </row>
    <row r="488" spans="1:11" ht="13">
      <c r="A488" s="331">
        <v>12</v>
      </c>
      <c r="C488" s="330" t="str">
        <f>'FR-16(7)(v)-1 Functional'!C488</f>
        <v xml:space="preserve">  TOTAL MISCELLANEOUS TAXES</v>
      </c>
      <c r="D488" s="342"/>
      <c r="E488" s="195"/>
      <c r="F488" s="346">
        <f>SUM(F484:F487)</f>
        <v>149168</v>
      </c>
      <c r="G488" s="543">
        <f>SUM($G$484:$G$487)</f>
        <v>89788</v>
      </c>
      <c r="H488" s="535">
        <f>SUM($H$484:$H$487)</f>
        <v>35434</v>
      </c>
      <c r="I488" s="536">
        <f>SUM($I$484:$I$487)</f>
        <v>23946</v>
      </c>
      <c r="J488" s="346">
        <f>SUM($J$484:$J$487)</f>
        <v>149168</v>
      </c>
      <c r="K488" s="346">
        <f>SUM($K$484:$K$487)</f>
        <v>0</v>
      </c>
    </row>
    <row r="489" spans="1:11" ht="13">
      <c r="A489" s="331">
        <v>13</v>
      </c>
      <c r="D489" s="342"/>
      <c r="E489" s="195"/>
      <c r="F489" s="351"/>
      <c r="G489" s="541"/>
      <c r="H489" s="531"/>
      <c r="I489" s="532"/>
    </row>
    <row r="490" spans="1:11" ht="13">
      <c r="A490" s="331">
        <v>14</v>
      </c>
      <c r="B490" s="330" t="s">
        <v>66</v>
      </c>
      <c r="D490" s="342"/>
      <c r="E490" s="195"/>
      <c r="F490" s="351"/>
      <c r="G490" s="541"/>
      <c r="H490" s="531"/>
      <c r="I490" s="532"/>
    </row>
    <row r="491" spans="1:11" ht="13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3">
        <f>'FR-16(7)(v)-8 TOT CLASS Alloc'!H491</f>
        <v>7324</v>
      </c>
      <c r="G491" s="542">
        <f>'FR-16(7)(v)-5 DISTR Dem Alloc'!$H$491</f>
        <v>4408</v>
      </c>
      <c r="H491" s="533">
        <f>'FR-16(7)(v)-3 PROD Comm Alloc'!$H$491</f>
        <v>1740</v>
      </c>
      <c r="I491" s="534">
        <f>'FR-16(7)(v)-6 DISTR Cust Alloc'!$H$491</f>
        <v>1176</v>
      </c>
      <c r="J491" s="345">
        <f>SUM($G$491:$I$491)</f>
        <v>7324</v>
      </c>
      <c r="K491" s="345">
        <f>F491-$J$491</f>
        <v>0</v>
      </c>
    </row>
    <row r="492" spans="1:11" ht="13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3">
        <f>'FR-16(7)(v)-8 TOT CLASS Alloc'!H492</f>
        <v>0</v>
      </c>
      <c r="G492" s="542">
        <f>'FR-16(7)(v)-5 DISTR Dem Alloc'!$H$492</f>
        <v>0</v>
      </c>
      <c r="H492" s="533">
        <f>'FR-16(7)(v)-3 PROD Comm Alloc'!$H$492</f>
        <v>0</v>
      </c>
      <c r="I492" s="534">
        <f>'FR-16(7)(v)-6 DISTR Cust Alloc'!$H$492</f>
        <v>0</v>
      </c>
      <c r="J492" s="345">
        <f>SUM($G$492:$I$492)</f>
        <v>0</v>
      </c>
      <c r="K492" s="345">
        <f>F492-$J$492</f>
        <v>0</v>
      </c>
    </row>
    <row r="493" spans="1:11" ht="13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4">
        <f>SUM(F491:F492)</f>
        <v>7324</v>
      </c>
      <c r="G493" s="543">
        <f>SUM($G$491:$G$492)</f>
        <v>4408</v>
      </c>
      <c r="H493" s="535">
        <f>SUM($H$491:$H$492)</f>
        <v>1740</v>
      </c>
      <c r="I493" s="536">
        <f>SUM($I$491:$I$492)</f>
        <v>1176</v>
      </c>
      <c r="J493" s="346">
        <f>SUM($J$491:$J$492)</f>
        <v>7324</v>
      </c>
      <c r="K493" s="346">
        <f>SUM($K$491:$K$492)</f>
        <v>0</v>
      </c>
    </row>
    <row r="494" spans="1:11" ht="13">
      <c r="A494" s="331">
        <v>18</v>
      </c>
      <c r="D494" s="342"/>
      <c r="E494" s="195"/>
      <c r="G494" s="541"/>
      <c r="H494" s="531"/>
      <c r="I494" s="532"/>
    </row>
    <row r="495" spans="1:11" ht="13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1170831</v>
      </c>
      <c r="G495" s="542">
        <f>$G$488+$G$481+$G$493</f>
        <v>886439</v>
      </c>
      <c r="H495" s="533">
        <f>$H$488+$H$481+$H$493</f>
        <v>49022</v>
      </c>
      <c r="I495" s="534">
        <f>$I$488+$I$481+$I$493</f>
        <v>235370</v>
      </c>
      <c r="J495" s="345">
        <f>$J$488+$J$481+$J$493</f>
        <v>1170831</v>
      </c>
      <c r="K495" s="345">
        <f>$K$488+$K$481+$K$493</f>
        <v>0</v>
      </c>
    </row>
    <row r="496" spans="1:11" ht="13">
      <c r="A496" s="331">
        <v>20</v>
      </c>
      <c r="D496" s="342"/>
      <c r="E496" s="195"/>
      <c r="G496" s="541"/>
      <c r="H496" s="531"/>
      <c r="I496" s="532"/>
    </row>
    <row r="497" spans="1:11" ht="13">
      <c r="A497" s="331">
        <v>21</v>
      </c>
      <c r="B497" s="330" t="s">
        <v>40</v>
      </c>
      <c r="D497" s="342"/>
      <c r="E497" s="195"/>
      <c r="G497" s="541"/>
      <c r="H497" s="531"/>
      <c r="I497" s="532"/>
    </row>
    <row r="498" spans="1:11" ht="13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K498" si="93">F433</f>
        <v>19892033</v>
      </c>
      <c r="G498" s="542">
        <f t="shared" si="93"/>
        <v>3064689</v>
      </c>
      <c r="H498" s="533">
        <f t="shared" si="93"/>
        <v>15894340</v>
      </c>
      <c r="I498" s="534">
        <f t="shared" si="93"/>
        <v>933004</v>
      </c>
      <c r="J498" s="345">
        <f t="shared" si="93"/>
        <v>19892033</v>
      </c>
      <c r="K498" s="345">
        <f t="shared" si="93"/>
        <v>0</v>
      </c>
    </row>
    <row r="499" spans="1:11" ht="13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K499" si="94">F465</f>
        <v>4715415</v>
      </c>
      <c r="G499" s="542">
        <f t="shared" si="94"/>
        <v>3501905</v>
      </c>
      <c r="H499" s="533">
        <f t="shared" si="94"/>
        <v>283581</v>
      </c>
      <c r="I499" s="534">
        <f t="shared" si="94"/>
        <v>929929</v>
      </c>
      <c r="J499" s="345">
        <f t="shared" si="94"/>
        <v>4715415</v>
      </c>
      <c r="K499" s="345">
        <f t="shared" si="94"/>
        <v>0</v>
      </c>
    </row>
    <row r="500" spans="1:11" ht="13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1170831</v>
      </c>
      <c r="G500" s="542">
        <f>$G$495</f>
        <v>886439</v>
      </c>
      <c r="H500" s="533">
        <f>$H$495</f>
        <v>49022</v>
      </c>
      <c r="I500" s="534">
        <f>$I$495</f>
        <v>235370</v>
      </c>
      <c r="J500" s="345">
        <f>$J$495</f>
        <v>1170831</v>
      </c>
      <c r="K500" s="345">
        <f>$K$495</f>
        <v>0</v>
      </c>
    </row>
    <row r="501" spans="1:11" ht="13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25778279</v>
      </c>
      <c r="G501" s="551">
        <f>SUM($G$498:$G$500)</f>
        <v>7453033</v>
      </c>
      <c r="H501" s="552">
        <f>SUM($H$498:$H$500)</f>
        <v>16226943</v>
      </c>
      <c r="I501" s="553">
        <f>SUM($I$498:$I$500)</f>
        <v>2098303</v>
      </c>
      <c r="J501" s="346">
        <f>SUM($J$498:$J$500)</f>
        <v>25778279</v>
      </c>
      <c r="K501" s="346">
        <f>SUM($K$498:$K$500)</f>
        <v>0</v>
      </c>
    </row>
    <row r="502" spans="1:11" ht="13">
      <c r="B502" s="341"/>
      <c r="C502" s="195"/>
      <c r="D502" s="342"/>
      <c r="E502" s="195"/>
      <c r="F502" s="195"/>
      <c r="G502" s="195"/>
      <c r="H502" s="195"/>
      <c r="I502" s="195"/>
      <c r="J502" s="195"/>
      <c r="K502" s="195"/>
    </row>
    <row r="503" spans="1:11" ht="13">
      <c r="A503" s="341" t="str">
        <f>co_name</f>
        <v>DUKE ENERGY KENTUCKY, INC.</v>
      </c>
      <c r="C503" s="195"/>
      <c r="D503" s="342"/>
      <c r="E503" s="195"/>
      <c r="F503" s="195"/>
      <c r="G503" s="195"/>
      <c r="H503" s="195"/>
      <c r="I503" s="195"/>
      <c r="J503" s="195" t="str">
        <f>$J$1</f>
        <v>FR-16(7)(v)-10</v>
      </c>
      <c r="K503" s="195"/>
    </row>
    <row r="504" spans="1:11" ht="13">
      <c r="A504" s="341" t="str">
        <f>$A$2</f>
        <v>GS CLASSIFIED - GAS COST OF SERVICE</v>
      </c>
      <c r="C504" s="195"/>
      <c r="D504" s="342"/>
      <c r="E504" s="195"/>
      <c r="F504" s="195"/>
      <c r="G504" s="195"/>
      <c r="H504" s="195"/>
      <c r="I504" s="195"/>
      <c r="J504" s="195" t="str">
        <f>$J$2</f>
        <v>WITNESS RESPONSIBLE:</v>
      </c>
      <c r="K504" s="195"/>
    </row>
    <row r="505" spans="1:11" ht="13">
      <c r="A505" s="341" t="str">
        <f>case_name</f>
        <v>CASE NO: 2021-00190</v>
      </c>
      <c r="C505" s="195"/>
      <c r="D505" s="342"/>
      <c r="E505" s="195"/>
      <c r="F505" s="195"/>
      <c r="G505" s="195"/>
      <c r="H505" s="195"/>
      <c r="I505" s="195"/>
      <c r="J505" s="195" t="str">
        <f>Witness</f>
        <v>JAMES E. ZIOLKOWSKI</v>
      </c>
      <c r="K505" s="195"/>
    </row>
    <row r="506" spans="1:11" ht="13">
      <c r="A506" s="341" t="str">
        <f>data_filing</f>
        <v>DATA: 12 MONTH FORECASTED PERIOD</v>
      </c>
      <c r="C506" s="195"/>
      <c r="D506" s="342"/>
      <c r="E506" s="195"/>
      <c r="F506" s="195"/>
      <c r="G506" s="195"/>
      <c r="H506" s="195"/>
      <c r="I506" s="195"/>
      <c r="J506" s="195" t="str">
        <f>"PAGE "&amp;Pages2-3&amp;" OF "&amp;Pages2</f>
        <v>PAGE 12 OF 15</v>
      </c>
      <c r="K506" s="195"/>
    </row>
    <row r="507" spans="1:11" ht="13">
      <c r="A507" s="341" t="str">
        <f>type</f>
        <v xml:space="preserve">TYPE OF FILING: "X" ORIGINAL   UPDATED    REVISED  </v>
      </c>
      <c r="C507" s="195"/>
      <c r="D507" s="342"/>
      <c r="E507" s="195"/>
      <c r="F507" s="195"/>
      <c r="G507" s="195"/>
      <c r="H507" s="195"/>
      <c r="I507" s="195"/>
      <c r="J507" s="195"/>
      <c r="K507" s="195"/>
    </row>
    <row r="508" spans="1:11" ht="13">
      <c r="B508" s="341"/>
      <c r="C508" s="195"/>
      <c r="D508" s="342"/>
      <c r="E508" s="195"/>
      <c r="F508" s="195"/>
      <c r="G508" s="195"/>
      <c r="H508" s="195"/>
      <c r="I508" s="195"/>
      <c r="J508" s="195"/>
      <c r="K508" s="195"/>
    </row>
    <row r="509" spans="1:11" ht="13">
      <c r="B509" s="341"/>
      <c r="C509" s="195"/>
      <c r="D509" s="342"/>
      <c r="E509" s="195"/>
      <c r="F509" s="195"/>
      <c r="G509" s="195"/>
      <c r="H509" s="195"/>
      <c r="I509" s="195"/>
      <c r="J509" s="195"/>
      <c r="K509" s="195"/>
    </row>
    <row r="510" spans="1:11" ht="13">
      <c r="A510" s="342" t="s">
        <v>907</v>
      </c>
      <c r="B510" s="195"/>
      <c r="C510" s="195"/>
      <c r="D510" s="342"/>
      <c r="E510" s="195"/>
      <c r="F510" s="342" t="s">
        <v>229</v>
      </c>
      <c r="G510" s="539" t="s">
        <v>995</v>
      </c>
      <c r="H510" s="527"/>
      <c r="I510" s="528"/>
      <c r="J510" s="342" t="s">
        <v>229</v>
      </c>
      <c r="K510" s="342" t="s">
        <v>342</v>
      </c>
    </row>
    <row r="511" spans="1:11" ht="13">
      <c r="A511" s="344" t="s">
        <v>908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4" t="str">
        <f>$F$9</f>
        <v>GS</v>
      </c>
      <c r="G511" s="540" t="s">
        <v>840</v>
      </c>
      <c r="H511" s="529" t="s">
        <v>841</v>
      </c>
      <c r="I511" s="530" t="s">
        <v>842</v>
      </c>
      <c r="J511" s="344" t="s">
        <v>341</v>
      </c>
      <c r="K511" s="344" t="s">
        <v>340</v>
      </c>
    </row>
    <row r="512" spans="1:11" ht="13">
      <c r="C512" s="572" t="s">
        <v>351</v>
      </c>
      <c r="D512" s="342"/>
      <c r="E512" s="195"/>
      <c r="G512" s="793">
        <f>$G$10</f>
        <v>3</v>
      </c>
      <c r="H512" s="794">
        <f>$H$10</f>
        <v>4</v>
      </c>
      <c r="I512" s="795">
        <f>$I$10</f>
        <v>5</v>
      </c>
    </row>
    <row r="513" spans="1:11" ht="13">
      <c r="A513" s="331">
        <v>1</v>
      </c>
      <c r="B513" s="330" t="s">
        <v>69</v>
      </c>
      <c r="D513" s="342"/>
      <c r="E513" s="195"/>
      <c r="G513" s="541"/>
      <c r="H513" s="531"/>
      <c r="I513" s="532"/>
    </row>
    <row r="514" spans="1:11" ht="13">
      <c r="A514" s="331">
        <v>2</v>
      </c>
      <c r="B514" s="330" t="s">
        <v>70</v>
      </c>
      <c r="D514" s="342"/>
      <c r="E514" s="195"/>
      <c r="F514" s="330" t="s">
        <v>343</v>
      </c>
      <c r="G514" s="541"/>
      <c r="H514" s="531"/>
      <c r="I514" s="532"/>
    </row>
    <row r="515" spans="1:11" ht="13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3">
        <f>'FR-16(7)(v)-8 TOT CLASS Alloc'!H515</f>
        <v>2155633</v>
      </c>
      <c r="G515" s="542">
        <f>'FR-16(7)(v)-5 DISTR Dem Alloc'!$H$515</f>
        <v>1663877</v>
      </c>
      <c r="H515" s="533">
        <f>'FR-16(7)(v)-3 PROD Comm Alloc'!$H$515</f>
        <v>50166</v>
      </c>
      <c r="I515" s="534">
        <f>'FR-16(7)(v)-6 DISTR Cust Alloc'!$H$515</f>
        <v>441590</v>
      </c>
      <c r="J515" s="345">
        <f>SUM($G$515:$I$515)</f>
        <v>2155633</v>
      </c>
      <c r="K515" s="345">
        <f>F515-$J$515</f>
        <v>0</v>
      </c>
    </row>
    <row r="516" spans="1:11" ht="13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2155633</v>
      </c>
      <c r="G516" s="543">
        <f>$G$515</f>
        <v>1663877</v>
      </c>
      <c r="H516" s="535">
        <f>$H$515</f>
        <v>50166</v>
      </c>
      <c r="I516" s="536">
        <f>$I$515</f>
        <v>441590</v>
      </c>
      <c r="J516" s="346">
        <f>$J$515</f>
        <v>2155633</v>
      </c>
      <c r="K516" s="346">
        <f>$K$515</f>
        <v>0</v>
      </c>
    </row>
    <row r="517" spans="1:11" ht="13">
      <c r="A517" s="331">
        <v>5</v>
      </c>
      <c r="D517" s="342"/>
      <c r="E517" s="195"/>
      <c r="F517" s="351"/>
      <c r="G517" s="541"/>
      <c r="H517" s="531"/>
      <c r="I517" s="532"/>
    </row>
    <row r="518" spans="1:11" ht="13">
      <c r="A518" s="331">
        <v>6</v>
      </c>
      <c r="B518" s="330" t="s">
        <v>71</v>
      </c>
      <c r="D518" s="342"/>
      <c r="E518" s="195"/>
      <c r="F518" s="351"/>
      <c r="G518" s="541"/>
      <c r="H518" s="531"/>
      <c r="I518" s="532"/>
    </row>
    <row r="519" spans="1:11" ht="13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3">
        <f>'FR-16(7)(v)-8 TOT CLASS Alloc'!H519</f>
        <v>2358112</v>
      </c>
      <c r="G519" s="542">
        <f>'FR-16(7)(v)-5 DISTR Dem Alloc'!$H$519</f>
        <v>1751249</v>
      </c>
      <c r="H519" s="533">
        <f>'FR-16(7)(v)-3 PROD Comm Alloc'!$H$519</f>
        <v>141823</v>
      </c>
      <c r="I519" s="534">
        <f>'FR-16(7)(v)-6 DISTR Cust Alloc'!$H$519</f>
        <v>465040</v>
      </c>
      <c r="J519" s="345">
        <f>SUM($G$519:$I$519)</f>
        <v>2358112</v>
      </c>
      <c r="K519" s="345">
        <f>F519-$J$519</f>
        <v>0</v>
      </c>
    </row>
    <row r="520" spans="1:11" ht="13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3">
        <f>'FR-16(7)(v)-8 TOT CLASS Alloc'!H520</f>
        <v>-56416</v>
      </c>
      <c r="G520" s="542">
        <f>'FR-16(7)(v)-5 DISTR Dem Alloc'!$H$520</f>
        <v>-33958</v>
      </c>
      <c r="H520" s="533">
        <f>'FR-16(7)(v)-3 PROD Comm Alloc'!$H$520</f>
        <v>-13402</v>
      </c>
      <c r="I520" s="534">
        <f>'FR-16(7)(v)-6 DISTR Cust Alloc'!$H$520</f>
        <v>-9056</v>
      </c>
      <c r="J520" s="345">
        <f>SUM($G$520:$I$520)</f>
        <v>-56416</v>
      </c>
      <c r="K520" s="345">
        <f>F520-$J$520</f>
        <v>0</v>
      </c>
    </row>
    <row r="521" spans="1:11" ht="13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3">
        <f>'FR-16(7)(v)-8 TOT CLASS Alloc'!H521</f>
        <v>-507575</v>
      </c>
      <c r="G521" s="542">
        <f>'FR-16(7)(v)-5 DISTR Dem Alloc'!$H$521</f>
        <v>-376950</v>
      </c>
      <c r="H521" s="533">
        <f>'FR-16(7)(v)-3 PROD Comm Alloc'!$H$521</f>
        <v>-30527</v>
      </c>
      <c r="I521" s="534">
        <f>'FR-16(7)(v)-6 DISTR Cust Alloc'!$H$521</f>
        <v>-100098</v>
      </c>
      <c r="J521" s="345">
        <f>SUM($G$521:$I$521)</f>
        <v>-507575</v>
      </c>
      <c r="K521" s="345">
        <f>F521-$J$521</f>
        <v>0</v>
      </c>
    </row>
    <row r="522" spans="1:11" ht="13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1794121</v>
      </c>
      <c r="G522" s="543">
        <f>SUM($G$519:$G$521)</f>
        <v>1340341</v>
      </c>
      <c r="H522" s="535">
        <f>SUM($H$519:$H$521)</f>
        <v>97894</v>
      </c>
      <c r="I522" s="536">
        <f>SUM($I$519:$I$521)</f>
        <v>355886</v>
      </c>
      <c r="J522" s="346">
        <f>SUM($J$519:$J$521)</f>
        <v>1794121</v>
      </c>
      <c r="K522" s="346">
        <f>SUM($K$519:$K$521)</f>
        <v>0</v>
      </c>
    </row>
    <row r="523" spans="1:11" ht="13">
      <c r="A523" s="331">
        <v>11</v>
      </c>
      <c r="D523" s="342"/>
      <c r="E523" s="195"/>
      <c r="F523" s="351"/>
      <c r="G523" s="541"/>
      <c r="H523" s="531"/>
      <c r="I523" s="532"/>
    </row>
    <row r="524" spans="1:11" ht="13">
      <c r="A524" s="331">
        <v>12</v>
      </c>
      <c r="B524" s="330" t="s">
        <v>72</v>
      </c>
      <c r="D524" s="342"/>
      <c r="E524" s="195"/>
      <c r="F524" s="347">
        <f>F522+F516</f>
        <v>3949754</v>
      </c>
      <c r="G524" s="542">
        <f>$G$522+$G$516</f>
        <v>3004218</v>
      </c>
      <c r="H524" s="533">
        <f>$H$522+$H$516</f>
        <v>148060</v>
      </c>
      <c r="I524" s="534">
        <f>$I$522+$I$516</f>
        <v>797476</v>
      </c>
      <c r="J524" s="345">
        <f>$J$522+$J$516</f>
        <v>3949754</v>
      </c>
      <c r="K524" s="345">
        <f>$K$522+$K$516</f>
        <v>0</v>
      </c>
    </row>
    <row r="525" spans="1:11" ht="13">
      <c r="A525" s="331">
        <v>13</v>
      </c>
      <c r="D525" s="342"/>
      <c r="E525" s="195"/>
      <c r="F525" s="351"/>
      <c r="G525" s="541"/>
      <c r="H525" s="531"/>
      <c r="I525" s="532"/>
    </row>
    <row r="526" spans="1:11" ht="13">
      <c r="A526" s="331">
        <v>14</v>
      </c>
      <c r="B526" s="338" t="s">
        <v>541</v>
      </c>
      <c r="D526" s="342"/>
      <c r="E526" s="195"/>
      <c r="F526" s="351"/>
      <c r="G526" s="541"/>
      <c r="H526" s="531"/>
      <c r="I526" s="532"/>
    </row>
    <row r="527" spans="1:11" ht="13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3">
        <f>'FR-16(7)(v)-8 TOT CLASS Alloc'!H527</f>
        <v>449116</v>
      </c>
      <c r="G527" s="542">
        <f>'FR-16(7)(v)-5 DISTR Dem Alloc'!$H$527</f>
        <v>69195</v>
      </c>
      <c r="H527" s="533">
        <f>'FR-16(7)(v)-3 PROD Comm Alloc'!$H$527</f>
        <v>358855</v>
      </c>
      <c r="I527" s="534">
        <f>'FR-16(7)(v)-6 DISTR Cust Alloc'!$H$527</f>
        <v>21066</v>
      </c>
      <c r="J527" s="345">
        <f>SUM($G$527:$I$527)</f>
        <v>449116</v>
      </c>
      <c r="K527" s="345">
        <f>F527-$J$527</f>
        <v>0</v>
      </c>
    </row>
    <row r="528" spans="1:11" ht="13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3">
        <f>'FR-16(7)(v)-8 TOT CLASS Alloc'!H528</f>
        <v>3767</v>
      </c>
      <c r="G528" s="542">
        <f>'FR-16(7)(v)-5 DISTR Dem Alloc'!$H$528</f>
        <v>2267</v>
      </c>
      <c r="H528" s="533">
        <f>'FR-16(7)(v)-3 PROD Comm Alloc'!$H$528</f>
        <v>895</v>
      </c>
      <c r="I528" s="534">
        <f>'FR-16(7)(v)-6 DISTR Cust Alloc'!$H$528</f>
        <v>605</v>
      </c>
      <c r="J528" s="345">
        <f>SUM($G$528:$I$528)</f>
        <v>3767</v>
      </c>
      <c r="K528" s="345">
        <f>F528-$J$528</f>
        <v>0</v>
      </c>
    </row>
    <row r="529" spans="1:11" ht="13">
      <c r="A529" s="331">
        <v>17</v>
      </c>
      <c r="C529" s="612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3">
        <f>'FR-16(7)(v)-8 TOT CLASS Alloc'!H529</f>
        <v>0</v>
      </c>
      <c r="G529" s="542">
        <f>'FR-16(7)(v)-5 DISTR Dem Alloc'!$H$529</f>
        <v>0</v>
      </c>
      <c r="H529" s="533">
        <f>'FR-16(7)(v)-3 PROD Comm Alloc'!$H$529</f>
        <v>0</v>
      </c>
      <c r="I529" s="534">
        <f>'FR-16(7)(v)-6 DISTR Cust Alloc'!$H$529</f>
        <v>0</v>
      </c>
      <c r="J529" s="345">
        <f>SUM($G$529:$I$529)</f>
        <v>0</v>
      </c>
      <c r="K529" s="345">
        <f>F529-$J$529</f>
        <v>0</v>
      </c>
    </row>
    <row r="530" spans="1:11" ht="13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3">
        <f>'FR-16(7)(v)-8 TOT CLASS Alloc'!H530</f>
        <v>-21156</v>
      </c>
      <c r="G530" s="542">
        <f>'FR-16(7)(v)-5 DISTR Dem Alloc'!$H$530</f>
        <v>0</v>
      </c>
      <c r="H530" s="533">
        <f>'FR-16(7)(v)-3 PROD Comm Alloc'!$H$530</f>
        <v>-21156</v>
      </c>
      <c r="I530" s="534">
        <f>'FR-16(7)(v)-6 DISTR Cust Alloc'!$H$530</f>
        <v>0</v>
      </c>
      <c r="J530" s="345">
        <f>SUM($G$530:$I$530)</f>
        <v>-21156</v>
      </c>
      <c r="K530" s="345">
        <f>F530-$J$530</f>
        <v>0</v>
      </c>
    </row>
    <row r="531" spans="1:11" ht="13">
      <c r="A531" s="331">
        <v>19</v>
      </c>
      <c r="C531" s="357" t="s">
        <v>1418</v>
      </c>
      <c r="D531" s="342" t="str">
        <f>'FR-16(7)(v)-1 Functional'!D531</f>
        <v>AG39</v>
      </c>
      <c r="E531" s="195"/>
      <c r="F531" s="473">
        <f>'FR-16(7)(v)-8 TOT CLASS Alloc'!H531</f>
        <v>-151605</v>
      </c>
      <c r="G531" s="542">
        <f>'FR-16(7)(v)-5 DISTR Dem Alloc'!$H$531</f>
        <v>-91255</v>
      </c>
      <c r="H531" s="533">
        <f>'FR-16(7)(v)-3 PROD Comm Alloc'!$H$531</f>
        <v>-36013</v>
      </c>
      <c r="I531" s="534">
        <f>'FR-16(7)(v)-6 DISTR Cust Alloc'!$H$531</f>
        <v>-24337</v>
      </c>
      <c r="J531" s="345">
        <f>SUM($G$531:$I$531)</f>
        <v>-151605</v>
      </c>
      <c r="K531" s="345">
        <f>F531-$J$531</f>
        <v>0</v>
      </c>
    </row>
    <row r="532" spans="1:11" ht="13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280122</v>
      </c>
      <c r="G532" s="543">
        <f>SUM($G$527:$G$531)</f>
        <v>-19793</v>
      </c>
      <c r="H532" s="535">
        <f>SUM($H$527:$H$531)</f>
        <v>302581</v>
      </c>
      <c r="I532" s="536">
        <f>SUM($I$527:$I$531)</f>
        <v>-2666</v>
      </c>
      <c r="J532" s="346">
        <f>SUM($J$527:$J$531)</f>
        <v>280122</v>
      </c>
      <c r="K532" s="346">
        <f>SUM($K$527:$K$531)</f>
        <v>0</v>
      </c>
    </row>
    <row r="533" spans="1:11" ht="13">
      <c r="A533" s="331">
        <v>21</v>
      </c>
      <c r="D533" s="342"/>
      <c r="E533" s="195"/>
      <c r="F533" s="351"/>
      <c r="G533" s="541"/>
      <c r="H533" s="531"/>
      <c r="I533" s="532"/>
    </row>
    <row r="534" spans="1:11" ht="13">
      <c r="A534" s="331">
        <v>22</v>
      </c>
      <c r="B534" s="330" t="s">
        <v>418</v>
      </c>
      <c r="D534" s="342"/>
      <c r="E534" s="195"/>
      <c r="F534" s="351"/>
      <c r="G534" s="541"/>
      <c r="H534" s="531"/>
      <c r="I534" s="532"/>
    </row>
    <row r="535" spans="1:11" ht="13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3">
        <f>'FR-16(7)(v)-8 TOT CLASS Alloc'!H535</f>
        <v>15154</v>
      </c>
      <c r="G535" s="542">
        <f>'FR-16(7)(v)-5 DISTR Dem Alloc'!$H$535</f>
        <v>11836</v>
      </c>
      <c r="H535" s="533">
        <f>'FR-16(7)(v)-3 PROD Comm Alloc'!$H$535</f>
        <v>177</v>
      </c>
      <c r="I535" s="534">
        <f>'FR-16(7)(v)-6 DISTR Cust Alloc'!$H$535</f>
        <v>3141</v>
      </c>
      <c r="J535" s="345">
        <f>SUM($G$535:$I$535)</f>
        <v>15154</v>
      </c>
      <c r="K535" s="506">
        <f>F535-$J$535</f>
        <v>0</v>
      </c>
    </row>
    <row r="536" spans="1:11" ht="13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15154</v>
      </c>
      <c r="G536" s="543">
        <f>SUM($G$535:$G$535)</f>
        <v>11836</v>
      </c>
      <c r="H536" s="535">
        <f>SUM($H$535:$H$535)</f>
        <v>177</v>
      </c>
      <c r="I536" s="536">
        <f>SUM($I$535:$I$535)</f>
        <v>3141</v>
      </c>
      <c r="J536" s="346">
        <f>SUM($J$535:$J$535)</f>
        <v>15154</v>
      </c>
      <c r="K536" s="346">
        <f>SUM($K$535:$K$535)</f>
        <v>0</v>
      </c>
    </row>
    <row r="537" spans="1:11" ht="13">
      <c r="A537" s="331">
        <v>25</v>
      </c>
      <c r="D537" s="342"/>
      <c r="E537" s="195"/>
      <c r="F537" s="504"/>
      <c r="G537" s="566"/>
      <c r="H537" s="567"/>
      <c r="I537" s="568"/>
      <c r="J537" s="504"/>
      <c r="K537" s="504"/>
    </row>
    <row r="538" spans="1:11" ht="15.5">
      <c r="A538" s="331">
        <v>26</v>
      </c>
      <c r="B538" s="330" t="s">
        <v>73</v>
      </c>
      <c r="D538" s="729"/>
      <c r="E538" s="1"/>
      <c r="F538" s="504"/>
      <c r="G538" s="566"/>
      <c r="H538" s="567"/>
      <c r="I538" s="568"/>
      <c r="J538" s="504"/>
      <c r="K538" s="504"/>
    </row>
    <row r="539" spans="1:11" ht="13">
      <c r="A539" s="331">
        <v>27</v>
      </c>
      <c r="C539" s="330" t="str">
        <f>'FR-16(7)(v)-1 Functional'!C539</f>
        <v>PROV INVEST TAX CREDIT</v>
      </c>
      <c r="D539" s="342" t="s">
        <v>315</v>
      </c>
      <c r="F539" s="473">
        <f>'FR-16(7)(v)-8 TOT CLASS Alloc'!H539</f>
        <v>0</v>
      </c>
      <c r="G539" s="542">
        <f>'FR-16(7)(v)-5 DISTR Dem Alloc'!$H$539</f>
        <v>0</v>
      </c>
      <c r="H539" s="533">
        <f>'FR-16(7)(v)-3 PROD Comm Alloc'!$H$539</f>
        <v>0</v>
      </c>
      <c r="I539" s="534">
        <f>'FR-16(7)(v)-6 DISTR Cust Alloc'!$H$539</f>
        <v>0</v>
      </c>
      <c r="J539" s="345">
        <f>SUM($G$539:$I$539)</f>
        <v>0</v>
      </c>
      <c r="K539" s="345">
        <f>F539-$J$539</f>
        <v>0</v>
      </c>
    </row>
    <row r="540" spans="1:11" ht="15.5">
      <c r="A540" s="331">
        <v>28</v>
      </c>
      <c r="C540" s="337" t="str">
        <f>'FR-16(7)(v)-1 Functional'!C540</f>
        <v xml:space="preserve">  TEST YEAR INV TAX CREDIT</v>
      </c>
      <c r="D540" s="729"/>
      <c r="E540" s="1"/>
      <c r="F540" s="346">
        <f>SUM(F539:F539)</f>
        <v>0</v>
      </c>
      <c r="G540" s="543">
        <f>SUM($G$539:$G$539)</f>
        <v>0</v>
      </c>
      <c r="H540" s="535">
        <f>SUM($H$539:$H$539)</f>
        <v>0</v>
      </c>
      <c r="I540" s="536">
        <f>SUM($I$539:$I$539)</f>
        <v>0</v>
      </c>
      <c r="J540" s="346">
        <f>SUM($J$539:$J$539)</f>
        <v>0</v>
      </c>
      <c r="K540" s="346">
        <f>SUM($K$539:$K$539)</f>
        <v>0</v>
      </c>
    </row>
    <row r="541" spans="1:11" ht="15.5">
      <c r="A541" s="331">
        <v>29</v>
      </c>
      <c r="B541" s="192"/>
      <c r="C541" s="192"/>
      <c r="D541" s="729"/>
      <c r="E541" s="1"/>
      <c r="F541" s="504"/>
      <c r="G541" s="566"/>
      <c r="H541" s="567"/>
      <c r="I541" s="568"/>
      <c r="J541" s="504"/>
      <c r="K541" s="504"/>
    </row>
    <row r="542" spans="1:11" ht="15.5">
      <c r="A542" s="331">
        <v>30</v>
      </c>
      <c r="B542" s="330" t="s">
        <v>40</v>
      </c>
      <c r="C542" s="192"/>
      <c r="D542" s="729"/>
      <c r="E542" s="1"/>
      <c r="F542" s="504"/>
      <c r="G542" s="566"/>
      <c r="H542" s="567"/>
      <c r="I542" s="568"/>
      <c r="J542" s="504"/>
      <c r="K542" s="504"/>
    </row>
    <row r="543" spans="1:11" ht="13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280122</v>
      </c>
      <c r="G543" s="542">
        <f>$G$532</f>
        <v>-19793</v>
      </c>
      <c r="H543" s="533">
        <f>$H$532</f>
        <v>302581</v>
      </c>
      <c r="I543" s="534">
        <f>$I$532</f>
        <v>-2666</v>
      </c>
      <c r="J543" s="345">
        <f>$J$532</f>
        <v>280122</v>
      </c>
      <c r="K543" s="345">
        <f>$K$532</f>
        <v>0</v>
      </c>
    </row>
    <row r="544" spans="1:11" ht="13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-15154</v>
      </c>
      <c r="G544" s="542">
        <f>-$G$536</f>
        <v>-11836</v>
      </c>
      <c r="H544" s="533">
        <f>-$H$536</f>
        <v>-177</v>
      </c>
      <c r="I544" s="534">
        <f>-$I$536</f>
        <v>-3141</v>
      </c>
      <c r="J544" s="345">
        <f>-$J$536</f>
        <v>-15154</v>
      </c>
      <c r="K544" s="345">
        <f>-$K$536</f>
        <v>0</v>
      </c>
    </row>
    <row r="545" spans="1:11" ht="13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264968</v>
      </c>
      <c r="G545" s="543">
        <f>SUM($G$543:$G$544)</f>
        <v>-31629</v>
      </c>
      <c r="H545" s="535">
        <f>SUM($H$543:$H$544)</f>
        <v>302404</v>
      </c>
      <c r="I545" s="536">
        <f>SUM($I$543:$I$544)</f>
        <v>-5807</v>
      </c>
      <c r="J545" s="346">
        <f>SUM($J$543:$J$544)</f>
        <v>264968</v>
      </c>
      <c r="K545" s="346">
        <f>SUM($K$543:$K$544)</f>
        <v>0</v>
      </c>
    </row>
    <row r="546" spans="1:11" ht="13">
      <c r="A546" s="331">
        <v>34</v>
      </c>
      <c r="D546" s="342"/>
      <c r="E546" s="195"/>
      <c r="F546" s="351"/>
      <c r="G546" s="541"/>
      <c r="H546" s="531"/>
      <c r="I546" s="532"/>
    </row>
    <row r="547" spans="1:11" ht="13">
      <c r="A547" s="331">
        <v>35</v>
      </c>
      <c r="B547" s="330" t="s">
        <v>74</v>
      </c>
      <c r="D547" s="342"/>
      <c r="E547" s="195"/>
      <c r="F547" s="351"/>
      <c r="G547" s="541"/>
      <c r="H547" s="531"/>
      <c r="I547" s="532"/>
    </row>
    <row r="548" spans="1:11" ht="13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K548" si="95">F334</f>
        <v>8277502</v>
      </c>
      <c r="G548" s="542">
        <f t="shared" si="95"/>
        <v>6389172</v>
      </c>
      <c r="H548" s="533">
        <f t="shared" si="95"/>
        <v>192602</v>
      </c>
      <c r="I548" s="534">
        <f t="shared" si="95"/>
        <v>1695728</v>
      </c>
      <c r="J548" s="345">
        <f t="shared" si="95"/>
        <v>8277502</v>
      </c>
      <c r="K548" s="345">
        <f t="shared" si="95"/>
        <v>0</v>
      </c>
    </row>
    <row r="549" spans="1:11" ht="13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-3949754</v>
      </c>
      <c r="G549" s="542">
        <f>-$G$524</f>
        <v>-3004218</v>
      </c>
      <c r="H549" s="533">
        <f>-$H$524</f>
        <v>-148060</v>
      </c>
      <c r="I549" s="534">
        <f>-$I$524</f>
        <v>-797476</v>
      </c>
      <c r="J549" s="345">
        <f>-$J$524</f>
        <v>-3949754</v>
      </c>
      <c r="K549" s="345">
        <f>-$K$524</f>
        <v>0</v>
      </c>
    </row>
    <row r="550" spans="1:11" ht="13">
      <c r="A550" s="331">
        <v>38</v>
      </c>
      <c r="C550" s="330" t="s">
        <v>1419</v>
      </c>
      <c r="D550" s="342"/>
      <c r="E550" s="195"/>
      <c r="F550" s="347">
        <f t="shared" ref="F550:K550" si="96">F591</f>
        <v>157834</v>
      </c>
      <c r="G550" s="542">
        <f t="shared" si="96"/>
        <v>1417</v>
      </c>
      <c r="H550" s="533">
        <f t="shared" si="96"/>
        <v>0</v>
      </c>
      <c r="I550" s="534">
        <f t="shared" si="96"/>
        <v>156417</v>
      </c>
      <c r="J550" s="345">
        <f t="shared" si="96"/>
        <v>157834</v>
      </c>
      <c r="K550" s="345">
        <f t="shared" si="96"/>
        <v>0</v>
      </c>
    </row>
    <row r="551" spans="1:11" ht="13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264968</v>
      </c>
      <c r="G551" s="542">
        <f>$G$545</f>
        <v>-31629</v>
      </c>
      <c r="H551" s="533">
        <f>$H$545</f>
        <v>302404</v>
      </c>
      <c r="I551" s="534">
        <f>$I$545</f>
        <v>-5807</v>
      </c>
      <c r="J551" s="345">
        <f>$J$545</f>
        <v>264968</v>
      </c>
      <c r="K551" s="345">
        <f>$K$545</f>
        <v>0</v>
      </c>
    </row>
    <row r="552" spans="1:11" ht="13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>SUM(F548:F551)</f>
        <v>4750550</v>
      </c>
      <c r="G552" s="543">
        <f>SUM($G$548:$G$551)</f>
        <v>3354742</v>
      </c>
      <c r="H552" s="535">
        <f>SUM($H$548:$H$551)</f>
        <v>346946</v>
      </c>
      <c r="I552" s="536">
        <f>SUM($I$548:$I$551)</f>
        <v>1048862</v>
      </c>
      <c r="J552" s="346">
        <f>SUM($J$548:$J$551)</f>
        <v>4750550</v>
      </c>
      <c r="K552" s="346">
        <f>SUM($K$548:$K$551)</f>
        <v>0</v>
      </c>
    </row>
    <row r="553" spans="1:11" ht="13">
      <c r="A553" s="331">
        <v>41</v>
      </c>
      <c r="D553" s="342"/>
      <c r="E553" s="195"/>
      <c r="F553" s="351"/>
      <c r="G553" s="541"/>
      <c r="H553" s="531"/>
      <c r="I553" s="532"/>
    </row>
    <row r="554" spans="1:11" ht="13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560">
        <f>ROUND(G692/(1-G692),9)</f>
        <v>0.26582278500000001</v>
      </c>
      <c r="H554" s="561">
        <f>ROUND(H692/(1-H692),9)</f>
        <v>0.26582278500000001</v>
      </c>
      <c r="I554" s="562">
        <f>ROUND(I692/(1-I692),9)</f>
        <v>0.26582278500000001</v>
      </c>
      <c r="J554" s="348"/>
      <c r="K554" s="348">
        <f>ROUND(K692/(1-K692),9)</f>
        <v>0.26582278500000001</v>
      </c>
    </row>
    <row r="555" spans="1:11" ht="13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>ROUND(F554*F552,0)</f>
        <v>1262804</v>
      </c>
      <c r="G555" s="554">
        <f>ROUND($G$552*$G$554,0)</f>
        <v>891767</v>
      </c>
      <c r="H555" s="555">
        <f>ROUND($H$552*$H$554,0)</f>
        <v>92226</v>
      </c>
      <c r="I555" s="556">
        <f>ROUND($I$552*$I$554,0)</f>
        <v>278811</v>
      </c>
      <c r="J555" s="345">
        <f>SUM($G$555:$I$555)</f>
        <v>1262804</v>
      </c>
      <c r="K555" s="345">
        <f>ROUND($K$552*$K$554,0)</f>
        <v>0</v>
      </c>
    </row>
    <row r="556" spans="1:11" ht="13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264968</v>
      </c>
      <c r="G556" s="542">
        <f>$G$545</f>
        <v>-31629</v>
      </c>
      <c r="H556" s="533">
        <f>$H$545</f>
        <v>302404</v>
      </c>
      <c r="I556" s="534">
        <f>$I$545</f>
        <v>-5807</v>
      </c>
      <c r="J556" s="345">
        <f>$J$545</f>
        <v>264968</v>
      </c>
      <c r="K556" s="345">
        <f>$K$545</f>
        <v>0</v>
      </c>
    </row>
    <row r="557" spans="1:11" ht="13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>SUM(F555:F556)</f>
        <v>1527772</v>
      </c>
      <c r="G557" s="543">
        <f>SUM($G$555:$G$556)</f>
        <v>860138</v>
      </c>
      <c r="H557" s="535">
        <f>SUM($H$555:$H$556)</f>
        <v>394630</v>
      </c>
      <c r="I557" s="536">
        <f>SUM($I$555:$I$556)</f>
        <v>273004</v>
      </c>
      <c r="J557" s="346">
        <f>SUM($J$555:$J$556)</f>
        <v>1527772</v>
      </c>
      <c r="K557" s="346">
        <f>SUM($K$555:$K$556)</f>
        <v>0</v>
      </c>
    </row>
    <row r="558" spans="1:11" ht="13">
      <c r="A558" s="331">
        <v>46</v>
      </c>
      <c r="D558" s="342"/>
      <c r="E558" s="195"/>
      <c r="F558" s="351"/>
      <c r="G558" s="541"/>
      <c r="H558" s="531"/>
      <c r="I558" s="532"/>
    </row>
    <row r="559" spans="1:11" ht="13">
      <c r="A559" s="331">
        <v>47</v>
      </c>
      <c r="B559" s="330" t="s">
        <v>68</v>
      </c>
      <c r="D559" s="342"/>
      <c r="E559" s="195"/>
      <c r="F559" s="351"/>
      <c r="G559" s="541"/>
      <c r="H559" s="531"/>
      <c r="I559" s="532"/>
    </row>
    <row r="560" spans="1:11" ht="13">
      <c r="A560" s="331">
        <v>48</v>
      </c>
      <c r="B560" s="330" t="s">
        <v>75</v>
      </c>
      <c r="D560" s="342"/>
      <c r="E560" s="195"/>
      <c r="F560" s="351"/>
      <c r="G560" s="541"/>
      <c r="H560" s="531"/>
      <c r="I560" s="532"/>
    </row>
    <row r="561" spans="1:11" ht="13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>F555</f>
        <v>1262804</v>
      </c>
      <c r="G561" s="542">
        <f>$G$555</f>
        <v>891767</v>
      </c>
      <c r="H561" s="533">
        <f>$H$555</f>
        <v>92226</v>
      </c>
      <c r="I561" s="534">
        <f>$I$555</f>
        <v>278811</v>
      </c>
      <c r="J561" s="345">
        <f>$J$555</f>
        <v>1262804</v>
      </c>
      <c r="K561" s="345">
        <f>$K$555</f>
        <v>0</v>
      </c>
    </row>
    <row r="562" spans="1:11" ht="13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544">
        <f>-$G$540</f>
        <v>0</v>
      </c>
      <c r="H562" s="537">
        <f>-$H$540</f>
        <v>0</v>
      </c>
      <c r="I562" s="538">
        <f>-$I$540</f>
        <v>0</v>
      </c>
      <c r="J562" s="345">
        <f>-$J$540</f>
        <v>0</v>
      </c>
      <c r="K562" s="345">
        <f>-$K$540</f>
        <v>0</v>
      </c>
    </row>
    <row r="563" spans="1:11" ht="13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>SUM(F560:F562)</f>
        <v>1262804</v>
      </c>
      <c r="G563" s="543">
        <f>SUM($G$560:$G$562)</f>
        <v>891767</v>
      </c>
      <c r="H563" s="535">
        <f>SUM($H$560:$H$562)</f>
        <v>92226</v>
      </c>
      <c r="I563" s="536">
        <f>SUM($I$560:$I$562)</f>
        <v>278811</v>
      </c>
      <c r="J563" s="346">
        <f>SUM($J$560:$J$562)</f>
        <v>1262804</v>
      </c>
      <c r="K563" s="346">
        <f>SUM($K$560:$K$562)</f>
        <v>0</v>
      </c>
    </row>
    <row r="564" spans="1:11" ht="13">
      <c r="A564" s="331">
        <v>52</v>
      </c>
      <c r="D564" s="342"/>
      <c r="E564" s="195"/>
      <c r="G564" s="541"/>
      <c r="H564" s="531"/>
      <c r="I564" s="532"/>
    </row>
    <row r="565" spans="1:11" ht="13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563">
        <f>ROUND((G693*(1-G692))+((1-G693)*(1-G692)*G694)+G692,5)</f>
        <v>0.24925</v>
      </c>
      <c r="H565" s="564">
        <f>ROUND((H693*(1-H692))+((1-H693)*(1-H692)*H694)+H692,5)</f>
        <v>0.24925</v>
      </c>
      <c r="I565" s="565">
        <f>ROUND((I693*(1-I692))+((1-I693)*(1-I692)*I694)+I692,5)</f>
        <v>0.24925</v>
      </c>
      <c r="K565" s="330">
        <f>ROUND((K693*(1-K692))+((1-K693)*(1-K692)*K694)+K692,5)</f>
        <v>0.24925</v>
      </c>
    </row>
    <row r="566" spans="1:11" ht="13">
      <c r="B566" s="341"/>
      <c r="C566" s="195"/>
      <c r="D566" s="342"/>
      <c r="E566" s="195"/>
      <c r="F566" s="195"/>
      <c r="G566" s="195"/>
      <c r="H566" s="195"/>
      <c r="I566" s="195"/>
      <c r="J566" s="195"/>
      <c r="K566" s="195"/>
    </row>
    <row r="567" spans="1:11" ht="13">
      <c r="A567" s="341" t="str">
        <f>co_name</f>
        <v>DUKE ENERGY KENTUCKY, INC.</v>
      </c>
      <c r="C567" s="195"/>
      <c r="D567" s="342"/>
      <c r="E567" s="195"/>
      <c r="F567" s="195"/>
      <c r="G567" s="195"/>
      <c r="H567" s="195"/>
      <c r="I567" s="195"/>
      <c r="J567" s="195" t="str">
        <f>$J$1</f>
        <v>FR-16(7)(v)-10</v>
      </c>
      <c r="K567" s="195"/>
    </row>
    <row r="568" spans="1:11" ht="13">
      <c r="A568" s="341" t="str">
        <f>$A$2</f>
        <v>GS CLASSIFIED - GAS COST OF SERVICE</v>
      </c>
      <c r="C568" s="195"/>
      <c r="D568" s="342"/>
      <c r="E568" s="195"/>
      <c r="F568" s="195"/>
      <c r="G568" s="195"/>
      <c r="H568" s="195"/>
      <c r="I568" s="195"/>
      <c r="J568" s="195" t="str">
        <f>$J$2</f>
        <v>WITNESS RESPONSIBLE:</v>
      </c>
      <c r="K568" s="195"/>
    </row>
    <row r="569" spans="1:11" ht="13">
      <c r="A569" s="341" t="str">
        <f>case_name</f>
        <v>CASE NO: 2021-00190</v>
      </c>
      <c r="C569" s="195"/>
      <c r="D569" s="342"/>
      <c r="E569" s="195"/>
      <c r="F569" s="195"/>
      <c r="G569" s="195"/>
      <c r="H569" s="195"/>
      <c r="I569" s="195"/>
      <c r="J569" s="195" t="str">
        <f>Witness</f>
        <v>JAMES E. ZIOLKOWSKI</v>
      </c>
      <c r="K569" s="195"/>
    </row>
    <row r="570" spans="1:11" ht="13">
      <c r="A570" s="341" t="str">
        <f>data_filing</f>
        <v>DATA: 12 MONTH FORECASTED PERIOD</v>
      </c>
      <c r="C570" s="195"/>
      <c r="D570" s="342"/>
      <c r="E570" s="195"/>
      <c r="F570" s="195"/>
      <c r="G570" s="195"/>
      <c r="H570" s="195"/>
      <c r="I570" s="195"/>
      <c r="J570" s="195" t="str">
        <f>"PAGE "&amp;Pages2-2&amp;" OF "&amp;Pages2</f>
        <v>PAGE 13 OF 15</v>
      </c>
      <c r="K570" s="195"/>
    </row>
    <row r="571" spans="1:11" ht="13">
      <c r="A571" s="341" t="str">
        <f>type</f>
        <v xml:space="preserve">TYPE OF FILING: "X" ORIGINAL   UPDATED    REVISED  </v>
      </c>
      <c r="C571" s="195"/>
      <c r="D571" s="342"/>
      <c r="E571" s="195"/>
      <c r="F571" s="195"/>
      <c r="G571" s="195"/>
      <c r="H571" s="195"/>
      <c r="I571" s="195"/>
      <c r="J571" s="195"/>
      <c r="K571" s="195"/>
    </row>
    <row r="574" spans="1:11" ht="13">
      <c r="A574" s="342" t="s">
        <v>907</v>
      </c>
      <c r="B574" s="1352"/>
      <c r="C574" s="1083"/>
      <c r="D574" s="1083"/>
      <c r="E574" s="340"/>
      <c r="F574" s="352" t="s">
        <v>229</v>
      </c>
      <c r="G574" s="539" t="s">
        <v>995</v>
      </c>
      <c r="H574" s="527"/>
      <c r="I574" s="528"/>
      <c r="J574" s="342" t="s">
        <v>229</v>
      </c>
      <c r="K574" s="342" t="s">
        <v>342</v>
      </c>
    </row>
    <row r="575" spans="1:11" ht="13">
      <c r="A575" s="344" t="s">
        <v>908</v>
      </c>
      <c r="B575" s="1354" t="s">
        <v>1376</v>
      </c>
      <c r="C575" s="1355"/>
      <c r="D575" s="1356" t="s">
        <v>1377</v>
      </c>
      <c r="E575" s="1357"/>
      <c r="F575" s="353" t="str">
        <f>$F$9</f>
        <v>GS</v>
      </c>
      <c r="G575" s="540" t="s">
        <v>840</v>
      </c>
      <c r="H575" s="529" t="s">
        <v>841</v>
      </c>
      <c r="I575" s="530" t="s">
        <v>842</v>
      </c>
      <c r="J575" s="344" t="s">
        <v>341</v>
      </c>
      <c r="K575" s="344" t="s">
        <v>340</v>
      </c>
    </row>
    <row r="576" spans="1:11" ht="15.5">
      <c r="A576" s="1358"/>
      <c r="B576" s="1359"/>
      <c r="C576" s="1360" t="s">
        <v>1378</v>
      </c>
      <c r="D576" s="1361"/>
      <c r="E576" s="340"/>
      <c r="F576" s="351"/>
      <c r="G576" s="1407">
        <f>$G$10</f>
        <v>3</v>
      </c>
      <c r="H576" s="1408">
        <f>$H$10</f>
        <v>4</v>
      </c>
      <c r="I576" s="1409">
        <f>$I$10</f>
        <v>5</v>
      </c>
    </row>
    <row r="577" spans="1:11" ht="13">
      <c r="A577" s="961">
        <v>1</v>
      </c>
      <c r="B577" s="1365" t="s">
        <v>1379</v>
      </c>
      <c r="C577" s="1352"/>
      <c r="D577" s="1352"/>
      <c r="E577" s="340"/>
      <c r="F577" s="340"/>
      <c r="G577" s="1410"/>
      <c r="H577" s="1411"/>
      <c r="I577" s="1412"/>
      <c r="J577" s="195"/>
      <c r="K577" s="195"/>
    </row>
    <row r="578" spans="1:11" ht="13">
      <c r="A578" s="961">
        <v>2</v>
      </c>
      <c r="B578" s="1369" t="s">
        <v>1380</v>
      </c>
      <c r="C578" s="1352"/>
      <c r="D578" s="1370" t="s">
        <v>315</v>
      </c>
      <c r="E578" s="340"/>
      <c r="F578" s="473">
        <f>'FR-16(7)(v)-8 TOT CLASS Alloc'!H578</f>
        <v>1690633</v>
      </c>
      <c r="G578" s="542">
        <f>ROUND(F578*VLOOKUP(D578,AllocTable_Functional,$G$10,FALSE),0)</f>
        <v>15182</v>
      </c>
      <c r="H578" s="533">
        <f>ROUND(F578*VLOOKUP(D578,AllocTable_Functional,$H$10,FALSE),0)</f>
        <v>0</v>
      </c>
      <c r="I578" s="534">
        <f>ROUND(F578*VLOOKUP(D578,AllocTable_Functional,$I$10,FALSE),0)</f>
        <v>1675451</v>
      </c>
      <c r="J578" s="345">
        <f>SUM(G578:I578)</f>
        <v>1690633</v>
      </c>
      <c r="K578" s="345">
        <f>F578-J578</f>
        <v>0</v>
      </c>
    </row>
    <row r="579" spans="1:11" ht="13">
      <c r="A579" s="961">
        <v>3</v>
      </c>
      <c r="B579" s="1369" t="s">
        <v>1152</v>
      </c>
      <c r="C579" s="1371"/>
      <c r="D579" s="1370" t="s">
        <v>315</v>
      </c>
      <c r="E579" s="340"/>
      <c r="F579" s="1372">
        <f>'FR-16(7)(v)-8 TOT CLASS Alloc'!H579</f>
        <v>0</v>
      </c>
      <c r="G579" s="544">
        <f>ROUND(F579*VLOOKUP(D579,AllocTable_Functional,$G$10,FALSE),0)</f>
        <v>0</v>
      </c>
      <c r="H579" s="537">
        <f>ROUND(F579*VLOOKUP(D579,AllocTable_Functional,$H$10,FALSE),0)</f>
        <v>0</v>
      </c>
      <c r="I579" s="538">
        <f>ROUND(F579*VLOOKUP(D579,AllocTable_Functional,$I$10,FALSE),0)</f>
        <v>0</v>
      </c>
      <c r="J579" s="496">
        <f>SUM(G579:I579)</f>
        <v>0</v>
      </c>
      <c r="K579" s="496">
        <f>F579-J579</f>
        <v>0</v>
      </c>
    </row>
    <row r="580" spans="1:11" ht="13">
      <c r="A580" s="961">
        <v>4</v>
      </c>
      <c r="B580" s="1373" t="s">
        <v>1381</v>
      </c>
      <c r="C580" s="1352"/>
      <c r="D580" s="1374"/>
      <c r="E580" s="340"/>
      <c r="F580" s="1280">
        <f t="shared" ref="F580:K580" si="97">SUM(F578:F579)</f>
        <v>1690633</v>
      </c>
      <c r="G580" s="1413">
        <f t="shared" si="97"/>
        <v>15182</v>
      </c>
      <c r="H580" s="1414">
        <f t="shared" si="97"/>
        <v>0</v>
      </c>
      <c r="I580" s="1415">
        <f t="shared" si="97"/>
        <v>1675451</v>
      </c>
      <c r="J580" s="333">
        <f t="shared" si="97"/>
        <v>1690633</v>
      </c>
      <c r="K580" s="333">
        <f t="shared" si="97"/>
        <v>0</v>
      </c>
    </row>
    <row r="581" spans="1:11" ht="15.5">
      <c r="A581" s="961">
        <v>5</v>
      </c>
      <c r="B581" s="1358"/>
      <c r="C581" s="1361"/>
      <c r="D581" s="1375"/>
      <c r="E581" s="340"/>
      <c r="F581" s="351"/>
      <c r="G581" s="541"/>
      <c r="H581" s="531"/>
      <c r="I581" s="532"/>
    </row>
    <row r="582" spans="1:11" ht="13">
      <c r="A582" s="961">
        <v>6</v>
      </c>
      <c r="B582" s="1376" t="s">
        <v>1382</v>
      </c>
      <c r="C582" s="1352"/>
      <c r="D582" s="1374"/>
      <c r="E582" s="340"/>
      <c r="F582" s="351"/>
      <c r="G582" s="541"/>
      <c r="H582" s="531"/>
      <c r="I582" s="532"/>
    </row>
    <row r="583" spans="1:11" ht="13">
      <c r="A583" s="961">
        <v>7</v>
      </c>
      <c r="B583" s="1377" t="s">
        <v>1383</v>
      </c>
      <c r="C583" s="1352"/>
      <c r="D583" s="1374"/>
      <c r="E583" s="340"/>
      <c r="F583" s="351"/>
      <c r="G583" s="541"/>
      <c r="H583" s="531"/>
      <c r="I583" s="532"/>
    </row>
    <row r="584" spans="1:11" ht="13">
      <c r="A584" s="961">
        <v>8</v>
      </c>
      <c r="B584" s="1378" t="s">
        <v>1384</v>
      </c>
      <c r="C584" s="1371"/>
      <c r="D584" s="1370" t="s">
        <v>315</v>
      </c>
      <c r="E584" s="340"/>
      <c r="F584" s="1431">
        <f>'FR-16(7)(v)-8 TOT CLASS Alloc'!H584</f>
        <v>157834</v>
      </c>
      <c r="G584" s="544">
        <f>F584-SUM(H584:I584)</f>
        <v>1417</v>
      </c>
      <c r="H584" s="537">
        <f>ROUND(F584*VLOOKUP(D584,AllocTable_Functional,$H$10,FALSE),0)</f>
        <v>0</v>
      </c>
      <c r="I584" s="538">
        <f>ROUND(F584*VLOOKUP(D584,AllocTable_Functional,$I$10,FALSE),0)</f>
        <v>156417</v>
      </c>
      <c r="J584" s="496">
        <f>SUM(G584:I584)</f>
        <v>157834</v>
      </c>
      <c r="K584" s="496">
        <f>F584-J584</f>
        <v>0</v>
      </c>
    </row>
    <row r="585" spans="1:11" ht="13">
      <c r="A585" s="961">
        <v>9</v>
      </c>
      <c r="B585" s="1373" t="s">
        <v>1386</v>
      </c>
      <c r="C585" s="1352"/>
      <c r="D585" s="1374"/>
      <c r="E585" s="340"/>
      <c r="F585" s="1280">
        <f t="shared" ref="F585:K585" si="98">SUM(F584)</f>
        <v>157834</v>
      </c>
      <c r="G585" s="1413">
        <f t="shared" si="98"/>
        <v>1417</v>
      </c>
      <c r="H585" s="1414">
        <f t="shared" si="98"/>
        <v>0</v>
      </c>
      <c r="I585" s="1415">
        <f t="shared" si="98"/>
        <v>156417</v>
      </c>
      <c r="J585" s="333">
        <f t="shared" si="98"/>
        <v>157834</v>
      </c>
      <c r="K585" s="333">
        <f t="shared" si="98"/>
        <v>0</v>
      </c>
    </row>
    <row r="586" spans="1:11" ht="13">
      <c r="A586" s="961">
        <v>10</v>
      </c>
      <c r="B586" s="1082"/>
      <c r="C586" s="1352"/>
      <c r="D586" s="1374"/>
      <c r="E586" s="340"/>
      <c r="F586" s="351"/>
      <c r="G586" s="541"/>
      <c r="H586" s="531"/>
      <c r="I586" s="532"/>
    </row>
    <row r="587" spans="1:11" ht="13">
      <c r="A587" s="961">
        <v>11</v>
      </c>
      <c r="B587" s="1379" t="s">
        <v>1387</v>
      </c>
      <c r="C587" s="1380"/>
      <c r="D587" s="1381"/>
      <c r="E587" s="340"/>
      <c r="F587" s="351"/>
      <c r="G587" s="541"/>
      <c r="H587" s="531"/>
      <c r="I587" s="532"/>
    </row>
    <row r="588" spans="1:11" ht="13">
      <c r="A588" s="961">
        <v>12</v>
      </c>
      <c r="B588" s="1369" t="s">
        <v>1388</v>
      </c>
      <c r="C588" s="1371"/>
      <c r="D588" s="1370" t="s">
        <v>315</v>
      </c>
      <c r="E588" s="340"/>
      <c r="F588" s="1431">
        <f>'FR-16(7)(v)-8 TOT CLASS Alloc'!H588</f>
        <v>0</v>
      </c>
      <c r="G588" s="544">
        <f>ROUND(F588*VLOOKUP(D588,AllocTable_Functional,$G$10,FALSE),0)</f>
        <v>0</v>
      </c>
      <c r="H588" s="537">
        <f>ROUND(F588*VLOOKUP(D588,AllocTable_Functional,$H$10,FALSE),0)</f>
        <v>0</v>
      </c>
      <c r="I588" s="538">
        <f>ROUND(F588*VLOOKUP(D588,AllocTable_Functional,$I$10,FALSE),0)</f>
        <v>0</v>
      </c>
      <c r="J588" s="496">
        <f>SUM(G588:I588)</f>
        <v>0</v>
      </c>
      <c r="K588" s="496">
        <f>F588-J588</f>
        <v>0</v>
      </c>
    </row>
    <row r="589" spans="1:11" ht="13">
      <c r="A589" s="961">
        <v>13</v>
      </c>
      <c r="B589" s="1373" t="s">
        <v>1389</v>
      </c>
      <c r="C589" s="1352"/>
      <c r="D589" s="1374"/>
      <c r="E589" s="340"/>
      <c r="F589" s="1280">
        <f t="shared" ref="F589:K589" si="99">SUM(F588)</f>
        <v>0</v>
      </c>
      <c r="G589" s="1413">
        <f t="shared" si="99"/>
        <v>0</v>
      </c>
      <c r="H589" s="1414">
        <f t="shared" si="99"/>
        <v>0</v>
      </c>
      <c r="I589" s="1415">
        <f t="shared" si="99"/>
        <v>0</v>
      </c>
      <c r="J589" s="333">
        <f t="shared" si="99"/>
        <v>0</v>
      </c>
      <c r="K589" s="333">
        <f t="shared" si="99"/>
        <v>0</v>
      </c>
    </row>
    <row r="590" spans="1:11" ht="13">
      <c r="A590" s="961">
        <v>14</v>
      </c>
      <c r="B590" s="1352"/>
      <c r="C590" s="1352"/>
      <c r="D590" s="1374"/>
      <c r="E590" s="340"/>
      <c r="F590" s="351"/>
      <c r="G590" s="541"/>
      <c r="H590" s="531"/>
      <c r="I590" s="532"/>
    </row>
    <row r="591" spans="1:11" ht="13">
      <c r="A591" s="961">
        <v>15</v>
      </c>
      <c r="B591" s="1352" t="s">
        <v>1390</v>
      </c>
      <c r="C591" s="1352"/>
      <c r="D591" s="1374"/>
      <c r="E591" s="340"/>
      <c r="F591" s="1280">
        <f>F589+F585</f>
        <v>157834</v>
      </c>
      <c r="G591" s="1413">
        <f t="shared" ref="G591:K591" si="100">G589+G585</f>
        <v>1417</v>
      </c>
      <c r="H591" s="1414">
        <f t="shared" si="100"/>
        <v>0</v>
      </c>
      <c r="I591" s="1415">
        <f t="shared" si="100"/>
        <v>156417</v>
      </c>
      <c r="J591" s="333">
        <f t="shared" si="100"/>
        <v>157834</v>
      </c>
      <c r="K591" s="333">
        <f t="shared" si="100"/>
        <v>0</v>
      </c>
    </row>
    <row r="592" spans="1:11" ht="13">
      <c r="A592" s="961">
        <v>16</v>
      </c>
      <c r="B592" s="1352"/>
      <c r="C592" s="1352"/>
      <c r="D592" s="1374"/>
      <c r="E592" s="340"/>
      <c r="F592" s="351"/>
      <c r="G592" s="541"/>
      <c r="H592" s="531"/>
      <c r="I592" s="532"/>
    </row>
    <row r="593" spans="1:11" ht="13">
      <c r="A593" s="961">
        <v>17</v>
      </c>
      <c r="B593" s="1382" t="s">
        <v>68</v>
      </c>
      <c r="C593" s="1383"/>
      <c r="D593" s="961"/>
      <c r="E593" s="340"/>
      <c r="F593" s="351"/>
      <c r="G593" s="541"/>
      <c r="H593" s="531"/>
      <c r="I593" s="532"/>
    </row>
    <row r="594" spans="1:11" ht="13">
      <c r="A594" s="961">
        <v>18</v>
      </c>
      <c r="B594" s="1377" t="s">
        <v>1391</v>
      </c>
      <c r="C594" s="1352"/>
      <c r="D594" s="1374"/>
      <c r="E594" s="340"/>
      <c r="F594" s="351"/>
      <c r="G594" s="541"/>
      <c r="H594" s="531"/>
      <c r="I594" s="532"/>
    </row>
    <row r="595" spans="1:11" ht="13">
      <c r="A595" s="961">
        <v>19</v>
      </c>
      <c r="B595" s="1352" t="s">
        <v>43</v>
      </c>
      <c r="C595" s="1352"/>
      <c r="D595" s="1374"/>
      <c r="E595" s="340"/>
      <c r="F595" s="1280">
        <f>F334</f>
        <v>8277502</v>
      </c>
      <c r="G595" s="1413">
        <f>G334</f>
        <v>6389172</v>
      </c>
      <c r="H595" s="1414">
        <f>H334</f>
        <v>192602</v>
      </c>
      <c r="I595" s="1415">
        <f>I334</f>
        <v>1695728</v>
      </c>
      <c r="J595" s="1280">
        <f>J334</f>
        <v>8277502</v>
      </c>
      <c r="K595" s="1280">
        <f t="shared" ref="K595" si="101">K316</f>
        <v>0</v>
      </c>
    </row>
    <row r="596" spans="1:11" ht="13">
      <c r="A596" s="961">
        <v>20</v>
      </c>
      <c r="B596" s="1352" t="s">
        <v>199</v>
      </c>
      <c r="C596" s="1352"/>
      <c r="D596" s="1374"/>
      <c r="E596" s="340"/>
      <c r="F596" s="1280">
        <f t="shared" ref="F596:K596" si="102">F557</f>
        <v>1527772</v>
      </c>
      <c r="G596" s="1413">
        <f t="shared" si="102"/>
        <v>860138</v>
      </c>
      <c r="H596" s="1414">
        <f t="shared" si="102"/>
        <v>394630</v>
      </c>
      <c r="I596" s="1415">
        <f t="shared" si="102"/>
        <v>273004</v>
      </c>
      <c r="J596" s="333">
        <f t="shared" si="102"/>
        <v>1527772</v>
      </c>
      <c r="K596" s="333">
        <f t="shared" si="102"/>
        <v>0</v>
      </c>
    </row>
    <row r="597" spans="1:11" ht="13">
      <c r="A597" s="961">
        <v>21</v>
      </c>
      <c r="B597" s="1352" t="s">
        <v>1392</v>
      </c>
      <c r="C597" s="1352"/>
      <c r="D597" s="1374"/>
      <c r="E597" s="340"/>
      <c r="F597" s="1280">
        <f>-F524</f>
        <v>-3949754</v>
      </c>
      <c r="G597" s="1413">
        <f t="shared" ref="G597:K597" si="103">-G524</f>
        <v>-3004218</v>
      </c>
      <c r="H597" s="1414">
        <f t="shared" si="103"/>
        <v>-148060</v>
      </c>
      <c r="I597" s="1415">
        <f t="shared" si="103"/>
        <v>-797476</v>
      </c>
      <c r="J597" s="333">
        <f t="shared" si="103"/>
        <v>-3949754</v>
      </c>
      <c r="K597" s="333">
        <f t="shared" si="103"/>
        <v>0</v>
      </c>
    </row>
    <row r="598" spans="1:11" ht="13">
      <c r="A598" s="961">
        <v>22</v>
      </c>
      <c r="B598" s="1352" t="s">
        <v>1393</v>
      </c>
      <c r="C598" s="1352"/>
      <c r="D598" s="1374"/>
      <c r="E598" s="340"/>
      <c r="F598" s="1280">
        <f t="shared" ref="F598:K598" si="104">-F580</f>
        <v>-1690633</v>
      </c>
      <c r="G598" s="1413">
        <f t="shared" si="104"/>
        <v>-15182</v>
      </c>
      <c r="H598" s="1414">
        <f t="shared" si="104"/>
        <v>0</v>
      </c>
      <c r="I598" s="1415">
        <f t="shared" si="104"/>
        <v>-1675451</v>
      </c>
      <c r="J598" s="333">
        <f t="shared" si="104"/>
        <v>-1690633</v>
      </c>
      <c r="K598" s="333">
        <f t="shared" si="104"/>
        <v>0</v>
      </c>
    </row>
    <row r="599" spans="1:11" ht="13">
      <c r="A599" s="961">
        <v>23</v>
      </c>
      <c r="B599" s="1371" t="s">
        <v>1394</v>
      </c>
      <c r="C599" s="1371"/>
      <c r="D599" s="1374"/>
      <c r="E599" s="340"/>
      <c r="F599" s="1384">
        <f t="shared" ref="F599:K599" si="105">F591</f>
        <v>157834</v>
      </c>
      <c r="G599" s="1416">
        <f t="shared" si="105"/>
        <v>1417</v>
      </c>
      <c r="H599" s="1417">
        <f t="shared" si="105"/>
        <v>0</v>
      </c>
      <c r="I599" s="1418">
        <f t="shared" si="105"/>
        <v>156417</v>
      </c>
      <c r="J599" s="1388">
        <f t="shared" si="105"/>
        <v>157834</v>
      </c>
      <c r="K599" s="1388">
        <f t="shared" si="105"/>
        <v>0</v>
      </c>
    </row>
    <row r="600" spans="1:11" ht="13">
      <c r="A600" s="961">
        <v>24</v>
      </c>
      <c r="B600" s="1082" t="s">
        <v>1395</v>
      </c>
      <c r="C600" s="1352"/>
      <c r="D600" s="1374"/>
      <c r="E600" s="340"/>
      <c r="F600" s="1280">
        <f t="shared" ref="F600:K600" si="106">SUM(F595:F599)</f>
        <v>4322721</v>
      </c>
      <c r="G600" s="1413">
        <f t="shared" si="106"/>
        <v>4231327</v>
      </c>
      <c r="H600" s="1414">
        <f t="shared" si="106"/>
        <v>439172</v>
      </c>
      <c r="I600" s="1415">
        <f t="shared" si="106"/>
        <v>-347778</v>
      </c>
      <c r="J600" s="333">
        <f t="shared" si="106"/>
        <v>4322721</v>
      </c>
      <c r="K600" s="333">
        <f t="shared" si="106"/>
        <v>0</v>
      </c>
    </row>
    <row r="601" spans="1:11" ht="13">
      <c r="A601" s="961">
        <v>25</v>
      </c>
      <c r="B601" s="1352"/>
      <c r="C601" s="1352"/>
      <c r="D601" s="1374"/>
      <c r="E601" s="340"/>
      <c r="F601" s="351"/>
      <c r="G601" s="541"/>
      <c r="H601" s="531"/>
      <c r="I601" s="532"/>
    </row>
    <row r="602" spans="1:11" ht="13">
      <c r="A602" s="961">
        <v>26</v>
      </c>
      <c r="B602" s="1352" t="s">
        <v>1396</v>
      </c>
      <c r="C602" s="1352"/>
      <c r="D602" s="1374"/>
      <c r="E602" s="340"/>
      <c r="F602" s="1389">
        <f>ROUND(SIT/(1-SIT),8)</f>
        <v>5.2282660000000002E-2</v>
      </c>
      <c r="G602" s="1419">
        <f t="shared" ref="G602:K602" si="107">ROUND(SIT/(1-SIT),8)</f>
        <v>5.2282660000000002E-2</v>
      </c>
      <c r="H602" s="1420">
        <f t="shared" si="107"/>
        <v>5.2282660000000002E-2</v>
      </c>
      <c r="I602" s="1421">
        <f t="shared" si="107"/>
        <v>5.2282660000000002E-2</v>
      </c>
      <c r="J602" s="1389">
        <f t="shared" si="107"/>
        <v>5.2282660000000002E-2</v>
      </c>
      <c r="K602" s="1389">
        <f t="shared" si="107"/>
        <v>5.2282660000000002E-2</v>
      </c>
    </row>
    <row r="603" spans="1:11" ht="13">
      <c r="A603" s="961">
        <v>27</v>
      </c>
      <c r="B603" s="1352" t="s">
        <v>1397</v>
      </c>
      <c r="C603" s="1352"/>
      <c r="D603" s="1393" t="s">
        <v>1398</v>
      </c>
      <c r="E603" s="340"/>
      <c r="F603" s="1394">
        <f>ROUND(F600*F602,0)</f>
        <v>226003</v>
      </c>
      <c r="G603" s="1414">
        <f>ROUND(G600*G602,0)</f>
        <v>221225</v>
      </c>
      <c r="H603" s="1414">
        <f>ROUND(H600*H602,0)</f>
        <v>22961</v>
      </c>
      <c r="I603" s="1415">
        <f>ROUND(I600*I602,0)</f>
        <v>-18183</v>
      </c>
      <c r="J603" s="345">
        <f>SUM(G603:I603)</f>
        <v>226003</v>
      </c>
      <c r="K603" s="345">
        <f>F603-J603</f>
        <v>0</v>
      </c>
    </row>
    <row r="604" spans="1:11" ht="13">
      <c r="A604" s="961">
        <v>28</v>
      </c>
      <c r="B604" s="1371" t="s">
        <v>1399</v>
      </c>
      <c r="C604" s="1371"/>
      <c r="D604" s="1374"/>
      <c r="E604" s="1395"/>
      <c r="F604" s="1394">
        <f>F591</f>
        <v>157834</v>
      </c>
      <c r="G604" s="1422">
        <f>G591</f>
        <v>1417</v>
      </c>
      <c r="H604" s="1423">
        <f>H591</f>
        <v>0</v>
      </c>
      <c r="I604" s="1424">
        <f>I591</f>
        <v>156417</v>
      </c>
      <c r="J604" s="345">
        <f>SUM(G604:I604)</f>
        <v>157834</v>
      </c>
      <c r="K604" s="345">
        <f>F604-J604</f>
        <v>0</v>
      </c>
    </row>
    <row r="605" spans="1:11" ht="13">
      <c r="A605" s="961">
        <v>29</v>
      </c>
      <c r="B605" s="1082" t="s">
        <v>1400</v>
      </c>
      <c r="C605" s="1352"/>
      <c r="D605" s="1374"/>
      <c r="E605" s="340"/>
      <c r="F605" s="1399">
        <f t="shared" ref="F605:K605" si="108">F604+F603</f>
        <v>383837</v>
      </c>
      <c r="G605" s="1425">
        <f t="shared" si="108"/>
        <v>222642</v>
      </c>
      <c r="H605" s="1426">
        <f t="shared" si="108"/>
        <v>22961</v>
      </c>
      <c r="I605" s="1427">
        <f t="shared" si="108"/>
        <v>138234</v>
      </c>
      <c r="J605" s="1399">
        <f t="shared" si="108"/>
        <v>383837</v>
      </c>
      <c r="K605" s="1399">
        <f t="shared" si="108"/>
        <v>0</v>
      </c>
    </row>
    <row r="606" spans="1:11" ht="13">
      <c r="A606" s="961">
        <v>30</v>
      </c>
      <c r="B606" s="1352"/>
      <c r="C606" s="1352"/>
      <c r="D606" s="1374"/>
      <c r="E606" s="340"/>
      <c r="F606" s="351"/>
      <c r="G606" s="541"/>
      <c r="H606" s="531"/>
      <c r="I606" s="532"/>
    </row>
    <row r="607" spans="1:11" ht="13">
      <c r="A607" s="961">
        <v>31</v>
      </c>
      <c r="B607" s="1352" t="s">
        <v>1401</v>
      </c>
      <c r="C607" s="1352"/>
      <c r="D607" s="1374"/>
      <c r="E607" s="340"/>
      <c r="F607" s="351"/>
      <c r="G607" s="541"/>
      <c r="H607" s="531"/>
      <c r="I607" s="532"/>
    </row>
    <row r="608" spans="1:11" ht="13">
      <c r="A608" s="961">
        <v>32</v>
      </c>
      <c r="B608" s="1352" t="s">
        <v>1397</v>
      </c>
      <c r="C608" s="1352"/>
      <c r="D608" s="1374"/>
      <c r="E608" s="340"/>
      <c r="F608" s="1394">
        <f t="shared" ref="F608:K608" si="109">F603</f>
        <v>226003</v>
      </c>
      <c r="G608" s="1422">
        <f t="shared" si="109"/>
        <v>221225</v>
      </c>
      <c r="H608" s="1423">
        <f t="shared" si="109"/>
        <v>22961</v>
      </c>
      <c r="I608" s="1424">
        <f t="shared" si="109"/>
        <v>-18183</v>
      </c>
      <c r="J608" s="1394">
        <f t="shared" si="109"/>
        <v>226003</v>
      </c>
      <c r="K608" s="1394">
        <f t="shared" si="109"/>
        <v>0</v>
      </c>
    </row>
    <row r="609" spans="1:11" ht="13">
      <c r="A609" s="961">
        <v>33</v>
      </c>
      <c r="B609" s="1371" t="s">
        <v>1387</v>
      </c>
      <c r="C609" s="1371"/>
      <c r="D609" s="1374"/>
      <c r="E609" s="340"/>
      <c r="F609" s="1394">
        <f t="shared" ref="F609:K609" si="110">F589</f>
        <v>0</v>
      </c>
      <c r="G609" s="1422">
        <f t="shared" si="110"/>
        <v>0</v>
      </c>
      <c r="H609" s="1423">
        <f t="shared" si="110"/>
        <v>0</v>
      </c>
      <c r="I609" s="1424">
        <f t="shared" si="110"/>
        <v>0</v>
      </c>
      <c r="J609" s="1394">
        <f t="shared" si="110"/>
        <v>0</v>
      </c>
      <c r="K609" s="1394">
        <f t="shared" si="110"/>
        <v>0</v>
      </c>
    </row>
    <row r="610" spans="1:11" ht="13">
      <c r="A610" s="961">
        <v>34</v>
      </c>
      <c r="B610" s="1082" t="s">
        <v>1402</v>
      </c>
      <c r="C610" s="1352"/>
      <c r="D610" s="1374"/>
      <c r="E610" s="340"/>
      <c r="F610" s="1399">
        <f t="shared" ref="F610:K610" si="111">F608+F609</f>
        <v>226003</v>
      </c>
      <c r="G610" s="1425">
        <f t="shared" si="111"/>
        <v>221225</v>
      </c>
      <c r="H610" s="1426">
        <f t="shared" si="111"/>
        <v>22961</v>
      </c>
      <c r="I610" s="1427">
        <f t="shared" si="111"/>
        <v>-18183</v>
      </c>
      <c r="J610" s="1399">
        <f t="shared" si="111"/>
        <v>226003</v>
      </c>
      <c r="K610" s="1399">
        <f t="shared" si="111"/>
        <v>0</v>
      </c>
    </row>
    <row r="611" spans="1:11" ht="13">
      <c r="A611" s="961">
        <v>35</v>
      </c>
      <c r="B611" s="1352"/>
      <c r="C611" s="1352"/>
      <c r="D611" s="1352"/>
      <c r="E611" s="340"/>
      <c r="F611" s="1394"/>
      <c r="G611" s="1422"/>
      <c r="H611" s="1423"/>
      <c r="I611" s="1424"/>
      <c r="J611" s="1394"/>
      <c r="K611" s="1394"/>
    </row>
    <row r="612" spans="1:11" ht="13">
      <c r="A612" s="961">
        <v>36</v>
      </c>
      <c r="B612" s="1352" t="s">
        <v>76</v>
      </c>
      <c r="C612" s="1352"/>
      <c r="D612" s="1352"/>
      <c r="E612" s="340"/>
      <c r="F612" s="1403">
        <f t="shared" ref="F612:K612" si="112">(SIT*(1-FIT))+((1-SIT)*(1-FIT)*RevTax)+FIT</f>
        <v>0.24925115</v>
      </c>
      <c r="G612" s="1428">
        <f t="shared" si="112"/>
        <v>0.24925115</v>
      </c>
      <c r="H612" s="1429">
        <f t="shared" si="112"/>
        <v>0.24925115</v>
      </c>
      <c r="I612" s="1430">
        <f t="shared" si="112"/>
        <v>0.24925115</v>
      </c>
      <c r="J612" s="1403">
        <f t="shared" si="112"/>
        <v>0.24925115</v>
      </c>
      <c r="K612" s="1403">
        <f t="shared" si="112"/>
        <v>0.24925115</v>
      </c>
    </row>
    <row r="614" spans="1:11" ht="13">
      <c r="A614" s="341" t="str">
        <f>co_name</f>
        <v>DUKE ENERGY KENTUCKY, INC.</v>
      </c>
      <c r="C614" s="195"/>
      <c r="D614" s="342"/>
      <c r="E614" s="195"/>
      <c r="F614" s="195"/>
      <c r="G614" s="195"/>
      <c r="H614" s="195"/>
      <c r="I614" s="195"/>
      <c r="J614" s="195" t="str">
        <f>$J$1</f>
        <v>FR-16(7)(v)-10</v>
      </c>
      <c r="K614" s="195"/>
    </row>
    <row r="615" spans="1:11" ht="13">
      <c r="A615" s="341" t="str">
        <f>$A$2</f>
        <v>GS CLASSIFIED - GAS COST OF SERVICE</v>
      </c>
      <c r="C615" s="195"/>
      <c r="D615" s="342"/>
      <c r="E615" s="195"/>
      <c r="F615" s="195"/>
      <c r="G615" s="195"/>
      <c r="H615" s="195"/>
      <c r="I615" s="195"/>
      <c r="J615" s="195" t="str">
        <f>$J$2</f>
        <v>WITNESS RESPONSIBLE:</v>
      </c>
      <c r="K615" s="195"/>
    </row>
    <row r="616" spans="1:11" ht="13">
      <c r="A616" s="341" t="str">
        <f>case_name</f>
        <v>CASE NO: 2021-00190</v>
      </c>
      <c r="C616" s="195"/>
      <c r="D616" s="342"/>
      <c r="E616" s="195"/>
      <c r="F616" s="195"/>
      <c r="G616" s="195"/>
      <c r="H616" s="195"/>
      <c r="I616" s="195"/>
      <c r="J616" s="195" t="str">
        <f>Witness</f>
        <v>JAMES E. ZIOLKOWSKI</v>
      </c>
      <c r="K616" s="195"/>
    </row>
    <row r="617" spans="1:11" ht="13">
      <c r="A617" s="341" t="str">
        <f>data_filing</f>
        <v>DATA: 12 MONTH FORECASTED PERIOD</v>
      </c>
      <c r="C617" s="195"/>
      <c r="D617" s="342"/>
      <c r="E617" s="195"/>
      <c r="F617" s="195"/>
      <c r="G617" s="195"/>
      <c r="H617" s="195"/>
      <c r="I617" s="195"/>
      <c r="J617" s="195" t="str">
        <f>"PAGE "&amp;Pages2-1&amp;" OF "&amp;Pages2</f>
        <v>PAGE 14 OF 15</v>
      </c>
      <c r="K617" s="195"/>
    </row>
    <row r="618" spans="1:11" ht="13">
      <c r="A618" s="341" t="str">
        <f>type</f>
        <v xml:space="preserve">TYPE OF FILING: "X" ORIGINAL   UPDATED    REVISED  </v>
      </c>
      <c r="C618" s="195"/>
      <c r="D618" s="342"/>
      <c r="E618" s="195"/>
      <c r="F618" s="195"/>
      <c r="G618" s="195"/>
      <c r="H618" s="195"/>
      <c r="I618" s="195"/>
      <c r="J618" s="195"/>
      <c r="K618" s="195"/>
    </row>
    <row r="619" spans="1:11" ht="13">
      <c r="B619" s="341"/>
      <c r="C619" s="195"/>
      <c r="D619" s="342"/>
      <c r="E619" s="195"/>
      <c r="F619" s="195"/>
      <c r="G619" s="195"/>
      <c r="H619" s="195"/>
      <c r="I619" s="195"/>
      <c r="J619" s="195"/>
      <c r="K619" s="195"/>
    </row>
    <row r="620" spans="1:11" ht="13">
      <c r="B620" s="341"/>
      <c r="C620" s="195"/>
      <c r="D620" s="342"/>
      <c r="E620" s="195"/>
      <c r="F620" s="195"/>
      <c r="G620" s="195"/>
      <c r="H620" s="195"/>
      <c r="I620" s="195"/>
      <c r="J620" s="195"/>
      <c r="K620" s="195"/>
    </row>
    <row r="621" spans="1:11" ht="13">
      <c r="A621" s="342" t="s">
        <v>907</v>
      </c>
      <c r="B621" s="195"/>
      <c r="C621" s="195"/>
      <c r="D621" s="342"/>
      <c r="E621" s="195"/>
      <c r="F621" s="342" t="s">
        <v>229</v>
      </c>
      <c r="G621" s="539" t="s">
        <v>995</v>
      </c>
      <c r="H621" s="527"/>
      <c r="I621" s="528"/>
      <c r="J621" s="342" t="s">
        <v>229</v>
      </c>
      <c r="K621" s="342" t="s">
        <v>342</v>
      </c>
    </row>
    <row r="622" spans="1:11" ht="13">
      <c r="A622" s="344" t="s">
        <v>908</v>
      </c>
      <c r="B622" s="343" t="s">
        <v>77</v>
      </c>
      <c r="C622" s="343"/>
      <c r="D622" s="344" t="s">
        <v>337</v>
      </c>
      <c r="E622" s="343"/>
      <c r="F622" s="344" t="str">
        <f>$F$9</f>
        <v>GS</v>
      </c>
      <c r="G622" s="540" t="s">
        <v>840</v>
      </c>
      <c r="H622" s="529" t="s">
        <v>841</v>
      </c>
      <c r="I622" s="530" t="s">
        <v>842</v>
      </c>
      <c r="J622" s="344" t="s">
        <v>341</v>
      </c>
      <c r="K622" s="344" t="s">
        <v>340</v>
      </c>
    </row>
    <row r="623" spans="1:11" ht="13">
      <c r="C623" s="572" t="s">
        <v>352</v>
      </c>
      <c r="D623" s="342"/>
      <c r="E623" s="195"/>
      <c r="G623" s="793">
        <f>$G$10</f>
        <v>3</v>
      </c>
      <c r="H623" s="794">
        <f>$H$10</f>
        <v>4</v>
      </c>
      <c r="I623" s="795">
        <f>$I$10</f>
        <v>5</v>
      </c>
    </row>
    <row r="624" spans="1:11" ht="13">
      <c r="A624" s="331">
        <v>1</v>
      </c>
      <c r="B624" s="330" t="s">
        <v>78</v>
      </c>
      <c r="D624" s="342"/>
      <c r="E624" s="195"/>
      <c r="G624" s="541"/>
      <c r="H624" s="531"/>
      <c r="I624" s="532"/>
    </row>
    <row r="625" spans="1:11" ht="13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3">
        <f>'FR-16(7)(v)-8 TOT CLASS Alloc'!H625</f>
        <v>3880</v>
      </c>
      <c r="G625" s="542">
        <f>'FR-16(7)(v)-5 DISTR Dem Alloc'!$H$625</f>
        <v>0</v>
      </c>
      <c r="H625" s="533">
        <f>'FR-16(7)(v)-3 PROD Comm Alloc'!$H$625</f>
        <v>0</v>
      </c>
      <c r="I625" s="534">
        <f>'FR-16(7)(v)-6 DISTR Cust Alloc'!$H$625</f>
        <v>3880</v>
      </c>
      <c r="J625" s="345">
        <f>SUM($G$625:$I$625)</f>
        <v>3880</v>
      </c>
      <c r="K625" s="345">
        <f>F625-$J$625</f>
        <v>0</v>
      </c>
    </row>
    <row r="626" spans="1:11" ht="13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3">
        <f>'FR-16(7)(v)-8 TOT CLASS Alloc'!H626</f>
        <v>0</v>
      </c>
      <c r="G626" s="542">
        <f>'FR-16(7)(v)-5 DISTR Dem Alloc'!$H$626</f>
        <v>0</v>
      </c>
      <c r="H626" s="533">
        <f>'FR-16(7)(v)-3 PROD Comm Alloc'!$H$626</f>
        <v>0</v>
      </c>
      <c r="I626" s="534">
        <f>'FR-16(7)(v)-6 DISTR Cust Alloc'!$H$626</f>
        <v>0</v>
      </c>
      <c r="J626" s="345">
        <f>SUM($G$626:$I$626)</f>
        <v>0</v>
      </c>
      <c r="K626" s="345">
        <f>F626-$J$626</f>
        <v>0</v>
      </c>
    </row>
    <row r="627" spans="1:11" ht="13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3">
        <f>'FR-16(7)(v)-8 TOT CLASS Alloc'!H627</f>
        <v>40</v>
      </c>
      <c r="G627" s="542">
        <f>'FR-16(7)(v)-5 DISTR Dem Alloc'!$H$627</f>
        <v>0</v>
      </c>
      <c r="H627" s="533">
        <f>'FR-16(7)(v)-3 PROD Comm Alloc'!$H$627</f>
        <v>0</v>
      </c>
      <c r="I627" s="534">
        <f>'FR-16(7)(v)-6 DISTR Cust Alloc'!$H$627</f>
        <v>40</v>
      </c>
      <c r="J627" s="345">
        <f>SUM($G$627:$I$627)</f>
        <v>40</v>
      </c>
      <c r="K627" s="345">
        <f>F627-$J$627</f>
        <v>0</v>
      </c>
    </row>
    <row r="628" spans="1:11" ht="13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3">
        <f>'FR-16(7)(v)-8 TOT CLASS Alloc'!H628</f>
        <v>0</v>
      </c>
      <c r="G628" s="542">
        <f>'FR-16(7)(v)-5 DISTR Dem Alloc'!$H$628</f>
        <v>0</v>
      </c>
      <c r="H628" s="533">
        <f>'FR-16(7)(v)-3 PROD Comm Alloc'!$H$628</f>
        <v>0</v>
      </c>
      <c r="I628" s="534">
        <f>'FR-16(7)(v)-6 DISTR Cust Alloc'!$H$628</f>
        <v>0</v>
      </c>
      <c r="J628" s="345">
        <f>SUM($G$628:$I$628)</f>
        <v>0</v>
      </c>
      <c r="K628" s="345">
        <f>F628-$J$628</f>
        <v>0</v>
      </c>
    </row>
    <row r="629" spans="1:11" ht="13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3">
        <f>'FR-16(7)(v)-8 TOT CLASS Alloc'!H629</f>
        <v>62097</v>
      </c>
      <c r="G629" s="542">
        <f>'FR-16(7)(v)-5 DISTR Dem Alloc'!$H$629</f>
        <v>37378</v>
      </c>
      <c r="H629" s="533">
        <f>'FR-16(7)(v)-3 PROD Comm Alloc'!$H$629</f>
        <v>14751</v>
      </c>
      <c r="I629" s="534">
        <f>'FR-16(7)(v)-6 DISTR Cust Alloc'!$H$629</f>
        <v>9968</v>
      </c>
      <c r="J629" s="345">
        <f>SUM($G$629:$I$629)</f>
        <v>62097</v>
      </c>
      <c r="K629" s="345">
        <f>F629-$J$629</f>
        <v>0</v>
      </c>
    </row>
    <row r="630" spans="1:11" ht="13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66017</v>
      </c>
      <c r="G630" s="543">
        <f>SUM($G$625:$G$629)</f>
        <v>37378</v>
      </c>
      <c r="H630" s="535">
        <f>SUM($H$625:$H$629)</f>
        <v>14751</v>
      </c>
      <c r="I630" s="536">
        <f>SUM($I$625:$I$629)</f>
        <v>13888</v>
      </c>
      <c r="J630" s="346">
        <f>SUM($J$625:$J$629)</f>
        <v>66017</v>
      </c>
      <c r="K630" s="346">
        <f>SUM($K$625:$K$629)</f>
        <v>0</v>
      </c>
    </row>
    <row r="631" spans="1:11" ht="13">
      <c r="A631" s="331">
        <v>8</v>
      </c>
      <c r="D631" s="342"/>
      <c r="E631" s="195"/>
      <c r="G631" s="541"/>
      <c r="H631" s="531"/>
      <c r="I631" s="532"/>
    </row>
    <row r="632" spans="1:11" ht="13">
      <c r="A632" s="331">
        <v>9</v>
      </c>
      <c r="B632" s="330" t="s">
        <v>77</v>
      </c>
      <c r="D632" s="342"/>
      <c r="E632" s="195"/>
      <c r="G632" s="541"/>
      <c r="H632" s="531"/>
      <c r="I632" s="532"/>
    </row>
    <row r="633" spans="1:11" ht="13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25778279</v>
      </c>
      <c r="G633" s="542">
        <f>$G$501</f>
        <v>7453033</v>
      </c>
      <c r="H633" s="533">
        <f>$H$501</f>
        <v>16226943</v>
      </c>
      <c r="I633" s="534">
        <f>$I$501</f>
        <v>2098303</v>
      </c>
      <c r="J633" s="345">
        <f>$J$501</f>
        <v>25778279</v>
      </c>
      <c r="K633" s="345">
        <f>F633-J633</f>
        <v>0</v>
      </c>
    </row>
    <row r="634" spans="1:11" ht="13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>F334</f>
        <v>8277502</v>
      </c>
      <c r="G634" s="542">
        <f>G334</f>
        <v>6389172</v>
      </c>
      <c r="H634" s="533">
        <f>H334</f>
        <v>192602</v>
      </c>
      <c r="I634" s="534">
        <f>I334</f>
        <v>1695728</v>
      </c>
      <c r="J634" s="345">
        <f>J334</f>
        <v>8277502</v>
      </c>
      <c r="K634" s="345">
        <f>F634-J634</f>
        <v>0</v>
      </c>
    </row>
    <row r="635" spans="1:11" ht="13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>F557</f>
        <v>1527772</v>
      </c>
      <c r="G635" s="542">
        <f>$G$557</f>
        <v>860138</v>
      </c>
      <c r="H635" s="533">
        <f>$H$557</f>
        <v>394630</v>
      </c>
      <c r="I635" s="534">
        <f>$I$557</f>
        <v>273004</v>
      </c>
      <c r="J635" s="345">
        <f>$J$557</f>
        <v>1527772</v>
      </c>
      <c r="K635" s="345">
        <f>F635-J635</f>
        <v>0</v>
      </c>
    </row>
    <row r="636" spans="1:11" ht="13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-66017</v>
      </c>
      <c r="G636" s="542">
        <f>-$G$630</f>
        <v>-37378</v>
      </c>
      <c r="H636" s="533">
        <f>-$H$630</f>
        <v>-14751</v>
      </c>
      <c r="I636" s="534">
        <f>-$I$630</f>
        <v>-13888</v>
      </c>
      <c r="J636" s="345">
        <f>-$J$630</f>
        <v>-66017</v>
      </c>
      <c r="K636" s="345">
        <f>F636-J636</f>
        <v>0</v>
      </c>
    </row>
    <row r="637" spans="1:11" ht="13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>SUM(F632:F636)</f>
        <v>35517536</v>
      </c>
      <c r="G637" s="543">
        <f>SUM($G$632:$G$636)</f>
        <v>14664965</v>
      </c>
      <c r="H637" s="535">
        <f>SUM($H$632:$H$636)</f>
        <v>16799424</v>
      </c>
      <c r="I637" s="536">
        <f>SUM($I$632:$I$636)</f>
        <v>4053147</v>
      </c>
      <c r="J637" s="346">
        <f>SUM($J$632:$J$636)</f>
        <v>35517536</v>
      </c>
      <c r="K637" s="758">
        <f>F637-J637</f>
        <v>0</v>
      </c>
    </row>
    <row r="638" spans="1:11" ht="13">
      <c r="A638" s="331">
        <v>15</v>
      </c>
      <c r="D638" s="342"/>
      <c r="E638" s="195"/>
      <c r="G638" s="541"/>
      <c r="H638" s="531"/>
      <c r="I638" s="532"/>
    </row>
    <row r="639" spans="1:11" ht="13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66017</v>
      </c>
      <c r="G639" s="542">
        <f>-$G$636</f>
        <v>37378</v>
      </c>
      <c r="H639" s="533">
        <f>-$H$636</f>
        <v>14751</v>
      </c>
      <c r="I639" s="534">
        <f>-$I$636</f>
        <v>13888</v>
      </c>
      <c r="J639" s="345">
        <f>-$J$636</f>
        <v>66017</v>
      </c>
      <c r="K639" s="345">
        <f>-$K$636</f>
        <v>0</v>
      </c>
    </row>
    <row r="640" spans="1:11" ht="13">
      <c r="A640" s="331">
        <v>17</v>
      </c>
      <c r="C640" s="357" t="str">
        <f>'FR-16(7)(v)-1 Functional'!C640</f>
        <v>LESS: REVS EXCL FROM REV TAX CALC</v>
      </c>
      <c r="D640" s="342"/>
      <c r="E640" s="195"/>
      <c r="F640" s="473">
        <f>'FR-16(7)(v)-8 TOT CLASS Alloc'!H640</f>
        <v>0</v>
      </c>
      <c r="G640" s="542">
        <f>'FR-16(7)(v)-5 DISTR Dem Alloc'!H640</f>
        <v>0</v>
      </c>
      <c r="H640" s="533">
        <f>'FR-16(7)(v)-3 PROD Comm Alloc'!H640</f>
        <v>0</v>
      </c>
      <c r="I640" s="534">
        <f>'FR-16(7)(v)-6 DISTR Cust Alloc'!H640</f>
        <v>0</v>
      </c>
      <c r="J640" s="345">
        <f>SUM(G640:I640)</f>
        <v>0</v>
      </c>
      <c r="K640" s="345">
        <f>'FR-16(7)(v)-3 PROD Comm Alloc'!L855</f>
        <v>0</v>
      </c>
    </row>
    <row r="641" spans="1:11" ht="13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66017</v>
      </c>
      <c r="G641" s="543">
        <f>$G$639-G640</f>
        <v>37378</v>
      </c>
      <c r="H641" s="535">
        <f>$H$639-H640</f>
        <v>14751</v>
      </c>
      <c r="I641" s="536">
        <f>$I$639-I640</f>
        <v>13888</v>
      </c>
      <c r="J641" s="346">
        <f>$J$639-J640</f>
        <v>66017</v>
      </c>
      <c r="K641" s="346">
        <f>$K$639-K640</f>
        <v>0</v>
      </c>
    </row>
    <row r="642" spans="1:11" ht="13">
      <c r="A642" s="331">
        <v>19</v>
      </c>
      <c r="D642" s="342"/>
      <c r="E642" s="195"/>
      <c r="G642" s="541"/>
      <c r="H642" s="531"/>
      <c r="I642" s="532"/>
    </row>
    <row r="643" spans="1:11" ht="13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K643" si="113">ROUND(F694/(1-F694),8)</f>
        <v>0</v>
      </c>
      <c r="G643" s="560">
        <f t="shared" si="113"/>
        <v>0</v>
      </c>
      <c r="H643" s="561">
        <f t="shared" si="113"/>
        <v>0</v>
      </c>
      <c r="I643" s="562">
        <f t="shared" si="113"/>
        <v>0</v>
      </c>
      <c r="J643" s="1245">
        <f t="shared" si="113"/>
        <v>0</v>
      </c>
      <c r="K643" s="1245">
        <f t="shared" si="113"/>
        <v>0</v>
      </c>
    </row>
    <row r="644" spans="1:11" ht="13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542">
        <f>ROUND(G643*G641,0)</f>
        <v>0</v>
      </c>
      <c r="H644" s="533">
        <f>ROUND(H643*H641,0)</f>
        <v>0</v>
      </c>
      <c r="I644" s="534">
        <f>ROUND(I643*I641,0)</f>
        <v>0</v>
      </c>
      <c r="J644" s="345">
        <f>SUM(G644:I644)</f>
        <v>0</v>
      </c>
      <c r="K644" s="506">
        <f>F644-J644</f>
        <v>0</v>
      </c>
    </row>
    <row r="645" spans="1:11" ht="13">
      <c r="A645" s="331">
        <v>22</v>
      </c>
      <c r="C645" s="330" t="str">
        <f>'FR-16(7)(v)-1 Functional'!C645</f>
        <v>REVENUE TAX ON COST OF SERVICE</v>
      </c>
      <c r="D645" s="342"/>
      <c r="E645" s="195"/>
      <c r="F645" s="506">
        <f>ROUND(F643*F637,0)</f>
        <v>0</v>
      </c>
      <c r="G645" s="542">
        <f>ROUND(G643*$G$637,0)</f>
        <v>0</v>
      </c>
      <c r="H645" s="533">
        <f>ROUND(H643*$H$637,0)</f>
        <v>0</v>
      </c>
      <c r="I645" s="534">
        <f>ROUND(I643*$I$637,0)</f>
        <v>0</v>
      </c>
      <c r="J645" s="506">
        <f>SUM(G645:I645)</f>
        <v>0</v>
      </c>
      <c r="K645" s="506">
        <f>F645-J645</f>
        <v>0</v>
      </c>
    </row>
    <row r="646" spans="1:11" ht="13">
      <c r="A646" s="331">
        <v>23</v>
      </c>
      <c r="C646" s="357" t="str">
        <f>'FR-16(7)(v)-1 Functional'!C646</f>
        <v>TOTAL REVENUE TAX</v>
      </c>
      <c r="D646" s="342"/>
      <c r="E646" s="195"/>
      <c r="F646" s="504">
        <f t="shared" ref="F646:J646" si="114">F645+F644</f>
        <v>0</v>
      </c>
      <c r="G646" s="566">
        <f t="shared" si="114"/>
        <v>0</v>
      </c>
      <c r="H646" s="567">
        <f t="shared" si="114"/>
        <v>0</v>
      </c>
      <c r="I646" s="568">
        <f t="shared" si="114"/>
        <v>0</v>
      </c>
      <c r="J646" s="504">
        <f t="shared" si="114"/>
        <v>0</v>
      </c>
      <c r="K646" s="506">
        <f>F646-J646</f>
        <v>0</v>
      </c>
    </row>
    <row r="647" spans="1:11" ht="13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>F646+F637</f>
        <v>35517536</v>
      </c>
      <c r="G647" s="543">
        <f>G646+$G$637</f>
        <v>14664965</v>
      </c>
      <c r="H647" s="535">
        <f>H646+$H$637</f>
        <v>16799424</v>
      </c>
      <c r="I647" s="536">
        <f>I646+$I$637</f>
        <v>4053147</v>
      </c>
      <c r="J647" s="346">
        <f>J646+$J$637</f>
        <v>35517536</v>
      </c>
      <c r="K647" s="758">
        <f>F647-J647</f>
        <v>0</v>
      </c>
    </row>
    <row r="648" spans="1:11" ht="13">
      <c r="A648" s="331">
        <v>25</v>
      </c>
      <c r="D648" s="342"/>
      <c r="E648" s="195"/>
      <c r="G648" s="541"/>
      <c r="H648" s="531"/>
      <c r="I648" s="532"/>
    </row>
    <row r="649" spans="1:11" ht="13">
      <c r="A649" s="331">
        <v>26</v>
      </c>
      <c r="B649" s="330" t="s">
        <v>1172</v>
      </c>
      <c r="D649" s="342"/>
      <c r="E649" s="195"/>
      <c r="F649" s="473">
        <f>'FR-16(7)(v)-8 TOT CLASS Alloc'!H649</f>
        <v>32736157</v>
      </c>
      <c r="G649" s="542">
        <f>'FR-16(7)(v)-5 DISTR Dem Alloc'!H649</f>
        <v>12197059</v>
      </c>
      <c r="H649" s="533">
        <f>'FR-16(7)(v)-3 PROD Comm Alloc'!H649</f>
        <v>12049852</v>
      </c>
      <c r="I649" s="534">
        <f>'FR-16(7)(v)-6 DISTR Cust Alloc'!H649</f>
        <v>8489246</v>
      </c>
      <c r="J649" s="345">
        <f>SUM(G649:I649)</f>
        <v>32736157</v>
      </c>
      <c r="K649" s="345">
        <f>F649-J649</f>
        <v>0</v>
      </c>
    </row>
    <row r="650" spans="1:11" ht="13">
      <c r="A650" s="331">
        <v>27</v>
      </c>
      <c r="B650" s="330" t="s">
        <v>79</v>
      </c>
      <c r="D650" s="342"/>
      <c r="E650" s="195"/>
      <c r="F650" s="345">
        <f t="shared" ref="F650:K650" si="115">-F647</f>
        <v>-35517536</v>
      </c>
      <c r="G650" s="542">
        <f t="shared" si="115"/>
        <v>-14664965</v>
      </c>
      <c r="H650" s="533">
        <f t="shared" si="115"/>
        <v>-16799424</v>
      </c>
      <c r="I650" s="534">
        <f t="shared" si="115"/>
        <v>-4053147</v>
      </c>
      <c r="J650" s="345">
        <f t="shared" si="115"/>
        <v>-35517536</v>
      </c>
      <c r="K650" s="345">
        <f t="shared" si="115"/>
        <v>0</v>
      </c>
    </row>
    <row r="651" spans="1:11" ht="13">
      <c r="A651" s="331">
        <v>28</v>
      </c>
      <c r="B651" s="330" t="s">
        <v>80</v>
      </c>
      <c r="D651" s="342"/>
      <c r="E651" s="195"/>
      <c r="F651" s="345">
        <f>F650+F649</f>
        <v>-2781379</v>
      </c>
      <c r="G651" s="542">
        <f>G650+G649</f>
        <v>-2467906</v>
      </c>
      <c r="H651" s="533">
        <f>H650+H649</f>
        <v>-4749572</v>
      </c>
      <c r="I651" s="534">
        <f>I650+I649</f>
        <v>4436099</v>
      </c>
      <c r="J651" s="345">
        <f>SUM(G651:I651)</f>
        <v>-2781379</v>
      </c>
      <c r="K651" s="345">
        <f>K650+K649</f>
        <v>0</v>
      </c>
    </row>
    <row r="652" spans="1:11" ht="13">
      <c r="A652" s="331">
        <v>29</v>
      </c>
      <c r="B652" s="330" t="s">
        <v>76</v>
      </c>
      <c r="D652" s="342"/>
      <c r="E652" s="195"/>
      <c r="F652" s="348">
        <f>F565</f>
        <v>0.24925</v>
      </c>
      <c r="G652" s="560">
        <f>$G$565</f>
        <v>0.24925</v>
      </c>
      <c r="H652" s="561">
        <f>$H$565</f>
        <v>0.24925</v>
      </c>
      <c r="I652" s="562">
        <f>$I$565</f>
        <v>0.24925</v>
      </c>
      <c r="J652" s="348">
        <f>$K$565</f>
        <v>0.24925</v>
      </c>
      <c r="K652" s="348">
        <f>$K$565</f>
        <v>0.24925</v>
      </c>
    </row>
    <row r="653" spans="1:11" ht="13">
      <c r="A653" s="331">
        <v>30</v>
      </c>
      <c r="B653" s="330" t="s">
        <v>81</v>
      </c>
      <c r="D653" s="342"/>
      <c r="E653" s="195"/>
      <c r="F653" s="345">
        <f>ROUND(F652*F651,0)</f>
        <v>-693259</v>
      </c>
      <c r="G653" s="542">
        <f>ROUND(F652*F651,0)-H653-I653</f>
        <v>-615126</v>
      </c>
      <c r="H653" s="533">
        <f>ROUND(H652*H651,0)</f>
        <v>-1183831</v>
      </c>
      <c r="I653" s="534">
        <f>ROUND(I652*I651,0)</f>
        <v>1105698</v>
      </c>
      <c r="J653" s="345">
        <f>SUM(G653:I653)</f>
        <v>-693259</v>
      </c>
      <c r="K653" s="506">
        <f t="shared" ref="K653:K654" si="116">F653-J653</f>
        <v>0</v>
      </c>
    </row>
    <row r="654" spans="1:11" ht="13">
      <c r="A654" s="331">
        <v>31</v>
      </c>
      <c r="B654" s="330" t="s">
        <v>82</v>
      </c>
      <c r="D654" s="342"/>
      <c r="E654" s="195"/>
      <c r="F654" s="345">
        <f>F651-F653</f>
        <v>-2088120</v>
      </c>
      <c r="G654" s="544">
        <f>G651-G653</f>
        <v>-1852780</v>
      </c>
      <c r="H654" s="537">
        <f>H651-H653</f>
        <v>-3565741</v>
      </c>
      <c r="I654" s="538">
        <f>I651-I653</f>
        <v>3330401</v>
      </c>
      <c r="J654" s="345">
        <f>SUM(G654:I654)</f>
        <v>-2088120</v>
      </c>
      <c r="K654" s="506">
        <f t="shared" si="116"/>
        <v>0</v>
      </c>
    </row>
    <row r="655" spans="1:11" ht="13">
      <c r="A655" s="526"/>
      <c r="B655" s="578"/>
      <c r="C655" s="578"/>
      <c r="D655" s="730"/>
      <c r="E655" s="578"/>
      <c r="F655" s="526"/>
      <c r="G655" s="526"/>
      <c r="H655" s="526"/>
      <c r="I655" s="526"/>
      <c r="J655" s="526"/>
      <c r="K655" s="526"/>
    </row>
    <row r="656" spans="1:11" ht="13">
      <c r="A656" s="341" t="str">
        <f>co_name</f>
        <v>DUKE ENERGY KENTUCKY, INC.</v>
      </c>
      <c r="C656" s="195"/>
      <c r="D656" s="342"/>
      <c r="E656" s="195"/>
      <c r="F656" s="195"/>
      <c r="G656" s="195"/>
      <c r="H656" s="195"/>
      <c r="I656" s="195"/>
      <c r="J656" s="195" t="str">
        <f>$J$1</f>
        <v>FR-16(7)(v)-10</v>
      </c>
      <c r="K656" s="195"/>
    </row>
    <row r="657" spans="1:11" ht="13">
      <c r="A657" s="341" t="str">
        <f>$A$2</f>
        <v>GS CLASSIFIED - GAS COST OF SERVICE</v>
      </c>
      <c r="C657" s="195"/>
      <c r="D657" s="342"/>
      <c r="E657" s="195"/>
      <c r="F657" s="195"/>
      <c r="G657" s="195"/>
      <c r="H657" s="195"/>
      <c r="I657" s="195"/>
      <c r="J657" s="195" t="str">
        <f>$J$2</f>
        <v>WITNESS RESPONSIBLE:</v>
      </c>
      <c r="K657" s="195"/>
    </row>
    <row r="658" spans="1:11" ht="13">
      <c r="A658" s="341" t="str">
        <f>case_name</f>
        <v>CASE NO: 2021-00190</v>
      </c>
      <c r="C658" s="195"/>
      <c r="D658" s="342"/>
      <c r="E658" s="195"/>
      <c r="F658" s="195"/>
      <c r="G658" s="195"/>
      <c r="H658" s="195"/>
      <c r="I658" s="195"/>
      <c r="J658" s="195" t="str">
        <f>Witness</f>
        <v>JAMES E. ZIOLKOWSKI</v>
      </c>
      <c r="K658" s="195"/>
    </row>
    <row r="659" spans="1:11" ht="13">
      <c r="A659" s="341" t="str">
        <f>data_filing</f>
        <v>DATA: 12 MONTH FORECASTED PERIOD</v>
      </c>
      <c r="C659" s="195"/>
      <c r="D659" s="342"/>
      <c r="E659" s="195"/>
      <c r="F659" s="195"/>
      <c r="G659" s="195"/>
      <c r="H659" s="195"/>
      <c r="I659" s="195"/>
      <c r="J659" s="195" t="str">
        <f>"PAGE "&amp;Pages2&amp;" OF "&amp;Pages2</f>
        <v>PAGE 15 OF 15</v>
      </c>
      <c r="K659" s="195"/>
    </row>
    <row r="660" spans="1:11" ht="13">
      <c r="A660" s="341" t="str">
        <f>type</f>
        <v xml:space="preserve">TYPE OF FILING: "X" ORIGINAL   UPDATED    REVISED  </v>
      </c>
      <c r="C660" s="195"/>
      <c r="D660" s="342"/>
      <c r="E660" s="195"/>
      <c r="F660" s="195"/>
      <c r="G660" s="195"/>
      <c r="H660" s="195"/>
      <c r="I660" s="195"/>
      <c r="J660" s="195"/>
      <c r="K660" s="195"/>
    </row>
    <row r="661" spans="1:11" ht="13">
      <c r="B661" s="341"/>
      <c r="C661" s="195"/>
      <c r="D661" s="342"/>
      <c r="E661" s="195"/>
      <c r="F661" s="195"/>
      <c r="G661" s="195"/>
      <c r="H661" s="195"/>
      <c r="I661" s="195"/>
      <c r="J661" s="195"/>
      <c r="K661" s="195"/>
    </row>
    <row r="662" spans="1:11" ht="13">
      <c r="B662" s="341"/>
      <c r="C662" s="195"/>
      <c r="D662" s="342"/>
      <c r="E662" s="195"/>
      <c r="F662" s="195"/>
      <c r="G662" s="195"/>
      <c r="H662" s="195"/>
      <c r="I662" s="195"/>
      <c r="J662" s="195"/>
      <c r="K662" s="195"/>
    </row>
    <row r="663" spans="1:11" ht="13">
      <c r="A663" s="342" t="s">
        <v>907</v>
      </c>
      <c r="B663" s="195"/>
      <c r="C663" s="195"/>
      <c r="D663" s="342"/>
      <c r="E663" s="195"/>
      <c r="F663" s="342" t="s">
        <v>229</v>
      </c>
      <c r="G663" s="539" t="s">
        <v>995</v>
      </c>
      <c r="H663" s="527"/>
      <c r="I663" s="528"/>
      <c r="J663" s="342" t="s">
        <v>229</v>
      </c>
      <c r="K663" s="342" t="s">
        <v>342</v>
      </c>
    </row>
    <row r="664" spans="1:11" ht="13">
      <c r="A664" s="344" t="s">
        <v>908</v>
      </c>
      <c r="B664" s="343" t="s">
        <v>83</v>
      </c>
      <c r="C664" s="343"/>
      <c r="D664" s="344" t="s">
        <v>337</v>
      </c>
      <c r="E664" s="343"/>
      <c r="F664" s="344" t="str">
        <f>$F$9</f>
        <v>GS</v>
      </c>
      <c r="G664" s="540" t="s">
        <v>840</v>
      </c>
      <c r="H664" s="529" t="s">
        <v>841</v>
      </c>
      <c r="I664" s="530" t="s">
        <v>842</v>
      </c>
      <c r="J664" s="344" t="s">
        <v>341</v>
      </c>
      <c r="K664" s="344" t="s">
        <v>340</v>
      </c>
    </row>
    <row r="665" spans="1:11" ht="13">
      <c r="C665" s="572" t="s">
        <v>353</v>
      </c>
      <c r="D665" s="342"/>
      <c r="E665" s="195"/>
      <c r="G665" s="817">
        <f>$G$10</f>
        <v>3</v>
      </c>
      <c r="H665" s="817">
        <f>$H$10</f>
        <v>4</v>
      </c>
      <c r="I665" s="817">
        <f>$I$10</f>
        <v>5</v>
      </c>
    </row>
    <row r="666" spans="1:11" ht="13">
      <c r="A666" s="331">
        <v>1</v>
      </c>
      <c r="B666" s="330" t="s">
        <v>84</v>
      </c>
      <c r="D666" s="342"/>
      <c r="E666" s="195"/>
    </row>
    <row r="667" spans="1:11" ht="13">
      <c r="A667" s="331">
        <v>2</v>
      </c>
      <c r="B667" s="330" t="s">
        <v>85</v>
      </c>
      <c r="D667" s="342"/>
      <c r="E667" s="195"/>
      <c r="G667" s="513" t="s">
        <v>339</v>
      </c>
    </row>
    <row r="668" spans="1:11" ht="13">
      <c r="A668" s="331">
        <v>3</v>
      </c>
      <c r="C668" s="330" t="str">
        <f>'FR-16(7)(v)-1 Functional'!C668</f>
        <v>LONG TERM DEBT</v>
      </c>
      <c r="D668" s="342"/>
      <c r="E668" s="195"/>
      <c r="F668" s="473">
        <f>'FR-16(7)(v)-1 Functional'!$F$668</f>
        <v>794320510</v>
      </c>
      <c r="G668" s="348">
        <f>IF($F$673=0,0,ROUND(F668/$F$673,5))</f>
        <v>0.46721000000000001</v>
      </c>
    </row>
    <row r="669" spans="1:11" ht="13">
      <c r="A669" s="331">
        <v>4</v>
      </c>
      <c r="C669" s="330" t="str">
        <f>'FR-16(7)(v)-1 Functional'!C669</f>
        <v>PREFERRED STOCK</v>
      </c>
      <c r="D669" s="342"/>
      <c r="E669" s="195"/>
      <c r="F669" s="473">
        <f>'FR-16(7)(v)-1 Functional'!$F$669</f>
        <v>0</v>
      </c>
      <c r="G669" s="348">
        <f>IF($F$673=0,0,ROUND(F669/$F$673,5))</f>
        <v>0</v>
      </c>
    </row>
    <row r="670" spans="1:11" ht="13">
      <c r="A670" s="331">
        <v>5</v>
      </c>
      <c r="C670" s="330" t="str">
        <f>'FR-16(7)(v)-1 Functional'!C670</f>
        <v>COMMON STOCK</v>
      </c>
      <c r="D670" s="342"/>
      <c r="E670" s="195"/>
      <c r="F670" s="473">
        <f>'FR-16(7)(v)-1 Functional'!$F$670</f>
        <v>861861344</v>
      </c>
      <c r="G670" s="348">
        <f>1-G668-G669-G671-G672</f>
        <v>0.50695000000000001</v>
      </c>
    </row>
    <row r="671" spans="1:11" ht="13">
      <c r="A671" s="331">
        <v>6</v>
      </c>
      <c r="C671" s="330" t="str">
        <f>'FR-16(7)(v)-1 Functional'!C671</f>
        <v>SHORT TERM DEBT</v>
      </c>
      <c r="D671" s="342"/>
      <c r="E671" s="195"/>
      <c r="F671" s="473">
        <f>'FR-16(7)(v)-1 Functional'!$F$671</f>
        <v>43936209</v>
      </c>
      <c r="G671" s="348">
        <f>IF($F$673=0,0,ROUND(F671/$F$673,5))</f>
        <v>2.5839999999999998E-2</v>
      </c>
    </row>
    <row r="672" spans="1:11" ht="13">
      <c r="A672" s="331">
        <v>7</v>
      </c>
      <c r="C672" s="330" t="str">
        <f>'FR-16(7)(v)-1 Functional'!C672</f>
        <v>UNAMORTIZED DISCOUNT</v>
      </c>
      <c r="D672" s="342"/>
      <c r="E672" s="195"/>
      <c r="F672" s="473">
        <f>'FR-16(7)(v)-1 Functional'!$F$672</f>
        <v>0</v>
      </c>
      <c r="G672" s="348">
        <f>IF($F$673=0,0,ROUND(F672/$F$673,5))</f>
        <v>0</v>
      </c>
    </row>
    <row r="673" spans="1:9" ht="13">
      <c r="A673" s="331">
        <v>8</v>
      </c>
      <c r="C673" s="330" t="str">
        <f>'FR-16(7)(v)-1 Functional'!C673</f>
        <v xml:space="preserve">  TOTAL</v>
      </c>
      <c r="D673" s="342"/>
      <c r="E673" s="195"/>
      <c r="F673" s="474">
        <f>SUM(F667:F672)</f>
        <v>1700118063</v>
      </c>
      <c r="G673" s="515">
        <f>SUM(G668:G672)</f>
        <v>1</v>
      </c>
    </row>
    <row r="674" spans="1:9" ht="13">
      <c r="A674" s="331">
        <v>9</v>
      </c>
      <c r="D674" s="342"/>
      <c r="E674" s="195"/>
    </row>
    <row r="675" spans="1:9" ht="13">
      <c r="A675" s="331">
        <v>10</v>
      </c>
      <c r="B675" s="330" t="s">
        <v>86</v>
      </c>
      <c r="D675" s="342"/>
      <c r="E675" s="195"/>
    </row>
    <row r="676" spans="1:9" ht="13">
      <c r="A676" s="331">
        <v>11</v>
      </c>
      <c r="C676" s="330" t="str">
        <f>'FR-16(7)(v)-1 Functional'!C676</f>
        <v>LONG TERM DEBT</v>
      </c>
      <c r="D676" s="342"/>
      <c r="E676" s="195"/>
      <c r="F676" s="580">
        <f>'FR-16(7)(v)-1 Functional'!$F$676</f>
        <v>3.8429999999999999E-2</v>
      </c>
      <c r="G676" s="516"/>
      <c r="H676" s="516"/>
      <c r="I676" s="516"/>
    </row>
    <row r="677" spans="1:9" ht="13">
      <c r="A677" s="331">
        <v>12</v>
      </c>
      <c r="C677" s="330" t="str">
        <f>'FR-16(7)(v)-1 Functional'!C677</f>
        <v>PREFERRED STOCK</v>
      </c>
      <c r="D677" s="342"/>
      <c r="E677" s="195"/>
      <c r="F677" s="580">
        <f>'FR-16(7)(v)-1 Functional'!$F$677</f>
        <v>0</v>
      </c>
      <c r="G677" s="516"/>
      <c r="H677" s="516"/>
      <c r="I677" s="516"/>
    </row>
    <row r="678" spans="1:9" ht="13">
      <c r="A678" s="331">
        <v>13</v>
      </c>
      <c r="C678" s="330" t="str">
        <f>'FR-16(7)(v)-1 Functional'!C678</f>
        <v>COMMON STOCK</v>
      </c>
      <c r="D678" s="342"/>
      <c r="E678" s="195"/>
      <c r="F678" s="580">
        <f>'FR-16(7)(v)-1 Functional'!$F$678</f>
        <v>0.10299999999999999</v>
      </c>
      <c r="G678" s="516"/>
      <c r="H678" s="516"/>
      <c r="I678" s="516"/>
    </row>
    <row r="679" spans="1:9" ht="13">
      <c r="A679" s="331">
        <v>14</v>
      </c>
      <c r="C679" s="330" t="str">
        <f>'FR-16(7)(v)-1 Functional'!C679</f>
        <v>SHORT TERM DEBT</v>
      </c>
      <c r="D679" s="342"/>
      <c r="E679" s="195"/>
      <c r="F679" s="580">
        <f>'FR-16(7)(v)-1 Functional'!$F$679</f>
        <v>1.6670000000000001E-2</v>
      </c>
      <c r="G679" s="516"/>
      <c r="H679" s="516"/>
      <c r="I679" s="516"/>
    </row>
    <row r="680" spans="1:9" ht="13">
      <c r="A680" s="331">
        <v>15</v>
      </c>
      <c r="C680" s="330" t="str">
        <f>'FR-16(7)(v)-1 Functional'!C680</f>
        <v>UNAMORTIZED DISCOUNT</v>
      </c>
      <c r="D680" s="342"/>
      <c r="E680" s="195"/>
      <c r="F680" s="580">
        <f>'FR-16(7)(v)-1 Functional'!$F$680</f>
        <v>0</v>
      </c>
      <c r="G680" s="516"/>
      <c r="H680" s="516"/>
      <c r="I680" s="516"/>
    </row>
    <row r="681" spans="1:9" ht="13">
      <c r="A681" s="331">
        <v>16</v>
      </c>
      <c r="D681" s="342"/>
      <c r="E681" s="195"/>
    </row>
    <row r="682" spans="1:9" ht="13">
      <c r="A682" s="331">
        <v>17</v>
      </c>
      <c r="B682" s="330" t="s">
        <v>87</v>
      </c>
      <c r="D682" s="342"/>
      <c r="E682" s="195"/>
    </row>
    <row r="683" spans="1:9" ht="13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G683" s="514"/>
      <c r="H683" s="514"/>
      <c r="I683" s="514"/>
    </row>
    <row r="684" spans="1:9" ht="13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G684" s="514"/>
      <c r="H684" s="514"/>
      <c r="I684" s="514"/>
    </row>
    <row r="685" spans="1:9" ht="13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G685" s="514"/>
      <c r="H685" s="514"/>
      <c r="I685" s="514"/>
    </row>
    <row r="686" spans="1:9" ht="13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G686" s="514"/>
      <c r="H686" s="514"/>
      <c r="I686" s="514"/>
    </row>
    <row r="687" spans="1:9" ht="13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G687" s="514"/>
      <c r="H687" s="514"/>
      <c r="I687" s="514"/>
    </row>
    <row r="688" spans="1:9" ht="13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7">
        <f>SUM(F683:F687)</f>
        <v>7.060000000000001E-2</v>
      </c>
      <c r="G688" s="518"/>
      <c r="H688" s="518"/>
      <c r="I688" s="518"/>
    </row>
    <row r="689" spans="1:11" ht="13">
      <c r="A689" s="331">
        <v>24</v>
      </c>
      <c r="D689" s="342"/>
      <c r="E689" s="195"/>
    </row>
    <row r="690" spans="1:11" ht="13">
      <c r="A690" s="331">
        <v>25</v>
      </c>
      <c r="B690" s="330" t="s">
        <v>88</v>
      </c>
      <c r="D690" s="342"/>
      <c r="E690" s="195"/>
      <c r="F690" s="363"/>
    </row>
    <row r="691" spans="1:11" ht="13">
      <c r="A691" s="331">
        <v>26</v>
      </c>
      <c r="C691" s="330" t="str">
        <f>'FR-16(7)(v)-1 Functional'!C691</f>
        <v>SHORT TERM DEBT COST</v>
      </c>
      <c r="D691" s="342"/>
      <c r="E691" s="195"/>
      <c r="F691" s="760">
        <v>0</v>
      </c>
      <c r="G691" s="519">
        <f>$F$691</f>
        <v>0</v>
      </c>
      <c r="H691" s="519">
        <f>$F$691</f>
        <v>0</v>
      </c>
      <c r="I691" s="519">
        <f>$F$691</f>
        <v>0</v>
      </c>
      <c r="J691" s="519">
        <f>$F$691</f>
        <v>0</v>
      </c>
      <c r="K691" s="519">
        <f>$F$691</f>
        <v>0</v>
      </c>
    </row>
    <row r="692" spans="1:11" ht="13">
      <c r="A692" s="331">
        <v>27</v>
      </c>
      <c r="C692" s="330" t="str">
        <f>'FR-16(7)(v)-1 Functional'!C692</f>
        <v>FEDERAL INCOME TAX RATE</v>
      </c>
      <c r="D692" s="342"/>
      <c r="E692" s="195"/>
      <c r="F692" s="519">
        <f t="shared" ref="F692:K692" si="117">FIT</f>
        <v>0.21</v>
      </c>
      <c r="G692" s="519">
        <f t="shared" si="117"/>
        <v>0.21</v>
      </c>
      <c r="H692" s="519">
        <f t="shared" si="117"/>
        <v>0.21</v>
      </c>
      <c r="I692" s="519">
        <f t="shared" si="117"/>
        <v>0.21</v>
      </c>
      <c r="J692" s="519">
        <f t="shared" si="117"/>
        <v>0.21</v>
      </c>
      <c r="K692" s="519">
        <f t="shared" si="117"/>
        <v>0.21</v>
      </c>
    </row>
    <row r="693" spans="1:11" ht="13">
      <c r="A693" s="331">
        <v>28</v>
      </c>
      <c r="C693" s="330" t="str">
        <f>'FR-16(7)(v)-1 Functional'!C693</f>
        <v>STATE INCOME TAX RATE</v>
      </c>
      <c r="D693" s="342"/>
      <c r="E693" s="195"/>
      <c r="F693" s="519">
        <f t="shared" ref="F693:K693" si="118">SIT</f>
        <v>4.9685000000000007E-2</v>
      </c>
      <c r="G693" s="519">
        <f t="shared" si="118"/>
        <v>4.9685000000000007E-2</v>
      </c>
      <c r="H693" s="519">
        <f t="shared" si="118"/>
        <v>4.9685000000000007E-2</v>
      </c>
      <c r="I693" s="519">
        <f t="shared" si="118"/>
        <v>4.9685000000000007E-2</v>
      </c>
      <c r="J693" s="519">
        <f t="shared" si="118"/>
        <v>4.9685000000000007E-2</v>
      </c>
      <c r="K693" s="519">
        <f t="shared" si="118"/>
        <v>4.9685000000000007E-2</v>
      </c>
    </row>
    <row r="694" spans="1:11" ht="13">
      <c r="A694" s="331">
        <v>29</v>
      </c>
      <c r="C694" s="330" t="str">
        <f>'FR-16(7)(v)-1 Functional'!C694</f>
        <v>REVENUE TAX RATE</v>
      </c>
      <c r="D694" s="342"/>
      <c r="E694" s="195"/>
      <c r="F694" s="516">
        <v>0</v>
      </c>
      <c r="G694" s="519">
        <f>RevTax</f>
        <v>0</v>
      </c>
      <c r="H694" s="519">
        <f>RevTax</f>
        <v>0</v>
      </c>
      <c r="I694" s="519">
        <f>RevTax</f>
        <v>0</v>
      </c>
      <c r="J694" s="519">
        <f>RevTax</f>
        <v>0</v>
      </c>
      <c r="K694" s="519">
        <f>RevTax</f>
        <v>0</v>
      </c>
    </row>
    <row r="696" spans="1:11" ht="13">
      <c r="A696" s="341"/>
      <c r="C696" s="195"/>
      <c r="D696" s="342"/>
      <c r="E696" s="195"/>
      <c r="F696" s="195"/>
      <c r="G696" s="195"/>
      <c r="H696" s="195"/>
      <c r="I696" s="195"/>
      <c r="J696" s="195"/>
      <c r="K696" s="195"/>
    </row>
    <row r="697" spans="1:11" ht="13">
      <c r="A697" s="341"/>
      <c r="C697" s="195"/>
      <c r="D697" s="342"/>
      <c r="E697" s="195"/>
      <c r="F697" s="195"/>
      <c r="G697" s="195"/>
      <c r="H697" s="195"/>
      <c r="I697" s="195"/>
      <c r="J697" s="195"/>
      <c r="K697" s="195"/>
    </row>
    <row r="698" spans="1:11" ht="13">
      <c r="A698" s="341"/>
      <c r="C698" s="195"/>
      <c r="D698" s="342"/>
      <c r="E698" s="195"/>
      <c r="F698" s="195"/>
      <c r="G698" s="195"/>
      <c r="H698" s="195"/>
      <c r="I698" s="195"/>
      <c r="J698" s="195"/>
      <c r="K698" s="195"/>
    </row>
    <row r="699" spans="1:11" ht="13">
      <c r="A699" s="341"/>
      <c r="C699" s="195"/>
      <c r="D699" s="342"/>
      <c r="E699" s="195"/>
      <c r="F699" s="195"/>
      <c r="G699" s="195"/>
      <c r="H699" s="195"/>
      <c r="I699" s="195"/>
      <c r="J699" s="195"/>
      <c r="K699" s="195"/>
    </row>
    <row r="700" spans="1:11" ht="13">
      <c r="A700" s="341"/>
      <c r="C700" s="195"/>
      <c r="D700" s="342"/>
      <c r="E700" s="195"/>
      <c r="F700" s="195"/>
      <c r="G700" s="195"/>
      <c r="H700" s="195"/>
      <c r="I700" s="195"/>
      <c r="J700" s="195"/>
      <c r="K700" s="195"/>
    </row>
    <row r="747" spans="1:11" ht="13">
      <c r="A747" s="341"/>
      <c r="C747" s="195"/>
      <c r="D747" s="342"/>
      <c r="E747" s="195"/>
      <c r="F747" s="195"/>
      <c r="G747" s="195"/>
      <c r="H747" s="195"/>
      <c r="I747" s="195"/>
      <c r="J747" s="195"/>
      <c r="K747" s="195"/>
    </row>
    <row r="748" spans="1:11" ht="13">
      <c r="A748" s="341"/>
      <c r="C748" s="195"/>
      <c r="D748" s="342"/>
      <c r="E748" s="195"/>
      <c r="F748" s="195"/>
      <c r="G748" s="195"/>
      <c r="H748" s="195"/>
      <c r="I748" s="195"/>
      <c r="J748" s="195"/>
      <c r="K748" s="195"/>
    </row>
    <row r="749" spans="1:11" ht="13">
      <c r="A749" s="341"/>
      <c r="C749" s="195"/>
      <c r="D749" s="342"/>
      <c r="E749" s="195"/>
      <c r="F749" s="195"/>
      <c r="G749" s="195"/>
      <c r="H749" s="195"/>
      <c r="I749" s="195"/>
      <c r="J749" s="195"/>
      <c r="K749" s="195"/>
    </row>
    <row r="750" spans="1:11" ht="13">
      <c r="A750" s="341"/>
      <c r="C750" s="195"/>
      <c r="D750" s="342"/>
      <c r="E750" s="195"/>
      <c r="F750" s="195"/>
      <c r="G750" s="195"/>
      <c r="H750" s="195"/>
      <c r="I750" s="195"/>
      <c r="J750" s="195"/>
      <c r="K750" s="195"/>
    </row>
    <row r="751" spans="1:11" ht="13">
      <c r="A751" s="341"/>
      <c r="C751" s="195"/>
      <c r="D751" s="342"/>
      <c r="E751" s="195"/>
      <c r="F751" s="195"/>
      <c r="G751" s="195"/>
      <c r="H751" s="195"/>
      <c r="I751" s="195"/>
      <c r="J751" s="195"/>
      <c r="K751" s="195"/>
    </row>
    <row r="805" spans="1:11" ht="13">
      <c r="A805" s="341"/>
      <c r="C805" s="195"/>
      <c r="D805" s="342"/>
      <c r="E805" s="195"/>
      <c r="F805" s="195"/>
      <c r="G805" s="195"/>
      <c r="H805" s="195"/>
      <c r="I805" s="195"/>
      <c r="J805" s="195"/>
      <c r="K805" s="195"/>
    </row>
    <row r="806" spans="1:11" ht="13">
      <c r="A806" s="341"/>
      <c r="C806" s="195"/>
      <c r="D806" s="342"/>
      <c r="E806" s="195"/>
      <c r="F806" s="195"/>
      <c r="G806" s="195"/>
      <c r="H806" s="195"/>
      <c r="I806" s="195"/>
      <c r="J806" s="195"/>
      <c r="K806" s="195"/>
    </row>
    <row r="807" spans="1:11" ht="13">
      <c r="A807" s="341"/>
      <c r="C807" s="195"/>
      <c r="D807" s="342"/>
      <c r="E807" s="195"/>
      <c r="F807" s="195"/>
      <c r="G807" s="195"/>
      <c r="H807" s="195"/>
      <c r="I807" s="195"/>
      <c r="J807" s="195"/>
      <c r="K807" s="195"/>
    </row>
    <row r="808" spans="1:11" ht="13">
      <c r="A808" s="341"/>
      <c r="C808" s="195"/>
      <c r="D808" s="342"/>
      <c r="E808" s="195"/>
      <c r="F808" s="195"/>
      <c r="G808" s="195"/>
      <c r="H808" s="195"/>
      <c r="I808" s="195"/>
      <c r="J808" s="195"/>
      <c r="K808" s="195"/>
    </row>
    <row r="809" spans="1:11" ht="13">
      <c r="A809" s="341"/>
      <c r="C809" s="195"/>
      <c r="D809" s="342"/>
      <c r="E809" s="195"/>
      <c r="F809" s="195"/>
      <c r="G809" s="195"/>
      <c r="H809" s="195"/>
      <c r="I809" s="195"/>
      <c r="J809" s="195"/>
      <c r="K809" s="195"/>
    </row>
    <row r="861" spans="1:11" ht="20">
      <c r="A861" s="1184" t="s">
        <v>1193</v>
      </c>
    </row>
    <row r="863" spans="1:11" ht="13">
      <c r="A863" s="342" t="s">
        <v>907</v>
      </c>
      <c r="B863" s="195"/>
      <c r="C863" s="195"/>
      <c r="D863" s="342"/>
      <c r="E863" s="195"/>
      <c r="F863" s="342" t="s">
        <v>229</v>
      </c>
      <c r="G863" s="539" t="s">
        <v>995</v>
      </c>
      <c r="H863" s="527"/>
      <c r="I863" s="528"/>
      <c r="J863" s="342" t="s">
        <v>229</v>
      </c>
      <c r="K863" s="342" t="s">
        <v>342</v>
      </c>
    </row>
    <row r="864" spans="1:11" ht="13">
      <c r="A864" s="344" t="s">
        <v>908</v>
      </c>
      <c r="B864" s="343" t="s">
        <v>99</v>
      </c>
      <c r="C864" s="343"/>
      <c r="D864" s="344" t="s">
        <v>337</v>
      </c>
      <c r="E864" s="343"/>
      <c r="F864" s="344" t="str">
        <f>$F$9</f>
        <v>GS</v>
      </c>
      <c r="G864" s="540" t="s">
        <v>840</v>
      </c>
      <c r="H864" s="529" t="s">
        <v>841</v>
      </c>
      <c r="I864" s="530" t="s">
        <v>842</v>
      </c>
      <c r="J864" s="344" t="s">
        <v>341</v>
      </c>
      <c r="K864" s="344" t="s">
        <v>340</v>
      </c>
    </row>
    <row r="865" spans="1:11" ht="13">
      <c r="B865" s="195"/>
      <c r="C865" s="572" t="s">
        <v>4</v>
      </c>
      <c r="D865" s="342"/>
      <c r="E865" s="195"/>
      <c r="G865" s="793">
        <f>$G$10</f>
        <v>3</v>
      </c>
      <c r="H865" s="794">
        <f>$H$10</f>
        <v>4</v>
      </c>
      <c r="I865" s="795">
        <f>$I$10</f>
        <v>5</v>
      </c>
    </row>
    <row r="866" spans="1:11" ht="13">
      <c r="A866" s="331">
        <v>1</v>
      </c>
      <c r="B866" s="330" t="s">
        <v>100</v>
      </c>
      <c r="D866" s="342"/>
      <c r="E866" s="195"/>
      <c r="G866" s="541"/>
      <c r="H866" s="531"/>
      <c r="I866" s="532"/>
    </row>
    <row r="867" spans="1:11" ht="13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K867" si="119">F647</f>
        <v>35517536</v>
      </c>
      <c r="G867" s="542">
        <f t="shared" si="119"/>
        <v>14664965</v>
      </c>
      <c r="H867" s="533">
        <f t="shared" si="119"/>
        <v>16799424</v>
      </c>
      <c r="I867" s="534">
        <f t="shared" si="119"/>
        <v>4053147</v>
      </c>
      <c r="J867" s="345">
        <f t="shared" si="119"/>
        <v>35517536</v>
      </c>
      <c r="K867" s="345">
        <f t="shared" si="119"/>
        <v>0</v>
      </c>
    </row>
    <row r="868" spans="1:11" ht="13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66017</v>
      </c>
      <c r="G868" s="542">
        <f>$G$630</f>
        <v>37378</v>
      </c>
      <c r="H868" s="533">
        <f>$H$630</f>
        <v>14751</v>
      </c>
      <c r="I868" s="534">
        <f>$I$630</f>
        <v>13888</v>
      </c>
      <c r="J868" s="345">
        <f>$J$630</f>
        <v>66017</v>
      </c>
      <c r="K868" s="345">
        <f>$K$630</f>
        <v>0</v>
      </c>
    </row>
    <row r="869" spans="1:11" ht="13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K869" si="120">SUM(F866:F868)</f>
        <v>35583553</v>
      </c>
      <c r="G869" s="543">
        <f t="shared" si="120"/>
        <v>14702343</v>
      </c>
      <c r="H869" s="535">
        <f t="shared" si="120"/>
        <v>16814175</v>
      </c>
      <c r="I869" s="536">
        <f t="shared" si="120"/>
        <v>4067035</v>
      </c>
      <c r="J869" s="346">
        <f t="shared" si="120"/>
        <v>35583553</v>
      </c>
      <c r="K869" s="346">
        <f t="shared" si="120"/>
        <v>0</v>
      </c>
    </row>
    <row r="870" spans="1:11" ht="13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-25778279</v>
      </c>
      <c r="G870" s="542">
        <f>-$G$501</f>
        <v>-7453033</v>
      </c>
      <c r="H870" s="533">
        <f>-$H$501</f>
        <v>-16226943</v>
      </c>
      <c r="I870" s="534">
        <f>-$I$501</f>
        <v>-2098303</v>
      </c>
      <c r="J870" s="506">
        <f>-$J$501</f>
        <v>-25778279</v>
      </c>
      <c r="K870" s="345">
        <f>-$K$501</f>
        <v>0</v>
      </c>
    </row>
    <row r="871" spans="1:11" ht="13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>-ROUND(F694*F867,0)</f>
        <v>0</v>
      </c>
      <c r="G871" s="542">
        <f>-ROUND(G694*G867,0)</f>
        <v>0</v>
      </c>
      <c r="H871" s="533">
        <f>-ROUND(H694*H867,0)</f>
        <v>0</v>
      </c>
      <c r="I871" s="534">
        <f>-ROUND(I694*I867,0)</f>
        <v>0</v>
      </c>
      <c r="J871" s="504">
        <f>SUM(G871:I871)</f>
        <v>0</v>
      </c>
      <c r="K871" s="345">
        <f>-ROUND('FR-16(7)(v)-1 Functional'!K694*K867,0)</f>
        <v>0</v>
      </c>
    </row>
    <row r="872" spans="1:11" ht="13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>SUM(F869:F871)</f>
        <v>9805274</v>
      </c>
      <c r="G872" s="543">
        <f>SUM(G869:G871)</f>
        <v>7249310</v>
      </c>
      <c r="H872" s="535">
        <f>SUM(H869:H871)</f>
        <v>587232</v>
      </c>
      <c r="I872" s="536">
        <f>SUM(I869:I871)</f>
        <v>1968732</v>
      </c>
      <c r="J872" s="346">
        <f>SUM(G872:I872)</f>
        <v>9805274</v>
      </c>
      <c r="K872" s="346">
        <f>SUM(K869:K871)</f>
        <v>0</v>
      </c>
    </row>
    <row r="873" spans="1:11" ht="13">
      <c r="A873" s="331">
        <v>8</v>
      </c>
      <c r="D873" s="342"/>
      <c r="E873" s="195"/>
      <c r="G873" s="541"/>
      <c r="H873" s="531"/>
      <c r="I873" s="532"/>
    </row>
    <row r="874" spans="1:11" ht="13">
      <c r="A874" s="331">
        <v>9</v>
      </c>
      <c r="B874" s="330" t="s">
        <v>101</v>
      </c>
      <c r="D874" s="342"/>
      <c r="E874" s="195"/>
      <c r="G874" s="541"/>
      <c r="H874" s="531"/>
      <c r="I874" s="532"/>
    </row>
    <row r="875" spans="1:11" ht="13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-2155633</v>
      </c>
      <c r="G875" s="542">
        <f>-$G$516</f>
        <v>-1663877</v>
      </c>
      <c r="H875" s="533">
        <f>-$H$516</f>
        <v>-50166</v>
      </c>
      <c r="I875" s="534">
        <f>-$I$516</f>
        <v>-441590</v>
      </c>
      <c r="J875" s="345">
        <f>-$J$516</f>
        <v>-2155633</v>
      </c>
      <c r="K875" s="345">
        <f>-$K$516</f>
        <v>0</v>
      </c>
    </row>
    <row r="876" spans="1:11" ht="13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-1794121</v>
      </c>
      <c r="G876" s="542">
        <f>-$G$522</f>
        <v>-1340341</v>
      </c>
      <c r="H876" s="533">
        <f>-$H$522</f>
        <v>-97894</v>
      </c>
      <c r="I876" s="534">
        <f>-$I$522</f>
        <v>-355886</v>
      </c>
      <c r="J876" s="345">
        <f>-$J$522</f>
        <v>-1794121</v>
      </c>
      <c r="K876" s="345">
        <f>-$K$522</f>
        <v>0</v>
      </c>
    </row>
    <row r="877" spans="1:11" ht="13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>SUM(F874:F876)+F872</f>
        <v>5855520</v>
      </c>
      <c r="G877" s="543">
        <f>SUM(G874:G876)+G872</f>
        <v>4245092</v>
      </c>
      <c r="H877" s="535">
        <f>SUM(H874:H876)+H872</f>
        <v>439172</v>
      </c>
      <c r="I877" s="536">
        <f>SUM(I874:I876)+I872</f>
        <v>1171256</v>
      </c>
      <c r="J877" s="346">
        <f>SUM(G877:I877)</f>
        <v>5855520</v>
      </c>
      <c r="K877" s="346">
        <f>SUM(K874:K876)+K872</f>
        <v>0</v>
      </c>
    </row>
    <row r="878" spans="1:11" ht="13">
      <c r="A878" s="331">
        <v>13</v>
      </c>
      <c r="D878" s="342"/>
      <c r="E878" s="195"/>
      <c r="G878" s="541"/>
      <c r="H878" s="531"/>
      <c r="I878" s="532"/>
    </row>
    <row r="879" spans="1:11" ht="13">
      <c r="A879" s="331">
        <v>14</v>
      </c>
      <c r="B879" s="330" t="s">
        <v>99</v>
      </c>
      <c r="D879" s="342"/>
      <c r="E879" s="195"/>
      <c r="G879" s="541"/>
      <c r="H879" s="531"/>
      <c r="I879" s="532"/>
    </row>
    <row r="880" spans="1:11" ht="13">
      <c r="A880" s="331">
        <v>15</v>
      </c>
      <c r="B880" s="330" t="s">
        <v>74</v>
      </c>
      <c r="D880" s="342"/>
      <c r="E880" s="195"/>
      <c r="G880" s="541"/>
      <c r="H880" s="531"/>
      <c r="I880" s="532"/>
    </row>
    <row r="881" spans="1:11" ht="13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K881" si="121">F877</f>
        <v>5855520</v>
      </c>
      <c r="G881" s="542">
        <f t="shared" si="121"/>
        <v>4245092</v>
      </c>
      <c r="H881" s="533">
        <f t="shared" si="121"/>
        <v>439172</v>
      </c>
      <c r="I881" s="534">
        <f t="shared" si="121"/>
        <v>1171256</v>
      </c>
      <c r="J881" s="345">
        <f t="shared" si="121"/>
        <v>5855520</v>
      </c>
      <c r="K881" s="345">
        <f t="shared" si="121"/>
        <v>0</v>
      </c>
    </row>
    <row r="882" spans="1:11" ht="13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K882" si="122">SUM(F881:F881)</f>
        <v>5855520</v>
      </c>
      <c r="G882" s="542">
        <f t="shared" si="122"/>
        <v>4245092</v>
      </c>
      <c r="H882" s="533">
        <f t="shared" si="122"/>
        <v>439172</v>
      </c>
      <c r="I882" s="534">
        <f t="shared" si="122"/>
        <v>1171256</v>
      </c>
      <c r="J882" s="345">
        <f t="shared" si="122"/>
        <v>5855520</v>
      </c>
      <c r="K882" s="345">
        <f t="shared" si="122"/>
        <v>0</v>
      </c>
    </row>
    <row r="883" spans="1:11" ht="13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560">
        <f>G692</f>
        <v>0.21</v>
      </c>
      <c r="H883" s="561">
        <f>H692</f>
        <v>0.21</v>
      </c>
      <c r="I883" s="562">
        <f>I692</f>
        <v>0.21</v>
      </c>
      <c r="J883" s="348"/>
      <c r="K883" s="348">
        <f>'FR-16(7)(v)-1 Functional'!K692</f>
        <v>0.21</v>
      </c>
    </row>
    <row r="884" spans="1:11" ht="13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>ROUND(F883*F882,0)</f>
        <v>1229659</v>
      </c>
      <c r="G884" s="542">
        <f>ROUND(G883*G882,0)</f>
        <v>891469</v>
      </c>
      <c r="H884" s="533">
        <f>ROUND(H883*H882,0)</f>
        <v>92226</v>
      </c>
      <c r="I884" s="534">
        <f>ROUND(I883*I882,0)</f>
        <v>245964</v>
      </c>
      <c r="J884" s="345">
        <f>SUM(G884:I884)</f>
        <v>1229659</v>
      </c>
      <c r="K884" s="345">
        <f>ROUND(K883*K882,0)</f>
        <v>0</v>
      </c>
    </row>
    <row r="885" spans="1:11" ht="13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280122</v>
      </c>
      <c r="G885" s="542">
        <f>$G$532</f>
        <v>-19793</v>
      </c>
      <c r="H885" s="533">
        <f>$H$532</f>
        <v>302581</v>
      </c>
      <c r="I885" s="534">
        <f>$I$532</f>
        <v>-2666</v>
      </c>
      <c r="J885" s="345">
        <f>$J$532</f>
        <v>280122</v>
      </c>
      <c r="K885" s="345">
        <f>$K$532</f>
        <v>0</v>
      </c>
    </row>
    <row r="886" spans="1:11" ht="13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-15154</v>
      </c>
      <c r="G886" s="542">
        <f>-$G$536</f>
        <v>-11836</v>
      </c>
      <c r="H886" s="533">
        <f>-$H$536</f>
        <v>-177</v>
      </c>
      <c r="I886" s="534">
        <f>-$I$536</f>
        <v>-3141</v>
      </c>
      <c r="J886" s="345">
        <f>-$J$536</f>
        <v>-15154</v>
      </c>
      <c r="K886" s="345">
        <f>-$K$536</f>
        <v>0</v>
      </c>
    </row>
    <row r="887" spans="1:11" ht="13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K887" si="123">SUM(F884:F886)</f>
        <v>1494627</v>
      </c>
      <c r="G887" s="543">
        <f t="shared" si="123"/>
        <v>859840</v>
      </c>
      <c r="H887" s="535">
        <f t="shared" si="123"/>
        <v>394630</v>
      </c>
      <c r="I887" s="536">
        <f t="shared" si="123"/>
        <v>240157</v>
      </c>
      <c r="J887" s="346">
        <f t="shared" si="123"/>
        <v>1494627</v>
      </c>
      <c r="K887" s="346">
        <f t="shared" si="123"/>
        <v>0</v>
      </c>
    </row>
    <row r="888" spans="1:11" ht="13">
      <c r="A888" s="331">
        <v>23</v>
      </c>
      <c r="D888" s="342"/>
      <c r="E888" s="195"/>
      <c r="G888" s="541"/>
      <c r="H888" s="531"/>
      <c r="I888" s="532"/>
    </row>
    <row r="889" spans="1:11" ht="13">
      <c r="A889" s="331">
        <v>24</v>
      </c>
      <c r="B889" s="330" t="s">
        <v>75</v>
      </c>
      <c r="D889" s="342"/>
      <c r="E889" s="195"/>
      <c r="G889" s="541"/>
      <c r="H889" s="531"/>
      <c r="I889" s="532"/>
    </row>
    <row r="890" spans="1:11" ht="13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K890" si="124">F884</f>
        <v>1229659</v>
      </c>
      <c r="G890" s="542">
        <f t="shared" si="124"/>
        <v>891469</v>
      </c>
      <c r="H890" s="533">
        <f t="shared" si="124"/>
        <v>92226</v>
      </c>
      <c r="I890" s="534">
        <f t="shared" si="124"/>
        <v>245964</v>
      </c>
      <c r="J890" s="345">
        <f t="shared" si="124"/>
        <v>1229659</v>
      </c>
      <c r="K890" s="345">
        <f t="shared" si="124"/>
        <v>0</v>
      </c>
    </row>
    <row r="891" spans="1:11" ht="13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544">
        <f>-$G$540</f>
        <v>0</v>
      </c>
      <c r="H891" s="537">
        <f>-$H$540</f>
        <v>0</v>
      </c>
      <c r="I891" s="538">
        <f>-$I$540</f>
        <v>0</v>
      </c>
      <c r="J891" s="345">
        <f>-$J$540</f>
        <v>0</v>
      </c>
      <c r="K891" s="345">
        <f>-$K$540</f>
        <v>0</v>
      </c>
    </row>
    <row r="892" spans="1:11" ht="13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K892" si="125">SUM(F889:F891)</f>
        <v>1229659</v>
      </c>
      <c r="G892" s="543">
        <f t="shared" si="125"/>
        <v>891469</v>
      </c>
      <c r="H892" s="535">
        <f t="shared" si="125"/>
        <v>92226</v>
      </c>
      <c r="I892" s="536">
        <f t="shared" si="125"/>
        <v>245964</v>
      </c>
      <c r="J892" s="346">
        <f t="shared" si="125"/>
        <v>1229659</v>
      </c>
      <c r="K892" s="346">
        <f t="shared" si="125"/>
        <v>0</v>
      </c>
    </row>
    <row r="893" spans="1:11" ht="13">
      <c r="A893" s="331">
        <v>28</v>
      </c>
      <c r="D893" s="342"/>
      <c r="E893" s="195"/>
      <c r="G893" s="541"/>
      <c r="H893" s="531"/>
      <c r="I893" s="532"/>
    </row>
    <row r="894" spans="1:11" ht="13">
      <c r="A894" s="331">
        <v>29</v>
      </c>
      <c r="B894" s="330" t="s">
        <v>40</v>
      </c>
      <c r="D894" s="342"/>
      <c r="E894" s="195"/>
      <c r="G894" s="541"/>
      <c r="H894" s="531"/>
      <c r="I894" s="532"/>
    </row>
    <row r="895" spans="1:11" ht="13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K895" si="126">F872</f>
        <v>9805274</v>
      </c>
      <c r="G895" s="542">
        <f t="shared" si="126"/>
        <v>7249310</v>
      </c>
      <c r="H895" s="533">
        <f t="shared" si="126"/>
        <v>587232</v>
      </c>
      <c r="I895" s="534">
        <f t="shared" si="126"/>
        <v>1968732</v>
      </c>
      <c r="J895" s="345">
        <f t="shared" si="126"/>
        <v>9805274</v>
      </c>
      <c r="K895" s="345">
        <f t="shared" si="126"/>
        <v>0</v>
      </c>
    </row>
    <row r="896" spans="1:11" ht="13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K896" si="127">-F887</f>
        <v>-1494627</v>
      </c>
      <c r="G896" s="542">
        <f t="shared" si="127"/>
        <v>-859840</v>
      </c>
      <c r="H896" s="533">
        <f t="shared" si="127"/>
        <v>-394630</v>
      </c>
      <c r="I896" s="534">
        <f t="shared" si="127"/>
        <v>-240157</v>
      </c>
      <c r="J896" s="345">
        <f t="shared" si="127"/>
        <v>-1494627</v>
      </c>
      <c r="K896" s="345">
        <f t="shared" si="127"/>
        <v>0</v>
      </c>
    </row>
    <row r="897" spans="1:11" ht="13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K897" si="128">SUM(F894:F896)</f>
        <v>8310647</v>
      </c>
      <c r="G897" s="543">
        <f t="shared" si="128"/>
        <v>6389470</v>
      </c>
      <c r="H897" s="535">
        <f t="shared" si="128"/>
        <v>192602</v>
      </c>
      <c r="I897" s="536">
        <f t="shared" si="128"/>
        <v>1728575</v>
      </c>
      <c r="J897" s="346">
        <f t="shared" si="128"/>
        <v>8310647</v>
      </c>
      <c r="K897" s="346">
        <f t="shared" si="128"/>
        <v>0</v>
      </c>
    </row>
    <row r="898" spans="1:11" ht="13">
      <c r="A898" s="331">
        <v>33</v>
      </c>
      <c r="D898" s="342"/>
      <c r="E898" s="195"/>
      <c r="G898" s="541"/>
      <c r="H898" s="531"/>
      <c r="I898" s="532"/>
    </row>
    <row r="899" spans="1:11" ht="13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K899" si="129">IF(F331=0,0,ROUND(F897/F331,5))</f>
        <v>7.0879999999999999E-2</v>
      </c>
      <c r="G899" s="569">
        <f t="shared" si="129"/>
        <v>7.0599999999999996E-2</v>
      </c>
      <c r="H899" s="570">
        <f t="shared" si="129"/>
        <v>7.0599999999999996E-2</v>
      </c>
      <c r="I899" s="571">
        <f t="shared" si="129"/>
        <v>7.1970000000000006E-2</v>
      </c>
      <c r="J899" s="348">
        <f t="shared" si="129"/>
        <v>7.0879999999999999E-2</v>
      </c>
      <c r="K899" s="348">
        <f t="shared" si="129"/>
        <v>0</v>
      </c>
    </row>
  </sheetData>
  <pageMargins left="1" right="1" top="1" bottom="1" header="1" footer="0.5"/>
  <pageSetup scale="67" orientation="landscape" blackAndWhite="1" r:id="rId1"/>
  <headerFooter alignWithMargins="0"/>
  <rowBreaks count="13" manualBreakCount="13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53">
    <tabColor rgb="FFFFFF00"/>
    <pageSetUpPr fitToPage="1"/>
  </sheetPr>
  <dimension ref="A1:N899"/>
  <sheetViews>
    <sheetView zoomScale="80" zoomScaleNormal="80" zoomScaleSheetLayoutView="80" workbookViewId="0"/>
  </sheetViews>
  <sheetFormatPr defaultColWidth="8.765625" defaultRowHeight="12.5"/>
  <cols>
    <col min="1" max="1" width="6.4609375" style="330" customWidth="1"/>
    <col min="2" max="2" width="3.53515625" style="330" customWidth="1"/>
    <col min="3" max="3" width="41.765625" style="330" customWidth="1"/>
    <col min="4" max="4" width="8.23046875" style="331" customWidth="1"/>
    <col min="5" max="5" width="8.765625" style="330" customWidth="1"/>
    <col min="6" max="6" width="14" style="330" customWidth="1"/>
    <col min="7" max="8" width="11.765625" style="330" customWidth="1"/>
    <col min="9" max="9" width="13.765625" style="330" customWidth="1"/>
    <col min="10" max="11" width="11.765625" style="330" customWidth="1"/>
    <col min="12" max="16384" width="8.765625" style="330"/>
  </cols>
  <sheetData>
    <row r="1" spans="1:11" ht="13">
      <c r="A1" s="341" t="str">
        <f>co_name</f>
        <v>DUKE ENERGY KENTUCKY, INC.</v>
      </c>
      <c r="C1" s="195"/>
      <c r="D1" s="342"/>
      <c r="E1" s="195"/>
      <c r="F1" s="195"/>
      <c r="G1" s="195"/>
      <c r="H1" s="195"/>
      <c r="I1" s="195"/>
      <c r="J1" s="577" t="s">
        <v>1462</v>
      </c>
      <c r="K1" s="195"/>
    </row>
    <row r="2" spans="1:11" ht="13">
      <c r="A2" s="577" t="s">
        <v>1259</v>
      </c>
      <c r="C2" s="195"/>
      <c r="D2" s="342"/>
      <c r="E2" s="195"/>
      <c r="F2" s="195"/>
      <c r="G2" s="195"/>
      <c r="H2" s="195"/>
      <c r="I2" s="195"/>
      <c r="J2" s="577" t="s">
        <v>435</v>
      </c>
      <c r="K2" s="195"/>
    </row>
    <row r="3" spans="1:11" ht="13">
      <c r="A3" s="341" t="str">
        <f>case_name</f>
        <v>CASE NO: 2021-00190</v>
      </c>
      <c r="C3" s="195"/>
      <c r="D3" s="342"/>
      <c r="E3" s="195"/>
      <c r="F3" s="195"/>
      <c r="G3" s="195"/>
      <c r="H3" s="195"/>
      <c r="I3" s="195"/>
      <c r="J3" s="195" t="str">
        <f>Witness</f>
        <v>JAMES E. ZIOLKOWSKI</v>
      </c>
      <c r="K3" s="195"/>
    </row>
    <row r="4" spans="1:11" ht="13">
      <c r="A4" s="341" t="str">
        <f>data_filing</f>
        <v>DATA: 12 MONTH FORECASTED PERIOD</v>
      </c>
      <c r="C4" s="195"/>
      <c r="D4" s="342"/>
      <c r="E4" s="195"/>
      <c r="F4" s="195"/>
      <c r="G4" s="195"/>
      <c r="H4" s="195"/>
      <c r="I4" s="195"/>
      <c r="J4" s="195" t="str">
        <f>"PAGE "&amp;Pages2-14&amp;" OF "&amp;Pages2</f>
        <v>PAGE 1 OF 15</v>
      </c>
      <c r="K4" s="195"/>
    </row>
    <row r="5" spans="1:11" ht="13">
      <c r="A5" s="341" t="str">
        <f>type</f>
        <v xml:space="preserve">TYPE OF FILING: "X" ORIGINAL   UPDATED    REVISED  </v>
      </c>
      <c r="C5" s="195"/>
      <c r="D5" s="342"/>
      <c r="E5" s="195"/>
      <c r="F5" s="195"/>
      <c r="G5" s="195"/>
      <c r="H5" s="195"/>
      <c r="I5" s="195"/>
      <c r="J5" s="195"/>
      <c r="K5" s="195"/>
    </row>
    <row r="6" spans="1:11" ht="13">
      <c r="A6" s="341"/>
      <c r="C6" s="195"/>
      <c r="D6" s="342"/>
      <c r="E6" s="195"/>
      <c r="F6" s="195"/>
      <c r="G6" s="195"/>
      <c r="H6" s="195"/>
      <c r="I6" s="195"/>
      <c r="J6" s="195"/>
      <c r="K6" s="195"/>
    </row>
    <row r="7" spans="1:11" ht="13">
      <c r="A7" s="341"/>
      <c r="C7" s="195"/>
      <c r="D7" s="342"/>
      <c r="E7" s="195"/>
      <c r="F7" s="195"/>
      <c r="G7" s="195"/>
      <c r="H7" s="195"/>
      <c r="I7" s="195"/>
      <c r="J7" s="195"/>
      <c r="K7" s="195"/>
    </row>
    <row r="8" spans="1:11" ht="13">
      <c r="A8" s="342" t="s">
        <v>907</v>
      </c>
      <c r="B8" s="195"/>
      <c r="C8" s="195"/>
      <c r="D8" s="342"/>
      <c r="E8" s="195"/>
      <c r="F8" s="342" t="s">
        <v>229</v>
      </c>
      <c r="G8" s="539" t="s">
        <v>995</v>
      </c>
      <c r="H8" s="527"/>
      <c r="I8" s="528"/>
      <c r="J8" s="342" t="s">
        <v>229</v>
      </c>
      <c r="K8" s="342" t="s">
        <v>342</v>
      </c>
    </row>
    <row r="9" spans="1:11" ht="13">
      <c r="A9" s="344" t="s">
        <v>908</v>
      </c>
      <c r="B9" s="343" t="s">
        <v>102</v>
      </c>
      <c r="C9" s="343"/>
      <c r="D9" s="344" t="s">
        <v>337</v>
      </c>
      <c r="E9" s="343"/>
      <c r="F9" s="822" t="s">
        <v>974</v>
      </c>
      <c r="G9" s="540" t="s">
        <v>840</v>
      </c>
      <c r="H9" s="529" t="s">
        <v>841</v>
      </c>
      <c r="I9" s="530" t="s">
        <v>842</v>
      </c>
      <c r="J9" s="344" t="s">
        <v>341</v>
      </c>
      <c r="K9" s="344" t="s">
        <v>340</v>
      </c>
    </row>
    <row r="10" spans="1:11" ht="13">
      <c r="C10" s="572" t="s">
        <v>354</v>
      </c>
      <c r="D10" s="342"/>
      <c r="E10" s="195"/>
      <c r="G10" s="779">
        <v>3</v>
      </c>
      <c r="H10" s="780">
        <v>4</v>
      </c>
      <c r="I10" s="781">
        <v>5</v>
      </c>
    </row>
    <row r="11" spans="1:11" ht="13">
      <c r="A11" s="331">
        <v>1</v>
      </c>
      <c r="B11" s="330" t="s">
        <v>100</v>
      </c>
      <c r="D11" s="342"/>
      <c r="E11" s="195"/>
      <c r="G11" s="541"/>
      <c r="H11" s="531"/>
      <c r="I11" s="532"/>
    </row>
    <row r="12" spans="1:11" ht="13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>F101</f>
        <v>67201966</v>
      </c>
      <c r="G12" s="542">
        <f>G101</f>
        <v>64592422</v>
      </c>
      <c r="H12" s="533">
        <f>H101</f>
        <v>1447585</v>
      </c>
      <c r="I12" s="534">
        <f>I101</f>
        <v>1161959</v>
      </c>
      <c r="J12" s="345">
        <f>J101</f>
        <v>67201966</v>
      </c>
      <c r="K12" s="345">
        <f>F12-J12</f>
        <v>0</v>
      </c>
    </row>
    <row r="13" spans="1:11" ht="13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>-F151</f>
        <v>-18747351</v>
      </c>
      <c r="G13" s="542">
        <f>-G151</f>
        <v>-17782799</v>
      </c>
      <c r="H13" s="533">
        <f>-H151</f>
        <v>-791875</v>
      </c>
      <c r="I13" s="534">
        <f>-I151</f>
        <v>-172677</v>
      </c>
      <c r="J13" s="345">
        <f>-J151</f>
        <v>-18747351</v>
      </c>
      <c r="K13" s="345">
        <f>F13-J13</f>
        <v>0</v>
      </c>
    </row>
    <row r="14" spans="1:11" ht="13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>F326</f>
        <v>-8614678</v>
      </c>
      <c r="G14" s="542">
        <f>G326</f>
        <v>-8322263</v>
      </c>
      <c r="H14" s="533">
        <f>H326</f>
        <v>-116470</v>
      </c>
      <c r="I14" s="534">
        <f>I326</f>
        <v>-175945</v>
      </c>
      <c r="J14" s="345">
        <f>J326</f>
        <v>-8614678</v>
      </c>
      <c r="K14" s="345">
        <f>F14-J14</f>
        <v>0</v>
      </c>
    </row>
    <row r="15" spans="1:11" ht="13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0">SUM(F12:F14)</f>
        <v>39839937</v>
      </c>
      <c r="G15" s="543">
        <f t="shared" si="0"/>
        <v>38487360</v>
      </c>
      <c r="H15" s="535">
        <f t="shared" si="0"/>
        <v>539240</v>
      </c>
      <c r="I15" s="536">
        <f t="shared" si="0"/>
        <v>813337</v>
      </c>
      <c r="J15" s="346">
        <f t="shared" si="0"/>
        <v>39839937</v>
      </c>
      <c r="K15" s="346">
        <f t="shared" si="0"/>
        <v>0</v>
      </c>
    </row>
    <row r="16" spans="1:11" ht="13">
      <c r="A16" s="331">
        <v>6</v>
      </c>
      <c r="D16" s="342"/>
      <c r="E16" s="195"/>
      <c r="G16" s="541"/>
      <c r="H16" s="531"/>
      <c r="I16" s="532"/>
    </row>
    <row r="17" spans="1:11" ht="13">
      <c r="A17" s="331">
        <v>7</v>
      </c>
      <c r="B17" s="330" t="s">
        <v>98</v>
      </c>
      <c r="D17" s="342"/>
      <c r="E17" s="195"/>
      <c r="G17" s="541"/>
      <c r="H17" s="531"/>
      <c r="I17" s="532"/>
    </row>
    <row r="18" spans="1:11" ht="13">
      <c r="A18" s="331">
        <v>8</v>
      </c>
      <c r="C18" s="330" t="str">
        <f>'FR-16(7)(v)-1 Functional'!C18</f>
        <v>TOTAL O&amp;M EXPENSE</v>
      </c>
      <c r="D18" s="342"/>
      <c r="E18" s="195"/>
      <c r="F18" s="345">
        <f>F433</f>
        <v>1553301</v>
      </c>
      <c r="G18" s="542">
        <f>G433</f>
        <v>1300301</v>
      </c>
      <c r="H18" s="533">
        <f>H433</f>
        <v>226978</v>
      </c>
      <c r="I18" s="534">
        <f>I433</f>
        <v>26022</v>
      </c>
      <c r="J18" s="345">
        <f>J433</f>
        <v>1553301</v>
      </c>
      <c r="K18" s="345">
        <f t="shared" ref="K18:K24" si="1">F18-J18</f>
        <v>0</v>
      </c>
    </row>
    <row r="19" spans="1:11" ht="13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>F465</f>
        <v>1632389</v>
      </c>
      <c r="G19" s="542">
        <f>G465</f>
        <v>1488896</v>
      </c>
      <c r="H19" s="533">
        <f>H465</f>
        <v>112464</v>
      </c>
      <c r="I19" s="534">
        <f>I465</f>
        <v>31029</v>
      </c>
      <c r="J19" s="345">
        <f>J465</f>
        <v>1632389</v>
      </c>
      <c r="K19" s="345">
        <f t="shared" si="1"/>
        <v>0</v>
      </c>
    </row>
    <row r="20" spans="1:11" ht="13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389788</v>
      </c>
      <c r="G20" s="542">
        <f>$G$495</f>
        <v>376896</v>
      </c>
      <c r="H20" s="533">
        <f>$H$495</f>
        <v>5026</v>
      </c>
      <c r="I20" s="534">
        <f>$I$495</f>
        <v>7866</v>
      </c>
      <c r="J20" s="345">
        <f>$J$495</f>
        <v>389788</v>
      </c>
      <c r="K20" s="345">
        <f t="shared" si="1"/>
        <v>0</v>
      </c>
    </row>
    <row r="21" spans="1:11" ht="13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>SUM(F17:F20)</f>
        <v>3575478</v>
      </c>
      <c r="G21" s="543">
        <f>SUM(G17:G20)</f>
        <v>3166093</v>
      </c>
      <c r="H21" s="535">
        <f>SUM(H17:H20)</f>
        <v>344468</v>
      </c>
      <c r="I21" s="536">
        <f>SUM(I17:I20)</f>
        <v>64917</v>
      </c>
      <c r="J21" s="346">
        <f>SUM(J17:J20)</f>
        <v>3575478</v>
      </c>
      <c r="K21" s="346">
        <f t="shared" si="1"/>
        <v>0</v>
      </c>
    </row>
    <row r="22" spans="1:11" ht="13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 ca="1">F557</f>
        <v>370986</v>
      </c>
      <c r="G22" s="542">
        <f ca="1">$G$557</f>
        <v>365841</v>
      </c>
      <c r="H22" s="533">
        <f ca="1">$H$557</f>
        <v>-17005</v>
      </c>
      <c r="I22" s="534">
        <f ca="1">$I$557</f>
        <v>22151</v>
      </c>
      <c r="J22" s="345">
        <f ca="1">$J$557</f>
        <v>370987</v>
      </c>
      <c r="K22" s="345">
        <f t="shared" ca="1" si="1"/>
        <v>-1</v>
      </c>
    </row>
    <row r="23" spans="1:11" ht="13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 ca="1">F605</f>
        <v>122181</v>
      </c>
      <c r="G23" s="542">
        <f ca="1">G605</f>
        <v>94640</v>
      </c>
      <c r="H23" s="533">
        <f ca="1">H605</f>
        <v>-1719</v>
      </c>
      <c r="I23" s="534">
        <f ca="1">I605</f>
        <v>29259</v>
      </c>
      <c r="J23" s="345">
        <f ca="1">J605</f>
        <v>122180</v>
      </c>
      <c r="K23" s="345">
        <f t="shared" ca="1" si="1"/>
        <v>1</v>
      </c>
    </row>
    <row r="24" spans="1:11" ht="13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 ca="1">SUM(F21:F23)</f>
        <v>4068645</v>
      </c>
      <c r="G24" s="543">
        <f ca="1">SUM(G21:G23)</f>
        <v>3626574</v>
      </c>
      <c r="H24" s="535">
        <f ca="1">SUM(H21:H23)</f>
        <v>325744</v>
      </c>
      <c r="I24" s="536">
        <f ca="1">SUM(I21:I23)</f>
        <v>116327</v>
      </c>
      <c r="J24" s="346">
        <f ca="1">SUM(J21:J23)</f>
        <v>4068645</v>
      </c>
      <c r="K24" s="346">
        <f t="shared" ca="1" si="1"/>
        <v>0</v>
      </c>
    </row>
    <row r="25" spans="1:11" ht="13">
      <c r="A25" s="331">
        <v>15</v>
      </c>
      <c r="D25" s="342"/>
      <c r="E25" s="195"/>
      <c r="G25" s="541"/>
      <c r="H25" s="531"/>
      <c r="I25" s="532"/>
    </row>
    <row r="26" spans="1:11" ht="13">
      <c r="A26" s="331">
        <v>16</v>
      </c>
      <c r="B26" s="330" t="s">
        <v>43</v>
      </c>
      <c r="D26" s="342"/>
      <c r="E26" s="195"/>
      <c r="F26" s="345">
        <f>F334</f>
        <v>2812700</v>
      </c>
      <c r="G26" s="542">
        <f>G334</f>
        <v>2717208</v>
      </c>
      <c r="H26" s="533">
        <f>H334</f>
        <v>38070</v>
      </c>
      <c r="I26" s="534">
        <f>I334</f>
        <v>57422</v>
      </c>
      <c r="J26" s="345">
        <f>J334</f>
        <v>2812700</v>
      </c>
      <c r="K26" s="345">
        <f t="shared" ref="K26:K31" si="2">F26-J26</f>
        <v>0</v>
      </c>
    </row>
    <row r="27" spans="1:11" ht="13">
      <c r="A27" s="331">
        <v>17</v>
      </c>
      <c r="B27" s="357" t="s">
        <v>103</v>
      </c>
      <c r="C27" s="357"/>
      <c r="D27" s="342"/>
      <c r="E27" s="195"/>
      <c r="F27" s="345">
        <f>-F630</f>
        <v>-16333</v>
      </c>
      <c r="G27" s="542">
        <f>-$G$630</f>
        <v>-15859</v>
      </c>
      <c r="H27" s="533">
        <f>-$H$630</f>
        <v>-122</v>
      </c>
      <c r="I27" s="534">
        <f>-$I$630</f>
        <v>-352</v>
      </c>
      <c r="J27" s="345">
        <f>-$J$630</f>
        <v>-16333</v>
      </c>
      <c r="K27" s="345">
        <f t="shared" si="2"/>
        <v>0</v>
      </c>
    </row>
    <row r="28" spans="1:11" ht="13">
      <c r="A28" s="331">
        <v>18</v>
      </c>
      <c r="C28" s="330" t="str">
        <f>'FR-16(7)(v)-1 Functional'!C28</f>
        <v>TOTAL GAS COST OF SERVICE</v>
      </c>
      <c r="D28" s="342"/>
      <c r="E28" s="195"/>
      <c r="F28" s="346">
        <f ca="1">SUM(F24:F27)</f>
        <v>6865012</v>
      </c>
      <c r="G28" s="551">
        <f ca="1">SUM(G24:G27)</f>
        <v>6327923</v>
      </c>
      <c r="H28" s="552">
        <f ca="1">SUM(H24:H27)</f>
        <v>363692</v>
      </c>
      <c r="I28" s="553">
        <f ca="1">SUM(I24:I27)</f>
        <v>173397</v>
      </c>
      <c r="J28" s="346">
        <f ca="1">SUM(J24:J27)</f>
        <v>6865012</v>
      </c>
      <c r="K28" s="346">
        <f t="shared" ca="1" si="2"/>
        <v>0</v>
      </c>
    </row>
    <row r="29" spans="1:11" ht="13">
      <c r="A29" s="1104">
        <v>19</v>
      </c>
      <c r="B29" s="1105" t="s">
        <v>1184</v>
      </c>
      <c r="C29" s="1106"/>
      <c r="D29" s="1107">
        <f>1-'WP FR-16(7)(v)Rate Incr (40.0%)'!I11</f>
        <v>0</v>
      </c>
      <c r="E29" s="1108"/>
      <c r="F29" s="1106"/>
      <c r="G29" s="1110"/>
      <c r="H29" s="1106"/>
      <c r="I29" s="1111"/>
      <c r="J29" s="1106"/>
      <c r="K29" s="1112">
        <f t="shared" si="2"/>
        <v>0</v>
      </c>
    </row>
    <row r="30" spans="1:11" ht="13">
      <c r="A30" s="1104">
        <v>20</v>
      </c>
      <c r="B30" s="1113" t="s">
        <v>1185</v>
      </c>
      <c r="C30" s="1017"/>
      <c r="D30" s="1114"/>
      <c r="E30" s="1108"/>
      <c r="F30" s="1115">
        <f t="shared" ref="F30:K30" ca="1" si="3">F28+F29</f>
        <v>6865012</v>
      </c>
      <c r="G30" s="1174">
        <f t="shared" ca="1" si="3"/>
        <v>6327923</v>
      </c>
      <c r="H30" s="1172">
        <f t="shared" ca="1" si="3"/>
        <v>363692</v>
      </c>
      <c r="I30" s="1173">
        <f t="shared" ca="1" si="3"/>
        <v>173397</v>
      </c>
      <c r="J30" s="1115">
        <f t="shared" ca="1" si="3"/>
        <v>6865012</v>
      </c>
      <c r="K30" s="1115">
        <f t="shared" ca="1" si="3"/>
        <v>0</v>
      </c>
    </row>
    <row r="31" spans="1:11" ht="13">
      <c r="A31" s="1104">
        <v>21</v>
      </c>
      <c r="B31" s="1120" t="s">
        <v>843</v>
      </c>
      <c r="C31" s="1106"/>
      <c r="D31" s="1114"/>
      <c r="E31" s="1108"/>
      <c r="F31" s="1140">
        <f>'FR-16(7)(v)-8 TOT CLASS Alloc'!I31</f>
        <v>6308299</v>
      </c>
      <c r="G31" s="1116">
        <f>'FR-16(7)(v)-5 DISTR Dem Alloc'!I31</f>
        <v>2350389</v>
      </c>
      <c r="H31" s="1117">
        <f>'FR-16(7)(v)-3 PROD Comm Alloc'!I31</f>
        <v>2322022</v>
      </c>
      <c r="I31" s="1118">
        <f>'FR-16(7)(v)-6 DISTR Cust Alloc'!I31</f>
        <v>1635888</v>
      </c>
      <c r="J31" s="1119">
        <f>SUM(G31:I31)</f>
        <v>6308299</v>
      </c>
      <c r="K31" s="1119">
        <f t="shared" si="2"/>
        <v>0</v>
      </c>
    </row>
    <row r="32" spans="1:11" ht="13">
      <c r="A32" s="1104">
        <v>22</v>
      </c>
      <c r="B32" s="1121" t="s">
        <v>1186</v>
      </c>
      <c r="C32" s="1017"/>
      <c r="D32" s="1114"/>
      <c r="E32" s="1108"/>
      <c r="F32" s="1124">
        <f t="shared" ref="F32:K32" ca="1" si="4">F30-F31</f>
        <v>556713</v>
      </c>
      <c r="G32" s="1143">
        <f t="shared" ca="1" si="4"/>
        <v>3977534</v>
      </c>
      <c r="H32" s="1161">
        <f t="shared" ca="1" si="4"/>
        <v>-1958330</v>
      </c>
      <c r="I32" s="1144">
        <f t="shared" ca="1" si="4"/>
        <v>-1462491</v>
      </c>
      <c r="J32" s="1124">
        <f t="shared" ca="1" si="4"/>
        <v>556713</v>
      </c>
      <c r="K32" s="1124">
        <f t="shared" ca="1" si="4"/>
        <v>0</v>
      </c>
    </row>
    <row r="33" spans="1:14" ht="13">
      <c r="A33" s="1104">
        <v>23</v>
      </c>
      <c r="B33" s="1017"/>
      <c r="C33" s="1017"/>
      <c r="D33" s="1114"/>
      <c r="E33" s="1108"/>
      <c r="F33" s="1017"/>
      <c r="G33" s="1126"/>
      <c r="H33" s="1127"/>
      <c r="I33" s="1128"/>
      <c r="J33" s="1017"/>
      <c r="K33" s="1017"/>
    </row>
    <row r="34" spans="1:14" ht="13">
      <c r="A34" s="1104">
        <v>24</v>
      </c>
      <c r="B34" s="1017" t="s">
        <v>104</v>
      </c>
      <c r="C34" s="1017"/>
      <c r="D34" s="1114"/>
      <c r="E34" s="1108"/>
      <c r="F34" s="1119">
        <f ca="1">F654+F26</f>
        <v>2486475</v>
      </c>
      <c r="G34" s="1116">
        <f ca="1">G654+G26</f>
        <v>-197875</v>
      </c>
      <c r="H34" s="1117">
        <f ca="1">H654+H26</f>
        <v>1506996</v>
      </c>
      <c r="I34" s="1118">
        <f ca="1">I654+I26</f>
        <v>1177353</v>
      </c>
      <c r="J34" s="1119">
        <f ca="1">J654+J26</f>
        <v>2486474</v>
      </c>
      <c r="K34" s="1119">
        <f ca="1">F34-J34</f>
        <v>1</v>
      </c>
    </row>
    <row r="35" spans="1:14" ht="13">
      <c r="A35" s="1104">
        <v>25</v>
      </c>
      <c r="B35" s="1017" t="s">
        <v>105</v>
      </c>
      <c r="C35" s="1017"/>
      <c r="D35" s="1114"/>
      <c r="E35" s="1108"/>
      <c r="F35" s="1129">
        <f t="shared" ref="F35:K35" ca="1" si="5">IF(F331=0,0,ROUND(F34/F331,5))</f>
        <v>6.241E-2</v>
      </c>
      <c r="G35" s="1130">
        <f t="shared" ca="1" si="5"/>
        <v>-5.1399999999999996E-3</v>
      </c>
      <c r="H35" s="1131">
        <f t="shared" ca="1" si="5"/>
        <v>2.79467</v>
      </c>
      <c r="I35" s="1132">
        <f t="shared" ca="1" si="5"/>
        <v>1.44756</v>
      </c>
      <c r="J35" s="1129">
        <f t="shared" ca="1" si="5"/>
        <v>6.241E-2</v>
      </c>
      <c r="K35" s="1129">
        <f t="shared" si="5"/>
        <v>0</v>
      </c>
    </row>
    <row r="36" spans="1:14" ht="13">
      <c r="A36" s="1104">
        <v>26</v>
      </c>
      <c r="B36" s="1017" t="s">
        <v>42</v>
      </c>
      <c r="C36" s="1017"/>
      <c r="D36" s="1114"/>
      <c r="E36" s="1108"/>
      <c r="F36" s="1129">
        <f>$F$688</f>
        <v>7.060000000000001E-2</v>
      </c>
      <c r="G36" s="1130">
        <f>F688</f>
        <v>7.060000000000001E-2</v>
      </c>
      <c r="H36" s="1131">
        <f>F688</f>
        <v>7.060000000000001E-2</v>
      </c>
      <c r="I36" s="1132">
        <f>F688</f>
        <v>7.060000000000001E-2</v>
      </c>
      <c r="J36" s="1129">
        <f>$F$688</f>
        <v>7.060000000000001E-2</v>
      </c>
      <c r="K36" s="1129">
        <f>IF(K35=0,0,$F$688)</f>
        <v>0</v>
      </c>
      <c r="N36" s="653" t="s">
        <v>1188</v>
      </c>
    </row>
    <row r="37" spans="1:14" ht="13">
      <c r="A37" s="1104">
        <v>27</v>
      </c>
      <c r="B37" s="1017" t="s">
        <v>106</v>
      </c>
      <c r="C37" s="1017"/>
      <c r="D37" s="1114"/>
      <c r="E37" s="1108"/>
      <c r="F37" s="1129">
        <f ca="1">IF(F670=0,0,(F35-$F$683-$F$684-$F$686)*$F$673/$F$670)</f>
        <v>8.6854108070880134E-2</v>
      </c>
      <c r="G37" s="1130">
        <f ca="1">IF(F670=0,0,(G35-F683-F684-F686)*F673/F670)</f>
        <v>-4.6395835153920074E-2</v>
      </c>
      <c r="H37" s="1131">
        <f ca="1">IF(F670=0,0,(H35-F683-F684-F686)*F673/F670)</f>
        <v>5.4765430773587056</v>
      </c>
      <c r="I37" s="1132">
        <f ca="1">IF(F670=0,0,(I35-F683-F684-F686)*F673/F670)</f>
        <v>2.8192176736938563</v>
      </c>
      <c r="J37" s="1129">
        <f ca="1">IF(F670=0,0,(J35-F683-F684-F686)*F673/F670)</f>
        <v>8.6854108070880134E-2</v>
      </c>
      <c r="K37" s="1129">
        <f>IF(OR(E670=0,K35=0)=TRUE,0,(K35-E683-E684-E686)*E673/E670)</f>
        <v>0</v>
      </c>
      <c r="N37" s="653" t="s">
        <v>1189</v>
      </c>
    </row>
    <row r="38" spans="1:14" ht="13">
      <c r="A38" s="1104">
        <v>28</v>
      </c>
      <c r="B38" s="1017" t="s">
        <v>107</v>
      </c>
      <c r="C38" s="1017"/>
      <c r="D38" s="1114"/>
      <c r="E38" s="1108"/>
      <c r="F38" s="1129">
        <f>IF(F670=0,0,(F36-$F$683-$F$684-$F$686)*$F$673/$F$670)</f>
        <v>0.10300980066912017</v>
      </c>
      <c r="G38" s="1130">
        <f>IF(F670=0,0,(G36-F683-F684-F686)*F673/F670)</f>
        <v>0.10300980066912017</v>
      </c>
      <c r="H38" s="1131">
        <f>IF(F670=0,0,(H36-F683-F684-F686)*F673/F670)</f>
        <v>0.10300980066912017</v>
      </c>
      <c r="I38" s="1132">
        <f>IF(F670=0,0,(I36-F683-F684-F686)*F673/F670)</f>
        <v>0.10300980066912017</v>
      </c>
      <c r="J38" s="1129">
        <f>IF($F$670=0,0,(J36-$F$683-$F$684-$F$686)*$F$673/$F$670)</f>
        <v>0.10300980066912017</v>
      </c>
      <c r="K38" s="1129">
        <f>IF(OR($F$670=0,K36=0)=TRUE,0,(K36-$F$683-$F$684-$F$686)*$F$673/$F$670)</f>
        <v>0</v>
      </c>
    </row>
    <row r="39" spans="1:14" ht="13">
      <c r="A39" s="1104">
        <v>29</v>
      </c>
      <c r="B39" s="1017"/>
      <c r="C39" s="1017"/>
      <c r="D39" s="1114"/>
      <c r="E39" s="1108"/>
      <c r="F39" s="1017" t="s">
        <v>343</v>
      </c>
      <c r="G39" s="1126"/>
      <c r="H39" s="1127"/>
      <c r="I39" s="1128"/>
      <c r="J39" s="1017"/>
      <c r="K39" s="1017"/>
    </row>
    <row r="40" spans="1:14" ht="13">
      <c r="A40" s="1104">
        <v>30</v>
      </c>
      <c r="B40" s="1017" t="s">
        <v>108</v>
      </c>
      <c r="C40" s="1017"/>
      <c r="D40" s="1114"/>
      <c r="E40" s="1108"/>
      <c r="F40" s="1140">
        <f>'FR-16(7)(v)-8 TOT CLASS Alloc'!I40</f>
        <v>5452147</v>
      </c>
      <c r="G40" s="1116">
        <f>'FR-16(7)(v)-5 DISTR Dem Alloc'!I40</f>
        <v>2031398</v>
      </c>
      <c r="H40" s="1117">
        <f>'FR-16(7)(v)-3 PROD Comm Alloc'!I40</f>
        <v>2006881</v>
      </c>
      <c r="I40" s="1118">
        <f>'FR-16(7)(v)-6 DISTR Cust Alloc'!I40</f>
        <v>1413868</v>
      </c>
      <c r="J40" s="1119">
        <f>SUM(G40:I40)</f>
        <v>5452147</v>
      </c>
      <c r="K40" s="1119">
        <f>F40-J40</f>
        <v>0</v>
      </c>
    </row>
    <row r="41" spans="1:14" ht="13">
      <c r="A41" s="1104">
        <v>31</v>
      </c>
      <c r="B41" s="1017" t="s">
        <v>109</v>
      </c>
      <c r="C41" s="1017"/>
      <c r="D41" s="1114"/>
      <c r="E41" s="1108"/>
      <c r="F41" s="1119">
        <f t="shared" ref="F41:K41" ca="1" si="6">F28-F40</f>
        <v>1412865</v>
      </c>
      <c r="G41" s="1116">
        <f t="shared" ca="1" si="6"/>
        <v>4296525</v>
      </c>
      <c r="H41" s="1117">
        <f t="shared" ca="1" si="6"/>
        <v>-1643189</v>
      </c>
      <c r="I41" s="1118">
        <f t="shared" ca="1" si="6"/>
        <v>-1240471</v>
      </c>
      <c r="J41" s="1119">
        <f t="shared" ca="1" si="6"/>
        <v>1412865</v>
      </c>
      <c r="K41" s="1119">
        <f t="shared" ca="1" si="6"/>
        <v>0</v>
      </c>
    </row>
    <row r="42" spans="1:14" ht="13">
      <c r="A42" s="1104">
        <v>32</v>
      </c>
      <c r="B42" s="1017"/>
      <c r="C42" s="1017" t="s">
        <v>283</v>
      </c>
      <c r="D42" s="1114"/>
      <c r="E42" s="1108"/>
      <c r="F42" s="1133">
        <f t="shared" ref="F42:K42" ca="1" si="7">IF(F40=0,0,ROUND(F41/F40,5))</f>
        <v>0.25913999999999998</v>
      </c>
      <c r="G42" s="1134">
        <f t="shared" ca="1" si="7"/>
        <v>2.1150600000000002</v>
      </c>
      <c r="H42" s="1135">
        <f t="shared" ca="1" si="7"/>
        <v>-0.81877999999999995</v>
      </c>
      <c r="I42" s="1136">
        <f t="shared" ca="1" si="7"/>
        <v>-0.87736000000000003</v>
      </c>
      <c r="J42" s="1133">
        <f t="shared" ca="1" si="7"/>
        <v>0.25913999999999998</v>
      </c>
      <c r="K42" s="1119">
        <f t="shared" si="7"/>
        <v>0</v>
      </c>
    </row>
    <row r="43" spans="1:14" ht="13">
      <c r="A43" s="1104">
        <v>33</v>
      </c>
      <c r="B43" s="1017" t="s">
        <v>110</v>
      </c>
      <c r="C43" s="1017"/>
      <c r="D43" s="1114"/>
      <c r="E43" s="1108"/>
      <c r="F43" s="1119">
        <f t="shared" ref="F43:K43" si="8">F31-F40</f>
        <v>856152</v>
      </c>
      <c r="G43" s="1116">
        <f t="shared" si="8"/>
        <v>318991</v>
      </c>
      <c r="H43" s="1117">
        <f t="shared" si="8"/>
        <v>315141</v>
      </c>
      <c r="I43" s="1118">
        <f t="shared" si="8"/>
        <v>222020</v>
      </c>
      <c r="J43" s="1119">
        <f t="shared" si="8"/>
        <v>856152</v>
      </c>
      <c r="K43" s="1119">
        <f t="shared" si="8"/>
        <v>0</v>
      </c>
    </row>
    <row r="44" spans="1:14" ht="13">
      <c r="A44" s="1104">
        <v>34</v>
      </c>
      <c r="B44" s="1017"/>
      <c r="C44" s="1017" t="s">
        <v>283</v>
      </c>
      <c r="D44" s="1114"/>
      <c r="E44" s="1108"/>
      <c r="F44" s="1133">
        <f t="shared" ref="F44:K44" si="9">IF(F40=0,0,ROUND(F43/F40,5))</f>
        <v>0.15703</v>
      </c>
      <c r="G44" s="1137">
        <f t="shared" si="9"/>
        <v>0.15703</v>
      </c>
      <c r="H44" s="1138">
        <f t="shared" si="9"/>
        <v>0.15703</v>
      </c>
      <c r="I44" s="1139">
        <f t="shared" si="9"/>
        <v>0.15703</v>
      </c>
      <c r="J44" s="1133">
        <f t="shared" si="9"/>
        <v>0.15703</v>
      </c>
      <c r="K44" s="1119">
        <f t="shared" si="9"/>
        <v>0</v>
      </c>
    </row>
    <row r="45" spans="1:14" ht="13">
      <c r="A45" s="341"/>
      <c r="C45" s="195"/>
      <c r="D45" s="342"/>
      <c r="E45" s="195"/>
      <c r="F45" s="195"/>
      <c r="G45" s="195"/>
      <c r="H45" s="195"/>
      <c r="I45" s="195"/>
      <c r="J45" s="195"/>
      <c r="K45" s="195"/>
    </row>
    <row r="46" spans="1:14" ht="13">
      <c r="A46" s="341" t="str">
        <f>co_name</f>
        <v>DUKE ENERGY KENTUCKY, INC.</v>
      </c>
      <c r="C46" s="195"/>
      <c r="D46" s="342"/>
      <c r="E46" s="195"/>
      <c r="F46" s="195"/>
      <c r="G46" s="195"/>
      <c r="H46" s="195"/>
      <c r="I46" s="195"/>
      <c r="J46" s="195" t="str">
        <f>$J$1</f>
        <v>FR-16(7)(v)-11</v>
      </c>
      <c r="K46" s="195"/>
    </row>
    <row r="47" spans="1:14" ht="13">
      <c r="A47" s="341" t="str">
        <f>$A$2</f>
        <v>FT-L CLASSIFIED - GAS COST OF SERVICE</v>
      </c>
      <c r="C47" s="195"/>
      <c r="D47" s="342"/>
      <c r="E47" s="195"/>
      <c r="F47" s="195"/>
      <c r="G47" s="195"/>
      <c r="H47" s="195"/>
      <c r="I47" s="195"/>
      <c r="J47" s="195" t="str">
        <f>$J$2</f>
        <v>WITNESS RESPONSIBLE:</v>
      </c>
      <c r="K47" s="195"/>
    </row>
    <row r="48" spans="1:14" ht="13">
      <c r="A48" s="341" t="str">
        <f>case_name</f>
        <v>CASE NO: 2021-00190</v>
      </c>
      <c r="C48" s="195"/>
      <c r="D48" s="342"/>
      <c r="E48" s="195"/>
      <c r="F48" s="195"/>
      <c r="G48" s="195"/>
      <c r="H48" s="195"/>
      <c r="I48" s="195"/>
      <c r="J48" s="195" t="str">
        <f>Witness</f>
        <v>JAMES E. ZIOLKOWSKI</v>
      </c>
      <c r="K48" s="195"/>
    </row>
    <row r="49" spans="1:11" ht="13">
      <c r="A49" s="341" t="str">
        <f>data_filing</f>
        <v>DATA: 12 MONTH FORECASTED PERIOD</v>
      </c>
      <c r="C49" s="195"/>
      <c r="D49" s="342"/>
      <c r="E49" s="195"/>
      <c r="F49" s="195"/>
      <c r="G49" s="195"/>
      <c r="H49" s="195"/>
      <c r="I49" s="195"/>
      <c r="J49" s="195" t="str">
        <f>"PAGE "&amp;Pages2-13&amp;" OF "&amp;Pages2</f>
        <v>PAGE 2 OF 15</v>
      </c>
      <c r="K49" s="195"/>
    </row>
    <row r="50" spans="1:11" ht="13">
      <c r="A50" s="341" t="str">
        <f>type</f>
        <v xml:space="preserve">TYPE OF FILING: "X" ORIGINAL   UPDATED    REVISED  </v>
      </c>
      <c r="C50" s="195"/>
      <c r="D50" s="342"/>
      <c r="E50" s="195"/>
      <c r="F50" s="195"/>
      <c r="G50" s="195"/>
      <c r="H50" s="195"/>
      <c r="I50" s="195"/>
      <c r="J50" s="195"/>
      <c r="K50" s="195"/>
    </row>
    <row r="51" spans="1:11" ht="13">
      <c r="A51" s="341"/>
      <c r="C51" s="195"/>
      <c r="D51" s="342"/>
      <c r="E51" s="195"/>
      <c r="F51" s="195"/>
      <c r="G51" s="195"/>
      <c r="H51" s="195"/>
      <c r="I51" s="195"/>
      <c r="J51" s="195"/>
      <c r="K51" s="195"/>
    </row>
    <row r="52" spans="1:11" ht="13">
      <c r="A52" s="341"/>
      <c r="C52" s="195"/>
      <c r="D52" s="342"/>
      <c r="E52" s="195"/>
      <c r="F52" s="195"/>
      <c r="G52" s="195"/>
      <c r="H52" s="195"/>
      <c r="I52" s="195"/>
      <c r="J52" s="195"/>
      <c r="K52" s="195"/>
    </row>
    <row r="53" spans="1:11" ht="13">
      <c r="A53" s="342" t="s">
        <v>907</v>
      </c>
      <c r="B53" s="195"/>
      <c r="C53" s="195"/>
      <c r="D53" s="342"/>
      <c r="E53" s="195"/>
      <c r="F53" s="342" t="s">
        <v>229</v>
      </c>
      <c r="G53" s="539" t="s">
        <v>995</v>
      </c>
      <c r="H53" s="527"/>
      <c r="I53" s="528"/>
      <c r="J53" s="342" t="s">
        <v>229</v>
      </c>
      <c r="K53" s="342" t="s">
        <v>342</v>
      </c>
    </row>
    <row r="54" spans="1:11" ht="13">
      <c r="A54" s="344" t="s">
        <v>908</v>
      </c>
      <c r="B54" s="343" t="s">
        <v>95</v>
      </c>
      <c r="C54" s="343"/>
      <c r="D54" s="344" t="s">
        <v>337</v>
      </c>
      <c r="E54" s="343"/>
      <c r="F54" s="344" t="str">
        <f>$F$9</f>
        <v>FT-L</v>
      </c>
      <c r="G54" s="540" t="s">
        <v>840</v>
      </c>
      <c r="H54" s="529" t="s">
        <v>841</v>
      </c>
      <c r="I54" s="530" t="s">
        <v>842</v>
      </c>
      <c r="J54" s="344" t="s">
        <v>341</v>
      </c>
      <c r="K54" s="344" t="s">
        <v>340</v>
      </c>
    </row>
    <row r="55" spans="1:11" ht="13">
      <c r="C55" s="572" t="s">
        <v>344</v>
      </c>
      <c r="D55" s="342"/>
      <c r="E55" s="195"/>
      <c r="G55" s="793">
        <f>$G$10</f>
        <v>3</v>
      </c>
      <c r="H55" s="794">
        <f>$H$10</f>
        <v>4</v>
      </c>
      <c r="I55" s="795">
        <f>$I$10</f>
        <v>5</v>
      </c>
      <c r="K55" s="330" t="s">
        <v>343</v>
      </c>
    </row>
    <row r="56" spans="1:11" ht="13">
      <c r="A56" s="331">
        <v>1</v>
      </c>
      <c r="B56" s="330" t="s">
        <v>14</v>
      </c>
      <c r="E56" s="195"/>
      <c r="G56" s="541"/>
      <c r="H56" s="531"/>
      <c r="I56" s="532"/>
    </row>
    <row r="57" spans="1:11" ht="13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3">
        <f>'FR-16(7)(v)-8 TOT CLASS Alloc'!I57</f>
        <v>653138</v>
      </c>
      <c r="G57" s="542">
        <f>'FR-16(7)(v)-5 DISTR Dem Alloc'!$I$57</f>
        <v>0</v>
      </c>
      <c r="H57" s="533">
        <f>'FR-16(7)(v)-3 PROD Comm Alloc'!$I$57</f>
        <v>653138</v>
      </c>
      <c r="I57" s="534">
        <f>'FR-16(7)(v)-6 DISTR Cust Alloc'!$I$57</f>
        <v>0</v>
      </c>
      <c r="J57" s="345">
        <f>SUM($G$57:$I$57)</f>
        <v>653138</v>
      </c>
      <c r="K57" s="345">
        <f>F57-$J$57</f>
        <v>0</v>
      </c>
    </row>
    <row r="58" spans="1:11" ht="13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3">
        <f>'FR-16(7)(v)-8 TOT CLASS Alloc'!I58</f>
        <v>0</v>
      </c>
      <c r="G58" s="542">
        <f>'FR-16(7)(v)-5 DISTR Dem Alloc'!$I$58</f>
        <v>0</v>
      </c>
      <c r="H58" s="533">
        <f>'FR-16(7)(v)-3 PROD Comm Alloc'!$I$58</f>
        <v>0</v>
      </c>
      <c r="I58" s="534">
        <f>'FR-16(7)(v)-6 DISTR Cust Alloc'!$I$58</f>
        <v>0</v>
      </c>
      <c r="J58" s="345">
        <f>SUM($G$58:$I$58)</f>
        <v>0</v>
      </c>
      <c r="K58" s="345">
        <f>F58-$J$58</f>
        <v>0</v>
      </c>
    </row>
    <row r="59" spans="1:11" ht="13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653138</v>
      </c>
      <c r="G59" s="543">
        <f>SUM($G$57:$G$58)</f>
        <v>0</v>
      </c>
      <c r="H59" s="535">
        <f>SUM($H$57:$H$58)</f>
        <v>653138</v>
      </c>
      <c r="I59" s="536">
        <f>SUM($I$57:$I$58)</f>
        <v>0</v>
      </c>
      <c r="J59" s="346">
        <f>SUM($J$57:$J$58)</f>
        <v>653138</v>
      </c>
      <c r="K59" s="346">
        <f>SUM($K$57:$K$58)</f>
        <v>0</v>
      </c>
    </row>
    <row r="60" spans="1:11" ht="13">
      <c r="A60" s="331">
        <v>5</v>
      </c>
      <c r="D60" s="342"/>
      <c r="E60" s="195"/>
      <c r="G60" s="541"/>
      <c r="H60" s="531"/>
      <c r="I60" s="532"/>
    </row>
    <row r="61" spans="1:11" ht="13">
      <c r="A61" s="331">
        <v>6</v>
      </c>
      <c r="B61" s="330" t="s">
        <v>15</v>
      </c>
      <c r="D61" s="342"/>
      <c r="E61" s="195"/>
      <c r="G61" s="541"/>
      <c r="H61" s="531"/>
      <c r="I61" s="532"/>
    </row>
    <row r="62" spans="1:11" ht="13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1"/>
      <c r="G62" s="542"/>
      <c r="H62" s="533"/>
      <c r="I62" s="534"/>
      <c r="J62" s="345"/>
      <c r="K62" s="345"/>
    </row>
    <row r="63" spans="1:11" ht="13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543">
        <f>SUM($G$62)</f>
        <v>0</v>
      </c>
      <c r="H63" s="535">
        <f>SUM($H$62)</f>
        <v>0</v>
      </c>
      <c r="I63" s="536">
        <f>SUM($I$62)</f>
        <v>0</v>
      </c>
      <c r="J63" s="346">
        <f>SUM($J$62)</f>
        <v>0</v>
      </c>
      <c r="K63" s="346">
        <f>SUM($K$62)</f>
        <v>0</v>
      </c>
    </row>
    <row r="64" spans="1:11" ht="13">
      <c r="A64" s="331">
        <v>9</v>
      </c>
      <c r="D64" s="342"/>
      <c r="E64" s="195"/>
      <c r="G64" s="541"/>
      <c r="H64" s="531"/>
      <c r="I64" s="532"/>
    </row>
    <row r="65" spans="1:11" ht="13">
      <c r="A65" s="331">
        <v>10</v>
      </c>
      <c r="B65" s="330" t="s">
        <v>16</v>
      </c>
      <c r="D65" s="342"/>
      <c r="E65" s="195"/>
      <c r="F65" s="345">
        <f>F63+F59</f>
        <v>653138</v>
      </c>
      <c r="G65" s="542">
        <f>$G$63+$G$59</f>
        <v>0</v>
      </c>
      <c r="H65" s="533">
        <f>$H$63+$H$59</f>
        <v>653138</v>
      </c>
      <c r="I65" s="534">
        <f>$I$63+$I$59</f>
        <v>0</v>
      </c>
      <c r="J65" s="345">
        <f>$J$63+$J$59</f>
        <v>653138</v>
      </c>
      <c r="K65" s="345">
        <f>$K$63+$K$59</f>
        <v>0</v>
      </c>
    </row>
    <row r="66" spans="1:11" ht="13">
      <c r="A66" s="331">
        <v>11</v>
      </c>
      <c r="D66" s="342"/>
      <c r="E66" s="195"/>
      <c r="G66" s="541"/>
      <c r="H66" s="531"/>
      <c r="I66" s="532"/>
    </row>
    <row r="67" spans="1:11" ht="13">
      <c r="A67" s="331">
        <v>12</v>
      </c>
      <c r="B67" s="330" t="s">
        <v>17</v>
      </c>
      <c r="D67" s="342"/>
      <c r="E67" s="195"/>
      <c r="G67" s="541"/>
      <c r="H67" s="531"/>
      <c r="I67" s="532"/>
    </row>
    <row r="68" spans="1:11" ht="13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3">
        <f>'FR-16(7)(v)-8 TOT CLASS Alloc'!I68</f>
        <v>5618850</v>
      </c>
      <c r="G68" s="542">
        <f>'FR-16(7)(v)-5 DISTR Dem Alloc'!I68</f>
        <v>5618850</v>
      </c>
      <c r="H68" s="533">
        <f>'FR-16(7)(v)-3 PROD Comm Alloc'!I68</f>
        <v>0</v>
      </c>
      <c r="I68" s="534">
        <f>'FR-16(7)(v)-6 DISTR Cust Alloc'!I68</f>
        <v>0</v>
      </c>
      <c r="J68" s="345">
        <f t="shared" ref="J68:J77" si="10">SUM(G68:I68)</f>
        <v>5618850</v>
      </c>
      <c r="K68" s="345">
        <f t="shared" ref="K68:K77" si="11">F68-J68</f>
        <v>0</v>
      </c>
    </row>
    <row r="69" spans="1:11" ht="13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3">
        <f>'FR-16(7)(v)-8 TOT CLASS Alloc'!I69</f>
        <v>371140</v>
      </c>
      <c r="G69" s="542">
        <f>'FR-16(7)(v)-5 DISTR Dem Alloc'!I69</f>
        <v>371140</v>
      </c>
      <c r="H69" s="533">
        <f>'FR-16(7)(v)-3 PROD Comm Alloc'!I69</f>
        <v>0</v>
      </c>
      <c r="I69" s="534">
        <f>'FR-16(7)(v)-6 DISTR Cust Alloc'!I69</f>
        <v>0</v>
      </c>
      <c r="J69" s="345">
        <f t="shared" si="10"/>
        <v>371140</v>
      </c>
      <c r="K69" s="345">
        <f t="shared" si="11"/>
        <v>0</v>
      </c>
    </row>
    <row r="70" spans="1:11" ht="13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3">
        <f>'FR-16(7)(v)-8 TOT CLASS Alloc'!I70</f>
        <v>330469</v>
      </c>
      <c r="G70" s="542">
        <f>'FR-16(7)(v)-5 DISTR Dem Alloc'!I70</f>
        <v>330469</v>
      </c>
      <c r="H70" s="533">
        <f>'FR-16(7)(v)-3 PROD Comm Alloc'!I70</f>
        <v>0</v>
      </c>
      <c r="I70" s="534">
        <f>'FR-16(7)(v)-6 DISTR Cust Alloc'!I70</f>
        <v>0</v>
      </c>
      <c r="J70" s="345">
        <f t="shared" si="10"/>
        <v>330469</v>
      </c>
      <c r="K70" s="345">
        <f t="shared" si="11"/>
        <v>0</v>
      </c>
    </row>
    <row r="71" spans="1:11" ht="13">
      <c r="A71" s="331">
        <v>16</v>
      </c>
      <c r="C71" s="330" t="str">
        <f>'FR-16(7)(v)-1 Functional'!C71</f>
        <v>MAINS - (2761, 2762, 2763, 2765)</v>
      </c>
      <c r="D71" s="342" t="str">
        <f>'FR-16(7)(v)-1 Functional'!D71</f>
        <v>K415</v>
      </c>
      <c r="E71" s="195"/>
      <c r="F71" s="473">
        <f>'FR-16(7)(v)-8 TOT CLASS Alloc'!I71</f>
        <v>54086704</v>
      </c>
      <c r="G71" s="542">
        <f>'FR-16(7)(v)-5 DISTR Dem Alloc'!I71</f>
        <v>54086704</v>
      </c>
      <c r="H71" s="533">
        <f>'FR-16(7)(v)-3 PROD Comm Alloc'!I71</f>
        <v>0</v>
      </c>
      <c r="I71" s="534">
        <f>'FR-16(7)(v)-6 DISTR Cust Alloc'!I71</f>
        <v>0</v>
      </c>
      <c r="J71" s="345">
        <f t="shared" si="10"/>
        <v>54086704</v>
      </c>
      <c r="K71" s="345">
        <f t="shared" si="11"/>
        <v>0</v>
      </c>
    </row>
    <row r="72" spans="1:11" ht="13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3">
        <f>'FR-16(7)(v)-8 TOT CLASS Alloc'!I72</f>
        <v>431883</v>
      </c>
      <c r="G72" s="542">
        <f>'FR-16(7)(v)-5 DISTR Dem Alloc'!I72</f>
        <v>0</v>
      </c>
      <c r="H72" s="533">
        <f>'FR-16(7)(v)-3 PROD Comm Alloc'!I72</f>
        <v>0</v>
      </c>
      <c r="I72" s="534">
        <f>'FR-16(7)(v)-6 DISTR Cust Alloc'!I72</f>
        <v>431883</v>
      </c>
      <c r="J72" s="345">
        <f t="shared" si="10"/>
        <v>431883</v>
      </c>
      <c r="K72" s="345">
        <f t="shared" si="11"/>
        <v>0</v>
      </c>
    </row>
    <row r="73" spans="1:11" ht="13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3">
        <f>'FR-16(7)(v)-8 TOT CLASS Alloc'!I73</f>
        <v>568252</v>
      </c>
      <c r="G73" s="542">
        <f>'FR-16(7)(v)-5 DISTR Dem Alloc'!I73</f>
        <v>0</v>
      </c>
      <c r="H73" s="533">
        <f>'FR-16(7)(v)-3 PROD Comm Alloc'!I73</f>
        <v>0</v>
      </c>
      <c r="I73" s="534">
        <f>'FR-16(7)(v)-6 DISTR Cust Alloc'!I73</f>
        <v>568252</v>
      </c>
      <c r="J73" s="345">
        <f t="shared" si="10"/>
        <v>568252</v>
      </c>
      <c r="K73" s="345">
        <f t="shared" si="11"/>
        <v>0</v>
      </c>
    </row>
    <row r="74" spans="1:11" ht="13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3">
        <f>'FR-16(7)(v)-8 TOT CLASS Alloc'!I74</f>
        <v>1587763</v>
      </c>
      <c r="G74" s="542">
        <f>'FR-16(7)(v)-5 DISTR Dem Alloc'!I74</f>
        <v>1587763</v>
      </c>
      <c r="H74" s="533">
        <f>'FR-16(7)(v)-3 PROD Comm Alloc'!I74</f>
        <v>0</v>
      </c>
      <c r="I74" s="534">
        <f>'FR-16(7)(v)-6 DISTR Cust Alloc'!I74</f>
        <v>0</v>
      </c>
      <c r="J74" s="345">
        <f t="shared" si="10"/>
        <v>1587763</v>
      </c>
      <c r="K74" s="345">
        <f t="shared" si="11"/>
        <v>0</v>
      </c>
    </row>
    <row r="75" spans="1:11" ht="13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3">
        <f>'FR-16(7)(v)-8 TOT CLASS Alloc'!I75</f>
        <v>113137</v>
      </c>
      <c r="G75" s="542">
        <f>'FR-16(7)(v)-5 DISTR Dem Alloc'!I75</f>
        <v>0</v>
      </c>
      <c r="H75" s="533">
        <f>'FR-16(7)(v)-3 PROD Comm Alloc'!I75</f>
        <v>0</v>
      </c>
      <c r="I75" s="534">
        <f>'FR-16(7)(v)-6 DISTR Cust Alloc'!I75</f>
        <v>113137</v>
      </c>
      <c r="J75" s="345">
        <f t="shared" si="10"/>
        <v>113137</v>
      </c>
      <c r="K75" s="345">
        <f t="shared" si="11"/>
        <v>0</v>
      </c>
    </row>
    <row r="76" spans="1:11" ht="13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3">
        <f>'FR-16(7)(v)-8 TOT CLASS Alloc'!I76</f>
        <v>0</v>
      </c>
      <c r="G76" s="542">
        <f>'FR-16(7)(v)-5 DISTR Dem Alloc'!I76</f>
        <v>0</v>
      </c>
      <c r="H76" s="533">
        <f>'FR-16(7)(v)-3 PROD Comm Alloc'!I76</f>
        <v>0</v>
      </c>
      <c r="I76" s="534">
        <f>'FR-16(7)(v)-6 DISTR Cust Alloc'!I76</f>
        <v>0</v>
      </c>
      <c r="J76" s="345">
        <f t="shared" si="10"/>
        <v>0</v>
      </c>
      <c r="K76" s="345">
        <f t="shared" si="11"/>
        <v>0</v>
      </c>
    </row>
    <row r="77" spans="1:11" ht="13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3">
        <f>'FR-16(7)(v)-8 TOT CLASS Alloc'!I77</f>
        <v>0</v>
      </c>
      <c r="G77" s="542">
        <f>'FR-16(7)(v)-5 DISTR Dem Alloc'!I77</f>
        <v>0</v>
      </c>
      <c r="H77" s="533">
        <f>'FR-16(7)(v)-3 PROD Comm Alloc'!I77</f>
        <v>0</v>
      </c>
      <c r="I77" s="534">
        <f>'FR-16(7)(v)-6 DISTR Cust Alloc'!I77</f>
        <v>0</v>
      </c>
      <c r="J77" s="345">
        <f t="shared" si="10"/>
        <v>0</v>
      </c>
      <c r="K77" s="345">
        <f t="shared" si="11"/>
        <v>0</v>
      </c>
    </row>
    <row r="78" spans="1:11" ht="13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K78" si="12">SUM(F68:F77)</f>
        <v>63108198</v>
      </c>
      <c r="G78" s="543">
        <f t="shared" si="12"/>
        <v>61994926</v>
      </c>
      <c r="H78" s="535">
        <f t="shared" si="12"/>
        <v>0</v>
      </c>
      <c r="I78" s="536">
        <f t="shared" si="12"/>
        <v>1113272</v>
      </c>
      <c r="J78" s="346">
        <f t="shared" si="12"/>
        <v>63108198</v>
      </c>
      <c r="K78" s="346">
        <f t="shared" si="12"/>
        <v>0</v>
      </c>
    </row>
    <row r="79" spans="1:11" ht="13">
      <c r="A79" s="331">
        <v>24</v>
      </c>
      <c r="D79" s="342"/>
      <c r="E79" s="195"/>
      <c r="G79" s="541"/>
      <c r="H79" s="531"/>
      <c r="I79" s="532"/>
    </row>
    <row r="80" spans="1:11" ht="13">
      <c r="A80" s="331">
        <v>25</v>
      </c>
      <c r="B80" s="330" t="s">
        <v>18</v>
      </c>
      <c r="D80" s="342"/>
      <c r="E80" s="195"/>
      <c r="F80" s="345">
        <f>F78+F63</f>
        <v>63108198</v>
      </c>
      <c r="G80" s="542">
        <f>G78+$G$63</f>
        <v>61994926</v>
      </c>
      <c r="H80" s="533">
        <f>H78+$H$63</f>
        <v>0</v>
      </c>
      <c r="I80" s="534">
        <f>I78+$I$63</f>
        <v>1113272</v>
      </c>
      <c r="J80" s="345">
        <f>J78+$J$63</f>
        <v>63108198</v>
      </c>
      <c r="K80" s="345">
        <f>K78+$K$63</f>
        <v>0</v>
      </c>
    </row>
    <row r="81" spans="1:11" ht="13">
      <c r="A81" s="331">
        <v>26</v>
      </c>
      <c r="B81" s="330" t="s">
        <v>19</v>
      </c>
      <c r="D81" s="342"/>
      <c r="E81" s="195"/>
      <c r="F81" s="345">
        <f t="shared" ref="F81:K81" si="13">F78+F65</f>
        <v>63761336</v>
      </c>
      <c r="G81" s="542">
        <f t="shared" si="13"/>
        <v>61994926</v>
      </c>
      <c r="H81" s="533">
        <f t="shared" si="13"/>
        <v>653138</v>
      </c>
      <c r="I81" s="534">
        <f t="shared" si="13"/>
        <v>1113272</v>
      </c>
      <c r="J81" s="345">
        <f t="shared" si="13"/>
        <v>63761336</v>
      </c>
      <c r="K81" s="345">
        <f t="shared" si="13"/>
        <v>0</v>
      </c>
    </row>
    <row r="82" spans="1:11" ht="13">
      <c r="A82" s="331">
        <v>27</v>
      </c>
      <c r="D82" s="342"/>
      <c r="E82" s="195"/>
      <c r="G82" s="541"/>
      <c r="H82" s="531"/>
      <c r="I82" s="532"/>
    </row>
    <row r="83" spans="1:11" ht="13">
      <c r="A83" s="331">
        <v>28</v>
      </c>
      <c r="B83" s="330" t="s">
        <v>20</v>
      </c>
      <c r="D83" s="342"/>
      <c r="E83" s="195"/>
      <c r="G83" s="541"/>
      <c r="H83" s="531"/>
      <c r="I83" s="532"/>
    </row>
    <row r="84" spans="1:11" ht="13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3">
        <f>'FR-16(7)(v)-8 TOT CLASS Alloc'!I84</f>
        <v>589963</v>
      </c>
      <c r="G84" s="542">
        <f>'FR-16(7)(v)-5 DISTR Dem Alloc'!I84</f>
        <v>0</v>
      </c>
      <c r="H84" s="533">
        <f>'FR-16(7)(v)-3 PROD Comm Alloc'!I84</f>
        <v>589963</v>
      </c>
      <c r="I84" s="534">
        <f>'FR-16(7)(v)-6 DISTR Cust Alloc'!I84</f>
        <v>0</v>
      </c>
      <c r="J84" s="345">
        <f t="shared" ref="J84:J89" si="14">SUM(G84:I84)</f>
        <v>589963</v>
      </c>
      <c r="K84" s="345">
        <f t="shared" ref="K84:K89" si="15">F84-J84</f>
        <v>0</v>
      </c>
    </row>
    <row r="85" spans="1:11" ht="13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3">
        <f>'FR-16(7)(v)-8 TOT CLASS Alloc'!I85</f>
        <v>11154</v>
      </c>
      <c r="G85" s="542">
        <f>'FR-16(7)(v)-5 DISTR Dem Alloc'!I85</f>
        <v>0</v>
      </c>
      <c r="H85" s="533">
        <f>'FR-16(7)(v)-3 PROD Comm Alloc'!I85</f>
        <v>11154</v>
      </c>
      <c r="I85" s="534">
        <f>'FR-16(7)(v)-6 DISTR Cust Alloc'!I85</f>
        <v>0</v>
      </c>
      <c r="J85" s="345">
        <f t="shared" si="14"/>
        <v>11154</v>
      </c>
      <c r="K85" s="345">
        <f t="shared" si="15"/>
        <v>0</v>
      </c>
    </row>
    <row r="86" spans="1:11" ht="13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3">
        <f>'FR-16(7)(v)-8 TOT CLASS Alloc'!I86</f>
        <v>1993639</v>
      </c>
      <c r="G86" s="542">
        <f>'FR-16(7)(v)-5 DISTR Dem Alloc'!I86</f>
        <v>1965391</v>
      </c>
      <c r="H86" s="533">
        <f>'FR-16(7)(v)-3 PROD Comm Alloc'!I86</f>
        <v>0</v>
      </c>
      <c r="I86" s="534">
        <f>'FR-16(7)(v)-6 DISTR Cust Alloc'!I86</f>
        <v>28248</v>
      </c>
      <c r="J86" s="345">
        <f t="shared" si="14"/>
        <v>1993639</v>
      </c>
      <c r="K86" s="345">
        <f t="shared" si="15"/>
        <v>0</v>
      </c>
    </row>
    <row r="87" spans="1:11" ht="13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3">
        <f>'FR-16(7)(v)-8 TOT CLASS Alloc'!I87</f>
        <v>7833</v>
      </c>
      <c r="G87" s="542">
        <f>'FR-16(7)(v)-5 DISTR Dem Alloc'!I87</f>
        <v>0</v>
      </c>
      <c r="H87" s="533">
        <f>'FR-16(7)(v)-3 PROD Comm Alloc'!I87</f>
        <v>0</v>
      </c>
      <c r="I87" s="534">
        <f>'FR-16(7)(v)-6 DISTR Cust Alloc'!I87</f>
        <v>7833</v>
      </c>
      <c r="J87" s="345">
        <f t="shared" si="14"/>
        <v>7833</v>
      </c>
      <c r="K87" s="345">
        <f t="shared" si="15"/>
        <v>0</v>
      </c>
    </row>
    <row r="88" spans="1:11" ht="13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3">
        <f>'FR-16(7)(v)-8 TOT CLASS Alloc'!I88</f>
        <v>758</v>
      </c>
      <c r="G88" s="542">
        <f>'FR-16(7)(v)-5 DISTR Dem Alloc'!I88</f>
        <v>0</v>
      </c>
      <c r="H88" s="533">
        <f>'FR-16(7)(v)-3 PROD Comm Alloc'!I88</f>
        <v>0</v>
      </c>
      <c r="I88" s="534">
        <f>'FR-16(7)(v)-6 DISTR Cust Alloc'!I88</f>
        <v>758</v>
      </c>
      <c r="J88" s="345">
        <f t="shared" si="14"/>
        <v>758</v>
      </c>
      <c r="K88" s="345">
        <f t="shared" si="15"/>
        <v>0</v>
      </c>
    </row>
    <row r="89" spans="1:11" ht="13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3">
        <f>'FR-16(7)(v)-8 TOT CLASS Alloc'!I89</f>
        <v>0</v>
      </c>
      <c r="G89" s="542">
        <f>'FR-16(7)(v)-5 DISTR Dem Alloc'!I89</f>
        <v>0</v>
      </c>
      <c r="H89" s="533">
        <f>'FR-16(7)(v)-3 PROD Comm Alloc'!I89</f>
        <v>0</v>
      </c>
      <c r="I89" s="534">
        <f>'FR-16(7)(v)-6 DISTR Cust Alloc'!I89</f>
        <v>0</v>
      </c>
      <c r="J89" s="345">
        <f t="shared" si="14"/>
        <v>0</v>
      </c>
      <c r="K89" s="345">
        <f t="shared" si="15"/>
        <v>0</v>
      </c>
    </row>
    <row r="90" spans="1:11" ht="13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4">
        <f t="shared" ref="F90:K90" si="16">SUM(F84:F89)</f>
        <v>2603347</v>
      </c>
      <c r="G90" s="543">
        <f t="shared" si="16"/>
        <v>1965391</v>
      </c>
      <c r="H90" s="535">
        <f t="shared" si="16"/>
        <v>601117</v>
      </c>
      <c r="I90" s="536">
        <f t="shared" si="16"/>
        <v>36839</v>
      </c>
      <c r="J90" s="346">
        <f t="shared" si="16"/>
        <v>2603347</v>
      </c>
      <c r="K90" s="346">
        <f t="shared" si="16"/>
        <v>0</v>
      </c>
    </row>
    <row r="91" spans="1:11" ht="13">
      <c r="A91" s="331">
        <v>36</v>
      </c>
      <c r="D91" s="342"/>
      <c r="E91" s="195"/>
      <c r="G91" s="541"/>
      <c r="H91" s="531"/>
      <c r="I91" s="532"/>
    </row>
    <row r="92" spans="1:11" ht="13">
      <c r="A92" s="331">
        <v>37</v>
      </c>
      <c r="B92" s="330" t="s">
        <v>21</v>
      </c>
      <c r="D92" s="342"/>
      <c r="E92" s="195"/>
      <c r="G92" s="541"/>
      <c r="H92" s="531"/>
      <c r="I92" s="532"/>
    </row>
    <row r="93" spans="1:11" ht="13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3">
        <f>'FR-16(7)(v)-8 TOT CLASS Alloc'!I93</f>
        <v>189743</v>
      </c>
      <c r="G93" s="542">
        <f>'FR-16(7)(v)-5 DISTR Dem Alloc'!I93</f>
        <v>0</v>
      </c>
      <c r="H93" s="533">
        <f>'FR-16(7)(v)-3 PROD Comm Alloc'!I93</f>
        <v>189743</v>
      </c>
      <c r="I93" s="534">
        <f>'FR-16(7)(v)-6 DISTR Cust Alloc'!I93</f>
        <v>0</v>
      </c>
      <c r="J93" s="345">
        <f t="shared" ref="J93:J98" si="17">SUM(G93:I93)</f>
        <v>189743</v>
      </c>
      <c r="K93" s="345">
        <f t="shared" ref="K93:K98" si="18">F93-J93</f>
        <v>0</v>
      </c>
    </row>
    <row r="94" spans="1:11" ht="13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3">
        <f>'FR-16(7)(v)-8 TOT CLASS Alloc'!I94</f>
        <v>3587</v>
      </c>
      <c r="G94" s="542">
        <f>'FR-16(7)(v)-5 DISTR Dem Alloc'!I94</f>
        <v>0</v>
      </c>
      <c r="H94" s="533">
        <f>'FR-16(7)(v)-3 PROD Comm Alloc'!I94</f>
        <v>3587</v>
      </c>
      <c r="I94" s="534">
        <f>'FR-16(7)(v)-6 DISTR Cust Alloc'!I94</f>
        <v>0</v>
      </c>
      <c r="J94" s="345">
        <f t="shared" si="17"/>
        <v>3587</v>
      </c>
      <c r="K94" s="345">
        <f t="shared" si="18"/>
        <v>0</v>
      </c>
    </row>
    <row r="95" spans="1:11" ht="13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3">
        <f>'FR-16(7)(v)-8 TOT CLASS Alloc'!I95</f>
        <v>641190</v>
      </c>
      <c r="G95" s="542">
        <f>'FR-16(7)(v)-5 DISTR Dem Alloc'!I95</f>
        <v>632105</v>
      </c>
      <c r="H95" s="533">
        <f>'FR-16(7)(v)-3 PROD Comm Alloc'!I95</f>
        <v>0</v>
      </c>
      <c r="I95" s="534">
        <f>'FR-16(7)(v)-6 DISTR Cust Alloc'!I95</f>
        <v>9085</v>
      </c>
      <c r="J95" s="345">
        <f t="shared" si="17"/>
        <v>641190</v>
      </c>
      <c r="K95" s="345">
        <f t="shared" si="18"/>
        <v>0</v>
      </c>
    </row>
    <row r="96" spans="1:11" ht="13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3">
        <f>'FR-16(7)(v)-8 TOT CLASS Alloc'!I96</f>
        <v>2519</v>
      </c>
      <c r="G96" s="542">
        <f>'FR-16(7)(v)-5 DISTR Dem Alloc'!I96</f>
        <v>0</v>
      </c>
      <c r="H96" s="533">
        <f>'FR-16(7)(v)-3 PROD Comm Alloc'!I96</f>
        <v>0</v>
      </c>
      <c r="I96" s="534">
        <f>'FR-16(7)(v)-6 DISTR Cust Alloc'!I96</f>
        <v>2519</v>
      </c>
      <c r="J96" s="345">
        <f t="shared" si="17"/>
        <v>2519</v>
      </c>
      <c r="K96" s="345">
        <f t="shared" si="18"/>
        <v>0</v>
      </c>
    </row>
    <row r="97" spans="1:11" ht="13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3">
        <f>'FR-16(7)(v)-8 TOT CLASS Alloc'!I97</f>
        <v>244</v>
      </c>
      <c r="G97" s="542">
        <f>'FR-16(7)(v)-5 DISTR Dem Alloc'!I97</f>
        <v>0</v>
      </c>
      <c r="H97" s="533">
        <f>'FR-16(7)(v)-3 PROD Comm Alloc'!I97</f>
        <v>0</v>
      </c>
      <c r="I97" s="534">
        <f>'FR-16(7)(v)-6 DISTR Cust Alloc'!I97</f>
        <v>244</v>
      </c>
      <c r="J97" s="345">
        <f t="shared" si="17"/>
        <v>244</v>
      </c>
      <c r="K97" s="345">
        <f t="shared" si="18"/>
        <v>0</v>
      </c>
    </row>
    <row r="98" spans="1:11" ht="13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3">
        <f>'FR-16(7)(v)-8 TOT CLASS Alloc'!I98</f>
        <v>0</v>
      </c>
      <c r="G98" s="542">
        <f>'FR-16(7)(v)-5 DISTR Dem Alloc'!I98</f>
        <v>0</v>
      </c>
      <c r="H98" s="533">
        <f>'FR-16(7)(v)-3 PROD Comm Alloc'!I98</f>
        <v>0</v>
      </c>
      <c r="I98" s="534">
        <f>'FR-16(7)(v)-6 DISTR Cust Alloc'!I98</f>
        <v>0</v>
      </c>
      <c r="J98" s="345">
        <f t="shared" si="17"/>
        <v>0</v>
      </c>
      <c r="K98" s="345">
        <f t="shared" si="18"/>
        <v>0</v>
      </c>
    </row>
    <row r="99" spans="1:11" ht="13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K99" si="19">SUM(F93:F98)</f>
        <v>837283</v>
      </c>
      <c r="G99" s="543">
        <f t="shared" si="19"/>
        <v>632105</v>
      </c>
      <c r="H99" s="535">
        <f t="shared" si="19"/>
        <v>193330</v>
      </c>
      <c r="I99" s="536">
        <f t="shared" si="19"/>
        <v>11848</v>
      </c>
      <c r="J99" s="346">
        <f t="shared" si="19"/>
        <v>837283</v>
      </c>
      <c r="K99" s="346">
        <f t="shared" si="19"/>
        <v>0</v>
      </c>
    </row>
    <row r="100" spans="1:11" ht="13">
      <c r="A100" s="331">
        <v>45</v>
      </c>
      <c r="E100" s="195"/>
      <c r="G100" s="541"/>
      <c r="H100" s="531"/>
      <c r="I100" s="532"/>
    </row>
    <row r="101" spans="1:11" ht="13">
      <c r="A101" s="331">
        <v>46</v>
      </c>
      <c r="B101" s="330" t="s">
        <v>95</v>
      </c>
      <c r="E101" s="195"/>
      <c r="F101" s="345">
        <f t="shared" ref="F101:K101" si="20">F81+F90+F99</f>
        <v>67201966</v>
      </c>
      <c r="G101" s="544">
        <f t="shared" si="20"/>
        <v>64592422</v>
      </c>
      <c r="H101" s="537">
        <f t="shared" si="20"/>
        <v>1447585</v>
      </c>
      <c r="I101" s="538">
        <f t="shared" si="20"/>
        <v>1161959</v>
      </c>
      <c r="J101" s="345">
        <f t="shared" si="20"/>
        <v>67201966</v>
      </c>
      <c r="K101" s="345">
        <f t="shared" si="20"/>
        <v>0</v>
      </c>
    </row>
    <row r="102" spans="1:11" ht="13">
      <c r="B102" s="341"/>
      <c r="C102" s="195"/>
      <c r="D102" s="342"/>
      <c r="E102" s="195"/>
      <c r="F102" s="195"/>
      <c r="G102" s="195"/>
      <c r="H102" s="195"/>
      <c r="I102" s="195"/>
      <c r="J102" s="195"/>
      <c r="K102" s="195"/>
    </row>
    <row r="103" spans="1:11" ht="13">
      <c r="A103" s="341" t="str">
        <f>co_name</f>
        <v>DUKE ENERGY KENTUCKY, INC.</v>
      </c>
      <c r="C103" s="195"/>
      <c r="D103" s="342"/>
      <c r="E103" s="195"/>
      <c r="F103" s="195"/>
      <c r="G103" s="195"/>
      <c r="H103" s="195"/>
      <c r="I103" s="195"/>
      <c r="J103" s="195" t="str">
        <f>$J$1</f>
        <v>FR-16(7)(v)-11</v>
      </c>
      <c r="K103" s="195"/>
    </row>
    <row r="104" spans="1:11" ht="13">
      <c r="A104" s="341" t="str">
        <f>$A$2</f>
        <v>FT-L CLASSIFIED - GAS COST OF SERVICE</v>
      </c>
      <c r="C104" s="195"/>
      <c r="D104" s="342"/>
      <c r="E104" s="195"/>
      <c r="F104" s="195"/>
      <c r="G104" s="195"/>
      <c r="H104" s="195"/>
      <c r="I104" s="195"/>
      <c r="J104" s="195" t="str">
        <f>$J$2</f>
        <v>WITNESS RESPONSIBLE:</v>
      </c>
      <c r="K104" s="195"/>
    </row>
    <row r="105" spans="1:11" ht="13">
      <c r="A105" s="341" t="str">
        <f>case_name</f>
        <v>CASE NO: 2021-00190</v>
      </c>
      <c r="C105" s="195"/>
      <c r="D105" s="342"/>
      <c r="E105" s="195"/>
      <c r="F105" s="195"/>
      <c r="G105" s="195"/>
      <c r="H105" s="195"/>
      <c r="I105" s="195"/>
      <c r="J105" s="195" t="str">
        <f>Witness</f>
        <v>JAMES E. ZIOLKOWSKI</v>
      </c>
      <c r="K105" s="195"/>
    </row>
    <row r="106" spans="1:11" ht="13">
      <c r="A106" s="341" t="str">
        <f>data_filing</f>
        <v>DATA: 12 MONTH FORECASTED PERIOD</v>
      </c>
      <c r="C106" s="195"/>
      <c r="D106" s="342"/>
      <c r="E106" s="195"/>
      <c r="F106" s="195"/>
      <c r="G106" s="195"/>
      <c r="H106" s="195"/>
      <c r="I106" s="195"/>
      <c r="J106" s="195" t="str">
        <f>"PAGE "&amp;Pages2-12&amp;" OF "&amp;Pages2</f>
        <v>PAGE 3 OF 15</v>
      </c>
      <c r="K106" s="195"/>
    </row>
    <row r="107" spans="1:11" ht="13">
      <c r="A107" s="341" t="str">
        <f>type</f>
        <v xml:space="preserve">TYPE OF FILING: "X" ORIGINAL   UPDATED    REVISED  </v>
      </c>
      <c r="C107" s="195"/>
      <c r="D107" s="342"/>
      <c r="E107" s="195"/>
      <c r="F107" s="195"/>
      <c r="G107" s="195"/>
      <c r="H107" s="195"/>
      <c r="I107" s="195"/>
      <c r="J107" s="195"/>
      <c r="K107" s="195"/>
    </row>
    <row r="108" spans="1:11" ht="13">
      <c r="A108" s="341"/>
      <c r="C108" s="195"/>
      <c r="D108" s="342"/>
      <c r="E108" s="195"/>
      <c r="F108" s="195"/>
      <c r="G108" s="195"/>
      <c r="H108" s="195"/>
      <c r="I108" s="195"/>
      <c r="J108" s="195"/>
      <c r="K108" s="195"/>
    </row>
    <row r="109" spans="1:11" ht="13">
      <c r="B109" s="341"/>
      <c r="C109" s="195"/>
      <c r="D109" s="342"/>
      <c r="E109" s="195"/>
      <c r="F109" s="195"/>
      <c r="G109" s="195"/>
      <c r="H109" s="195"/>
      <c r="I109" s="195"/>
      <c r="J109" s="195"/>
      <c r="K109" s="195"/>
    </row>
    <row r="110" spans="1:11" ht="13">
      <c r="A110" s="342" t="s">
        <v>907</v>
      </c>
      <c r="B110" s="195"/>
      <c r="C110" s="195"/>
      <c r="D110" s="342"/>
      <c r="E110" s="195"/>
      <c r="F110" s="342" t="s">
        <v>229</v>
      </c>
      <c r="G110" s="539" t="s">
        <v>995</v>
      </c>
      <c r="H110" s="527"/>
      <c r="I110" s="528"/>
      <c r="J110" s="342" t="s">
        <v>229</v>
      </c>
      <c r="K110" s="342" t="s">
        <v>342</v>
      </c>
    </row>
    <row r="111" spans="1:11" ht="13">
      <c r="A111" s="344" t="s">
        <v>908</v>
      </c>
      <c r="B111" s="343" t="s">
        <v>22</v>
      </c>
      <c r="C111" s="343"/>
      <c r="D111" s="344" t="s">
        <v>337</v>
      </c>
      <c r="E111" s="343"/>
      <c r="F111" s="344" t="str">
        <f>$F$9</f>
        <v>FT-L</v>
      </c>
      <c r="G111" s="540" t="s">
        <v>840</v>
      </c>
      <c r="H111" s="529" t="s">
        <v>841</v>
      </c>
      <c r="I111" s="530" t="s">
        <v>842</v>
      </c>
      <c r="J111" s="344" t="s">
        <v>341</v>
      </c>
      <c r="K111" s="344" t="s">
        <v>340</v>
      </c>
    </row>
    <row r="112" spans="1:11" ht="13">
      <c r="C112" s="572" t="s">
        <v>345</v>
      </c>
      <c r="D112" s="342"/>
      <c r="E112" s="195"/>
      <c r="G112" s="793">
        <f>$G$10</f>
        <v>3</v>
      </c>
      <c r="H112" s="794">
        <f>$H$10</f>
        <v>4</v>
      </c>
      <c r="I112" s="795">
        <f>$I$10</f>
        <v>5</v>
      </c>
    </row>
    <row r="113" spans="1:11" ht="13">
      <c r="A113" s="331">
        <v>1</v>
      </c>
      <c r="B113" s="330" t="s">
        <v>14</v>
      </c>
      <c r="D113" s="342"/>
      <c r="E113" s="195"/>
      <c r="G113" s="541"/>
      <c r="H113" s="531"/>
      <c r="I113" s="532"/>
    </row>
    <row r="114" spans="1:11" ht="13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3">
        <f>'FR-16(7)(v)-8 TOT CLASS Alloc'!I114</f>
        <v>360609</v>
      </c>
      <c r="G114" s="542">
        <f>'FR-16(7)(v)-5 DISTR Dem Alloc'!I114</f>
        <v>0</v>
      </c>
      <c r="H114" s="533">
        <f>'FR-16(7)(v)-3 PROD Comm Alloc'!I114</f>
        <v>360609</v>
      </c>
      <c r="I114" s="534">
        <f>'FR-16(7)(v)-6 DISTR Cust Alloc'!I114</f>
        <v>0</v>
      </c>
      <c r="J114" s="345">
        <f>SUM(G114:I114)</f>
        <v>360609</v>
      </c>
      <c r="K114" s="345">
        <f>F114-J114</f>
        <v>0</v>
      </c>
    </row>
    <row r="115" spans="1:11" ht="13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K115" si="21">SUM(F114:F114)</f>
        <v>360609</v>
      </c>
      <c r="G115" s="543">
        <f t="shared" si="21"/>
        <v>0</v>
      </c>
      <c r="H115" s="535">
        <f t="shared" si="21"/>
        <v>360609</v>
      </c>
      <c r="I115" s="536">
        <f t="shared" si="21"/>
        <v>0</v>
      </c>
      <c r="J115" s="346">
        <f t="shared" si="21"/>
        <v>360609</v>
      </c>
      <c r="K115" s="346">
        <f t="shared" si="21"/>
        <v>0</v>
      </c>
    </row>
    <row r="116" spans="1:11" ht="13">
      <c r="A116" s="331">
        <v>4</v>
      </c>
      <c r="D116" s="342"/>
      <c r="E116" s="195"/>
      <c r="G116" s="541"/>
      <c r="H116" s="531"/>
      <c r="I116" s="532"/>
    </row>
    <row r="117" spans="1:11" ht="13">
      <c r="A117" s="331">
        <v>5</v>
      </c>
      <c r="B117" s="330" t="s">
        <v>15</v>
      </c>
      <c r="D117" s="342"/>
      <c r="E117" s="195"/>
      <c r="G117" s="541"/>
      <c r="H117" s="531"/>
      <c r="I117" s="532"/>
    </row>
    <row r="118" spans="1:11" ht="13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1"/>
      <c r="G118" s="542"/>
      <c r="H118" s="533"/>
      <c r="I118" s="534"/>
      <c r="J118" s="345"/>
      <c r="K118" s="345"/>
    </row>
    <row r="119" spans="1:11" ht="13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K119" si="22">SUM(F118:F118)</f>
        <v>0</v>
      </c>
      <c r="G119" s="543">
        <f t="shared" si="22"/>
        <v>0</v>
      </c>
      <c r="H119" s="535">
        <f t="shared" si="22"/>
        <v>0</v>
      </c>
      <c r="I119" s="536">
        <f t="shared" si="22"/>
        <v>0</v>
      </c>
      <c r="J119" s="346">
        <f t="shared" si="22"/>
        <v>0</v>
      </c>
      <c r="K119" s="346">
        <f t="shared" si="22"/>
        <v>0</v>
      </c>
    </row>
    <row r="120" spans="1:11" ht="13">
      <c r="A120" s="331">
        <v>8</v>
      </c>
      <c r="D120" s="342"/>
      <c r="E120" s="195"/>
      <c r="G120" s="541"/>
      <c r="H120" s="531"/>
      <c r="I120" s="532"/>
    </row>
    <row r="121" spans="1:11" ht="13">
      <c r="A121" s="331">
        <v>9</v>
      </c>
      <c r="B121" s="330" t="s">
        <v>17</v>
      </c>
      <c r="D121" s="342"/>
      <c r="E121" s="195"/>
      <c r="G121" s="541"/>
      <c r="H121" s="531"/>
      <c r="I121" s="532"/>
    </row>
    <row r="122" spans="1:11" ht="13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3">
        <f>'FR-16(7)(v)-8 TOT CLASS Alloc'!I122</f>
        <v>351707</v>
      </c>
      <c r="G122" s="542">
        <f>'FR-16(7)(v)-5 DISTR Dem Alloc'!I122</f>
        <v>351707</v>
      </c>
      <c r="H122" s="533">
        <f>'FR-16(7)(v)-3 PROD Comm Alloc'!I122</f>
        <v>0</v>
      </c>
      <c r="I122" s="534">
        <f>'FR-16(7)(v)-6 DISTR Cust Alloc'!I122</f>
        <v>0</v>
      </c>
      <c r="J122" s="345">
        <f t="shared" ref="J122:J130" si="23">SUM(G122:I122)</f>
        <v>351707</v>
      </c>
      <c r="K122" s="345">
        <f t="shared" ref="K122:K130" si="24">F122-J122</f>
        <v>0</v>
      </c>
    </row>
    <row r="123" spans="1:11" ht="13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3">
        <f>'FR-16(7)(v)-8 TOT CLASS Alloc'!I123</f>
        <v>165035</v>
      </c>
      <c r="G123" s="542">
        <f>'FR-16(7)(v)-5 DISTR Dem Alloc'!I123</f>
        <v>165035</v>
      </c>
      <c r="H123" s="533">
        <f>'FR-16(7)(v)-3 PROD Comm Alloc'!I123</f>
        <v>0</v>
      </c>
      <c r="I123" s="534">
        <f>'FR-16(7)(v)-6 DISTR Cust Alloc'!I123</f>
        <v>0</v>
      </c>
      <c r="J123" s="345">
        <f t="shared" si="23"/>
        <v>165035</v>
      </c>
      <c r="K123" s="345">
        <f t="shared" si="24"/>
        <v>0</v>
      </c>
    </row>
    <row r="124" spans="1:11" ht="13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3">
        <f>'FR-16(7)(v)-8 TOT CLASS Alloc'!I124</f>
        <v>297212</v>
      </c>
      <c r="G124" s="542">
        <f>'FR-16(7)(v)-5 DISTR Dem Alloc'!I124</f>
        <v>297212</v>
      </c>
      <c r="H124" s="533">
        <f>'FR-16(7)(v)-3 PROD Comm Alloc'!I124</f>
        <v>0</v>
      </c>
      <c r="I124" s="534">
        <f>'FR-16(7)(v)-6 DISTR Cust Alloc'!I124</f>
        <v>0</v>
      </c>
      <c r="J124" s="345">
        <f t="shared" si="23"/>
        <v>297212</v>
      </c>
      <c r="K124" s="345">
        <f t="shared" si="24"/>
        <v>0</v>
      </c>
    </row>
    <row r="125" spans="1:11" ht="13">
      <c r="A125" s="331">
        <v>13</v>
      </c>
      <c r="C125" s="330" t="str">
        <f>'FR-16(7)(v)-1 Functional'!C125</f>
        <v>MAINS - (2761, 2762, 2763, 2765)</v>
      </c>
      <c r="D125" s="342" t="str">
        <f>'FR-16(7)(v)-1 Functional'!D125</f>
        <v>K415</v>
      </c>
      <c r="E125" s="195"/>
      <c r="F125" s="473">
        <f>'FR-16(7)(v)-8 TOT CLASS Alloc'!I125</f>
        <v>15463225</v>
      </c>
      <c r="G125" s="542">
        <f>'FR-16(7)(v)-5 DISTR Dem Alloc'!I125</f>
        <v>15463225</v>
      </c>
      <c r="H125" s="533">
        <f>'FR-16(7)(v)-3 PROD Comm Alloc'!I125</f>
        <v>0</v>
      </c>
      <c r="I125" s="534">
        <f>'FR-16(7)(v)-6 DISTR Cust Alloc'!I125</f>
        <v>0</v>
      </c>
      <c r="J125" s="345">
        <f t="shared" si="23"/>
        <v>15463225</v>
      </c>
      <c r="K125" s="345">
        <f t="shared" si="24"/>
        <v>0</v>
      </c>
    </row>
    <row r="126" spans="1:11" ht="13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3">
        <f>'FR-16(7)(v)-8 TOT CLASS Alloc'!I126</f>
        <v>117103</v>
      </c>
      <c r="G126" s="542">
        <f>'FR-16(7)(v)-5 DISTR Dem Alloc'!I126</f>
        <v>0</v>
      </c>
      <c r="H126" s="533">
        <f>'FR-16(7)(v)-3 PROD Comm Alloc'!I126</f>
        <v>0</v>
      </c>
      <c r="I126" s="534">
        <f>'FR-16(7)(v)-6 DISTR Cust Alloc'!I126</f>
        <v>117103</v>
      </c>
      <c r="J126" s="345">
        <f t="shared" si="23"/>
        <v>117103</v>
      </c>
      <c r="K126" s="345">
        <f t="shared" si="24"/>
        <v>0</v>
      </c>
    </row>
    <row r="127" spans="1:11" ht="13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3">
        <f>'FR-16(7)(v)-8 TOT CLASS Alloc'!I127</f>
        <v>-16539</v>
      </c>
      <c r="G127" s="542">
        <f>'FR-16(7)(v)-5 DISTR Dem Alloc'!I127</f>
        <v>0</v>
      </c>
      <c r="H127" s="533">
        <f>'FR-16(7)(v)-3 PROD Comm Alloc'!I127</f>
        <v>0</v>
      </c>
      <c r="I127" s="534">
        <f>'FR-16(7)(v)-6 DISTR Cust Alloc'!I127</f>
        <v>-16539</v>
      </c>
      <c r="J127" s="345">
        <f t="shared" si="23"/>
        <v>-16539</v>
      </c>
      <c r="K127" s="345">
        <f t="shared" si="24"/>
        <v>0</v>
      </c>
    </row>
    <row r="128" spans="1:11" ht="13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3">
        <f>'FR-16(7)(v)-8 TOT CLASS Alloc'!I128</f>
        <v>95569</v>
      </c>
      <c r="G128" s="542">
        <f>'FR-16(7)(v)-5 DISTR Dem Alloc'!I128</f>
        <v>95569</v>
      </c>
      <c r="H128" s="533">
        <f>'FR-16(7)(v)-3 PROD Comm Alloc'!I128</f>
        <v>0</v>
      </c>
      <c r="I128" s="534">
        <f>'FR-16(7)(v)-6 DISTR Cust Alloc'!I128</f>
        <v>0</v>
      </c>
      <c r="J128" s="345">
        <f t="shared" si="23"/>
        <v>95569</v>
      </c>
      <c r="K128" s="345">
        <f t="shared" si="24"/>
        <v>0</v>
      </c>
    </row>
    <row r="129" spans="1:11" ht="13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3">
        <f>'FR-16(7)(v)-8 TOT CLASS Alloc'!I129</f>
        <v>45683</v>
      </c>
      <c r="G129" s="542">
        <f>'FR-16(7)(v)-5 DISTR Dem Alloc'!I129</f>
        <v>0</v>
      </c>
      <c r="H129" s="533">
        <f>'FR-16(7)(v)-3 PROD Comm Alloc'!I129</f>
        <v>0</v>
      </c>
      <c r="I129" s="534">
        <f>'FR-16(7)(v)-6 DISTR Cust Alloc'!I129</f>
        <v>45683</v>
      </c>
      <c r="J129" s="345">
        <f t="shared" si="23"/>
        <v>45683</v>
      </c>
      <c r="K129" s="345">
        <f t="shared" si="24"/>
        <v>0</v>
      </c>
    </row>
    <row r="130" spans="1:11" ht="13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3">
        <f>'FR-16(7)(v)-8 TOT CLASS Alloc'!I130</f>
        <v>0</v>
      </c>
      <c r="G130" s="542">
        <f>'FR-16(7)(v)-5 DISTR Dem Alloc'!I130</f>
        <v>0</v>
      </c>
      <c r="H130" s="533">
        <f>'FR-16(7)(v)-3 PROD Comm Alloc'!I130</f>
        <v>0</v>
      </c>
      <c r="I130" s="534">
        <f>'FR-16(7)(v)-6 DISTR Cust Alloc'!I130</f>
        <v>0</v>
      </c>
      <c r="J130" s="345">
        <f t="shared" si="23"/>
        <v>0</v>
      </c>
      <c r="K130" s="345">
        <f t="shared" si="24"/>
        <v>0</v>
      </c>
    </row>
    <row r="131" spans="1:11" ht="13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K131" si="25">SUM(F121:F130)</f>
        <v>16518995</v>
      </c>
      <c r="G131" s="543">
        <f t="shared" si="25"/>
        <v>16372748</v>
      </c>
      <c r="H131" s="535">
        <f t="shared" si="25"/>
        <v>0</v>
      </c>
      <c r="I131" s="536">
        <f t="shared" si="25"/>
        <v>146247</v>
      </c>
      <c r="J131" s="346">
        <f t="shared" si="25"/>
        <v>16518995</v>
      </c>
      <c r="K131" s="346">
        <f t="shared" si="25"/>
        <v>0</v>
      </c>
    </row>
    <row r="132" spans="1:11" ht="13">
      <c r="A132" s="331">
        <v>20</v>
      </c>
      <c r="D132" s="342"/>
      <c r="E132" s="195"/>
      <c r="G132" s="541"/>
      <c r="H132" s="531"/>
      <c r="I132" s="532"/>
    </row>
    <row r="133" spans="1:11" ht="13">
      <c r="A133" s="331">
        <v>21</v>
      </c>
      <c r="B133" s="330" t="s">
        <v>20</v>
      </c>
      <c r="D133" s="342"/>
      <c r="E133" s="195"/>
      <c r="G133" s="541"/>
      <c r="H133" s="531"/>
      <c r="I133" s="532"/>
    </row>
    <row r="134" spans="1:11" ht="13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3">
        <f>'FR-16(7)(v)-8 TOT CLASS Alloc'!I134</f>
        <v>290435</v>
      </c>
      <c r="G134" s="542">
        <f>'FR-16(7)(v)-5 DISTR Dem Alloc'!I134</f>
        <v>0</v>
      </c>
      <c r="H134" s="533">
        <f>'FR-16(7)(v)-3 PROD Comm Alloc'!I134</f>
        <v>290435</v>
      </c>
      <c r="I134" s="534">
        <f>'FR-16(7)(v)-6 DISTR Cust Alloc'!I134</f>
        <v>0</v>
      </c>
      <c r="J134" s="345">
        <f t="shared" ref="J134:J139" si="26">SUM(G134:I134)</f>
        <v>290435</v>
      </c>
      <c r="K134" s="345">
        <f t="shared" ref="K134:K139" si="27">F134-J134</f>
        <v>0</v>
      </c>
    </row>
    <row r="135" spans="1:11" ht="13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3">
        <f>'FR-16(7)(v)-8 TOT CLASS Alloc'!I135</f>
        <v>5491</v>
      </c>
      <c r="G135" s="542">
        <f>'FR-16(7)(v)-5 DISTR Dem Alloc'!I135</f>
        <v>0</v>
      </c>
      <c r="H135" s="533">
        <f>'FR-16(7)(v)-3 PROD Comm Alloc'!I135</f>
        <v>5491</v>
      </c>
      <c r="I135" s="534">
        <f>'FR-16(7)(v)-6 DISTR Cust Alloc'!I135</f>
        <v>0</v>
      </c>
      <c r="J135" s="345">
        <f t="shared" si="26"/>
        <v>5491</v>
      </c>
      <c r="K135" s="345">
        <f t="shared" si="27"/>
        <v>0</v>
      </c>
    </row>
    <row r="136" spans="1:11" ht="13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3">
        <f>'FR-16(7)(v)-8 TOT CLASS Alloc'!I136</f>
        <v>981453</v>
      </c>
      <c r="G136" s="542">
        <f>'FR-16(7)(v)-5 DISTR Dem Alloc'!I136</f>
        <v>967547</v>
      </c>
      <c r="H136" s="533">
        <f>'FR-16(7)(v)-3 PROD Comm Alloc'!I136</f>
        <v>0</v>
      </c>
      <c r="I136" s="534">
        <f>'FR-16(7)(v)-6 DISTR Cust Alloc'!I136</f>
        <v>13906</v>
      </c>
      <c r="J136" s="345">
        <f t="shared" si="26"/>
        <v>981453</v>
      </c>
      <c r="K136" s="345">
        <f t="shared" si="27"/>
        <v>0</v>
      </c>
    </row>
    <row r="137" spans="1:11" ht="13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3">
        <f>'FR-16(7)(v)-8 TOT CLASS Alloc'!I137</f>
        <v>3856</v>
      </c>
      <c r="G137" s="542">
        <f>'FR-16(7)(v)-5 DISTR Dem Alloc'!I137</f>
        <v>0</v>
      </c>
      <c r="H137" s="533">
        <f>'FR-16(7)(v)-3 PROD Comm Alloc'!I137</f>
        <v>0</v>
      </c>
      <c r="I137" s="534">
        <f>'FR-16(7)(v)-6 DISTR Cust Alloc'!I137</f>
        <v>3856</v>
      </c>
      <c r="J137" s="345">
        <f t="shared" si="26"/>
        <v>3856</v>
      </c>
      <c r="K137" s="345">
        <f t="shared" si="27"/>
        <v>0</v>
      </c>
    </row>
    <row r="138" spans="1:11" ht="13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3">
        <f>'FR-16(7)(v)-8 TOT CLASS Alloc'!I138</f>
        <v>373</v>
      </c>
      <c r="G138" s="542">
        <f>'FR-16(7)(v)-5 DISTR Dem Alloc'!I138</f>
        <v>0</v>
      </c>
      <c r="H138" s="533">
        <f>'FR-16(7)(v)-3 PROD Comm Alloc'!I138</f>
        <v>0</v>
      </c>
      <c r="I138" s="534">
        <f>'FR-16(7)(v)-6 DISTR Cust Alloc'!I138</f>
        <v>373</v>
      </c>
      <c r="J138" s="345">
        <f t="shared" si="26"/>
        <v>373</v>
      </c>
      <c r="K138" s="345">
        <f t="shared" si="27"/>
        <v>0</v>
      </c>
    </row>
    <row r="139" spans="1:11" ht="13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3">
        <f>'FR-16(7)(v)-8 TOT CLASS Alloc'!I139</f>
        <v>0</v>
      </c>
      <c r="G139" s="542">
        <f>'FR-16(7)(v)-5 DISTR Dem Alloc'!I139</f>
        <v>0</v>
      </c>
      <c r="H139" s="533">
        <f>'FR-16(7)(v)-3 PROD Comm Alloc'!I139</f>
        <v>0</v>
      </c>
      <c r="I139" s="534">
        <f>'FR-16(7)(v)-6 DISTR Cust Alloc'!I139</f>
        <v>0</v>
      </c>
      <c r="J139" s="345">
        <f t="shared" si="26"/>
        <v>0</v>
      </c>
      <c r="K139" s="345">
        <f t="shared" si="27"/>
        <v>0</v>
      </c>
    </row>
    <row r="140" spans="1:11" ht="13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K140" si="28">SUM(F133:F139)</f>
        <v>1281608</v>
      </c>
      <c r="G140" s="543">
        <f t="shared" si="28"/>
        <v>967547</v>
      </c>
      <c r="H140" s="535">
        <f t="shared" si="28"/>
        <v>295926</v>
      </c>
      <c r="I140" s="536">
        <f t="shared" si="28"/>
        <v>18135</v>
      </c>
      <c r="J140" s="346">
        <f t="shared" si="28"/>
        <v>1281608</v>
      </c>
      <c r="K140" s="346">
        <f t="shared" si="28"/>
        <v>0</v>
      </c>
    </row>
    <row r="141" spans="1:11" ht="13">
      <c r="A141" s="331">
        <v>29</v>
      </c>
      <c r="C141" s="363"/>
      <c r="D141" s="342"/>
      <c r="E141" s="195"/>
      <c r="G141" s="541"/>
      <c r="H141" s="531"/>
      <c r="I141" s="532"/>
    </row>
    <row r="142" spans="1:11" ht="13">
      <c r="A142" s="331">
        <v>30</v>
      </c>
      <c r="B142" s="330" t="s">
        <v>21</v>
      </c>
      <c r="C142" s="363"/>
      <c r="D142" s="342"/>
      <c r="E142" s="195"/>
      <c r="G142" s="541"/>
      <c r="H142" s="531"/>
      <c r="I142" s="532"/>
    </row>
    <row r="143" spans="1:11" ht="13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3">
        <f>'FR-16(7)(v)-8 TOT CLASS Alloc'!I143</f>
        <v>132829</v>
      </c>
      <c r="G143" s="542">
        <f>'FR-16(7)(v)-5 DISTR Dem Alloc'!I143</f>
        <v>0</v>
      </c>
      <c r="H143" s="533">
        <f>'FR-16(7)(v)-3 PROD Comm Alloc'!I143</f>
        <v>132829</v>
      </c>
      <c r="I143" s="534">
        <f>'FR-16(7)(v)-6 DISTR Cust Alloc'!I143</f>
        <v>0</v>
      </c>
      <c r="J143" s="345">
        <f t="shared" ref="J143:J148" si="29">SUM(G143:I143)</f>
        <v>132829</v>
      </c>
      <c r="K143" s="345">
        <f t="shared" ref="K143:K148" si="30">F143-J143</f>
        <v>0</v>
      </c>
    </row>
    <row r="144" spans="1:11" ht="13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3">
        <f>'FR-16(7)(v)-8 TOT CLASS Alloc'!I144</f>
        <v>2511</v>
      </c>
      <c r="G144" s="542">
        <f>'FR-16(7)(v)-5 DISTR Dem Alloc'!I144</f>
        <v>0</v>
      </c>
      <c r="H144" s="533">
        <f>'FR-16(7)(v)-3 PROD Comm Alloc'!I144</f>
        <v>2511</v>
      </c>
      <c r="I144" s="534">
        <f>'FR-16(7)(v)-6 DISTR Cust Alloc'!I144</f>
        <v>0</v>
      </c>
      <c r="J144" s="345">
        <f t="shared" si="29"/>
        <v>2511</v>
      </c>
      <c r="K144" s="345">
        <f t="shared" si="30"/>
        <v>0</v>
      </c>
    </row>
    <row r="145" spans="1:11" ht="13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3">
        <f>'FR-16(7)(v)-8 TOT CLASS Alloc'!I145</f>
        <v>448864</v>
      </c>
      <c r="G145" s="542">
        <f>'FR-16(7)(v)-5 DISTR Dem Alloc'!I145</f>
        <v>442504</v>
      </c>
      <c r="H145" s="533">
        <f>'FR-16(7)(v)-3 PROD Comm Alloc'!I145</f>
        <v>0</v>
      </c>
      <c r="I145" s="534">
        <f>'FR-16(7)(v)-6 DISTR Cust Alloc'!I145</f>
        <v>6360</v>
      </c>
      <c r="J145" s="345">
        <f t="shared" si="29"/>
        <v>448864</v>
      </c>
      <c r="K145" s="345">
        <f t="shared" si="30"/>
        <v>0</v>
      </c>
    </row>
    <row r="146" spans="1:11" ht="13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3">
        <f>'FR-16(7)(v)-8 TOT CLASS Alloc'!I146</f>
        <v>1764</v>
      </c>
      <c r="G146" s="542">
        <f>'FR-16(7)(v)-5 DISTR Dem Alloc'!I146</f>
        <v>0</v>
      </c>
      <c r="H146" s="533">
        <f>'FR-16(7)(v)-3 PROD Comm Alloc'!I146</f>
        <v>0</v>
      </c>
      <c r="I146" s="534">
        <f>'FR-16(7)(v)-6 DISTR Cust Alloc'!I146</f>
        <v>1764</v>
      </c>
      <c r="J146" s="345">
        <f t="shared" si="29"/>
        <v>1764</v>
      </c>
      <c r="K146" s="345">
        <f t="shared" si="30"/>
        <v>0</v>
      </c>
    </row>
    <row r="147" spans="1:11" ht="13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3">
        <f>'FR-16(7)(v)-8 TOT CLASS Alloc'!I147</f>
        <v>171</v>
      </c>
      <c r="G147" s="542">
        <f>'FR-16(7)(v)-5 DISTR Dem Alloc'!I147</f>
        <v>0</v>
      </c>
      <c r="H147" s="533">
        <f>'FR-16(7)(v)-3 PROD Comm Alloc'!I147</f>
        <v>0</v>
      </c>
      <c r="I147" s="534">
        <f>'FR-16(7)(v)-6 DISTR Cust Alloc'!I147</f>
        <v>171</v>
      </c>
      <c r="J147" s="345">
        <f t="shared" si="29"/>
        <v>171</v>
      </c>
      <c r="K147" s="345">
        <f t="shared" si="30"/>
        <v>0</v>
      </c>
    </row>
    <row r="148" spans="1:11" ht="13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3">
        <f>'FR-16(7)(v)-8 TOT CLASS Alloc'!I148</f>
        <v>0</v>
      </c>
      <c r="G148" s="542">
        <f>'FR-16(7)(v)-5 DISTR Dem Alloc'!I148</f>
        <v>0</v>
      </c>
      <c r="H148" s="533">
        <f>'FR-16(7)(v)-3 PROD Comm Alloc'!I148</f>
        <v>0</v>
      </c>
      <c r="I148" s="534">
        <f>'FR-16(7)(v)-6 DISTR Cust Alloc'!I148</f>
        <v>0</v>
      </c>
      <c r="J148" s="345">
        <f t="shared" si="29"/>
        <v>0</v>
      </c>
      <c r="K148" s="345">
        <f t="shared" si="30"/>
        <v>0</v>
      </c>
    </row>
    <row r="149" spans="1:11" ht="13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586139</v>
      </c>
      <c r="G149" s="543">
        <f>SUM(G142:G148)</f>
        <v>442504</v>
      </c>
      <c r="H149" s="535">
        <f>SUM(H142:H148)</f>
        <v>135340</v>
      </c>
      <c r="I149" s="536">
        <f>SUM(I142:I148)</f>
        <v>8295</v>
      </c>
      <c r="J149" s="346">
        <f>SUM(J142:J148)</f>
        <v>586139</v>
      </c>
      <c r="K149" s="346">
        <f>SUM(K142:K148)</f>
        <v>0</v>
      </c>
    </row>
    <row r="150" spans="1:11" ht="13">
      <c r="A150" s="331">
        <v>38</v>
      </c>
      <c r="D150" s="342"/>
      <c r="E150" s="195"/>
      <c r="G150" s="541"/>
      <c r="H150" s="531"/>
      <c r="I150" s="532"/>
    </row>
    <row r="151" spans="1:11" ht="13">
      <c r="A151" s="331">
        <v>39</v>
      </c>
      <c r="B151" s="330" t="s">
        <v>23</v>
      </c>
      <c r="D151" s="342"/>
      <c r="E151" s="195"/>
      <c r="F151" s="345">
        <f t="shared" ref="F151:K151" si="31">F149+F140+F131+F119+F115</f>
        <v>18747351</v>
      </c>
      <c r="G151" s="544">
        <f t="shared" si="31"/>
        <v>17782799</v>
      </c>
      <c r="H151" s="537">
        <f t="shared" si="31"/>
        <v>791875</v>
      </c>
      <c r="I151" s="538">
        <f t="shared" si="31"/>
        <v>172677</v>
      </c>
      <c r="J151" s="345">
        <f t="shared" si="31"/>
        <v>18747351</v>
      </c>
      <c r="K151" s="345">
        <f t="shared" si="31"/>
        <v>0</v>
      </c>
    </row>
    <row r="152" spans="1:11" ht="13">
      <c r="B152" s="341"/>
      <c r="C152" s="195"/>
      <c r="D152" s="342"/>
      <c r="E152" s="195"/>
      <c r="F152" s="195"/>
      <c r="G152" s="195"/>
      <c r="H152" s="195"/>
      <c r="I152" s="195"/>
      <c r="J152" s="195"/>
    </row>
    <row r="153" spans="1:11" ht="13">
      <c r="A153" s="341" t="str">
        <f>co_name</f>
        <v>DUKE ENERGY KENTUCKY, INC.</v>
      </c>
      <c r="C153" s="195"/>
      <c r="D153" s="342"/>
      <c r="E153" s="195"/>
      <c r="F153" s="195"/>
      <c r="G153" s="195"/>
      <c r="H153" s="195"/>
      <c r="I153" s="195"/>
      <c r="J153" s="195" t="str">
        <f>$J$1</f>
        <v>FR-16(7)(v)-11</v>
      </c>
      <c r="K153" s="195"/>
    </row>
    <row r="154" spans="1:11" ht="13">
      <c r="A154" s="341" t="str">
        <f>$A$2</f>
        <v>FT-L CLASSIFIED - GAS COST OF SERVICE</v>
      </c>
      <c r="C154" s="195"/>
      <c r="D154" s="342"/>
      <c r="E154" s="195"/>
      <c r="F154" s="195"/>
      <c r="G154" s="195"/>
      <c r="H154" s="195"/>
      <c r="I154" s="195"/>
      <c r="J154" s="195" t="str">
        <f>$J$2</f>
        <v>WITNESS RESPONSIBLE:</v>
      </c>
      <c r="K154" s="195"/>
    </row>
    <row r="155" spans="1:11" ht="13">
      <c r="A155" s="341" t="str">
        <f>case_name</f>
        <v>CASE NO: 2021-00190</v>
      </c>
      <c r="C155" s="195"/>
      <c r="D155" s="342"/>
      <c r="E155" s="195"/>
      <c r="F155" s="195"/>
      <c r="G155" s="195"/>
      <c r="H155" s="195"/>
      <c r="I155" s="195"/>
      <c r="J155" s="195" t="str">
        <f>Witness</f>
        <v>JAMES E. ZIOLKOWSKI</v>
      </c>
      <c r="K155" s="195"/>
    </row>
    <row r="156" spans="1:11" ht="13">
      <c r="A156" s="341" t="str">
        <f>data_filing</f>
        <v>DATA: 12 MONTH FORECASTED PERIOD</v>
      </c>
      <c r="C156" s="195"/>
      <c r="D156" s="342"/>
      <c r="E156" s="195"/>
      <c r="F156" s="195"/>
      <c r="G156" s="195"/>
      <c r="H156" s="195"/>
      <c r="I156" s="195"/>
      <c r="J156" s="195" t="str">
        <f>"PAGE "&amp;Pages2-11&amp;" OF "&amp;Pages2</f>
        <v>PAGE 4 OF 15</v>
      </c>
      <c r="K156" s="195"/>
    </row>
    <row r="157" spans="1:11" ht="13">
      <c r="A157" s="341" t="str">
        <f>type</f>
        <v xml:space="preserve">TYPE OF FILING: "X" ORIGINAL   UPDATED    REVISED  </v>
      </c>
      <c r="C157" s="195"/>
      <c r="D157" s="342"/>
      <c r="E157" s="195"/>
      <c r="F157" s="195"/>
      <c r="G157" s="195"/>
      <c r="H157" s="195"/>
      <c r="I157" s="195"/>
      <c r="J157" s="195"/>
      <c r="K157" s="195"/>
    </row>
    <row r="158" spans="1:11" ht="13">
      <c r="A158" s="341"/>
      <c r="C158" s="195"/>
      <c r="D158" s="342"/>
      <c r="E158" s="195"/>
      <c r="F158" s="195"/>
      <c r="G158" s="195"/>
      <c r="H158" s="195"/>
      <c r="I158" s="195"/>
      <c r="J158" s="195"/>
      <c r="K158" s="195"/>
    </row>
    <row r="159" spans="1:11" ht="13">
      <c r="B159" s="341"/>
      <c r="C159" s="195"/>
      <c r="D159" s="342"/>
      <c r="E159" s="195"/>
      <c r="F159" s="195"/>
      <c r="G159" s="195"/>
      <c r="H159" s="195"/>
      <c r="I159" s="195"/>
      <c r="J159" s="195"/>
    </row>
    <row r="160" spans="1:11" ht="13">
      <c r="A160" s="342" t="s">
        <v>907</v>
      </c>
      <c r="B160" s="195"/>
      <c r="C160" s="195"/>
      <c r="D160" s="342"/>
      <c r="E160" s="195"/>
      <c r="F160" s="342" t="s">
        <v>229</v>
      </c>
      <c r="G160" s="539" t="s">
        <v>995</v>
      </c>
      <c r="H160" s="527"/>
      <c r="I160" s="528"/>
      <c r="J160" s="342" t="s">
        <v>229</v>
      </c>
      <c r="K160" s="342" t="s">
        <v>342</v>
      </c>
    </row>
    <row r="161" spans="1:11" ht="13">
      <c r="A161" s="344" t="s">
        <v>908</v>
      </c>
      <c r="B161" s="343" t="str">
        <f>"NET GAS PLANT"</f>
        <v>NET GAS PLANT</v>
      </c>
      <c r="C161" s="343"/>
      <c r="D161" s="344" t="s">
        <v>337</v>
      </c>
      <c r="E161" s="343"/>
      <c r="F161" s="344" t="str">
        <f>$F$9</f>
        <v>FT-L</v>
      </c>
      <c r="G161" s="540" t="s">
        <v>840</v>
      </c>
      <c r="H161" s="529" t="s">
        <v>841</v>
      </c>
      <c r="I161" s="530" t="s">
        <v>842</v>
      </c>
      <c r="J161" s="344" t="s">
        <v>341</v>
      </c>
      <c r="K161" s="344" t="s">
        <v>340</v>
      </c>
    </row>
    <row r="162" spans="1:11" ht="13">
      <c r="C162" s="572" t="s">
        <v>346</v>
      </c>
      <c r="D162" s="342"/>
      <c r="E162" s="195"/>
      <c r="G162" s="793">
        <f>$G$10</f>
        <v>3</v>
      </c>
      <c r="H162" s="794">
        <f>$H$10</f>
        <v>4</v>
      </c>
      <c r="I162" s="795">
        <f>$I$10</f>
        <v>5</v>
      </c>
    </row>
    <row r="163" spans="1:11" ht="13">
      <c r="A163" s="331">
        <v>1</v>
      </c>
      <c r="B163" s="330" t="s">
        <v>14</v>
      </c>
      <c r="D163" s="342"/>
      <c r="E163" s="195"/>
      <c r="G163" s="541"/>
      <c r="H163" s="531"/>
      <c r="I163" s="532"/>
    </row>
    <row r="164" spans="1:11" ht="13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653138</v>
      </c>
      <c r="G164" s="542">
        <f>$G$59</f>
        <v>0</v>
      </c>
      <c r="H164" s="533">
        <f>$H$59</f>
        <v>653138</v>
      </c>
      <c r="I164" s="534">
        <f>$I$59</f>
        <v>0</v>
      </c>
      <c r="J164" s="345">
        <f>$J$59</f>
        <v>653138</v>
      </c>
      <c r="K164" s="345">
        <f>F164-J164</f>
        <v>0</v>
      </c>
    </row>
    <row r="165" spans="1:11" ht="13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>-F115</f>
        <v>-360609</v>
      </c>
      <c r="G165" s="542">
        <f>-G115</f>
        <v>0</v>
      </c>
      <c r="H165" s="533">
        <f>-H115</f>
        <v>-360609</v>
      </c>
      <c r="I165" s="534">
        <f>-I115</f>
        <v>0</v>
      </c>
      <c r="J165" s="345">
        <f>-J115</f>
        <v>-360609</v>
      </c>
      <c r="K165" s="345">
        <f>F165-J165</f>
        <v>0</v>
      </c>
    </row>
    <row r="166" spans="1:11" ht="13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K166" si="32">SUM(F164:F165)</f>
        <v>292529</v>
      </c>
      <c r="G166" s="543">
        <f t="shared" si="32"/>
        <v>0</v>
      </c>
      <c r="H166" s="535">
        <f t="shared" si="32"/>
        <v>292529</v>
      </c>
      <c r="I166" s="536">
        <f t="shared" si="32"/>
        <v>0</v>
      </c>
      <c r="J166" s="346">
        <f t="shared" si="32"/>
        <v>292529</v>
      </c>
      <c r="K166" s="346">
        <f t="shared" si="32"/>
        <v>0</v>
      </c>
    </row>
    <row r="167" spans="1:11" ht="13">
      <c r="A167" s="331">
        <v>5</v>
      </c>
      <c r="D167" s="342"/>
      <c r="E167" s="195"/>
      <c r="G167" s="541"/>
      <c r="H167" s="531"/>
      <c r="I167" s="532"/>
    </row>
    <row r="168" spans="1:11" ht="13">
      <c r="A168" s="331">
        <v>6</v>
      </c>
      <c r="B168" s="357" t="s">
        <v>15</v>
      </c>
      <c r="C168" s="357"/>
      <c r="D168" s="342"/>
      <c r="E168" s="195"/>
      <c r="F168" s="345"/>
      <c r="G168" s="542"/>
      <c r="H168" s="533"/>
      <c r="I168" s="534"/>
      <c r="J168" s="345"/>
    </row>
    <row r="169" spans="1:11" ht="13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542">
        <f>$G$63</f>
        <v>0</v>
      </c>
      <c r="H169" s="533">
        <f>$H$63</f>
        <v>0</v>
      </c>
      <c r="I169" s="534">
        <f>$I$63</f>
        <v>0</v>
      </c>
      <c r="J169" s="345">
        <f>$J$63</f>
        <v>0</v>
      </c>
      <c r="K169" s="345">
        <f>F169-J169</f>
        <v>0</v>
      </c>
    </row>
    <row r="170" spans="1:11" ht="13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>-F119</f>
        <v>0</v>
      </c>
      <c r="G170" s="542">
        <f>-G119</f>
        <v>0</v>
      </c>
      <c r="H170" s="533">
        <f>-H119</f>
        <v>0</v>
      </c>
      <c r="I170" s="534">
        <f>-I119</f>
        <v>0</v>
      </c>
      <c r="J170" s="345">
        <f>-J119</f>
        <v>0</v>
      </c>
      <c r="K170" s="345">
        <f>F170-J170</f>
        <v>0</v>
      </c>
    </row>
    <row r="171" spans="1:11" ht="13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K171" si="33">SUM(F168:F170)</f>
        <v>0</v>
      </c>
      <c r="G171" s="543">
        <f t="shared" si="33"/>
        <v>0</v>
      </c>
      <c r="H171" s="535">
        <f t="shared" si="33"/>
        <v>0</v>
      </c>
      <c r="I171" s="536">
        <f t="shared" si="33"/>
        <v>0</v>
      </c>
      <c r="J171" s="346">
        <f t="shared" si="33"/>
        <v>0</v>
      </c>
      <c r="K171" s="346">
        <f t="shared" si="33"/>
        <v>0</v>
      </c>
    </row>
    <row r="172" spans="1:11" ht="13">
      <c r="A172" s="331">
        <v>10</v>
      </c>
      <c r="D172" s="342"/>
      <c r="E172" s="195"/>
      <c r="G172" s="541"/>
      <c r="H172" s="531"/>
      <c r="I172" s="532"/>
    </row>
    <row r="173" spans="1:11" ht="13">
      <c r="A173" s="331">
        <v>11</v>
      </c>
      <c r="B173" s="330" t="s">
        <v>17</v>
      </c>
      <c r="D173" s="342"/>
      <c r="E173" s="195"/>
      <c r="G173" s="541"/>
      <c r="H173" s="531"/>
      <c r="I173" s="532"/>
    </row>
    <row r="174" spans="1:11" ht="13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>F78</f>
        <v>63108198</v>
      </c>
      <c r="G174" s="542">
        <f>G78</f>
        <v>61994926</v>
      </c>
      <c r="H174" s="533">
        <f>H78</f>
        <v>0</v>
      </c>
      <c r="I174" s="534">
        <f>I78</f>
        <v>1113272</v>
      </c>
      <c r="J174" s="345">
        <f>J78</f>
        <v>63108198</v>
      </c>
      <c r="K174" s="345">
        <f>F174-J174</f>
        <v>0</v>
      </c>
    </row>
    <row r="175" spans="1:11" ht="13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>-F131</f>
        <v>-16518995</v>
      </c>
      <c r="G175" s="542">
        <f>-G131</f>
        <v>-16372748</v>
      </c>
      <c r="H175" s="533">
        <f>-H131</f>
        <v>0</v>
      </c>
      <c r="I175" s="534">
        <f>-I131</f>
        <v>-146247</v>
      </c>
      <c r="J175" s="345">
        <f>-J131</f>
        <v>-16518995</v>
      </c>
      <c r="K175" s="345">
        <f>F175-J175</f>
        <v>0</v>
      </c>
    </row>
    <row r="176" spans="1:11" ht="13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K176" si="34">SUM(F173:F175)</f>
        <v>46589203</v>
      </c>
      <c r="G176" s="543">
        <f t="shared" si="34"/>
        <v>45622178</v>
      </c>
      <c r="H176" s="535">
        <f t="shared" si="34"/>
        <v>0</v>
      </c>
      <c r="I176" s="536">
        <f t="shared" si="34"/>
        <v>967025</v>
      </c>
      <c r="J176" s="346">
        <f t="shared" si="34"/>
        <v>46589203</v>
      </c>
      <c r="K176" s="346">
        <f t="shared" si="34"/>
        <v>0</v>
      </c>
    </row>
    <row r="177" spans="1:11" ht="13">
      <c r="A177" s="331">
        <v>15</v>
      </c>
      <c r="D177" s="342"/>
      <c r="E177" s="195"/>
      <c r="G177" s="541"/>
      <c r="H177" s="531"/>
      <c r="I177" s="532"/>
    </row>
    <row r="178" spans="1:11" ht="13">
      <c r="A178" s="331">
        <v>16</v>
      </c>
      <c r="B178" s="330" t="s">
        <v>429</v>
      </c>
      <c r="D178" s="342"/>
      <c r="E178" s="195"/>
      <c r="F178" s="345">
        <f t="shared" ref="F178:K178" si="35">F176+F171+F166</f>
        <v>46881732</v>
      </c>
      <c r="G178" s="542">
        <f t="shared" si="35"/>
        <v>45622178</v>
      </c>
      <c r="H178" s="533">
        <f t="shared" si="35"/>
        <v>292529</v>
      </c>
      <c r="I178" s="534">
        <f t="shared" si="35"/>
        <v>967025</v>
      </c>
      <c r="J178" s="345">
        <f t="shared" si="35"/>
        <v>46881732</v>
      </c>
      <c r="K178" s="345">
        <f t="shared" si="35"/>
        <v>0</v>
      </c>
    </row>
    <row r="179" spans="1:11" ht="13">
      <c r="A179" s="331">
        <v>17</v>
      </c>
      <c r="B179" s="330" t="s">
        <v>24</v>
      </c>
      <c r="D179" s="342"/>
      <c r="E179" s="195"/>
      <c r="F179" s="345">
        <f t="shared" ref="F179:K179" si="36">F176+F171</f>
        <v>46589203</v>
      </c>
      <c r="G179" s="542">
        <f t="shared" si="36"/>
        <v>45622178</v>
      </c>
      <c r="H179" s="533">
        <f t="shared" si="36"/>
        <v>0</v>
      </c>
      <c r="I179" s="534">
        <f t="shared" si="36"/>
        <v>967025</v>
      </c>
      <c r="J179" s="345">
        <f t="shared" si="36"/>
        <v>46589203</v>
      </c>
      <c r="K179" s="345">
        <f t="shared" si="36"/>
        <v>0</v>
      </c>
    </row>
    <row r="180" spans="1:11" ht="13">
      <c r="A180" s="331">
        <v>18</v>
      </c>
      <c r="D180" s="342"/>
      <c r="E180" s="195"/>
      <c r="G180" s="541"/>
      <c r="H180" s="531"/>
      <c r="I180" s="532"/>
    </row>
    <row r="181" spans="1:11" ht="13">
      <c r="A181" s="331">
        <v>19</v>
      </c>
      <c r="B181" s="330" t="s">
        <v>20</v>
      </c>
      <c r="D181" s="342"/>
      <c r="E181" s="195"/>
      <c r="G181" s="541"/>
      <c r="H181" s="531"/>
      <c r="I181" s="532"/>
    </row>
    <row r="182" spans="1:11" ht="13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>F90</f>
        <v>2603347</v>
      </c>
      <c r="G182" s="542">
        <f>G90</f>
        <v>1965391</v>
      </c>
      <c r="H182" s="533">
        <f>H90</f>
        <v>601117</v>
      </c>
      <c r="I182" s="534">
        <f>I90</f>
        <v>36839</v>
      </c>
      <c r="J182" s="345">
        <f>J90</f>
        <v>2603347</v>
      </c>
      <c r="K182" s="345">
        <f>F182-J182</f>
        <v>0</v>
      </c>
    </row>
    <row r="183" spans="1:11" ht="13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>-F140</f>
        <v>-1281608</v>
      </c>
      <c r="G183" s="542">
        <f>-G140</f>
        <v>-967547</v>
      </c>
      <c r="H183" s="533">
        <f>-H140</f>
        <v>-295926</v>
      </c>
      <c r="I183" s="534">
        <f>-I140</f>
        <v>-18135</v>
      </c>
      <c r="J183" s="345">
        <f>-J140</f>
        <v>-1281608</v>
      </c>
      <c r="K183" s="345">
        <f>F183-J183</f>
        <v>0</v>
      </c>
    </row>
    <row r="184" spans="1:11" ht="13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K184" si="37">SUM(F181:F183)</f>
        <v>1321739</v>
      </c>
      <c r="G184" s="543">
        <f t="shared" si="37"/>
        <v>997844</v>
      </c>
      <c r="H184" s="535">
        <f t="shared" si="37"/>
        <v>305191</v>
      </c>
      <c r="I184" s="536">
        <f t="shared" si="37"/>
        <v>18704</v>
      </c>
      <c r="J184" s="346">
        <f t="shared" si="37"/>
        <v>1321739</v>
      </c>
      <c r="K184" s="346">
        <f t="shared" si="37"/>
        <v>0</v>
      </c>
    </row>
    <row r="185" spans="1:11" ht="13">
      <c r="A185" s="331">
        <v>23</v>
      </c>
      <c r="D185" s="342"/>
      <c r="E185" s="195"/>
      <c r="F185" s="345"/>
      <c r="G185" s="542"/>
      <c r="H185" s="533"/>
      <c r="I185" s="534"/>
      <c r="J185" s="345"/>
    </row>
    <row r="186" spans="1:11" ht="13">
      <c r="A186" s="331">
        <v>24</v>
      </c>
      <c r="B186" s="330" t="s">
        <v>21</v>
      </c>
      <c r="D186" s="342"/>
      <c r="E186" s="195"/>
      <c r="F186" s="345"/>
      <c r="G186" s="542"/>
      <c r="H186" s="533"/>
      <c r="I186" s="534"/>
      <c r="J186" s="345"/>
    </row>
    <row r="187" spans="1:11" ht="13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>F99</f>
        <v>837283</v>
      </c>
      <c r="G187" s="542">
        <f>G99</f>
        <v>632105</v>
      </c>
      <c r="H187" s="533">
        <f>H99</f>
        <v>193330</v>
      </c>
      <c r="I187" s="534">
        <f>I99</f>
        <v>11848</v>
      </c>
      <c r="J187" s="345">
        <f>J99</f>
        <v>837283</v>
      </c>
      <c r="K187" s="345">
        <f>F187-J187</f>
        <v>0</v>
      </c>
    </row>
    <row r="188" spans="1:11" ht="13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>-F149</f>
        <v>-586139</v>
      </c>
      <c r="G188" s="542">
        <f>-G149</f>
        <v>-442504</v>
      </c>
      <c r="H188" s="533">
        <f>-H149</f>
        <v>-135340</v>
      </c>
      <c r="I188" s="534">
        <f>-I149</f>
        <v>-8295</v>
      </c>
      <c r="J188" s="345">
        <f>-J149</f>
        <v>-586139</v>
      </c>
      <c r="K188" s="345">
        <f>F188-J188</f>
        <v>0</v>
      </c>
    </row>
    <row r="189" spans="1:11" ht="13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K189" si="38">SUM(F186:F188)</f>
        <v>251144</v>
      </c>
      <c r="G189" s="543">
        <f t="shared" si="38"/>
        <v>189601</v>
      </c>
      <c r="H189" s="535">
        <f t="shared" si="38"/>
        <v>57990</v>
      </c>
      <c r="I189" s="536">
        <f t="shared" si="38"/>
        <v>3553</v>
      </c>
      <c r="J189" s="346">
        <f t="shared" si="38"/>
        <v>251144</v>
      </c>
      <c r="K189" s="346">
        <f t="shared" si="38"/>
        <v>0</v>
      </c>
    </row>
    <row r="190" spans="1:11" ht="13">
      <c r="A190" s="331">
        <v>28</v>
      </c>
      <c r="D190" s="342"/>
      <c r="E190" s="195"/>
      <c r="F190" s="345"/>
      <c r="G190" s="542"/>
      <c r="H190" s="533"/>
      <c r="I190" s="534"/>
      <c r="J190" s="345"/>
      <c r="K190" s="345"/>
    </row>
    <row r="191" spans="1:11" ht="13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K191" si="39">F189+F184+F176+F171+F166</f>
        <v>48454615</v>
      </c>
      <c r="G191" s="544">
        <f t="shared" si="39"/>
        <v>46809623</v>
      </c>
      <c r="H191" s="537">
        <f t="shared" si="39"/>
        <v>655710</v>
      </c>
      <c r="I191" s="538">
        <f t="shared" si="39"/>
        <v>989282</v>
      </c>
      <c r="J191" s="345">
        <f t="shared" si="39"/>
        <v>48454615</v>
      </c>
      <c r="K191" s="345">
        <f t="shared" si="39"/>
        <v>0</v>
      </c>
    </row>
    <row r="192" spans="1:11" ht="13">
      <c r="B192" s="341"/>
      <c r="C192" s="195"/>
      <c r="D192" s="342"/>
      <c r="E192" s="195"/>
      <c r="F192" s="195"/>
      <c r="G192" s="195"/>
      <c r="H192" s="195"/>
      <c r="I192" s="195"/>
      <c r="J192" s="195"/>
      <c r="K192" s="195"/>
    </row>
    <row r="193" spans="1:11" ht="13">
      <c r="A193" s="341" t="str">
        <f>co_name</f>
        <v>DUKE ENERGY KENTUCKY, INC.</v>
      </c>
      <c r="C193" s="195"/>
      <c r="D193" s="342"/>
      <c r="E193" s="195"/>
      <c r="F193" s="195"/>
      <c r="G193" s="195"/>
      <c r="H193" s="195"/>
      <c r="I193" s="195"/>
      <c r="J193" s="195" t="str">
        <f>$J$1</f>
        <v>FR-16(7)(v)-11</v>
      </c>
      <c r="K193" s="195"/>
    </row>
    <row r="194" spans="1:11" ht="13">
      <c r="A194" s="341" t="str">
        <f>$A$2</f>
        <v>FT-L CLASSIFIED - GAS COST OF SERVICE</v>
      </c>
      <c r="C194" s="195"/>
      <c r="D194" s="342"/>
      <c r="E194" s="195"/>
      <c r="F194" s="195"/>
      <c r="G194" s="195"/>
      <c r="H194" s="195"/>
      <c r="I194" s="195"/>
      <c r="J194" s="195" t="str">
        <f>$J$2</f>
        <v>WITNESS RESPONSIBLE:</v>
      </c>
      <c r="K194" s="195"/>
    </row>
    <row r="195" spans="1:11" ht="13">
      <c r="A195" s="341" t="str">
        <f>case_name</f>
        <v>CASE NO: 2021-00190</v>
      </c>
      <c r="C195" s="195"/>
      <c r="D195" s="342"/>
      <c r="E195" s="195"/>
      <c r="F195" s="195"/>
      <c r="G195" s="195"/>
      <c r="H195" s="195"/>
      <c r="I195" s="195"/>
      <c r="J195" s="195" t="str">
        <f>Witness</f>
        <v>JAMES E. ZIOLKOWSKI</v>
      </c>
      <c r="K195" s="195"/>
    </row>
    <row r="196" spans="1:11" ht="13">
      <c r="A196" s="341" t="str">
        <f>data_filing</f>
        <v>DATA: 12 MONTH FORECASTED PERIOD</v>
      </c>
      <c r="C196" s="195"/>
      <c r="D196" s="342"/>
      <c r="E196" s="195"/>
      <c r="F196" s="195"/>
      <c r="G196" s="195"/>
      <c r="H196" s="195"/>
      <c r="I196" s="195"/>
      <c r="J196" s="195" t="str">
        <f>"PAGE "&amp;Pages2-10&amp;" OF "&amp;Pages2</f>
        <v>PAGE 5 OF 15</v>
      </c>
      <c r="K196" s="195"/>
    </row>
    <row r="197" spans="1:11" ht="13">
      <c r="A197" s="341" t="str">
        <f>type</f>
        <v xml:space="preserve">TYPE OF FILING: "X" ORIGINAL   UPDATED    REVISED  </v>
      </c>
      <c r="C197" s="195"/>
      <c r="D197" s="342"/>
      <c r="E197" s="195"/>
      <c r="F197" s="195"/>
      <c r="G197" s="195"/>
      <c r="H197" s="195"/>
      <c r="I197" s="195"/>
      <c r="J197" s="195"/>
      <c r="K197" s="195"/>
    </row>
    <row r="198" spans="1:11" ht="13">
      <c r="B198" s="341"/>
      <c r="C198" s="195"/>
      <c r="D198" s="342"/>
      <c r="E198" s="195"/>
      <c r="F198" s="195"/>
      <c r="G198" s="195"/>
      <c r="H198" s="195"/>
      <c r="I198" s="195"/>
      <c r="J198" s="195"/>
      <c r="K198" s="195"/>
    </row>
    <row r="199" spans="1:11" ht="13">
      <c r="B199" s="341"/>
      <c r="C199" s="195"/>
      <c r="D199" s="342"/>
      <c r="E199" s="195"/>
      <c r="F199" s="195"/>
      <c r="G199" s="195"/>
      <c r="H199" s="195"/>
      <c r="I199" s="195"/>
      <c r="J199" s="195"/>
      <c r="K199" s="195"/>
    </row>
    <row r="200" spans="1:11" ht="13">
      <c r="A200" s="342" t="s">
        <v>907</v>
      </c>
      <c r="B200" s="195"/>
      <c r="C200" s="195"/>
      <c r="D200" s="342"/>
      <c r="E200" s="195"/>
      <c r="F200" s="342" t="s">
        <v>229</v>
      </c>
      <c r="G200" s="539" t="s">
        <v>995</v>
      </c>
      <c r="H200" s="527"/>
      <c r="I200" s="528"/>
      <c r="J200" s="342" t="s">
        <v>229</v>
      </c>
      <c r="K200" s="342" t="s">
        <v>342</v>
      </c>
    </row>
    <row r="201" spans="1:11" ht="13">
      <c r="A201" s="344" t="s">
        <v>908</v>
      </c>
      <c r="B201" s="343" t="s">
        <v>946</v>
      </c>
      <c r="C201" s="343"/>
      <c r="D201" s="344" t="s">
        <v>337</v>
      </c>
      <c r="E201" s="343"/>
      <c r="F201" s="344" t="str">
        <f>$F$9</f>
        <v>FT-L</v>
      </c>
      <c r="G201" s="540" t="s">
        <v>840</v>
      </c>
      <c r="H201" s="529" t="s">
        <v>841</v>
      </c>
      <c r="I201" s="530" t="s">
        <v>842</v>
      </c>
      <c r="J201" s="344" t="s">
        <v>341</v>
      </c>
      <c r="K201" s="344" t="s">
        <v>340</v>
      </c>
    </row>
    <row r="202" spans="1:11" ht="13">
      <c r="C202" s="572" t="s">
        <v>347</v>
      </c>
      <c r="D202" s="342"/>
      <c r="E202" s="195"/>
      <c r="G202" s="793">
        <f>$G$10</f>
        <v>3</v>
      </c>
      <c r="H202" s="794">
        <f>$H$10</f>
        <v>4</v>
      </c>
      <c r="I202" s="795">
        <f>$I$10</f>
        <v>5</v>
      </c>
    </row>
    <row r="203" spans="1:11" ht="13">
      <c r="A203" s="331">
        <v>1</v>
      </c>
      <c r="B203" s="330" t="s">
        <v>26</v>
      </c>
      <c r="D203" s="342"/>
      <c r="E203" s="195"/>
      <c r="G203" s="541"/>
      <c r="H203" s="531"/>
      <c r="I203" s="532"/>
    </row>
    <row r="204" spans="1:11" ht="13">
      <c r="A204" s="331">
        <v>2</v>
      </c>
      <c r="B204" s="330" t="s">
        <v>816</v>
      </c>
      <c r="D204" s="342"/>
      <c r="E204" s="195"/>
      <c r="G204" s="541"/>
      <c r="H204" s="531"/>
      <c r="I204" s="532"/>
    </row>
    <row r="205" spans="1:11" ht="13">
      <c r="A205" s="331">
        <v>3</v>
      </c>
      <c r="B205" s="330" t="s">
        <v>27</v>
      </c>
      <c r="D205" s="342"/>
      <c r="E205" s="195"/>
      <c r="G205" s="541"/>
      <c r="H205" s="531"/>
      <c r="I205" s="532"/>
    </row>
    <row r="206" spans="1:11" ht="13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3">
        <f>'FR-16(7)(v)-8 TOT CLASS Alloc'!I206</f>
        <v>5664024</v>
      </c>
      <c r="G206" s="542">
        <f>'FR-16(7)(v)-5 DISTR Dem Alloc'!I206</f>
        <v>5471827</v>
      </c>
      <c r="H206" s="533">
        <f>'FR-16(7)(v)-3 PROD Comm Alloc'!I206</f>
        <v>76625</v>
      </c>
      <c r="I206" s="534">
        <f>'FR-16(7)(v)-6 DISTR Cust Alloc'!I206</f>
        <v>115572</v>
      </c>
      <c r="J206" s="345">
        <f t="shared" ref="J206:J214" si="40">SUM(G206:I206)</f>
        <v>5664024</v>
      </c>
      <c r="K206" s="345">
        <f t="shared" ref="K206:K214" si="41">F206-J206</f>
        <v>0</v>
      </c>
    </row>
    <row r="207" spans="1:11" ht="13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3">
        <f>'FR-16(7)(v)-8 TOT CLASS Alloc'!I207</f>
        <v>0</v>
      </c>
      <c r="G207" s="542">
        <f>'FR-16(7)(v)-5 DISTR Dem Alloc'!I207</f>
        <v>0</v>
      </c>
      <c r="H207" s="533">
        <f>'FR-16(7)(v)-3 PROD Comm Alloc'!I207</f>
        <v>0</v>
      </c>
      <c r="I207" s="534">
        <f>'FR-16(7)(v)-6 DISTR Cust Alloc'!I207</f>
        <v>0</v>
      </c>
      <c r="J207" s="345">
        <f t="shared" si="40"/>
        <v>0</v>
      </c>
      <c r="K207" s="345">
        <f t="shared" si="41"/>
        <v>0</v>
      </c>
    </row>
    <row r="208" spans="1:11" ht="13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3">
        <f>'FR-16(7)(v)-8 TOT CLASS Alloc'!I208</f>
        <v>-128328</v>
      </c>
      <c r="G208" s="542">
        <f>'FR-16(7)(v)-5 DISTR Dem Alloc'!I208</f>
        <v>-125665</v>
      </c>
      <c r="H208" s="533">
        <f>'FR-16(7)(v)-3 PROD Comm Alloc'!I208</f>
        <v>0</v>
      </c>
      <c r="I208" s="534">
        <f>'FR-16(7)(v)-6 DISTR Cust Alloc'!I208</f>
        <v>-2663</v>
      </c>
      <c r="J208" s="345">
        <f t="shared" si="40"/>
        <v>-128328</v>
      </c>
      <c r="K208" s="345">
        <f t="shared" si="41"/>
        <v>0</v>
      </c>
    </row>
    <row r="209" spans="1:11" ht="13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3">
        <f>'FR-16(7)(v)-8 TOT CLASS Alloc'!I209</f>
        <v>-133469</v>
      </c>
      <c r="G209" s="542">
        <f>'FR-16(7)(v)-5 DISTR Dem Alloc'!I209</f>
        <v>-128940</v>
      </c>
      <c r="H209" s="533">
        <f>'FR-16(7)(v)-3 PROD Comm Alloc'!I209</f>
        <v>-1806</v>
      </c>
      <c r="I209" s="534">
        <f>'FR-16(7)(v)-6 DISTR Cust Alloc'!I209</f>
        <v>-2723</v>
      </c>
      <c r="J209" s="345">
        <f t="shared" si="40"/>
        <v>-133469</v>
      </c>
      <c r="K209" s="345">
        <f t="shared" si="41"/>
        <v>0</v>
      </c>
    </row>
    <row r="210" spans="1:11" ht="13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3">
        <f>'FR-16(7)(v)-8 TOT CLASS Alloc'!I210</f>
        <v>0</v>
      </c>
      <c r="G210" s="542">
        <f>'FR-16(7)(v)-5 DISTR Dem Alloc'!I210</f>
        <v>0</v>
      </c>
      <c r="H210" s="533">
        <f>'FR-16(7)(v)-3 PROD Comm Alloc'!I210</f>
        <v>0</v>
      </c>
      <c r="I210" s="534">
        <f>'FR-16(7)(v)-6 DISTR Cust Alloc'!I210</f>
        <v>0</v>
      </c>
      <c r="J210" s="345">
        <f t="shared" si="40"/>
        <v>0</v>
      </c>
      <c r="K210" s="345">
        <f t="shared" si="41"/>
        <v>0</v>
      </c>
    </row>
    <row r="211" spans="1:11" ht="13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3">
        <f>'FR-16(7)(v)-8 TOT CLASS Alloc'!I211</f>
        <v>0</v>
      </c>
      <c r="G211" s="542">
        <f>'FR-16(7)(v)-5 DISTR Dem Alloc'!I211</f>
        <v>0</v>
      </c>
      <c r="H211" s="533">
        <f>'FR-16(7)(v)-3 PROD Comm Alloc'!I211</f>
        <v>0</v>
      </c>
      <c r="I211" s="534">
        <f>'FR-16(7)(v)-6 DISTR Cust Alloc'!I211</f>
        <v>0</v>
      </c>
      <c r="J211" s="345">
        <f t="shared" si="40"/>
        <v>0</v>
      </c>
      <c r="K211" s="345">
        <f t="shared" si="41"/>
        <v>0</v>
      </c>
    </row>
    <row r="212" spans="1:11" ht="13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3">
        <f>'FR-16(7)(v)-8 TOT CLASS Alloc'!I212</f>
        <v>-39348</v>
      </c>
      <c r="G212" s="542">
        <f>'FR-16(7)(v)-5 DISTR Dem Alloc'!I212</f>
        <v>-38333</v>
      </c>
      <c r="H212" s="533">
        <f>'FR-16(7)(v)-3 PROD Comm Alloc'!I212</f>
        <v>-296</v>
      </c>
      <c r="I212" s="534">
        <f>'FR-16(7)(v)-6 DISTR Cust Alloc'!I212</f>
        <v>-719</v>
      </c>
      <c r="J212" s="345">
        <f t="shared" si="40"/>
        <v>-39348</v>
      </c>
      <c r="K212" s="345">
        <f t="shared" si="41"/>
        <v>0</v>
      </c>
    </row>
    <row r="213" spans="1:11" ht="13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3">
        <f>'FR-16(7)(v)-8 TOT CLASS Alloc'!I213</f>
        <v>0</v>
      </c>
      <c r="G213" s="542">
        <f>'FR-16(7)(v)-5 DISTR Dem Alloc'!I213</f>
        <v>0</v>
      </c>
      <c r="H213" s="533">
        <f>'FR-16(7)(v)-3 PROD Comm Alloc'!I213</f>
        <v>0</v>
      </c>
      <c r="I213" s="534">
        <f>'FR-16(7)(v)-6 DISTR Cust Alloc'!I213</f>
        <v>0</v>
      </c>
      <c r="J213" s="345">
        <f t="shared" si="40"/>
        <v>0</v>
      </c>
      <c r="K213" s="345">
        <f t="shared" si="41"/>
        <v>0</v>
      </c>
    </row>
    <row r="214" spans="1:11" ht="13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3">
        <f>'FR-16(7)(v)-8 TOT CLASS Alloc'!I214</f>
        <v>670969</v>
      </c>
      <c r="G214" s="542">
        <f>'FR-16(7)(v)-5 DISTR Dem Alloc'!I214</f>
        <v>648201</v>
      </c>
      <c r="H214" s="533">
        <f>'FR-16(7)(v)-3 PROD Comm Alloc'!I214</f>
        <v>9077</v>
      </c>
      <c r="I214" s="534">
        <f>'FR-16(7)(v)-6 DISTR Cust Alloc'!I214</f>
        <v>13691</v>
      </c>
      <c r="J214" s="345">
        <f t="shared" si="40"/>
        <v>670969</v>
      </c>
      <c r="K214" s="345">
        <f t="shared" si="41"/>
        <v>0</v>
      </c>
    </row>
    <row r="215" spans="1:11" ht="13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K215" si="42">SUM(F206:F214)</f>
        <v>6033848</v>
      </c>
      <c r="G215" s="543">
        <f t="shared" si="42"/>
        <v>5827090</v>
      </c>
      <c r="H215" s="535">
        <f t="shared" si="42"/>
        <v>83600</v>
      </c>
      <c r="I215" s="536">
        <f t="shared" si="42"/>
        <v>123158</v>
      </c>
      <c r="J215" s="346">
        <f t="shared" si="42"/>
        <v>6033848</v>
      </c>
      <c r="K215" s="346">
        <f t="shared" si="42"/>
        <v>0</v>
      </c>
    </row>
    <row r="216" spans="1:11" ht="13">
      <c r="A216" s="331">
        <v>14</v>
      </c>
      <c r="D216" s="342"/>
      <c r="E216" s="195"/>
      <c r="G216" s="541"/>
      <c r="H216" s="531"/>
      <c r="I216" s="532"/>
    </row>
    <row r="217" spans="1:11" ht="13">
      <c r="A217" s="331">
        <v>15</v>
      </c>
      <c r="B217" s="330" t="s">
        <v>28</v>
      </c>
      <c r="D217" s="342"/>
      <c r="E217" s="195"/>
      <c r="G217" s="541"/>
      <c r="H217" s="531"/>
      <c r="I217" s="532"/>
    </row>
    <row r="218" spans="1:11" ht="13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3">
        <f>'FR-16(7)(v)-8 TOT CLASS Alloc'!I218</f>
        <v>0</v>
      </c>
      <c r="G218" s="542">
        <f>'FR-16(7)(v)-5 DISTR Dem Alloc'!I218</f>
        <v>0</v>
      </c>
      <c r="H218" s="533">
        <f>'FR-16(7)(v)-3 PROD Comm Alloc'!I218</f>
        <v>0</v>
      </c>
      <c r="I218" s="534">
        <f>'FR-16(7)(v)-6 DISTR Cust Alloc'!I218</f>
        <v>0</v>
      </c>
      <c r="J218" s="345">
        <f t="shared" ref="J218:J228" si="43">SUM(G218:I218)</f>
        <v>0</v>
      </c>
      <c r="K218" s="345">
        <f t="shared" ref="K218:K228" si="44">F218-J218</f>
        <v>0</v>
      </c>
    </row>
    <row r="219" spans="1:11" ht="13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3">
        <f>'FR-16(7)(v)-8 TOT CLASS Alloc'!I219</f>
        <v>0</v>
      </c>
      <c r="G219" s="542">
        <f>'FR-16(7)(v)-5 DISTR Dem Alloc'!I219</f>
        <v>0</v>
      </c>
      <c r="H219" s="533">
        <f>'FR-16(7)(v)-3 PROD Comm Alloc'!I219</f>
        <v>0</v>
      </c>
      <c r="I219" s="534">
        <f>'FR-16(7)(v)-6 DISTR Cust Alloc'!I219</f>
        <v>0</v>
      </c>
      <c r="J219" s="345">
        <f t="shared" si="43"/>
        <v>0</v>
      </c>
      <c r="K219" s="345">
        <f t="shared" si="44"/>
        <v>0</v>
      </c>
    </row>
    <row r="220" spans="1:11" ht="13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3">
        <f>'FR-16(7)(v)-8 TOT CLASS Alloc'!I220</f>
        <v>0</v>
      </c>
      <c r="G220" s="542">
        <f>'FR-16(7)(v)-5 DISTR Dem Alloc'!I220</f>
        <v>0</v>
      </c>
      <c r="H220" s="533">
        <f>'FR-16(7)(v)-3 PROD Comm Alloc'!I220</f>
        <v>0</v>
      </c>
      <c r="I220" s="534">
        <f>'FR-16(7)(v)-6 DISTR Cust Alloc'!I220</f>
        <v>0</v>
      </c>
      <c r="J220" s="345">
        <f t="shared" si="43"/>
        <v>0</v>
      </c>
      <c r="K220" s="345">
        <f t="shared" si="44"/>
        <v>0</v>
      </c>
    </row>
    <row r="221" spans="1:11" ht="13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3">
        <f>'FR-16(7)(v)-8 TOT CLASS Alloc'!I221</f>
        <v>0</v>
      </c>
      <c r="G221" s="542">
        <f>'FR-16(7)(v)-5 DISTR Dem Alloc'!I221</f>
        <v>0</v>
      </c>
      <c r="H221" s="533">
        <f>'FR-16(7)(v)-3 PROD Comm Alloc'!I221</f>
        <v>0</v>
      </c>
      <c r="I221" s="534">
        <f>'FR-16(7)(v)-6 DISTR Cust Alloc'!I221</f>
        <v>0</v>
      </c>
      <c r="J221" s="345">
        <f t="shared" si="43"/>
        <v>0</v>
      </c>
      <c r="K221" s="345">
        <f t="shared" si="44"/>
        <v>0</v>
      </c>
    </row>
    <row r="222" spans="1:11" ht="13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3">
        <f>'FR-16(7)(v)-8 TOT CLASS Alloc'!I222</f>
        <v>0</v>
      </c>
      <c r="G222" s="542">
        <f>'FR-16(7)(v)-5 DISTR Dem Alloc'!I222</f>
        <v>0</v>
      </c>
      <c r="H222" s="533">
        <f>'FR-16(7)(v)-3 PROD Comm Alloc'!I222</f>
        <v>0</v>
      </c>
      <c r="I222" s="534">
        <f>'FR-16(7)(v)-6 DISTR Cust Alloc'!I222</f>
        <v>0</v>
      </c>
      <c r="J222" s="345">
        <f t="shared" si="43"/>
        <v>0</v>
      </c>
      <c r="K222" s="345">
        <f t="shared" si="44"/>
        <v>0</v>
      </c>
    </row>
    <row r="223" spans="1:11" ht="13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3">
        <f>'FR-16(7)(v)-8 TOT CLASS Alloc'!I223</f>
        <v>0</v>
      </c>
      <c r="G223" s="542">
        <f>'FR-16(7)(v)-5 DISTR Dem Alloc'!I223</f>
        <v>0</v>
      </c>
      <c r="H223" s="533">
        <f>'FR-16(7)(v)-3 PROD Comm Alloc'!I223</f>
        <v>0</v>
      </c>
      <c r="I223" s="534">
        <f>'FR-16(7)(v)-6 DISTR Cust Alloc'!I223</f>
        <v>0</v>
      </c>
      <c r="J223" s="345">
        <f t="shared" si="43"/>
        <v>0</v>
      </c>
      <c r="K223" s="345">
        <f t="shared" si="44"/>
        <v>0</v>
      </c>
    </row>
    <row r="224" spans="1:11" ht="13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3">
        <f>'FR-16(7)(v)-8 TOT CLASS Alloc'!I224</f>
        <v>0</v>
      </c>
      <c r="G224" s="542">
        <f>'FR-16(7)(v)-5 DISTR Dem Alloc'!I224</f>
        <v>0</v>
      </c>
      <c r="H224" s="533">
        <f>'FR-16(7)(v)-3 PROD Comm Alloc'!I224</f>
        <v>0</v>
      </c>
      <c r="I224" s="534">
        <f>'FR-16(7)(v)-6 DISTR Cust Alloc'!I224</f>
        <v>0</v>
      </c>
      <c r="J224" s="345">
        <f t="shared" si="43"/>
        <v>0</v>
      </c>
      <c r="K224" s="345">
        <f t="shared" si="44"/>
        <v>0</v>
      </c>
    </row>
    <row r="225" spans="1:11" ht="13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3">
        <f>'FR-16(7)(v)-8 TOT CLASS Alloc'!I225</f>
        <v>0</v>
      </c>
      <c r="G225" s="542">
        <f>'FR-16(7)(v)-5 DISTR Dem Alloc'!I225</f>
        <v>0</v>
      </c>
      <c r="H225" s="533">
        <f>'FR-16(7)(v)-3 PROD Comm Alloc'!I225</f>
        <v>0</v>
      </c>
      <c r="I225" s="534">
        <f>'FR-16(7)(v)-6 DISTR Cust Alloc'!I225</f>
        <v>0</v>
      </c>
      <c r="J225" s="345">
        <f t="shared" si="43"/>
        <v>0</v>
      </c>
      <c r="K225" s="345">
        <f t="shared" si="44"/>
        <v>0</v>
      </c>
    </row>
    <row r="226" spans="1:11" ht="13">
      <c r="A226" s="331">
        <v>24</v>
      </c>
      <c r="C226" s="612" t="str">
        <f>'FR-16(7)(v)-1 Functional'!C226</f>
        <v>RATE CASE EXPENSE AMORT</v>
      </c>
      <c r="D226" s="342" t="str">
        <f>'FR-16(7)(v)-1 Functional'!D226</f>
        <v>AG39</v>
      </c>
      <c r="F226" s="473">
        <f>'FR-16(7)(v)-8 TOT CLASS Alloc'!I226</f>
        <v>0</v>
      </c>
      <c r="G226" s="542">
        <f>'FR-16(7)(v)-5 DISTR Dem Alloc'!I226</f>
        <v>0</v>
      </c>
      <c r="H226" s="533">
        <f>'FR-16(7)(v)-3 PROD Comm Alloc'!I226</f>
        <v>0</v>
      </c>
      <c r="I226" s="534">
        <f>'FR-16(7)(v)-6 DISTR Cust Alloc'!I226</f>
        <v>0</v>
      </c>
      <c r="J226" s="345">
        <f>SUM(G226:I226)</f>
        <v>0</v>
      </c>
      <c r="K226" s="345">
        <f>F226-J226</f>
        <v>0</v>
      </c>
    </row>
    <row r="227" spans="1:11" ht="13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3">
        <f>'FR-16(7)(v)-8 TOT CLASS Alloc'!I227</f>
        <v>0</v>
      </c>
      <c r="G227" s="542">
        <f>'FR-16(7)(v)-5 DISTR Dem Alloc'!I227</f>
        <v>0</v>
      </c>
      <c r="H227" s="533">
        <f>'FR-16(7)(v)-3 PROD Comm Alloc'!I227</f>
        <v>0</v>
      </c>
      <c r="I227" s="534">
        <f>'FR-16(7)(v)-6 DISTR Cust Alloc'!I227</f>
        <v>0</v>
      </c>
      <c r="J227" s="345">
        <f>SUM(G227:I227)</f>
        <v>0</v>
      </c>
      <c r="K227" s="345">
        <f>F227-J227</f>
        <v>0</v>
      </c>
    </row>
    <row r="228" spans="1:11" ht="13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3">
        <f>'FR-16(7)(v)-8 TOT CLASS Alloc'!I228</f>
        <v>0</v>
      </c>
      <c r="G228" s="542">
        <f>'FR-16(7)(v)-5 DISTR Dem Alloc'!I228</f>
        <v>0</v>
      </c>
      <c r="H228" s="533">
        <f>'FR-16(7)(v)-3 PROD Comm Alloc'!I228</f>
        <v>0</v>
      </c>
      <c r="I228" s="534">
        <f>'FR-16(7)(v)-6 DISTR Cust Alloc'!I228</f>
        <v>0</v>
      </c>
      <c r="J228" s="345">
        <f t="shared" si="43"/>
        <v>0</v>
      </c>
      <c r="K228" s="345">
        <f t="shared" si="44"/>
        <v>0</v>
      </c>
    </row>
    <row r="229" spans="1:11" ht="13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K229" si="45">SUM(F217:F228)</f>
        <v>0</v>
      </c>
      <c r="G229" s="543">
        <f t="shared" si="45"/>
        <v>0</v>
      </c>
      <c r="H229" s="535">
        <f t="shared" si="45"/>
        <v>0</v>
      </c>
      <c r="I229" s="536">
        <f t="shared" si="45"/>
        <v>0</v>
      </c>
      <c r="J229" s="346">
        <f t="shared" si="45"/>
        <v>0</v>
      </c>
      <c r="K229" s="346">
        <f t="shared" si="45"/>
        <v>0</v>
      </c>
    </row>
    <row r="230" spans="1:11" ht="13">
      <c r="A230" s="331">
        <v>28</v>
      </c>
      <c r="D230" s="342"/>
      <c r="E230" s="195"/>
      <c r="G230" s="541"/>
      <c r="H230" s="531"/>
      <c r="I230" s="532"/>
    </row>
    <row r="231" spans="1:11" ht="13">
      <c r="A231" s="331">
        <v>29</v>
      </c>
      <c r="B231" s="351" t="s">
        <v>817</v>
      </c>
      <c r="C231" s="351"/>
      <c r="D231" s="342"/>
      <c r="E231" s="195"/>
      <c r="G231" s="541"/>
      <c r="H231" s="531"/>
      <c r="I231" s="532"/>
    </row>
    <row r="232" spans="1:11" ht="13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3">
        <f>'FR-16(7)(v)-8 TOT CLASS Alloc'!I232</f>
        <v>140841</v>
      </c>
      <c r="G232" s="542">
        <f>'FR-16(7)(v)-5 DISTR Dem Alloc'!I232</f>
        <v>137919</v>
      </c>
      <c r="H232" s="533">
        <f>'FR-16(7)(v)-3 PROD Comm Alloc'!I232</f>
        <v>0</v>
      </c>
      <c r="I232" s="534">
        <f>'FR-16(7)(v)-6 DISTR Cust Alloc'!I232</f>
        <v>2922</v>
      </c>
      <c r="J232" s="345">
        <f>SUM(G232:I232)</f>
        <v>140841</v>
      </c>
      <c r="K232" s="345">
        <f>F232-J232</f>
        <v>0</v>
      </c>
    </row>
    <row r="233" spans="1:11" ht="13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3">
        <f>'FR-16(7)(v)-8 TOT CLASS Alloc'!I233</f>
        <v>0</v>
      </c>
      <c r="G233" s="542">
        <f>'FR-16(7)(v)-5 DISTR Dem Alloc'!I233</f>
        <v>0</v>
      </c>
      <c r="H233" s="533">
        <f>'FR-16(7)(v)-3 PROD Comm Alloc'!I233</f>
        <v>0</v>
      </c>
      <c r="I233" s="534">
        <f>'FR-16(7)(v)-6 DISTR Cust Alloc'!I233</f>
        <v>0</v>
      </c>
      <c r="J233" s="345">
        <f>SUM(G233:I233)</f>
        <v>0</v>
      </c>
      <c r="K233" s="345">
        <f>F233-J233</f>
        <v>0</v>
      </c>
    </row>
    <row r="234" spans="1:11" ht="13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3">
        <f>'FR-16(7)(v)-8 TOT CLASS Alloc'!I234</f>
        <v>0</v>
      </c>
      <c r="G234" s="542">
        <f>'FR-16(7)(v)-5 DISTR Dem Alloc'!I234</f>
        <v>0</v>
      </c>
      <c r="H234" s="533">
        <f>'FR-16(7)(v)-3 PROD Comm Alloc'!I234</f>
        <v>0</v>
      </c>
      <c r="I234" s="534">
        <f>'FR-16(7)(v)-6 DISTR Cust Alloc'!I234</f>
        <v>0</v>
      </c>
      <c r="J234" s="345">
        <f>SUM(G234:I234)</f>
        <v>0</v>
      </c>
      <c r="K234" s="345">
        <f>F234-J234</f>
        <v>0</v>
      </c>
    </row>
    <row r="235" spans="1:11" ht="13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3">
        <f>'FR-16(7)(v)-8 TOT CLASS Alloc'!I235</f>
        <v>2510636</v>
      </c>
      <c r="G235" s="542">
        <f>'FR-16(7)(v)-5 DISTR Dem Alloc'!I235</f>
        <v>2425442</v>
      </c>
      <c r="H235" s="533">
        <f>'FR-16(7)(v)-3 PROD Comm Alloc'!I235</f>
        <v>33965</v>
      </c>
      <c r="I235" s="534">
        <f>'FR-16(7)(v)-6 DISTR Cust Alloc'!I235</f>
        <v>51229</v>
      </c>
      <c r="J235" s="345">
        <f>SUM(G235:I235)</f>
        <v>2510636</v>
      </c>
      <c r="K235" s="345">
        <f>F235-J235</f>
        <v>0</v>
      </c>
    </row>
    <row r="236" spans="1:11" ht="13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K236" si="46">SUM(F231:F235)</f>
        <v>2651477</v>
      </c>
      <c r="G236" s="543">
        <f t="shared" si="46"/>
        <v>2563361</v>
      </c>
      <c r="H236" s="535">
        <f t="shared" si="46"/>
        <v>33965</v>
      </c>
      <c r="I236" s="536">
        <f t="shared" si="46"/>
        <v>54151</v>
      </c>
      <c r="J236" s="346">
        <f t="shared" si="46"/>
        <v>2651477</v>
      </c>
      <c r="K236" s="346">
        <f t="shared" si="46"/>
        <v>0</v>
      </c>
    </row>
    <row r="237" spans="1:11" ht="13">
      <c r="A237" s="331">
        <v>35</v>
      </c>
      <c r="D237" s="342"/>
      <c r="E237" s="195"/>
      <c r="G237" s="541"/>
      <c r="H237" s="531"/>
      <c r="I237" s="532"/>
    </row>
    <row r="238" spans="1:11" ht="13">
      <c r="A238" s="331">
        <v>36</v>
      </c>
      <c r="B238" s="330" t="s">
        <v>821</v>
      </c>
      <c r="D238" s="342"/>
      <c r="E238" s="195"/>
      <c r="F238" s="345">
        <f t="shared" ref="F238:K238" si="47">F236+F229+F215</f>
        <v>8685325</v>
      </c>
      <c r="G238" s="544">
        <f t="shared" si="47"/>
        <v>8390451</v>
      </c>
      <c r="H238" s="537">
        <f t="shared" si="47"/>
        <v>117565</v>
      </c>
      <c r="I238" s="538">
        <f t="shared" si="47"/>
        <v>177309</v>
      </c>
      <c r="J238" s="345">
        <f t="shared" si="47"/>
        <v>8685325</v>
      </c>
      <c r="K238" s="345">
        <f t="shared" si="47"/>
        <v>0</v>
      </c>
    </row>
    <row r="239" spans="1:11" ht="13">
      <c r="B239" s="341"/>
      <c r="C239" s="195"/>
      <c r="D239" s="342"/>
      <c r="E239" s="195"/>
      <c r="F239" s="195"/>
      <c r="G239" s="195"/>
      <c r="H239" s="195"/>
      <c r="I239" s="195"/>
      <c r="J239" s="195"/>
      <c r="K239" s="195"/>
    </row>
    <row r="240" spans="1:11" ht="13">
      <c r="A240" s="341" t="str">
        <f>co_name</f>
        <v>DUKE ENERGY KENTUCKY, INC.</v>
      </c>
      <c r="C240" s="195"/>
      <c r="D240" s="342"/>
      <c r="E240" s="195"/>
      <c r="F240" s="195"/>
      <c r="G240" s="195"/>
      <c r="H240" s="195"/>
      <c r="I240" s="195"/>
      <c r="J240" s="195" t="str">
        <f>$J$1</f>
        <v>FR-16(7)(v)-11</v>
      </c>
      <c r="K240" s="195"/>
    </row>
    <row r="241" spans="1:11" ht="13">
      <c r="A241" s="341" t="str">
        <f>$A$2</f>
        <v>FT-L CLASSIFIED - GAS COST OF SERVICE</v>
      </c>
      <c r="C241" s="195"/>
      <c r="D241" s="342"/>
      <c r="E241" s="195"/>
      <c r="F241" s="195"/>
      <c r="G241" s="195"/>
      <c r="H241" s="195"/>
      <c r="I241" s="195"/>
      <c r="J241" s="195" t="str">
        <f>$J$2</f>
        <v>WITNESS RESPONSIBLE:</v>
      </c>
      <c r="K241" s="195"/>
    </row>
    <row r="242" spans="1:11" ht="13">
      <c r="A242" s="341" t="str">
        <f>case_name</f>
        <v>CASE NO: 2021-00190</v>
      </c>
      <c r="C242" s="195"/>
      <c r="D242" s="342"/>
      <c r="E242" s="195"/>
      <c r="F242" s="195"/>
      <c r="G242" s="195"/>
      <c r="H242" s="195"/>
      <c r="I242" s="195"/>
      <c r="J242" s="195" t="str">
        <f>Witness</f>
        <v>JAMES E. ZIOLKOWSKI</v>
      </c>
      <c r="K242" s="195"/>
    </row>
    <row r="243" spans="1:11" ht="13">
      <c r="A243" s="341" t="str">
        <f>data_filing</f>
        <v>DATA: 12 MONTH FORECASTED PERIOD</v>
      </c>
      <c r="C243" s="195"/>
      <c r="D243" s="342"/>
      <c r="E243" s="195"/>
      <c r="F243" s="195"/>
      <c r="G243" s="195"/>
      <c r="H243" s="195"/>
      <c r="I243" s="195"/>
      <c r="J243" s="195" t="str">
        <f>"PAGE "&amp;Pages2-9&amp;" OF "&amp;Pages2</f>
        <v>PAGE 6 OF 15</v>
      </c>
      <c r="K243" s="195"/>
    </row>
    <row r="244" spans="1:11" ht="13">
      <c r="A244" s="341" t="str">
        <f>type</f>
        <v xml:space="preserve">TYPE OF FILING: "X" ORIGINAL   UPDATED    REVISED  </v>
      </c>
      <c r="C244" s="195"/>
      <c r="D244" s="342"/>
      <c r="E244" s="195"/>
      <c r="F244" s="195"/>
      <c r="G244" s="195"/>
      <c r="H244" s="195"/>
      <c r="I244" s="195"/>
      <c r="J244" s="195"/>
      <c r="K244" s="195"/>
    </row>
    <row r="245" spans="1:11" ht="13">
      <c r="B245" s="341"/>
      <c r="C245" s="195"/>
      <c r="D245" s="342"/>
      <c r="E245" s="195"/>
      <c r="F245" s="195"/>
      <c r="G245" s="195"/>
      <c r="H245" s="195"/>
      <c r="I245" s="195"/>
      <c r="J245" s="195"/>
      <c r="K245" s="195"/>
    </row>
    <row r="246" spans="1:11" ht="13">
      <c r="B246" s="341"/>
      <c r="C246" s="195"/>
      <c r="D246" s="342"/>
      <c r="E246" s="195"/>
      <c r="F246" s="195"/>
      <c r="G246" s="195"/>
      <c r="H246" s="195"/>
      <c r="I246" s="195"/>
      <c r="J246" s="195"/>
      <c r="K246" s="195"/>
    </row>
    <row r="247" spans="1:11" ht="13">
      <c r="A247" s="342" t="s">
        <v>907</v>
      </c>
      <c r="B247" s="195"/>
      <c r="C247" s="195"/>
      <c r="D247" s="342"/>
      <c r="E247" s="195"/>
      <c r="F247" s="342" t="s">
        <v>229</v>
      </c>
      <c r="G247" s="539" t="s">
        <v>995</v>
      </c>
      <c r="H247" s="527"/>
      <c r="I247" s="528"/>
      <c r="J247" s="342" t="s">
        <v>229</v>
      </c>
      <c r="K247" s="342" t="s">
        <v>342</v>
      </c>
    </row>
    <row r="248" spans="1:11" ht="13">
      <c r="A248" s="344" t="s">
        <v>908</v>
      </c>
      <c r="B248" s="343" t="s">
        <v>947</v>
      </c>
      <c r="C248" s="343"/>
      <c r="D248" s="344" t="s">
        <v>337</v>
      </c>
      <c r="E248" s="343"/>
      <c r="F248" s="344" t="str">
        <f>$F$9</f>
        <v>FT-L</v>
      </c>
      <c r="G248" s="540" t="s">
        <v>840</v>
      </c>
      <c r="H248" s="529" t="s">
        <v>841</v>
      </c>
      <c r="I248" s="530" t="s">
        <v>842</v>
      </c>
      <c r="J248" s="344" t="s">
        <v>341</v>
      </c>
      <c r="K248" s="344" t="s">
        <v>340</v>
      </c>
    </row>
    <row r="249" spans="1:11" ht="13">
      <c r="C249" s="572" t="s">
        <v>555</v>
      </c>
      <c r="D249" s="342"/>
      <c r="E249" s="195"/>
      <c r="G249" s="793">
        <f>$G$10</f>
        <v>3</v>
      </c>
      <c r="H249" s="794">
        <f>$H$10</f>
        <v>4</v>
      </c>
      <c r="I249" s="795">
        <f>$I$10</f>
        <v>5</v>
      </c>
    </row>
    <row r="250" spans="1:11" ht="13">
      <c r="A250" s="331">
        <v>1</v>
      </c>
      <c r="B250" s="330" t="s">
        <v>819</v>
      </c>
      <c r="D250" s="342"/>
      <c r="E250" s="195"/>
      <c r="G250" s="545"/>
      <c r="H250" s="546"/>
      <c r="I250" s="547"/>
    </row>
    <row r="251" spans="1:11" ht="13">
      <c r="A251" s="331">
        <v>2</v>
      </c>
      <c r="B251" s="330" t="s">
        <v>29</v>
      </c>
      <c r="D251" s="342"/>
      <c r="E251" s="195"/>
      <c r="G251" s="541"/>
      <c r="H251" s="531"/>
      <c r="I251" s="532"/>
    </row>
    <row r="252" spans="1:11" ht="13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3">
        <f>'FR-16(7)(v)-8 TOT CLASS Alloc'!I252</f>
        <v>0</v>
      </c>
      <c r="G252" s="542">
        <f>'FR-16(7)(v)-5 DISTR Dem Alloc'!I252</f>
        <v>0</v>
      </c>
      <c r="H252" s="533">
        <f>'FR-16(7)(v)-3 PROD Comm Alloc'!I252</f>
        <v>0</v>
      </c>
      <c r="I252" s="534">
        <f>'FR-16(7)(v)-6 DISTR Cust Alloc'!I252</f>
        <v>0</v>
      </c>
      <c r="J252" s="345">
        <f t="shared" ref="J252:J274" si="48">SUM(G252:I252)</f>
        <v>0</v>
      </c>
      <c r="K252" s="345">
        <f t="shared" ref="K252:K274" si="49">F252-J252</f>
        <v>0</v>
      </c>
    </row>
    <row r="253" spans="1:11" ht="13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3">
        <f>'FR-16(7)(v)-8 TOT CLASS Alloc'!I253</f>
        <v>0</v>
      </c>
      <c r="G253" s="542">
        <f>'FR-16(7)(v)-5 DISTR Dem Alloc'!I253</f>
        <v>0</v>
      </c>
      <c r="H253" s="533">
        <f>'FR-16(7)(v)-3 PROD Comm Alloc'!I253</f>
        <v>0</v>
      </c>
      <c r="I253" s="534">
        <f>'FR-16(7)(v)-6 DISTR Cust Alloc'!I253</f>
        <v>0</v>
      </c>
      <c r="J253" s="345">
        <f t="shared" si="48"/>
        <v>0</v>
      </c>
      <c r="K253" s="345">
        <f t="shared" si="49"/>
        <v>0</v>
      </c>
    </row>
    <row r="254" spans="1:11" ht="13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3">
        <f>'FR-16(7)(v)-8 TOT CLASS Alloc'!I254</f>
        <v>0</v>
      </c>
      <c r="G254" s="542">
        <f>'FR-16(7)(v)-5 DISTR Dem Alloc'!I254</f>
        <v>0</v>
      </c>
      <c r="H254" s="533">
        <f>'FR-16(7)(v)-3 PROD Comm Alloc'!I254</f>
        <v>0</v>
      </c>
      <c r="I254" s="534">
        <f>'FR-16(7)(v)-6 DISTR Cust Alloc'!I254</f>
        <v>0</v>
      </c>
      <c r="J254" s="345">
        <f t="shared" si="48"/>
        <v>0</v>
      </c>
      <c r="K254" s="345">
        <f t="shared" si="49"/>
        <v>0</v>
      </c>
    </row>
    <row r="255" spans="1:11" ht="13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3">
        <f>'FR-16(7)(v)-8 TOT CLASS Alloc'!I255</f>
        <v>0</v>
      </c>
      <c r="G255" s="542">
        <f>'FR-16(7)(v)-5 DISTR Dem Alloc'!I255</f>
        <v>0</v>
      </c>
      <c r="H255" s="533">
        <f>'FR-16(7)(v)-3 PROD Comm Alloc'!I255</f>
        <v>0</v>
      </c>
      <c r="I255" s="534">
        <f>'FR-16(7)(v)-6 DISTR Cust Alloc'!I255</f>
        <v>0</v>
      </c>
      <c r="J255" s="345">
        <f t="shared" si="48"/>
        <v>0</v>
      </c>
      <c r="K255" s="345">
        <f t="shared" si="49"/>
        <v>0</v>
      </c>
    </row>
    <row r="256" spans="1:11" ht="13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3">
        <f>'FR-16(7)(v)-8 TOT CLASS Alloc'!I256</f>
        <v>0</v>
      </c>
      <c r="G256" s="542">
        <f>'FR-16(7)(v)-5 DISTR Dem Alloc'!I256</f>
        <v>0</v>
      </c>
      <c r="H256" s="533">
        <f>'FR-16(7)(v)-3 PROD Comm Alloc'!I256</f>
        <v>0</v>
      </c>
      <c r="I256" s="534">
        <f>'FR-16(7)(v)-6 DISTR Cust Alloc'!I256</f>
        <v>0</v>
      </c>
      <c r="J256" s="345">
        <f t="shared" si="48"/>
        <v>0</v>
      </c>
      <c r="K256" s="345">
        <f t="shared" si="49"/>
        <v>0</v>
      </c>
    </row>
    <row r="257" spans="1:11" ht="13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3">
        <f>'FR-16(7)(v)-8 TOT CLASS Alloc'!I257</f>
        <v>0</v>
      </c>
      <c r="G257" s="542">
        <f>'FR-16(7)(v)-5 DISTR Dem Alloc'!I257</f>
        <v>0</v>
      </c>
      <c r="H257" s="533">
        <f>'FR-16(7)(v)-3 PROD Comm Alloc'!I257</f>
        <v>0</v>
      </c>
      <c r="I257" s="534">
        <f>'FR-16(7)(v)-6 DISTR Cust Alloc'!I257</f>
        <v>0</v>
      </c>
      <c r="J257" s="345">
        <f t="shared" si="48"/>
        <v>0</v>
      </c>
      <c r="K257" s="345">
        <f t="shared" si="49"/>
        <v>0</v>
      </c>
    </row>
    <row r="258" spans="1:11" ht="13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3">
        <f>'FR-16(7)(v)-8 TOT CLASS Alloc'!I258</f>
        <v>0</v>
      </c>
      <c r="G258" s="542">
        <f>'FR-16(7)(v)-5 DISTR Dem Alloc'!I258</f>
        <v>0</v>
      </c>
      <c r="H258" s="533">
        <f>'FR-16(7)(v)-3 PROD Comm Alloc'!I258</f>
        <v>0</v>
      </c>
      <c r="I258" s="534">
        <f>'FR-16(7)(v)-6 DISTR Cust Alloc'!I258</f>
        <v>0</v>
      </c>
      <c r="J258" s="345">
        <f t="shared" si="48"/>
        <v>0</v>
      </c>
      <c r="K258" s="345">
        <f t="shared" si="49"/>
        <v>0</v>
      </c>
    </row>
    <row r="259" spans="1:11" ht="13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3">
        <f>'FR-16(7)(v)-8 TOT CLASS Alloc'!I259</f>
        <v>0</v>
      </c>
      <c r="G259" s="542">
        <f>'FR-16(7)(v)-5 DISTR Dem Alloc'!I259</f>
        <v>0</v>
      </c>
      <c r="H259" s="533">
        <f>'FR-16(7)(v)-3 PROD Comm Alloc'!I259</f>
        <v>0</v>
      </c>
      <c r="I259" s="534">
        <f>'FR-16(7)(v)-6 DISTR Cust Alloc'!I259</f>
        <v>0</v>
      </c>
      <c r="J259" s="345">
        <f t="shared" si="48"/>
        <v>0</v>
      </c>
      <c r="K259" s="345">
        <f t="shared" si="49"/>
        <v>0</v>
      </c>
    </row>
    <row r="260" spans="1:11" ht="13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3">
        <f>'FR-16(7)(v)-8 TOT CLASS Alloc'!I260</f>
        <v>0</v>
      </c>
      <c r="G260" s="542">
        <f>'FR-16(7)(v)-5 DISTR Dem Alloc'!I260</f>
        <v>0</v>
      </c>
      <c r="H260" s="533">
        <f>'FR-16(7)(v)-3 PROD Comm Alloc'!I260</f>
        <v>0</v>
      </c>
      <c r="I260" s="534">
        <f>'FR-16(7)(v)-6 DISTR Cust Alloc'!I260</f>
        <v>0</v>
      </c>
      <c r="J260" s="345">
        <f t="shared" si="48"/>
        <v>0</v>
      </c>
      <c r="K260" s="345">
        <f t="shared" si="49"/>
        <v>0</v>
      </c>
    </row>
    <row r="261" spans="1:11" ht="13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3">
        <f>'FR-16(7)(v)-8 TOT CLASS Alloc'!I261</f>
        <v>0</v>
      </c>
      <c r="G261" s="542">
        <f>'FR-16(7)(v)-5 DISTR Dem Alloc'!I261</f>
        <v>0</v>
      </c>
      <c r="H261" s="533">
        <f>'FR-16(7)(v)-3 PROD Comm Alloc'!I261</f>
        <v>0</v>
      </c>
      <c r="I261" s="534">
        <f>'FR-16(7)(v)-6 DISTR Cust Alloc'!I261</f>
        <v>0</v>
      </c>
      <c r="J261" s="345">
        <f t="shared" si="48"/>
        <v>0</v>
      </c>
      <c r="K261" s="345">
        <f t="shared" si="49"/>
        <v>0</v>
      </c>
    </row>
    <row r="262" spans="1:11" ht="13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3">
        <f>'FR-16(7)(v)-8 TOT CLASS Alloc'!I262</f>
        <v>0</v>
      </c>
      <c r="G262" s="542">
        <f>'FR-16(7)(v)-5 DISTR Dem Alloc'!I262</f>
        <v>0</v>
      </c>
      <c r="H262" s="533">
        <f>'FR-16(7)(v)-3 PROD Comm Alloc'!I262</f>
        <v>0</v>
      </c>
      <c r="I262" s="534">
        <f>'FR-16(7)(v)-6 DISTR Cust Alloc'!I262</f>
        <v>0</v>
      </c>
      <c r="J262" s="345">
        <f t="shared" si="48"/>
        <v>0</v>
      </c>
      <c r="K262" s="345">
        <f t="shared" si="49"/>
        <v>0</v>
      </c>
    </row>
    <row r="263" spans="1:11" ht="13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3">
        <f>'FR-16(7)(v)-8 TOT CLASS Alloc'!I263</f>
        <v>0</v>
      </c>
      <c r="G263" s="542">
        <f>'FR-16(7)(v)-5 DISTR Dem Alloc'!I263</f>
        <v>0</v>
      </c>
      <c r="H263" s="533">
        <f>'FR-16(7)(v)-3 PROD Comm Alloc'!I263</f>
        <v>0</v>
      </c>
      <c r="I263" s="534">
        <f>'FR-16(7)(v)-6 DISTR Cust Alloc'!I263</f>
        <v>0</v>
      </c>
      <c r="J263" s="345">
        <f t="shared" si="48"/>
        <v>0</v>
      </c>
      <c r="K263" s="345">
        <f t="shared" si="49"/>
        <v>0</v>
      </c>
    </row>
    <row r="264" spans="1:11" ht="13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3">
        <f>'FR-16(7)(v)-8 TOT CLASS Alloc'!I264</f>
        <v>0</v>
      </c>
      <c r="G264" s="542">
        <f>'FR-16(7)(v)-5 DISTR Dem Alloc'!I264</f>
        <v>0</v>
      </c>
      <c r="H264" s="533">
        <f>'FR-16(7)(v)-3 PROD Comm Alloc'!I264</f>
        <v>0</v>
      </c>
      <c r="I264" s="534">
        <f>'FR-16(7)(v)-6 DISTR Cust Alloc'!I264</f>
        <v>0</v>
      </c>
      <c r="J264" s="345">
        <f t="shared" si="48"/>
        <v>0</v>
      </c>
      <c r="K264" s="345">
        <f t="shared" si="49"/>
        <v>0</v>
      </c>
    </row>
    <row r="265" spans="1:11" ht="13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3">
        <f>'FR-16(7)(v)-8 TOT CLASS Alloc'!I265</f>
        <v>0</v>
      </c>
      <c r="G265" s="542">
        <f>'FR-16(7)(v)-5 DISTR Dem Alloc'!I265</f>
        <v>0</v>
      </c>
      <c r="H265" s="533">
        <f>'FR-16(7)(v)-3 PROD Comm Alloc'!I265</f>
        <v>0</v>
      </c>
      <c r="I265" s="534">
        <f>'FR-16(7)(v)-6 DISTR Cust Alloc'!I265</f>
        <v>0</v>
      </c>
      <c r="J265" s="345">
        <f t="shared" si="48"/>
        <v>0</v>
      </c>
      <c r="K265" s="345">
        <f t="shared" si="49"/>
        <v>0</v>
      </c>
    </row>
    <row r="266" spans="1:11" ht="13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3">
        <f>'FR-16(7)(v)-8 TOT CLASS Alloc'!I266</f>
        <v>0</v>
      </c>
      <c r="G266" s="542">
        <f>'FR-16(7)(v)-5 DISTR Dem Alloc'!I266</f>
        <v>0</v>
      </c>
      <c r="H266" s="533">
        <f>'FR-16(7)(v)-3 PROD Comm Alloc'!I266</f>
        <v>0</v>
      </c>
      <c r="I266" s="534">
        <f>'FR-16(7)(v)-6 DISTR Cust Alloc'!I266</f>
        <v>0</v>
      </c>
      <c r="J266" s="345">
        <f t="shared" si="48"/>
        <v>0</v>
      </c>
      <c r="K266" s="345">
        <f t="shared" si="49"/>
        <v>0</v>
      </c>
    </row>
    <row r="267" spans="1:11" ht="13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3">
        <f>'FR-16(7)(v)-8 TOT CLASS Alloc'!I267</f>
        <v>0</v>
      </c>
      <c r="G267" s="542">
        <f>'FR-16(7)(v)-5 DISTR Dem Alloc'!I267</f>
        <v>0</v>
      </c>
      <c r="H267" s="533">
        <f>'FR-16(7)(v)-3 PROD Comm Alloc'!I267</f>
        <v>0</v>
      </c>
      <c r="I267" s="534">
        <f>'FR-16(7)(v)-6 DISTR Cust Alloc'!I267</f>
        <v>0</v>
      </c>
      <c r="J267" s="345">
        <f t="shared" si="48"/>
        <v>0</v>
      </c>
      <c r="K267" s="345">
        <f t="shared" si="49"/>
        <v>0</v>
      </c>
    </row>
    <row r="268" spans="1:11" ht="13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3">
        <f>'FR-16(7)(v)-8 TOT CLASS Alloc'!I268</f>
        <v>0</v>
      </c>
      <c r="G268" s="542">
        <f>'FR-16(7)(v)-5 DISTR Dem Alloc'!I268</f>
        <v>0</v>
      </c>
      <c r="H268" s="533">
        <f>'FR-16(7)(v)-3 PROD Comm Alloc'!I268</f>
        <v>0</v>
      </c>
      <c r="I268" s="534">
        <f>'FR-16(7)(v)-6 DISTR Cust Alloc'!I268</f>
        <v>0</v>
      </c>
      <c r="J268" s="345">
        <f t="shared" si="48"/>
        <v>0</v>
      </c>
      <c r="K268" s="345">
        <f t="shared" si="49"/>
        <v>0</v>
      </c>
    </row>
    <row r="269" spans="1:11" ht="13">
      <c r="A269" s="331">
        <v>20</v>
      </c>
      <c r="C269" s="483" t="str">
        <f>'FR-16(7)(v)-1 Functional'!C269</f>
        <v>401K INCENTIVE PLAN</v>
      </c>
      <c r="D269" s="342" t="str">
        <f>'FR-16(7)(v)-1 Functional'!D269</f>
        <v>AG39</v>
      </c>
      <c r="F269" s="473">
        <f>'FR-16(7)(v)-8 TOT CLASS Alloc'!I269</f>
        <v>0</v>
      </c>
      <c r="G269" s="542">
        <f>'FR-16(7)(v)-5 DISTR Dem Alloc'!I269</f>
        <v>0</v>
      </c>
      <c r="H269" s="533">
        <f>'FR-16(7)(v)-3 PROD Comm Alloc'!I269</f>
        <v>0</v>
      </c>
      <c r="I269" s="534">
        <f>'FR-16(7)(v)-6 DISTR Cust Alloc'!I269</f>
        <v>0</v>
      </c>
      <c r="J269" s="345">
        <f t="shared" si="48"/>
        <v>0</v>
      </c>
      <c r="K269" s="345">
        <f t="shared" si="49"/>
        <v>0</v>
      </c>
    </row>
    <row r="270" spans="1:11" ht="13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3">
        <f>'FR-16(7)(v)-8 TOT CLASS Alloc'!I270</f>
        <v>0</v>
      </c>
      <c r="G270" s="542">
        <f>'FR-16(7)(v)-5 DISTR Dem Alloc'!I270</f>
        <v>0</v>
      </c>
      <c r="H270" s="533">
        <f>'FR-16(7)(v)-3 PROD Comm Alloc'!I270</f>
        <v>0</v>
      </c>
      <c r="I270" s="534">
        <f>'FR-16(7)(v)-6 DISTR Cust Alloc'!I270</f>
        <v>0</v>
      </c>
      <c r="J270" s="345">
        <f t="shared" si="48"/>
        <v>0</v>
      </c>
      <c r="K270" s="345">
        <f t="shared" si="49"/>
        <v>0</v>
      </c>
    </row>
    <row r="271" spans="1:11" ht="13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3">
        <f>'FR-16(7)(v)-8 TOT CLASS Alloc'!I271</f>
        <v>0</v>
      </c>
      <c r="G271" s="542">
        <f>'FR-16(7)(v)-5 DISTR Dem Alloc'!I271</f>
        <v>0</v>
      </c>
      <c r="H271" s="533">
        <f>'FR-16(7)(v)-3 PROD Comm Alloc'!I271</f>
        <v>0</v>
      </c>
      <c r="I271" s="534">
        <f>'FR-16(7)(v)-6 DISTR Cust Alloc'!I271</f>
        <v>0</v>
      </c>
      <c r="J271" s="345">
        <f t="shared" si="48"/>
        <v>0</v>
      </c>
      <c r="K271" s="345">
        <f t="shared" si="49"/>
        <v>0</v>
      </c>
    </row>
    <row r="272" spans="1:11" ht="13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3">
        <f>'FR-16(7)(v)-8 TOT CLASS Alloc'!I272</f>
        <v>0</v>
      </c>
      <c r="G272" s="542">
        <f>'FR-16(7)(v)-5 DISTR Dem Alloc'!I272</f>
        <v>0</v>
      </c>
      <c r="H272" s="533">
        <f>'FR-16(7)(v)-3 PROD Comm Alloc'!I272</f>
        <v>0</v>
      </c>
      <c r="I272" s="534">
        <f>'FR-16(7)(v)-6 DISTR Cust Alloc'!I272</f>
        <v>0</v>
      </c>
      <c r="J272" s="345">
        <f t="shared" si="48"/>
        <v>0</v>
      </c>
      <c r="K272" s="345">
        <f t="shared" si="49"/>
        <v>0</v>
      </c>
    </row>
    <row r="273" spans="1:11" ht="13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3">
        <f>'FR-16(7)(v)-8 TOT CLASS Alloc'!I273</f>
        <v>0</v>
      </c>
      <c r="G273" s="542">
        <f>'FR-16(7)(v)-5 DISTR Dem Alloc'!I273</f>
        <v>0</v>
      </c>
      <c r="H273" s="533">
        <f>'FR-16(7)(v)-3 PROD Comm Alloc'!I273</f>
        <v>0</v>
      </c>
      <c r="I273" s="534">
        <f>'FR-16(7)(v)-6 DISTR Cust Alloc'!I273</f>
        <v>0</v>
      </c>
      <c r="J273" s="345">
        <f t="shared" si="48"/>
        <v>0</v>
      </c>
      <c r="K273" s="345">
        <f t="shared" si="49"/>
        <v>0</v>
      </c>
    </row>
    <row r="274" spans="1:11" ht="13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3">
        <f>'FR-16(7)(v)-8 TOT CLASS Alloc'!I274</f>
        <v>31933</v>
      </c>
      <c r="G274" s="542">
        <f>'FR-16(7)(v)-5 DISTR Dem Alloc'!I274</f>
        <v>31110</v>
      </c>
      <c r="H274" s="533">
        <f>'FR-16(7)(v)-3 PROD Comm Alloc'!I274</f>
        <v>240</v>
      </c>
      <c r="I274" s="534">
        <f>'FR-16(7)(v)-6 DISTR Cust Alloc'!I274</f>
        <v>583</v>
      </c>
      <c r="J274" s="345">
        <f t="shared" si="48"/>
        <v>31933</v>
      </c>
      <c r="K274" s="345">
        <f t="shared" si="49"/>
        <v>0</v>
      </c>
    </row>
    <row r="275" spans="1:11" ht="13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K275" si="50">SUM(F251:F274)</f>
        <v>31933</v>
      </c>
      <c r="G275" s="543">
        <f t="shared" si="50"/>
        <v>31110</v>
      </c>
      <c r="H275" s="535">
        <f t="shared" si="50"/>
        <v>240</v>
      </c>
      <c r="I275" s="536">
        <f t="shared" si="50"/>
        <v>583</v>
      </c>
      <c r="J275" s="346">
        <f t="shared" si="50"/>
        <v>31933</v>
      </c>
      <c r="K275" s="346">
        <f t="shared" si="50"/>
        <v>0</v>
      </c>
    </row>
    <row r="276" spans="1:11" ht="13">
      <c r="A276" s="331">
        <v>27</v>
      </c>
      <c r="D276" s="342"/>
      <c r="E276" s="195"/>
      <c r="G276" s="541"/>
      <c r="H276" s="531"/>
      <c r="I276" s="532"/>
    </row>
    <row r="277" spans="1:11" ht="13">
      <c r="A277" s="331">
        <v>28</v>
      </c>
      <c r="B277" s="330" t="s">
        <v>30</v>
      </c>
      <c r="D277" s="342"/>
      <c r="E277" s="195"/>
      <c r="G277" s="541"/>
      <c r="H277" s="531"/>
      <c r="I277" s="532"/>
    </row>
    <row r="278" spans="1:11" ht="13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3">
        <f>'FR-16(7)(v)-8 TOT CLASS Alloc'!I278</f>
        <v>0</v>
      </c>
      <c r="G278" s="542">
        <f>'FR-16(7)(v)-5 DISTR Dem Alloc'!I278</f>
        <v>0</v>
      </c>
      <c r="H278" s="533">
        <f>'FR-16(7)(v)-3 PROD Comm Alloc'!I278</f>
        <v>0</v>
      </c>
      <c r="I278" s="534">
        <f>'FR-16(7)(v)-6 DISTR Cust Alloc'!I278</f>
        <v>0</v>
      </c>
      <c r="J278" s="345">
        <f>SUM(G278:I278)</f>
        <v>0</v>
      </c>
      <c r="K278" s="345">
        <f>F278-J278</f>
        <v>0</v>
      </c>
    </row>
    <row r="279" spans="1:11" ht="13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3">
        <f>'FR-16(7)(v)-8 TOT CLASS Alloc'!I279</f>
        <v>0</v>
      </c>
      <c r="G279" s="542">
        <f>'FR-16(7)(v)-5 DISTR Dem Alloc'!I279</f>
        <v>0</v>
      </c>
      <c r="H279" s="533">
        <f>'FR-16(7)(v)-3 PROD Comm Alloc'!I279</f>
        <v>0</v>
      </c>
      <c r="I279" s="534">
        <f>'FR-16(7)(v)-6 DISTR Cust Alloc'!I279</f>
        <v>0</v>
      </c>
      <c r="J279" s="345">
        <f>SUM(G279:I279)</f>
        <v>0</v>
      </c>
      <c r="K279" s="345">
        <f>F279-J279</f>
        <v>0</v>
      </c>
    </row>
    <row r="280" spans="1:11" ht="13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3">
        <f>'FR-16(7)(v)-8 TOT CLASS Alloc'!I280</f>
        <v>0</v>
      </c>
      <c r="G280" s="542">
        <f>'FR-16(7)(v)-5 DISTR Dem Alloc'!I280</f>
        <v>0</v>
      </c>
      <c r="H280" s="533">
        <f>'FR-16(7)(v)-3 PROD Comm Alloc'!I280</f>
        <v>0</v>
      </c>
      <c r="I280" s="534">
        <f>'FR-16(7)(v)-6 DISTR Cust Alloc'!I280</f>
        <v>0</v>
      </c>
      <c r="J280" s="345">
        <f>SUM(G280:I280)</f>
        <v>0</v>
      </c>
      <c r="K280" s="345">
        <f>F280-J280</f>
        <v>0</v>
      </c>
    </row>
    <row r="281" spans="1:11" ht="13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543">
        <f>SUM(G277:G280)</f>
        <v>0</v>
      </c>
      <c r="H281" s="535">
        <f>SUM(H277:H280)</f>
        <v>0</v>
      </c>
      <c r="I281" s="536">
        <f>SUM(I277:I280)</f>
        <v>0</v>
      </c>
      <c r="J281" s="346">
        <f>SUM(J277:J280)</f>
        <v>0</v>
      </c>
      <c r="K281" s="346">
        <f>SUM(K277:K280)</f>
        <v>0</v>
      </c>
    </row>
    <row r="282" spans="1:11" ht="13">
      <c r="A282" s="331">
        <v>33</v>
      </c>
      <c r="D282" s="342"/>
      <c r="F282" s="333" t="s">
        <v>343</v>
      </c>
      <c r="G282" s="541"/>
      <c r="H282" s="531"/>
      <c r="I282" s="532"/>
    </row>
    <row r="283" spans="1:11" ht="13">
      <c r="A283" s="331">
        <v>34</v>
      </c>
      <c r="B283" s="330" t="s">
        <v>818</v>
      </c>
      <c r="D283" s="342"/>
      <c r="F283" s="345">
        <f t="shared" ref="F283:K283" si="51">F275+F281</f>
        <v>31933</v>
      </c>
      <c r="G283" s="544">
        <f t="shared" si="51"/>
        <v>31110</v>
      </c>
      <c r="H283" s="537">
        <f t="shared" si="51"/>
        <v>240</v>
      </c>
      <c r="I283" s="538">
        <f t="shared" si="51"/>
        <v>583</v>
      </c>
      <c r="J283" s="345">
        <f t="shared" si="51"/>
        <v>31933</v>
      </c>
      <c r="K283" s="345">
        <f t="shared" si="51"/>
        <v>0</v>
      </c>
    </row>
    <row r="284" spans="1:11" ht="13">
      <c r="B284" s="341"/>
      <c r="C284" s="195"/>
      <c r="D284" s="342"/>
      <c r="E284" s="195"/>
      <c r="F284" s="195"/>
      <c r="G284" s="195"/>
      <c r="H284" s="195"/>
      <c r="I284" s="195"/>
      <c r="J284" s="195"/>
      <c r="K284" s="195"/>
    </row>
    <row r="285" spans="1:11" ht="13">
      <c r="A285" s="341" t="str">
        <f>co_name</f>
        <v>DUKE ENERGY KENTUCKY, INC.</v>
      </c>
      <c r="C285" s="195"/>
      <c r="D285" s="342"/>
      <c r="E285" s="195"/>
      <c r="F285" s="195"/>
      <c r="G285" s="195"/>
      <c r="H285" s="195"/>
      <c r="I285" s="195"/>
      <c r="J285" s="195" t="str">
        <f>$J$1</f>
        <v>FR-16(7)(v)-11</v>
      </c>
      <c r="K285" s="195"/>
    </row>
    <row r="286" spans="1:11" ht="13">
      <c r="A286" s="341" t="str">
        <f>$A$2</f>
        <v>FT-L CLASSIFIED - GAS COST OF SERVICE</v>
      </c>
      <c r="C286" s="195"/>
      <c r="D286" s="342"/>
      <c r="E286" s="195"/>
      <c r="F286" s="195"/>
      <c r="G286" s="195"/>
      <c r="H286" s="195"/>
      <c r="I286" s="195"/>
      <c r="J286" s="195" t="str">
        <f>$J$2</f>
        <v>WITNESS RESPONSIBLE:</v>
      </c>
      <c r="K286" s="195"/>
    </row>
    <row r="287" spans="1:11" ht="13">
      <c r="A287" s="341" t="str">
        <f>case_name</f>
        <v>CASE NO: 2021-00190</v>
      </c>
      <c r="C287" s="195"/>
      <c r="D287" s="342"/>
      <c r="E287" s="195"/>
      <c r="F287" s="195"/>
      <c r="G287" s="195"/>
      <c r="H287" s="195"/>
      <c r="I287" s="195"/>
      <c r="J287" s="195" t="str">
        <f>Witness</f>
        <v>JAMES E. ZIOLKOWSKI</v>
      </c>
      <c r="K287" s="195"/>
    </row>
    <row r="288" spans="1:11" ht="13">
      <c r="A288" s="341" t="str">
        <f>data_filing</f>
        <v>DATA: 12 MONTH FORECASTED PERIOD</v>
      </c>
      <c r="C288" s="195"/>
      <c r="D288" s="342"/>
      <c r="E288" s="195"/>
      <c r="F288" s="195"/>
      <c r="G288" s="195"/>
      <c r="H288" s="195"/>
      <c r="I288" s="195"/>
      <c r="J288" s="195" t="str">
        <f>"PAGE "&amp;Pages2-8&amp;" OF "&amp;Pages2</f>
        <v>PAGE 7 OF 15</v>
      </c>
      <c r="K288" s="195"/>
    </row>
    <row r="289" spans="1:13" ht="13">
      <c r="A289" s="341" t="str">
        <f>type</f>
        <v xml:space="preserve">TYPE OF FILING: "X" ORIGINAL   UPDATED    REVISED  </v>
      </c>
      <c r="C289" s="195"/>
      <c r="D289" s="342"/>
      <c r="E289" s="195"/>
      <c r="F289" s="195"/>
      <c r="G289" s="195"/>
      <c r="H289" s="195"/>
      <c r="I289" s="195"/>
      <c r="J289" s="195"/>
      <c r="K289" s="195"/>
    </row>
    <row r="290" spans="1:13" ht="13">
      <c r="B290" s="341"/>
      <c r="C290" s="195"/>
      <c r="D290" s="342"/>
      <c r="E290" s="195"/>
      <c r="F290" s="195"/>
      <c r="G290" s="195"/>
      <c r="H290" s="195"/>
      <c r="I290" s="195"/>
      <c r="J290" s="195"/>
      <c r="K290" s="195"/>
    </row>
    <row r="291" spans="1:13" ht="13">
      <c r="B291" s="341"/>
      <c r="C291" s="195"/>
      <c r="D291" s="342"/>
      <c r="E291" s="195"/>
      <c r="F291" s="195"/>
      <c r="G291" s="195"/>
      <c r="H291" s="195"/>
      <c r="I291" s="195"/>
      <c r="J291" s="195"/>
      <c r="K291" s="195"/>
    </row>
    <row r="292" spans="1:13" ht="13">
      <c r="A292" s="342" t="s">
        <v>907</v>
      </c>
      <c r="B292" s="195"/>
      <c r="C292" s="195"/>
      <c r="D292" s="342"/>
      <c r="E292" s="195"/>
      <c r="F292" s="342" t="s">
        <v>229</v>
      </c>
      <c r="G292" s="539" t="s">
        <v>995</v>
      </c>
      <c r="H292" s="527"/>
      <c r="I292" s="528"/>
      <c r="J292" s="342" t="s">
        <v>229</v>
      </c>
      <c r="K292" s="342" t="s">
        <v>342</v>
      </c>
    </row>
    <row r="293" spans="1:13" ht="13">
      <c r="A293" s="344" t="s">
        <v>908</v>
      </c>
      <c r="B293" s="343" t="s">
        <v>32</v>
      </c>
      <c r="C293" s="343"/>
      <c r="D293" s="344" t="s">
        <v>337</v>
      </c>
      <c r="E293" s="343"/>
      <c r="F293" s="344" t="str">
        <f>$F$9</f>
        <v>FT-L</v>
      </c>
      <c r="G293" s="540" t="s">
        <v>840</v>
      </c>
      <c r="H293" s="529" t="s">
        <v>841</v>
      </c>
      <c r="I293" s="530" t="s">
        <v>842</v>
      </c>
      <c r="J293" s="344" t="s">
        <v>341</v>
      </c>
      <c r="K293" s="344" t="s">
        <v>340</v>
      </c>
    </row>
    <row r="294" spans="1:13" ht="13">
      <c r="C294" s="572" t="s">
        <v>556</v>
      </c>
      <c r="D294" s="342"/>
      <c r="E294" s="484"/>
      <c r="F294" s="485"/>
      <c r="G294" s="793">
        <f>$G$10</f>
        <v>3</v>
      </c>
      <c r="H294" s="794">
        <f>$H$10</f>
        <v>4</v>
      </c>
      <c r="I294" s="795">
        <f>$I$10</f>
        <v>5</v>
      </c>
      <c r="J294" s="484"/>
      <c r="K294" s="484"/>
    </row>
    <row r="295" spans="1:13" ht="13">
      <c r="C295" s="572"/>
      <c r="D295" s="342"/>
      <c r="E295" s="484"/>
      <c r="F295" s="485"/>
      <c r="G295" s="793"/>
      <c r="H295" s="794"/>
      <c r="I295" s="795"/>
      <c r="J295" s="484"/>
      <c r="K295" s="484"/>
    </row>
    <row r="296" spans="1:13" ht="13">
      <c r="A296" s="331">
        <v>1</v>
      </c>
      <c r="B296" s="330" t="s">
        <v>31</v>
      </c>
      <c r="D296" s="342"/>
      <c r="E296" s="195"/>
      <c r="F296" s="345">
        <f t="shared" ref="F296:K296" si="52">F191-F238+F283</f>
        <v>39801223</v>
      </c>
      <c r="G296" s="542">
        <f t="shared" si="52"/>
        <v>38450282</v>
      </c>
      <c r="H296" s="533">
        <f t="shared" si="52"/>
        <v>538385</v>
      </c>
      <c r="I296" s="534">
        <f t="shared" si="52"/>
        <v>812556</v>
      </c>
      <c r="J296" s="345">
        <f t="shared" si="52"/>
        <v>39801223</v>
      </c>
      <c r="K296" s="345">
        <f t="shared" si="52"/>
        <v>0</v>
      </c>
    </row>
    <row r="297" spans="1:13" ht="13">
      <c r="A297" s="331">
        <v>2</v>
      </c>
      <c r="D297" s="342"/>
      <c r="E297" s="195"/>
      <c r="G297" s="541"/>
      <c r="H297" s="531"/>
      <c r="I297" s="532"/>
    </row>
    <row r="298" spans="1:13" ht="13">
      <c r="A298" s="331">
        <v>3</v>
      </c>
      <c r="B298" s="330" t="s">
        <v>32</v>
      </c>
      <c r="D298" s="342"/>
      <c r="E298" s="195"/>
      <c r="G298" s="541"/>
      <c r="H298" s="531"/>
      <c r="I298" s="532"/>
    </row>
    <row r="299" spans="1:13" ht="13">
      <c r="A299" s="331">
        <v>4</v>
      </c>
      <c r="D299" s="342"/>
      <c r="E299" s="195"/>
      <c r="G299" s="541"/>
      <c r="H299" s="531"/>
      <c r="I299" s="532"/>
    </row>
    <row r="300" spans="1:13" ht="13">
      <c r="A300" s="331">
        <v>5</v>
      </c>
      <c r="B300" s="330" t="s">
        <v>33</v>
      </c>
      <c r="D300" s="342"/>
      <c r="E300" s="195"/>
      <c r="G300" s="541"/>
      <c r="H300" s="531"/>
      <c r="I300" s="532"/>
    </row>
    <row r="301" spans="1:13" ht="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3">
        <f>'FR-16(7)(v)-8 TOT CLASS Alloc'!I301</f>
        <v>0</v>
      </c>
      <c r="G301" s="542">
        <f>'FR-16(7)(v)-5 DISTR Dem Alloc'!I301</f>
        <v>0</v>
      </c>
      <c r="H301" s="533">
        <f>'FR-16(7)(v)-3 PROD Comm Alloc'!I301</f>
        <v>0</v>
      </c>
      <c r="I301" s="534">
        <f>'FR-16(7)(v)-6 DISTR Cust Alloc'!I301</f>
        <v>0</v>
      </c>
      <c r="J301" s="345">
        <f>SUM(G301:I301)</f>
        <v>0</v>
      </c>
      <c r="K301" s="345">
        <f>F301-J301</f>
        <v>0</v>
      </c>
      <c r="M301" s="333"/>
    </row>
    <row r="302" spans="1:13" ht="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3">
        <f>'FR-16(7)(v)-8 TOT CLASS Alloc'!I302</f>
        <v>36213</v>
      </c>
      <c r="G302" s="542">
        <f>'FR-16(7)(v)-5 DISTR Dem Alloc'!I302</f>
        <v>34984</v>
      </c>
      <c r="H302" s="533">
        <f>'FR-16(7)(v)-3 PROD Comm Alloc'!I302</f>
        <v>490</v>
      </c>
      <c r="I302" s="534">
        <f>'FR-16(7)(v)-6 DISTR Cust Alloc'!I302</f>
        <v>739</v>
      </c>
      <c r="J302" s="345">
        <f>SUM(G302:I302)</f>
        <v>36213</v>
      </c>
      <c r="K302" s="345">
        <f>F302-J302</f>
        <v>0</v>
      </c>
      <c r="M302" s="333"/>
    </row>
    <row r="303" spans="1:13" ht="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K303" si="53">SUM(F300:F302)</f>
        <v>36213</v>
      </c>
      <c r="G303" s="543">
        <f t="shared" si="53"/>
        <v>34984</v>
      </c>
      <c r="H303" s="535">
        <f t="shared" si="53"/>
        <v>490</v>
      </c>
      <c r="I303" s="536">
        <f t="shared" si="53"/>
        <v>739</v>
      </c>
      <c r="J303" s="346">
        <f t="shared" si="53"/>
        <v>36213</v>
      </c>
      <c r="K303" s="346">
        <f t="shared" si="53"/>
        <v>0</v>
      </c>
    </row>
    <row r="304" spans="1:13" ht="13">
      <c r="A304" s="331">
        <v>9</v>
      </c>
      <c r="B304" s="330" t="s">
        <v>34</v>
      </c>
      <c r="D304" s="342"/>
      <c r="E304" s="195"/>
      <c r="F304" s="345">
        <f t="shared" ref="F304:K304" si="54">F303</f>
        <v>36213</v>
      </c>
      <c r="G304" s="542">
        <f t="shared" si="54"/>
        <v>34984</v>
      </c>
      <c r="H304" s="533">
        <f t="shared" si="54"/>
        <v>490</v>
      </c>
      <c r="I304" s="534">
        <f t="shared" si="54"/>
        <v>739</v>
      </c>
      <c r="J304" s="345">
        <f t="shared" si="54"/>
        <v>36213</v>
      </c>
      <c r="K304" s="345">
        <f t="shared" si="54"/>
        <v>0</v>
      </c>
    </row>
    <row r="305" spans="1:13" ht="13">
      <c r="A305" s="331">
        <v>10</v>
      </c>
      <c r="D305" s="342"/>
      <c r="E305" s="195"/>
      <c r="G305" s="541"/>
      <c r="H305" s="531"/>
      <c r="I305" s="532"/>
    </row>
    <row r="306" spans="1:13" ht="13">
      <c r="A306" s="331">
        <v>11</v>
      </c>
      <c r="B306" s="330" t="s">
        <v>35</v>
      </c>
      <c r="D306" s="342"/>
      <c r="E306" s="195"/>
      <c r="G306" s="541"/>
      <c r="H306" s="531"/>
      <c r="I306" s="532"/>
    </row>
    <row r="307" spans="1:13" ht="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3">
        <f>'FR-16(7)(v)-8 TOT CLASS Alloc'!I307</f>
        <v>2501</v>
      </c>
      <c r="G307" s="542">
        <f>'FR-16(7)(v)-5 DISTR Dem Alloc'!I307</f>
        <v>2094</v>
      </c>
      <c r="H307" s="533">
        <f>'FR-16(7)(v)-3 PROD Comm Alloc'!I307</f>
        <v>365</v>
      </c>
      <c r="I307" s="534">
        <f>'FR-16(7)(v)-6 DISTR Cust Alloc'!I307</f>
        <v>42</v>
      </c>
      <c r="J307" s="345">
        <f>SUM(G307:I307)</f>
        <v>2501</v>
      </c>
      <c r="K307" s="345">
        <f>F307-J307</f>
        <v>0</v>
      </c>
      <c r="M307" s="333"/>
    </row>
    <row r="308" spans="1:13" ht="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3">
        <f>'FR-16(7)(v)-8 TOT CLASS Alloc'!I308</f>
        <v>0</v>
      </c>
      <c r="G308" s="542">
        <f>'FR-16(7)(v)-5 DISTR Dem Alloc'!I308</f>
        <v>0</v>
      </c>
      <c r="H308" s="533">
        <f>'FR-16(7)(v)-3 PROD Comm Alloc'!I308</f>
        <v>0</v>
      </c>
      <c r="I308" s="534">
        <f>'FR-16(7)(v)-6 DISTR Cust Alloc'!I308</f>
        <v>0</v>
      </c>
      <c r="J308" s="345">
        <f>SUM(G308:I308)</f>
        <v>0</v>
      </c>
      <c r="K308" s="345">
        <f>F308-J308</f>
        <v>0</v>
      </c>
      <c r="M308" s="333"/>
    </row>
    <row r="309" spans="1:13" ht="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3">
        <f>'FR-16(7)(v)-8 TOT CLASS Alloc'!I309</f>
        <v>0</v>
      </c>
      <c r="G309" s="542">
        <f>'FR-16(7)(v)-5 DISTR Dem Alloc'!I309</f>
        <v>0</v>
      </c>
      <c r="H309" s="533">
        <f>'FR-16(7)(v)-3 PROD Comm Alloc'!I309</f>
        <v>0</v>
      </c>
      <c r="I309" s="534">
        <f>'FR-16(7)(v)-6 DISTR Cust Alloc'!I309</f>
        <v>0</v>
      </c>
      <c r="J309" s="345">
        <f>SUM(G309:I309)</f>
        <v>0</v>
      </c>
      <c r="K309" s="345">
        <f>F309-J309</f>
        <v>0</v>
      </c>
      <c r="M309" s="333"/>
    </row>
    <row r="310" spans="1:13" ht="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3">
        <f t="shared" ref="F310:K310" si="55">SUM(F306:F309)</f>
        <v>2501</v>
      </c>
      <c r="G310" s="574">
        <f t="shared" si="55"/>
        <v>2094</v>
      </c>
      <c r="H310" s="575">
        <f t="shared" si="55"/>
        <v>365</v>
      </c>
      <c r="I310" s="576">
        <f t="shared" si="55"/>
        <v>42</v>
      </c>
      <c r="J310" s="573">
        <f t="shared" si="55"/>
        <v>2501</v>
      </c>
      <c r="K310" s="573">
        <f t="shared" si="55"/>
        <v>0</v>
      </c>
    </row>
    <row r="311" spans="1:13" ht="13">
      <c r="A311" s="331">
        <v>16</v>
      </c>
      <c r="D311" s="342"/>
      <c r="E311" s="195"/>
      <c r="G311" s="541"/>
      <c r="H311" s="531"/>
      <c r="I311" s="532"/>
    </row>
    <row r="312" spans="1:13" ht="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542">
        <f>IF(WorkingCap="No",0,ROUND((G433-G348-G353)/8,0))</f>
        <v>0</v>
      </c>
      <c r="H312" s="533">
        <f>IF(WorkingCap="No",0,ROUND((H433-H348-H353)/8,0))</f>
        <v>0</v>
      </c>
      <c r="I312" s="534">
        <f>IF(WorkingCap="No",0,ROUND((I433-I348-I353)/8,0))</f>
        <v>0</v>
      </c>
      <c r="J312" s="345">
        <f>SUM(G312:I312)</f>
        <v>0</v>
      </c>
      <c r="K312" s="345">
        <f>F312-J312</f>
        <v>0</v>
      </c>
    </row>
    <row r="313" spans="1:13" ht="13">
      <c r="A313" s="331">
        <v>18</v>
      </c>
      <c r="B313" s="330" t="s">
        <v>37</v>
      </c>
      <c r="D313" s="342"/>
      <c r="E313" s="195"/>
      <c r="F313" s="345">
        <f t="shared" ref="F313:K313" si="56">F312</f>
        <v>0</v>
      </c>
      <c r="G313" s="542">
        <f t="shared" si="56"/>
        <v>0</v>
      </c>
      <c r="H313" s="533">
        <f t="shared" si="56"/>
        <v>0</v>
      </c>
      <c r="I313" s="534">
        <f t="shared" si="56"/>
        <v>0</v>
      </c>
      <c r="J313" s="345">
        <f t="shared" si="56"/>
        <v>0</v>
      </c>
      <c r="K313" s="345">
        <f t="shared" si="56"/>
        <v>0</v>
      </c>
    </row>
    <row r="314" spans="1:13" ht="13">
      <c r="A314" s="331">
        <v>19</v>
      </c>
      <c r="D314" s="342"/>
      <c r="E314" s="195"/>
      <c r="G314" s="541"/>
      <c r="H314" s="531"/>
      <c r="I314" s="532"/>
    </row>
    <row r="315" spans="1:13" ht="13">
      <c r="A315" s="331">
        <v>20</v>
      </c>
      <c r="B315" s="330" t="s">
        <v>38</v>
      </c>
      <c r="D315" s="342"/>
      <c r="E315" s="195"/>
      <c r="G315" s="541"/>
      <c r="H315" s="531"/>
      <c r="I315" s="532"/>
    </row>
    <row r="316" spans="1:13" ht="13">
      <c r="A316" s="331">
        <v>21</v>
      </c>
      <c r="C316" s="612" t="str">
        <f>'FR-16(7)(v)-1 Functional'!C316</f>
        <v>GAS STORED UNDERGROUND</v>
      </c>
      <c r="D316" s="342" t="str">
        <f>'FR-16(7)(v)-1 Functional'!D316</f>
        <v>K301</v>
      </c>
      <c r="E316" s="195"/>
      <c r="F316" s="473">
        <f>'FR-16(7)(v)-8 TOT CLASS Alloc'!I316</f>
        <v>0</v>
      </c>
      <c r="G316" s="542">
        <f>'FR-16(7)(v)-5 DISTR Dem Alloc'!I316</f>
        <v>0</v>
      </c>
      <c r="H316" s="533">
        <f>'FR-16(7)(v)-3 PROD Comm Alloc'!I316</f>
        <v>0</v>
      </c>
      <c r="I316" s="534">
        <f>'FR-16(7)(v)-6 DISTR Cust Alloc'!I316</f>
        <v>0</v>
      </c>
      <c r="J316" s="345">
        <f>SUM(G316:I316)</f>
        <v>0</v>
      </c>
      <c r="K316" s="345">
        <f>F316-J316</f>
        <v>0</v>
      </c>
      <c r="M316" s="333"/>
    </row>
    <row r="317" spans="1:13" ht="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3">
        <f>'FR-16(7)(v)-8 TOT CLASS Alloc'!I317</f>
        <v>0</v>
      </c>
      <c r="G317" s="542">
        <f>'FR-16(7)(v)-5 DISTR Dem Alloc'!I317</f>
        <v>0</v>
      </c>
      <c r="H317" s="533">
        <f>'FR-16(7)(v)-3 PROD Comm Alloc'!I317</f>
        <v>0</v>
      </c>
      <c r="I317" s="534">
        <f>'FR-16(7)(v)-6 DISTR Cust Alloc'!I317</f>
        <v>0</v>
      </c>
      <c r="J317" s="345">
        <f>SUM(G317:I317)</f>
        <v>0</v>
      </c>
      <c r="K317" s="345">
        <f>F317-J317</f>
        <v>0</v>
      </c>
      <c r="M317" s="333"/>
    </row>
    <row r="318" spans="1:13" ht="13">
      <c r="A318" s="331">
        <v>23</v>
      </c>
      <c r="C318" s="505" t="str">
        <f>'FR-16(7)(v)-1 Functional'!C318</f>
        <v>RESERVED FOR FUTURE USE</v>
      </c>
      <c r="D318" s="342" t="str">
        <f>'FR-16(7)(v)-1 Functional'!D318</f>
        <v>D249</v>
      </c>
      <c r="E318" s="195"/>
      <c r="F318" s="473">
        <f>'FR-16(7)(v)-8 TOT CLASS Alloc'!I318</f>
        <v>0</v>
      </c>
      <c r="G318" s="542">
        <f>'FR-16(7)(v)-5 DISTR Dem Alloc'!I318</f>
        <v>0</v>
      </c>
      <c r="H318" s="533">
        <f>'FR-16(7)(v)-3 PROD Comm Alloc'!I318</f>
        <v>0</v>
      </c>
      <c r="I318" s="534">
        <f>'FR-16(7)(v)-6 DISTR Cust Alloc'!I318</f>
        <v>0</v>
      </c>
      <c r="J318" s="345">
        <f>SUM(G318:I318)</f>
        <v>0</v>
      </c>
      <c r="K318" s="345">
        <f>F318-J318</f>
        <v>0</v>
      </c>
      <c r="M318" s="333"/>
    </row>
    <row r="319" spans="1:13" ht="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K319" si="57">SUM(F315:F318)</f>
        <v>0</v>
      </c>
      <c r="G319" s="543">
        <f t="shared" si="57"/>
        <v>0</v>
      </c>
      <c r="H319" s="535">
        <f t="shared" si="57"/>
        <v>0</v>
      </c>
      <c r="I319" s="536">
        <f t="shared" si="57"/>
        <v>0</v>
      </c>
      <c r="J319" s="346">
        <f t="shared" si="57"/>
        <v>0</v>
      </c>
      <c r="K319" s="346">
        <f t="shared" si="57"/>
        <v>0</v>
      </c>
    </row>
    <row r="320" spans="1:13" ht="13">
      <c r="A320" s="331">
        <v>25</v>
      </c>
      <c r="D320" s="342"/>
      <c r="E320" s="195"/>
      <c r="G320" s="541"/>
      <c r="H320" s="531"/>
      <c r="I320" s="532"/>
    </row>
    <row r="321" spans="1:13" ht="13">
      <c r="A321" s="331">
        <v>26</v>
      </c>
      <c r="B321" s="330" t="s">
        <v>39</v>
      </c>
      <c r="D321" s="342"/>
      <c r="E321" s="195"/>
      <c r="F321" s="345">
        <f t="shared" ref="F321:K321" si="58">F304+F310+F313+F319</f>
        <v>38714</v>
      </c>
      <c r="G321" s="542">
        <f t="shared" si="58"/>
        <v>37078</v>
      </c>
      <c r="H321" s="533">
        <f t="shared" si="58"/>
        <v>855</v>
      </c>
      <c r="I321" s="534">
        <f t="shared" si="58"/>
        <v>781</v>
      </c>
      <c r="J321" s="345">
        <f t="shared" si="58"/>
        <v>38714</v>
      </c>
      <c r="K321" s="345">
        <f t="shared" si="58"/>
        <v>0</v>
      </c>
    </row>
    <row r="322" spans="1:13" ht="13">
      <c r="A322" s="331">
        <v>27</v>
      </c>
      <c r="B322" s="330" t="s">
        <v>40</v>
      </c>
      <c r="D322" s="342"/>
      <c r="E322" s="195"/>
      <c r="G322" s="541"/>
      <c r="H322" s="531"/>
      <c r="I322" s="532"/>
    </row>
    <row r="323" spans="1:13" ht="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K323" si="59">-F238</f>
        <v>-8685325</v>
      </c>
      <c r="G323" s="542">
        <f t="shared" si="59"/>
        <v>-8390451</v>
      </c>
      <c r="H323" s="533">
        <f t="shared" si="59"/>
        <v>-117565</v>
      </c>
      <c r="I323" s="534">
        <f t="shared" si="59"/>
        <v>-177309</v>
      </c>
      <c r="J323" s="345">
        <f t="shared" si="59"/>
        <v>-8685325</v>
      </c>
      <c r="K323" s="345">
        <f t="shared" si="59"/>
        <v>0</v>
      </c>
      <c r="M323" s="333"/>
    </row>
    <row r="324" spans="1:13" ht="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K324" si="60">F283</f>
        <v>31933</v>
      </c>
      <c r="G324" s="542">
        <f t="shared" si="60"/>
        <v>31110</v>
      </c>
      <c r="H324" s="533">
        <f t="shared" si="60"/>
        <v>240</v>
      </c>
      <c r="I324" s="534">
        <f t="shared" si="60"/>
        <v>583</v>
      </c>
      <c r="J324" s="345">
        <f t="shared" si="60"/>
        <v>31933</v>
      </c>
      <c r="K324" s="345">
        <f t="shared" si="60"/>
        <v>0</v>
      </c>
      <c r="M324" s="333"/>
    </row>
    <row r="325" spans="1:13" ht="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K325" si="61">F321</f>
        <v>38714</v>
      </c>
      <c r="G325" s="542">
        <f t="shared" si="61"/>
        <v>37078</v>
      </c>
      <c r="H325" s="533">
        <f t="shared" si="61"/>
        <v>855</v>
      </c>
      <c r="I325" s="534">
        <f t="shared" si="61"/>
        <v>781</v>
      </c>
      <c r="J325" s="345">
        <f t="shared" si="61"/>
        <v>38714</v>
      </c>
      <c r="K325" s="345">
        <f t="shared" si="61"/>
        <v>0</v>
      </c>
      <c r="M325" s="333"/>
    </row>
    <row r="326" spans="1:13" ht="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K326" si="62">SUM(F322:F325)</f>
        <v>-8614678</v>
      </c>
      <c r="G326" s="543">
        <f t="shared" si="62"/>
        <v>-8322263</v>
      </c>
      <c r="H326" s="535">
        <f t="shared" si="62"/>
        <v>-116470</v>
      </c>
      <c r="I326" s="536">
        <f t="shared" si="62"/>
        <v>-175945</v>
      </c>
      <c r="J326" s="346">
        <f>SUM(J322:J325)</f>
        <v>-8614678</v>
      </c>
      <c r="K326" s="346">
        <f t="shared" si="62"/>
        <v>0</v>
      </c>
    </row>
    <row r="327" spans="1:13" ht="13">
      <c r="A327" s="331">
        <v>32</v>
      </c>
      <c r="D327" s="342"/>
      <c r="E327" s="195"/>
      <c r="G327" s="541"/>
      <c r="H327" s="531"/>
      <c r="I327" s="532"/>
    </row>
    <row r="328" spans="1:13" ht="13">
      <c r="A328" s="331">
        <v>33</v>
      </c>
      <c r="B328" s="330" t="s">
        <v>41</v>
      </c>
      <c r="D328" s="342"/>
      <c r="E328" s="195"/>
      <c r="G328" s="541"/>
      <c r="H328" s="531"/>
      <c r="I328" s="532"/>
    </row>
    <row r="329" spans="1:13" ht="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K329" si="63">F191</f>
        <v>48454615</v>
      </c>
      <c r="G329" s="542">
        <f t="shared" si="63"/>
        <v>46809623</v>
      </c>
      <c r="H329" s="533">
        <f t="shared" si="63"/>
        <v>655710</v>
      </c>
      <c r="I329" s="534">
        <f t="shared" si="63"/>
        <v>989282</v>
      </c>
      <c r="J329" s="345">
        <f t="shared" si="63"/>
        <v>48454615</v>
      </c>
      <c r="K329" s="345">
        <f t="shared" si="63"/>
        <v>0</v>
      </c>
    </row>
    <row r="330" spans="1:13" ht="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K330" si="64">F326</f>
        <v>-8614678</v>
      </c>
      <c r="G330" s="542">
        <f t="shared" si="64"/>
        <v>-8322263</v>
      </c>
      <c r="H330" s="533">
        <f t="shared" si="64"/>
        <v>-116470</v>
      </c>
      <c r="I330" s="534">
        <f t="shared" si="64"/>
        <v>-175945</v>
      </c>
      <c r="J330" s="345">
        <f t="shared" si="64"/>
        <v>-8614678</v>
      </c>
      <c r="K330" s="345">
        <f t="shared" si="64"/>
        <v>0</v>
      </c>
    </row>
    <row r="331" spans="1:13" ht="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K331" si="65">SUM(F328:F330)</f>
        <v>39839937</v>
      </c>
      <c r="G331" s="543">
        <f t="shared" si="65"/>
        <v>38487360</v>
      </c>
      <c r="H331" s="535">
        <f t="shared" si="65"/>
        <v>539240</v>
      </c>
      <c r="I331" s="536">
        <f t="shared" si="65"/>
        <v>813337</v>
      </c>
      <c r="J331" s="346">
        <f t="shared" si="65"/>
        <v>39839937</v>
      </c>
      <c r="K331" s="346">
        <f t="shared" si="65"/>
        <v>0</v>
      </c>
    </row>
    <row r="332" spans="1:13" ht="13">
      <c r="A332" s="331">
        <v>37</v>
      </c>
      <c r="D332" s="342"/>
      <c r="E332" s="195"/>
      <c r="G332" s="541"/>
      <c r="H332" s="531"/>
      <c r="I332" s="532"/>
    </row>
    <row r="333" spans="1:13" ht="13">
      <c r="A333" s="331">
        <v>38</v>
      </c>
      <c r="B333" s="330" t="s">
        <v>42</v>
      </c>
      <c r="D333" s="342"/>
      <c r="E333" s="195"/>
      <c r="F333" s="348">
        <f>$F$688</f>
        <v>7.060000000000001E-2</v>
      </c>
      <c r="G333" s="1267">
        <f>F688</f>
        <v>7.060000000000001E-2</v>
      </c>
      <c r="H333" s="1268">
        <f>F688</f>
        <v>7.060000000000001E-2</v>
      </c>
      <c r="I333" s="1269">
        <f>F688</f>
        <v>7.060000000000001E-2</v>
      </c>
      <c r="J333" s="348">
        <f>F688</f>
        <v>7.060000000000001E-2</v>
      </c>
      <c r="K333" s="348">
        <f>'FR-16(7)(v)-1 Functional'!F688</f>
        <v>7.060000000000001E-2</v>
      </c>
    </row>
    <row r="334" spans="1:13" ht="13">
      <c r="A334" s="331">
        <v>39</v>
      </c>
      <c r="B334" s="330" t="s">
        <v>43</v>
      </c>
      <c r="D334" s="342"/>
      <c r="E334" s="195"/>
      <c r="F334" s="345">
        <f>ROUND(F333*F331,0)</f>
        <v>2812700</v>
      </c>
      <c r="G334" s="548">
        <f>ROUND(G331*G333,0)</f>
        <v>2717208</v>
      </c>
      <c r="H334" s="549">
        <f>ROUND(H331*H333,0)</f>
        <v>38070</v>
      </c>
      <c r="I334" s="550">
        <f>ROUND(I331*I333,0)</f>
        <v>57422</v>
      </c>
      <c r="J334" s="345">
        <f>SUM(G334:I334)</f>
        <v>2812700</v>
      </c>
      <c r="K334" s="345">
        <f>ROUND(K331*K333,0)</f>
        <v>0</v>
      </c>
    </row>
    <row r="335" spans="1:13" ht="13">
      <c r="B335" s="341"/>
      <c r="C335" s="195"/>
      <c r="D335" s="342"/>
      <c r="E335" s="195"/>
      <c r="F335" s="195"/>
      <c r="G335" s="195"/>
      <c r="H335" s="195"/>
      <c r="I335" s="195"/>
      <c r="J335" s="195"/>
      <c r="K335" s="195"/>
    </row>
    <row r="336" spans="1:13" ht="13">
      <c r="A336" s="341" t="str">
        <f>co_name</f>
        <v>DUKE ENERGY KENTUCKY, INC.</v>
      </c>
      <c r="C336" s="195"/>
      <c r="D336" s="342"/>
      <c r="E336" s="195"/>
      <c r="F336" s="195"/>
      <c r="G336" s="195"/>
      <c r="H336" s="195"/>
      <c r="I336" s="195"/>
      <c r="J336" s="195" t="str">
        <f>$J$1</f>
        <v>FR-16(7)(v)-11</v>
      </c>
      <c r="K336" s="195"/>
    </row>
    <row r="337" spans="1:11" ht="13">
      <c r="A337" s="341" t="str">
        <f>$A$2</f>
        <v>FT-L CLASSIFIED - GAS COST OF SERVICE</v>
      </c>
      <c r="C337" s="195"/>
      <c r="D337" s="342"/>
      <c r="E337" s="195"/>
      <c r="F337" s="195"/>
      <c r="G337" s="195"/>
      <c r="H337" s="195"/>
      <c r="I337" s="195"/>
      <c r="J337" s="195" t="str">
        <f>$J$2</f>
        <v>WITNESS RESPONSIBLE:</v>
      </c>
      <c r="K337" s="195"/>
    </row>
    <row r="338" spans="1:11" ht="13">
      <c r="A338" s="341" t="str">
        <f>case_name</f>
        <v>CASE NO: 2021-00190</v>
      </c>
      <c r="C338" s="195"/>
      <c r="D338" s="342"/>
      <c r="E338" s="195"/>
      <c r="F338" s="195"/>
      <c r="G338" s="195"/>
      <c r="H338" s="195"/>
      <c r="I338" s="195"/>
      <c r="J338" s="195" t="str">
        <f>Witness</f>
        <v>JAMES E. ZIOLKOWSKI</v>
      </c>
      <c r="K338" s="195"/>
    </row>
    <row r="339" spans="1:11" ht="13">
      <c r="A339" s="341" t="str">
        <f>data_filing</f>
        <v>DATA: 12 MONTH FORECASTED PERIOD</v>
      </c>
      <c r="C339" s="195"/>
      <c r="D339" s="342"/>
      <c r="E339" s="195"/>
      <c r="F339" s="195"/>
      <c r="G339" s="195"/>
      <c r="H339" s="195"/>
      <c r="I339" s="195"/>
      <c r="J339" s="195" t="str">
        <f>"PAGE "&amp;Pages2-7&amp;" OF "&amp;Pages2</f>
        <v>PAGE 8 OF 15</v>
      </c>
      <c r="K339" s="195"/>
    </row>
    <row r="340" spans="1:11" ht="13">
      <c r="A340" s="341" t="str">
        <f>type</f>
        <v xml:space="preserve">TYPE OF FILING: "X" ORIGINAL   UPDATED    REVISED  </v>
      </c>
      <c r="C340" s="195"/>
      <c r="D340" s="342"/>
      <c r="E340" s="195"/>
      <c r="F340" s="195"/>
      <c r="G340" s="195"/>
      <c r="H340" s="195"/>
      <c r="I340" s="195"/>
      <c r="J340" s="195"/>
      <c r="K340" s="195"/>
    </row>
    <row r="341" spans="1:11" ht="13">
      <c r="B341" s="341"/>
      <c r="C341" s="195"/>
      <c r="D341" s="342"/>
      <c r="E341" s="195"/>
      <c r="F341" s="195"/>
      <c r="G341" s="195"/>
      <c r="H341" s="195"/>
      <c r="I341" s="195"/>
      <c r="J341" s="195"/>
      <c r="K341" s="195"/>
    </row>
    <row r="342" spans="1:11" ht="13">
      <c r="B342" s="341"/>
      <c r="C342" s="195"/>
      <c r="D342" s="342"/>
      <c r="E342" s="195"/>
      <c r="F342" s="195"/>
      <c r="G342" s="195"/>
      <c r="H342" s="195"/>
      <c r="I342" s="195"/>
      <c r="J342" s="195"/>
      <c r="K342" s="195"/>
    </row>
    <row r="343" spans="1:11" ht="13">
      <c r="A343" s="342" t="s">
        <v>907</v>
      </c>
      <c r="B343" s="195"/>
      <c r="C343" s="195"/>
      <c r="D343" s="342"/>
      <c r="E343" s="195"/>
      <c r="F343" s="342" t="s">
        <v>229</v>
      </c>
      <c r="G343" s="539" t="s">
        <v>995</v>
      </c>
      <c r="H343" s="527"/>
      <c r="I343" s="528"/>
      <c r="J343" s="342" t="s">
        <v>229</v>
      </c>
      <c r="K343" s="342" t="s">
        <v>342</v>
      </c>
    </row>
    <row r="344" spans="1:11" ht="13">
      <c r="A344" s="344" t="s">
        <v>908</v>
      </c>
      <c r="B344" s="343" t="s">
        <v>44</v>
      </c>
      <c r="C344" s="343"/>
      <c r="D344" s="344" t="s">
        <v>337</v>
      </c>
      <c r="E344" s="343"/>
      <c r="F344" s="344" t="str">
        <f>$F$9</f>
        <v>FT-L</v>
      </c>
      <c r="G344" s="540" t="s">
        <v>840</v>
      </c>
      <c r="H344" s="529" t="s">
        <v>841</v>
      </c>
      <c r="I344" s="530" t="s">
        <v>842</v>
      </c>
      <c r="J344" s="344" t="s">
        <v>341</v>
      </c>
      <c r="K344" s="344" t="s">
        <v>340</v>
      </c>
    </row>
    <row r="345" spans="1:11" ht="13">
      <c r="C345" s="572" t="s">
        <v>348</v>
      </c>
      <c r="D345" s="342"/>
      <c r="E345" s="195"/>
      <c r="G345" s="793">
        <f>$G$10</f>
        <v>3</v>
      </c>
      <c r="H345" s="794">
        <f>$H$10</f>
        <v>4</v>
      </c>
      <c r="I345" s="795">
        <f>$I$10</f>
        <v>5</v>
      </c>
    </row>
    <row r="346" spans="1:11" ht="13">
      <c r="A346" s="331">
        <v>1</v>
      </c>
      <c r="B346" s="330" t="s">
        <v>45</v>
      </c>
      <c r="D346" s="342"/>
      <c r="E346" s="195"/>
      <c r="G346" s="541"/>
      <c r="H346" s="531"/>
      <c r="I346" s="532"/>
    </row>
    <row r="347" spans="1:11" ht="13">
      <c r="A347" s="331">
        <v>2</v>
      </c>
      <c r="B347" s="330" t="s">
        <v>46</v>
      </c>
      <c r="D347" s="342"/>
      <c r="E347" s="195"/>
      <c r="G347" s="541"/>
      <c r="H347" s="531"/>
      <c r="I347" s="532"/>
    </row>
    <row r="348" spans="1:11" ht="13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3">
        <f>'FR-16(7)(v)-8 TOT CLASS Alloc'!I348</f>
        <v>0</v>
      </c>
      <c r="G348" s="542">
        <f>'FR-16(7)(v)-5 DISTR Dem Alloc'!I348</f>
        <v>0</v>
      </c>
      <c r="H348" s="533">
        <f>'FR-16(7)(v)-3 PROD Comm Alloc'!I348</f>
        <v>0</v>
      </c>
      <c r="I348" s="534">
        <f>'FR-16(7)(v)-6 DISTR Cust Alloc'!I348</f>
        <v>0</v>
      </c>
      <c r="J348" s="345">
        <f>SUM(G348:I348)</f>
        <v>0</v>
      </c>
      <c r="K348" s="345">
        <f>F348-J348</f>
        <v>0</v>
      </c>
    </row>
    <row r="349" spans="1:11" ht="13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3">
        <f>'FR-16(7)(v)-8 TOT CLASS Alloc'!I349</f>
        <v>223640</v>
      </c>
      <c r="G349" s="542">
        <f>'FR-16(7)(v)-5 DISTR Dem Alloc'!I349</f>
        <v>0</v>
      </c>
      <c r="H349" s="533">
        <f>'FR-16(7)(v)-3 PROD Comm Alloc'!I349</f>
        <v>223640</v>
      </c>
      <c r="I349" s="534">
        <f>'FR-16(7)(v)-6 DISTR Cust Alloc'!I349</f>
        <v>0</v>
      </c>
      <c r="J349" s="345">
        <f>SUM(G349:I349)</f>
        <v>223640</v>
      </c>
      <c r="K349" s="345">
        <f>F349-J349</f>
        <v>0</v>
      </c>
    </row>
    <row r="350" spans="1:11" ht="13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K350" si="66">SUM(F348:F349)</f>
        <v>223640</v>
      </c>
      <c r="G350" s="543">
        <f t="shared" si="66"/>
        <v>0</v>
      </c>
      <c r="H350" s="535">
        <f t="shared" si="66"/>
        <v>223640</v>
      </c>
      <c r="I350" s="536">
        <f t="shared" si="66"/>
        <v>0</v>
      </c>
      <c r="J350" s="346">
        <f t="shared" si="66"/>
        <v>223640</v>
      </c>
      <c r="K350" s="346">
        <f t="shared" si="66"/>
        <v>0</v>
      </c>
    </row>
    <row r="351" spans="1:11" ht="13">
      <c r="A351" s="331">
        <v>6</v>
      </c>
      <c r="D351" s="342"/>
      <c r="E351" s="195"/>
      <c r="G351" s="541"/>
      <c r="H351" s="531"/>
      <c r="I351" s="532"/>
    </row>
    <row r="352" spans="1:11" ht="13">
      <c r="A352" s="331">
        <v>7</v>
      </c>
      <c r="B352" s="357" t="s">
        <v>47</v>
      </c>
      <c r="C352" s="357"/>
      <c r="D352" s="342"/>
      <c r="E352" s="195"/>
      <c r="F352" s="345"/>
      <c r="G352" s="542"/>
      <c r="H352" s="533"/>
      <c r="I352" s="534"/>
      <c r="J352" s="345"/>
      <c r="K352" s="345"/>
    </row>
    <row r="353" spans="1:11" ht="13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3">
        <f>'FR-16(7)(v)-8 TOT CLASS Alloc'!I353</f>
        <v>0</v>
      </c>
      <c r="G353" s="542">
        <f>'FR-16(7)(v)-5 DISTR Dem Alloc'!I353</f>
        <v>0</v>
      </c>
      <c r="H353" s="533">
        <f>'FR-16(7)(v)-3 PROD Comm Alloc'!I353</f>
        <v>0</v>
      </c>
      <c r="I353" s="534">
        <f>'FR-16(7)(v)-6 DISTR Cust Alloc'!I353</f>
        <v>0</v>
      </c>
      <c r="J353" s="345">
        <f>SUM(G353:I353)</f>
        <v>0</v>
      </c>
      <c r="K353" s="345">
        <f>F353-J353</f>
        <v>0</v>
      </c>
    </row>
    <row r="354" spans="1:11" ht="13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K354" si="67">SUM(F352:F353)</f>
        <v>0</v>
      </c>
      <c r="G354" s="543">
        <f t="shared" si="67"/>
        <v>0</v>
      </c>
      <c r="H354" s="535">
        <f t="shared" si="67"/>
        <v>0</v>
      </c>
      <c r="I354" s="536">
        <f t="shared" si="67"/>
        <v>0</v>
      </c>
      <c r="J354" s="346">
        <f t="shared" si="67"/>
        <v>0</v>
      </c>
      <c r="K354" s="346">
        <f t="shared" si="67"/>
        <v>0</v>
      </c>
    </row>
    <row r="355" spans="1:11" ht="13">
      <c r="A355" s="331">
        <v>10</v>
      </c>
      <c r="D355" s="342"/>
      <c r="E355" s="195"/>
      <c r="G355" s="541"/>
      <c r="H355" s="531"/>
      <c r="I355" s="532"/>
    </row>
    <row r="356" spans="1:11" ht="13">
      <c r="A356" s="331">
        <v>11</v>
      </c>
      <c r="B356" s="330" t="s">
        <v>1000</v>
      </c>
      <c r="D356" s="342"/>
      <c r="E356" s="195"/>
      <c r="G356" s="541"/>
      <c r="H356" s="531"/>
      <c r="I356" s="532"/>
    </row>
    <row r="357" spans="1:11" ht="13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3">
        <f>'FR-16(7)(v)-8 TOT CLASS Alloc'!I357</f>
        <v>0</v>
      </c>
      <c r="G357" s="542">
        <f>'FR-16(7)(v)-5 DISTR Dem Alloc'!I357</f>
        <v>0</v>
      </c>
      <c r="H357" s="533">
        <f>'FR-16(7)(v)-3 PROD Comm Alloc'!I357</f>
        <v>0</v>
      </c>
      <c r="I357" s="534">
        <f>'FR-16(7)(v)-6 DISTR Cust Alloc'!I357</f>
        <v>0</v>
      </c>
      <c r="J357" s="345">
        <f>SUM(G357:I357)</f>
        <v>0</v>
      </c>
      <c r="K357" s="345">
        <f>F357-J357</f>
        <v>0</v>
      </c>
    </row>
    <row r="358" spans="1:11" ht="13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K358" si="68">SUM(F356:F357)</f>
        <v>0</v>
      </c>
      <c r="G358" s="543">
        <f t="shared" si="68"/>
        <v>0</v>
      </c>
      <c r="H358" s="535">
        <f t="shared" si="68"/>
        <v>0</v>
      </c>
      <c r="I358" s="536">
        <f t="shared" si="68"/>
        <v>0</v>
      </c>
      <c r="J358" s="346">
        <f t="shared" si="68"/>
        <v>0</v>
      </c>
      <c r="K358" s="346">
        <f t="shared" si="68"/>
        <v>0</v>
      </c>
    </row>
    <row r="359" spans="1:11" ht="13">
      <c r="A359" s="331">
        <v>14</v>
      </c>
      <c r="D359" s="342"/>
      <c r="E359" s="195"/>
      <c r="F359" s="345"/>
      <c r="G359" s="542"/>
      <c r="H359" s="533"/>
      <c r="I359" s="534"/>
      <c r="J359" s="345"/>
      <c r="K359" s="345"/>
    </row>
    <row r="360" spans="1:11" ht="13">
      <c r="A360" s="331">
        <v>15</v>
      </c>
      <c r="B360" s="330" t="s">
        <v>48</v>
      </c>
      <c r="D360" s="342"/>
      <c r="E360" s="195" t="s">
        <v>343</v>
      </c>
      <c r="F360" s="345">
        <f t="shared" ref="F360:K360" si="69">F358+F354+F350</f>
        <v>223640</v>
      </c>
      <c r="G360" s="542">
        <f t="shared" si="69"/>
        <v>0</v>
      </c>
      <c r="H360" s="533">
        <f t="shared" si="69"/>
        <v>223640</v>
      </c>
      <c r="I360" s="534">
        <f t="shared" si="69"/>
        <v>0</v>
      </c>
      <c r="J360" s="345">
        <f t="shared" si="69"/>
        <v>223640</v>
      </c>
      <c r="K360" s="345">
        <f t="shared" si="69"/>
        <v>0</v>
      </c>
    </row>
    <row r="361" spans="1:11" ht="13">
      <c r="A361" s="331">
        <v>16</v>
      </c>
      <c r="D361" s="342"/>
      <c r="E361" s="195"/>
      <c r="G361" s="541"/>
      <c r="H361" s="531"/>
      <c r="I361" s="532"/>
    </row>
    <row r="362" spans="1:11" ht="13">
      <c r="A362" s="331">
        <v>17</v>
      </c>
      <c r="B362" s="330" t="s">
        <v>49</v>
      </c>
      <c r="D362" s="342"/>
      <c r="E362" s="195"/>
      <c r="G362" s="541"/>
      <c r="H362" s="531"/>
      <c r="I362" s="532"/>
    </row>
    <row r="363" spans="1:11" ht="13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1"/>
      <c r="G363" s="542"/>
      <c r="H363" s="533"/>
      <c r="I363" s="534"/>
      <c r="J363" s="345"/>
      <c r="K363" s="345"/>
    </row>
    <row r="364" spans="1:11" ht="13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K364" si="70">SUM(F363)</f>
        <v>0</v>
      </c>
      <c r="G364" s="543">
        <f t="shared" si="70"/>
        <v>0</v>
      </c>
      <c r="H364" s="535">
        <f t="shared" si="70"/>
        <v>0</v>
      </c>
      <c r="I364" s="536">
        <f t="shared" si="70"/>
        <v>0</v>
      </c>
      <c r="J364" s="346">
        <f t="shared" si="70"/>
        <v>0</v>
      </c>
      <c r="K364" s="346">
        <f t="shared" si="70"/>
        <v>0</v>
      </c>
    </row>
    <row r="365" spans="1:11" ht="13">
      <c r="A365" s="331">
        <v>20</v>
      </c>
      <c r="D365" s="342"/>
      <c r="E365" s="195"/>
      <c r="G365" s="541"/>
      <c r="H365" s="531"/>
      <c r="I365" s="532"/>
    </row>
    <row r="366" spans="1:11" ht="13">
      <c r="A366" s="331">
        <v>21</v>
      </c>
      <c r="B366" s="330" t="s">
        <v>50</v>
      </c>
      <c r="D366" s="342"/>
      <c r="E366" s="195"/>
      <c r="G366" s="541"/>
      <c r="H366" s="531"/>
      <c r="I366" s="532"/>
    </row>
    <row r="367" spans="1:11" ht="13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3">
        <f>'FR-16(7)(v)-8 TOT CLASS Alloc'!I367</f>
        <v>35196</v>
      </c>
      <c r="G367" s="542">
        <f>'FR-16(7)(v)-5 DISTR Dem Alloc'!I367</f>
        <v>35196</v>
      </c>
      <c r="H367" s="533">
        <f>'FR-16(7)(v)-3 PROD Comm Alloc'!I367</f>
        <v>0</v>
      </c>
      <c r="I367" s="534">
        <f>'FR-16(7)(v)-6 DISTR Cust Alloc'!I367</f>
        <v>0</v>
      </c>
      <c r="J367" s="345">
        <f t="shared" ref="J367:J377" si="71">SUM(G367:I367)</f>
        <v>35196</v>
      </c>
      <c r="K367" s="345">
        <f t="shared" ref="K367:K377" si="72">F367-J367</f>
        <v>0</v>
      </c>
    </row>
    <row r="368" spans="1:11" ht="13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3">
        <f>'FR-16(7)(v)-8 TOT CLASS Alloc'!I368</f>
        <v>115702</v>
      </c>
      <c r="G368" s="542">
        <f>'FR-16(7)(v)-5 DISTR Dem Alloc'!I368</f>
        <v>114767</v>
      </c>
      <c r="H368" s="533">
        <f>'FR-16(7)(v)-3 PROD Comm Alloc'!I368</f>
        <v>0</v>
      </c>
      <c r="I368" s="534">
        <f>'FR-16(7)(v)-6 DISTR Cust Alloc'!I368</f>
        <v>935</v>
      </c>
      <c r="J368" s="345">
        <f t="shared" si="71"/>
        <v>115702</v>
      </c>
      <c r="K368" s="345">
        <f t="shared" si="72"/>
        <v>0</v>
      </c>
    </row>
    <row r="369" spans="1:11" ht="13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3">
        <f>'FR-16(7)(v)-8 TOT CLASS Alloc'!I369</f>
        <v>27109</v>
      </c>
      <c r="G369" s="542">
        <f>'FR-16(7)(v)-5 DISTR Dem Alloc'!I369</f>
        <v>27109</v>
      </c>
      <c r="H369" s="533">
        <f>'FR-16(7)(v)-3 PROD Comm Alloc'!I369</f>
        <v>0</v>
      </c>
      <c r="I369" s="534">
        <f>'FR-16(7)(v)-6 DISTR Cust Alloc'!I369</f>
        <v>0</v>
      </c>
      <c r="J369" s="345">
        <f t="shared" si="71"/>
        <v>27109</v>
      </c>
      <c r="K369" s="345">
        <f t="shared" si="72"/>
        <v>0</v>
      </c>
    </row>
    <row r="370" spans="1:11" ht="13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3">
        <f>'FR-16(7)(v)-8 TOT CLASS Alloc'!I370</f>
        <v>176327</v>
      </c>
      <c r="G370" s="542">
        <f>'FR-16(7)(v)-5 DISTR Dem Alloc'!I370</f>
        <v>176327</v>
      </c>
      <c r="H370" s="533">
        <f>'FR-16(7)(v)-3 PROD Comm Alloc'!I370</f>
        <v>0</v>
      </c>
      <c r="I370" s="534">
        <f>'FR-16(7)(v)-6 DISTR Cust Alloc'!I370</f>
        <v>0</v>
      </c>
      <c r="J370" s="345">
        <f t="shared" si="71"/>
        <v>176327</v>
      </c>
      <c r="K370" s="345">
        <f t="shared" si="72"/>
        <v>0</v>
      </c>
    </row>
    <row r="371" spans="1:11" ht="13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3">
        <f>'FR-16(7)(v)-8 TOT CLASS Alloc'!I371</f>
        <v>10288</v>
      </c>
      <c r="G371" s="542">
        <f>'FR-16(7)(v)-5 DISTR Dem Alloc'!I371</f>
        <v>0</v>
      </c>
      <c r="H371" s="533">
        <f>'FR-16(7)(v)-3 PROD Comm Alloc'!I371</f>
        <v>0</v>
      </c>
      <c r="I371" s="534">
        <f>'FR-16(7)(v)-6 DISTR Cust Alloc'!I371</f>
        <v>10288</v>
      </c>
      <c r="J371" s="345">
        <f t="shared" si="71"/>
        <v>10288</v>
      </c>
      <c r="K371" s="345">
        <f t="shared" si="72"/>
        <v>0</v>
      </c>
    </row>
    <row r="372" spans="1:11" ht="13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3">
        <f>'FR-16(7)(v)-8 TOT CLASS Alloc'!I372</f>
        <v>153761</v>
      </c>
      <c r="G372" s="542">
        <f>'FR-16(7)(v)-5 DISTR Dem Alloc'!I372</f>
        <v>153761</v>
      </c>
      <c r="H372" s="533">
        <f>'FR-16(7)(v)-3 PROD Comm Alloc'!I372</f>
        <v>0</v>
      </c>
      <c r="I372" s="534">
        <f>'FR-16(7)(v)-6 DISTR Cust Alloc'!I372</f>
        <v>0</v>
      </c>
      <c r="J372" s="345">
        <f t="shared" si="71"/>
        <v>153761</v>
      </c>
      <c r="K372" s="345">
        <f t="shared" si="72"/>
        <v>0</v>
      </c>
    </row>
    <row r="373" spans="1:11" ht="13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3">
        <f>'FR-16(7)(v)-8 TOT CLASS Alloc'!I373</f>
        <v>1236</v>
      </c>
      <c r="G373" s="542">
        <f>'FR-16(7)(v)-5 DISTR Dem Alloc'!I373</f>
        <v>0</v>
      </c>
      <c r="H373" s="533">
        <f>'FR-16(7)(v)-3 PROD Comm Alloc'!I373</f>
        <v>0</v>
      </c>
      <c r="I373" s="534">
        <f>'FR-16(7)(v)-6 DISTR Cust Alloc'!I373</f>
        <v>1236</v>
      </c>
      <c r="J373" s="345">
        <f t="shared" si="71"/>
        <v>1236</v>
      </c>
      <c r="K373" s="345">
        <f t="shared" si="72"/>
        <v>0</v>
      </c>
    </row>
    <row r="374" spans="1:11" ht="13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3">
        <f>'FR-16(7)(v)-8 TOT CLASS Alloc'!I374</f>
        <v>0</v>
      </c>
      <c r="G374" s="542">
        <f>'FR-16(7)(v)-5 DISTR Dem Alloc'!I374</f>
        <v>0</v>
      </c>
      <c r="H374" s="533">
        <f>'FR-16(7)(v)-3 PROD Comm Alloc'!I374</f>
        <v>0</v>
      </c>
      <c r="I374" s="534">
        <f>'FR-16(7)(v)-6 DISTR Cust Alloc'!I374</f>
        <v>0</v>
      </c>
      <c r="J374" s="345">
        <f t="shared" si="71"/>
        <v>0</v>
      </c>
      <c r="K374" s="345">
        <f t="shared" si="72"/>
        <v>0</v>
      </c>
    </row>
    <row r="375" spans="1:11" ht="13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3">
        <f>'FR-16(7)(v)-8 TOT CLASS Alloc'!I375</f>
        <v>-31351</v>
      </c>
      <c r="G375" s="542">
        <f>'FR-16(7)(v)-5 DISTR Dem Alloc'!I375</f>
        <v>-31351</v>
      </c>
      <c r="H375" s="533">
        <f>'FR-16(7)(v)-3 PROD Comm Alloc'!I375</f>
        <v>0</v>
      </c>
      <c r="I375" s="534">
        <f>'FR-16(7)(v)-6 DISTR Cust Alloc'!I375</f>
        <v>0</v>
      </c>
      <c r="J375" s="345">
        <f t="shared" si="71"/>
        <v>-31351</v>
      </c>
      <c r="K375" s="345">
        <f t="shared" si="72"/>
        <v>0</v>
      </c>
    </row>
    <row r="376" spans="1:11" ht="13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3">
        <f>'FR-16(7)(v)-8 TOT CLASS Alloc'!I376</f>
        <v>0</v>
      </c>
      <c r="G376" s="542">
        <f>'FR-16(7)(v)-5 DISTR Dem Alloc'!I376</f>
        <v>0</v>
      </c>
      <c r="H376" s="533">
        <f>'FR-16(7)(v)-3 PROD Comm Alloc'!I376</f>
        <v>0</v>
      </c>
      <c r="I376" s="534">
        <f>'FR-16(7)(v)-6 DISTR Cust Alloc'!I376</f>
        <v>0</v>
      </c>
      <c r="J376" s="345">
        <f t="shared" si="71"/>
        <v>0</v>
      </c>
      <c r="K376" s="345">
        <f t="shared" si="72"/>
        <v>0</v>
      </c>
    </row>
    <row r="377" spans="1:11" ht="13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3">
        <f>'FR-16(7)(v)-8 TOT CLASS Alloc'!I377</f>
        <v>391040</v>
      </c>
      <c r="G377" s="542">
        <f>'FR-16(7)(v)-5 DISTR Dem Alloc'!I377</f>
        <v>391040</v>
      </c>
      <c r="H377" s="533">
        <f>'FR-16(7)(v)-3 PROD Comm Alloc'!I377</f>
        <v>0</v>
      </c>
      <c r="I377" s="534">
        <f>'FR-16(7)(v)-6 DISTR Cust Alloc'!I377</f>
        <v>0</v>
      </c>
      <c r="J377" s="345">
        <f t="shared" si="71"/>
        <v>391040</v>
      </c>
      <c r="K377" s="345">
        <f t="shared" si="72"/>
        <v>0</v>
      </c>
    </row>
    <row r="378" spans="1:11" ht="13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K378" si="73">SUM(F366:F377)</f>
        <v>879308</v>
      </c>
      <c r="G378" s="543">
        <f t="shared" si="73"/>
        <v>866849</v>
      </c>
      <c r="H378" s="535">
        <f t="shared" si="73"/>
        <v>0</v>
      </c>
      <c r="I378" s="536">
        <f t="shared" si="73"/>
        <v>12459</v>
      </c>
      <c r="J378" s="346">
        <f t="shared" si="73"/>
        <v>879308</v>
      </c>
      <c r="K378" s="346">
        <f t="shared" si="73"/>
        <v>0</v>
      </c>
    </row>
    <row r="379" spans="1:11" ht="13">
      <c r="A379" s="331">
        <v>34</v>
      </c>
      <c r="C379" s="330" t="s">
        <v>343</v>
      </c>
      <c r="D379" s="342"/>
      <c r="E379" s="195"/>
      <c r="G379" s="541"/>
      <c r="H379" s="531"/>
      <c r="I379" s="532"/>
    </row>
    <row r="380" spans="1:11" ht="13">
      <c r="A380" s="331">
        <v>35</v>
      </c>
      <c r="B380" s="330" t="s">
        <v>51</v>
      </c>
      <c r="D380" s="342"/>
      <c r="E380" s="195"/>
      <c r="F380" s="330" t="s">
        <v>343</v>
      </c>
      <c r="G380" s="541"/>
      <c r="H380" s="531"/>
      <c r="I380" s="532"/>
    </row>
    <row r="381" spans="1:11" ht="13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3">
        <f>'FR-16(7)(v)-8 TOT CLASS Alloc'!I381</f>
        <v>197</v>
      </c>
      <c r="G381" s="542">
        <f>'FR-16(7)(v)-5 DISTR Dem Alloc'!I381</f>
        <v>0</v>
      </c>
      <c r="H381" s="533">
        <f>'FR-16(7)(v)-3 PROD Comm Alloc'!I381</f>
        <v>0</v>
      </c>
      <c r="I381" s="534">
        <f>'FR-16(7)(v)-6 DISTR Cust Alloc'!I381</f>
        <v>197</v>
      </c>
      <c r="J381" s="345">
        <f t="shared" ref="J381:J388" si="74">SUM(G381:I381)</f>
        <v>197</v>
      </c>
      <c r="K381" s="345">
        <f t="shared" ref="K381:K388" si="75">F381-J381</f>
        <v>0</v>
      </c>
    </row>
    <row r="382" spans="1:11" ht="13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3">
        <f>'FR-16(7)(v)-8 TOT CLASS Alloc'!I382</f>
        <v>1</v>
      </c>
      <c r="G382" s="542">
        <f>'FR-16(7)(v)-5 DISTR Dem Alloc'!I382</f>
        <v>0</v>
      </c>
      <c r="H382" s="533">
        <f>'FR-16(7)(v)-3 PROD Comm Alloc'!I382</f>
        <v>0</v>
      </c>
      <c r="I382" s="534">
        <f>'FR-16(7)(v)-6 DISTR Cust Alloc'!I382</f>
        <v>1</v>
      </c>
      <c r="J382" s="345">
        <f t="shared" si="74"/>
        <v>1</v>
      </c>
      <c r="K382" s="345">
        <f t="shared" si="75"/>
        <v>0</v>
      </c>
    </row>
    <row r="383" spans="1:11" ht="13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3">
        <f>'FR-16(7)(v)-8 TOT CLASS Alloc'!I383</f>
        <v>4463</v>
      </c>
      <c r="G383" s="542">
        <f>'FR-16(7)(v)-5 DISTR Dem Alloc'!I383</f>
        <v>0</v>
      </c>
      <c r="H383" s="533">
        <f>'FR-16(7)(v)-3 PROD Comm Alloc'!I383</f>
        <v>0</v>
      </c>
      <c r="I383" s="534">
        <f>'FR-16(7)(v)-6 DISTR Cust Alloc'!I383</f>
        <v>4463</v>
      </c>
      <c r="J383" s="345">
        <f t="shared" si="74"/>
        <v>4463</v>
      </c>
      <c r="K383" s="345">
        <f t="shared" si="75"/>
        <v>0</v>
      </c>
    </row>
    <row r="384" spans="1:11" ht="13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3">
        <f>'FR-16(7)(v)-8 TOT CLASS Alloc'!I384</f>
        <v>-1289</v>
      </c>
      <c r="G384" s="542">
        <f>'FR-16(7)(v)-5 DISTR Dem Alloc'!I384</f>
        <v>0</v>
      </c>
      <c r="H384" s="533">
        <f>'FR-16(7)(v)-3 PROD Comm Alloc'!I384</f>
        <v>0</v>
      </c>
      <c r="I384" s="534">
        <f>'FR-16(7)(v)-6 DISTR Cust Alloc'!I384</f>
        <v>-1289</v>
      </c>
      <c r="J384" s="345">
        <f t="shared" si="74"/>
        <v>-1289</v>
      </c>
      <c r="K384" s="345">
        <f t="shared" si="75"/>
        <v>0</v>
      </c>
    </row>
    <row r="385" spans="1:11" ht="13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3">
        <f>'FR-16(7)(v)-8 TOT CLASS Alloc'!I385</f>
        <v>-31</v>
      </c>
      <c r="G385" s="542">
        <f>'FR-16(7)(v)-5 DISTR Dem Alloc'!I385</f>
        <v>0</v>
      </c>
      <c r="H385" s="533">
        <f>'FR-16(7)(v)-3 PROD Comm Alloc'!I385</f>
        <v>0</v>
      </c>
      <c r="I385" s="534">
        <f>'FR-16(7)(v)-6 DISTR Cust Alloc'!I385</f>
        <v>-31</v>
      </c>
      <c r="J385" s="345">
        <f t="shared" si="74"/>
        <v>-31</v>
      </c>
      <c r="K385" s="345">
        <f t="shared" si="75"/>
        <v>0</v>
      </c>
    </row>
    <row r="386" spans="1:11" ht="13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3">
        <f>'FR-16(7)(v)-8 TOT CLASS Alloc'!I386</f>
        <v>1230</v>
      </c>
      <c r="G386" s="542">
        <f>'FR-16(7)(v)-5 DISTR Dem Alloc'!I386</f>
        <v>0</v>
      </c>
      <c r="H386" s="533">
        <f>'FR-16(7)(v)-3 PROD Comm Alloc'!I386</f>
        <v>0</v>
      </c>
      <c r="I386" s="534">
        <f>'FR-16(7)(v)-6 DISTR Cust Alloc'!I386</f>
        <v>1230</v>
      </c>
      <c r="J386" s="345">
        <f t="shared" si="74"/>
        <v>1230</v>
      </c>
      <c r="K386" s="345">
        <f t="shared" si="75"/>
        <v>0</v>
      </c>
    </row>
    <row r="387" spans="1:11" ht="13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3">
        <f>'FR-16(7)(v)-8 TOT CLASS Alloc'!I387</f>
        <v>0</v>
      </c>
      <c r="G387" s="542">
        <f>'FR-16(7)(v)-5 DISTR Dem Alloc'!I387</f>
        <v>0</v>
      </c>
      <c r="H387" s="533">
        <f>'FR-16(7)(v)-3 PROD Comm Alloc'!I387</f>
        <v>0</v>
      </c>
      <c r="I387" s="534">
        <f>'FR-16(7)(v)-6 DISTR Cust Alloc'!I387</f>
        <v>0</v>
      </c>
      <c r="J387" s="345">
        <f t="shared" si="74"/>
        <v>0</v>
      </c>
      <c r="K387" s="345">
        <f t="shared" si="75"/>
        <v>0</v>
      </c>
    </row>
    <row r="388" spans="1:11" ht="13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3">
        <f>'FR-16(7)(v)-8 TOT CLASS Alloc'!I388</f>
        <v>0</v>
      </c>
      <c r="G388" s="542">
        <f>'FR-16(7)(v)-5 DISTR Dem Alloc'!I388</f>
        <v>0</v>
      </c>
      <c r="H388" s="533">
        <f>'FR-16(7)(v)-3 PROD Comm Alloc'!I388</f>
        <v>0</v>
      </c>
      <c r="I388" s="534">
        <f>'FR-16(7)(v)-6 DISTR Cust Alloc'!I388</f>
        <v>0</v>
      </c>
      <c r="J388" s="345">
        <f t="shared" si="74"/>
        <v>0</v>
      </c>
      <c r="K388" s="345">
        <f t="shared" si="75"/>
        <v>0</v>
      </c>
    </row>
    <row r="389" spans="1:11" ht="13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K389" si="76">SUM(F380:F388)</f>
        <v>4571</v>
      </c>
      <c r="G389" s="551">
        <f t="shared" si="76"/>
        <v>0</v>
      </c>
      <c r="H389" s="552">
        <f t="shared" si="76"/>
        <v>0</v>
      </c>
      <c r="I389" s="553">
        <f t="shared" si="76"/>
        <v>4571</v>
      </c>
      <c r="J389" s="346">
        <f t="shared" si="76"/>
        <v>4571</v>
      </c>
      <c r="K389" s="346">
        <f t="shared" si="76"/>
        <v>0</v>
      </c>
    </row>
    <row r="390" spans="1:11" ht="13">
      <c r="B390" s="341"/>
      <c r="C390" s="195"/>
      <c r="D390" s="342"/>
      <c r="E390" s="195"/>
      <c r="F390" s="195"/>
      <c r="G390" s="195"/>
      <c r="H390" s="195"/>
      <c r="I390" s="195"/>
      <c r="J390" s="195"/>
      <c r="K390" s="195"/>
    </row>
    <row r="391" spans="1:11" ht="13">
      <c r="A391" s="341" t="str">
        <f>co_name</f>
        <v>DUKE ENERGY KENTUCKY, INC.</v>
      </c>
      <c r="C391" s="195"/>
      <c r="D391" s="342"/>
      <c r="E391" s="195"/>
      <c r="F391" s="195"/>
      <c r="G391" s="195"/>
      <c r="H391" s="195"/>
      <c r="I391" s="195"/>
      <c r="J391" s="195" t="str">
        <f>$J$1</f>
        <v>FR-16(7)(v)-11</v>
      </c>
      <c r="K391" s="195"/>
    </row>
    <row r="392" spans="1:11" ht="13">
      <c r="A392" s="341" t="str">
        <f>$A$2</f>
        <v>FT-L CLASSIFIED - GAS COST OF SERVICE</v>
      </c>
      <c r="C392" s="195"/>
      <c r="D392" s="342"/>
      <c r="E392" s="195"/>
      <c r="F392" s="195"/>
      <c r="G392" s="195"/>
      <c r="H392" s="195"/>
      <c r="I392" s="195"/>
      <c r="J392" s="195" t="str">
        <f>$J$2</f>
        <v>WITNESS RESPONSIBLE:</v>
      </c>
      <c r="K392" s="195"/>
    </row>
    <row r="393" spans="1:11" ht="13">
      <c r="A393" s="341" t="str">
        <f>case_name</f>
        <v>CASE NO: 2021-00190</v>
      </c>
      <c r="C393" s="195"/>
      <c r="D393" s="342"/>
      <c r="E393" s="195"/>
      <c r="F393" s="195"/>
      <c r="G393" s="195"/>
      <c r="H393" s="195"/>
      <c r="I393" s="195"/>
      <c r="J393" s="195" t="str">
        <f>Witness</f>
        <v>JAMES E. ZIOLKOWSKI</v>
      </c>
      <c r="K393" s="195"/>
    </row>
    <row r="394" spans="1:11" ht="13">
      <c r="A394" s="341" t="str">
        <f>data_filing</f>
        <v>DATA: 12 MONTH FORECASTED PERIOD</v>
      </c>
      <c r="C394" s="195"/>
      <c r="D394" s="342"/>
      <c r="E394" s="195"/>
      <c r="F394" s="195"/>
      <c r="G394" s="195"/>
      <c r="H394" s="195"/>
      <c r="I394" s="195"/>
      <c r="J394" s="195" t="str">
        <f>"PAGE "&amp;Pages2-6&amp;" OF "&amp;Pages2</f>
        <v>PAGE 9 OF 15</v>
      </c>
      <c r="K394" s="195"/>
    </row>
    <row r="395" spans="1:11" ht="13">
      <c r="A395" s="341" t="str">
        <f>type</f>
        <v xml:space="preserve">TYPE OF FILING: "X" ORIGINAL   UPDATED    REVISED  </v>
      </c>
      <c r="C395" s="195"/>
      <c r="D395" s="342"/>
      <c r="E395" s="195"/>
      <c r="F395" s="195"/>
      <c r="G395" s="195"/>
      <c r="H395" s="195"/>
      <c r="I395" s="195"/>
      <c r="J395" s="195"/>
      <c r="K395" s="195"/>
    </row>
    <row r="396" spans="1:11" ht="13">
      <c r="B396" s="341"/>
      <c r="C396" s="195"/>
      <c r="D396" s="342"/>
      <c r="E396" s="195"/>
      <c r="F396" s="195"/>
      <c r="G396" s="195"/>
      <c r="H396" s="195"/>
      <c r="I396" s="195"/>
      <c r="J396" s="195"/>
      <c r="K396" s="195"/>
    </row>
    <row r="397" spans="1:11" ht="13">
      <c r="B397" s="341"/>
      <c r="C397" s="195"/>
      <c r="D397" s="342"/>
      <c r="E397" s="195"/>
      <c r="F397" s="195"/>
      <c r="G397" s="195"/>
      <c r="H397" s="195"/>
      <c r="I397" s="195"/>
      <c r="J397" s="195"/>
      <c r="K397" s="195"/>
    </row>
    <row r="398" spans="1:11" ht="13">
      <c r="A398" s="342" t="s">
        <v>907</v>
      </c>
      <c r="B398" s="195"/>
      <c r="C398" s="195"/>
      <c r="D398" s="342"/>
      <c r="E398" s="195"/>
      <c r="F398" s="342" t="s">
        <v>229</v>
      </c>
      <c r="G398" s="539" t="s">
        <v>995</v>
      </c>
      <c r="H398" s="527"/>
      <c r="I398" s="528"/>
      <c r="J398" s="342" t="s">
        <v>229</v>
      </c>
      <c r="K398" s="342" t="s">
        <v>342</v>
      </c>
    </row>
    <row r="399" spans="1:11" ht="13">
      <c r="A399" s="344" t="s">
        <v>908</v>
      </c>
      <c r="B399" s="343" t="s">
        <v>44</v>
      </c>
      <c r="C399" s="343"/>
      <c r="D399" s="344" t="s">
        <v>337</v>
      </c>
      <c r="E399" s="343"/>
      <c r="F399" s="344" t="str">
        <f>$F$9</f>
        <v>FT-L</v>
      </c>
      <c r="G399" s="540" t="s">
        <v>840</v>
      </c>
      <c r="H399" s="529" t="s">
        <v>841</v>
      </c>
      <c r="I399" s="530" t="s">
        <v>842</v>
      </c>
      <c r="J399" s="344" t="s">
        <v>341</v>
      </c>
      <c r="K399" s="344" t="s">
        <v>340</v>
      </c>
    </row>
    <row r="400" spans="1:11" ht="13">
      <c r="C400" s="572" t="s">
        <v>557</v>
      </c>
      <c r="D400" s="342"/>
      <c r="E400" s="195"/>
      <c r="G400" s="793">
        <f>$G$10</f>
        <v>3</v>
      </c>
      <c r="H400" s="794">
        <f>$H$10</f>
        <v>4</v>
      </c>
      <c r="I400" s="795">
        <f>$I$10</f>
        <v>5</v>
      </c>
    </row>
    <row r="401" spans="1:11" ht="13">
      <c r="A401" s="331">
        <v>1</v>
      </c>
      <c r="B401" s="330" t="s">
        <v>52</v>
      </c>
      <c r="D401" s="342"/>
      <c r="E401" s="195"/>
      <c r="G401" s="541"/>
      <c r="H401" s="531"/>
      <c r="I401" s="532"/>
    </row>
    <row r="402" spans="1:11" ht="13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3">
        <f>'FR-16(7)(v)-8 TOT CLASS Alloc'!I402</f>
        <v>408</v>
      </c>
      <c r="G402" s="542">
        <f>'FR-16(7)(v)-5 DISTR Dem Alloc'!I402</f>
        <v>0</v>
      </c>
      <c r="H402" s="533">
        <f>'FR-16(7)(v)-3 PROD Comm Alloc'!I402</f>
        <v>0</v>
      </c>
      <c r="I402" s="534">
        <f>'FR-16(7)(v)-6 DISTR Cust Alloc'!I402</f>
        <v>408</v>
      </c>
      <c r="J402" s="345">
        <f>SUM(G402:I402)</f>
        <v>408</v>
      </c>
      <c r="K402" s="345">
        <f>F402-J402</f>
        <v>0</v>
      </c>
    </row>
    <row r="403" spans="1:11" ht="13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K403" si="77">SUM(F402:F402)</f>
        <v>408</v>
      </c>
      <c r="G403" s="543">
        <f t="shared" si="77"/>
        <v>0</v>
      </c>
      <c r="H403" s="535">
        <f t="shared" si="77"/>
        <v>0</v>
      </c>
      <c r="I403" s="536">
        <f t="shared" si="77"/>
        <v>408</v>
      </c>
      <c r="J403" s="346">
        <f t="shared" si="77"/>
        <v>408</v>
      </c>
      <c r="K403" s="346">
        <f t="shared" si="77"/>
        <v>0</v>
      </c>
    </row>
    <row r="404" spans="1:11" ht="13">
      <c r="A404" s="331">
        <v>4</v>
      </c>
      <c r="D404" s="342"/>
      <c r="E404" s="195"/>
      <c r="F404" s="345"/>
      <c r="G404" s="542"/>
      <c r="H404" s="533"/>
      <c r="I404" s="534"/>
      <c r="J404" s="345"/>
      <c r="K404" s="345"/>
    </row>
    <row r="405" spans="1:11" ht="13">
      <c r="A405" s="331">
        <v>5</v>
      </c>
      <c r="B405" s="330" t="s">
        <v>53</v>
      </c>
      <c r="D405" s="342"/>
      <c r="E405" s="195"/>
      <c r="F405" s="345"/>
      <c r="G405" s="542"/>
      <c r="H405" s="533"/>
      <c r="I405" s="534"/>
      <c r="J405" s="345"/>
      <c r="K405" s="345"/>
    </row>
    <row r="406" spans="1:11" ht="13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3">
        <f>'FR-16(7)(v)-8 TOT CLASS Alloc'!I406</f>
        <v>459</v>
      </c>
      <c r="G406" s="542">
        <f>'FR-16(7)(v)-5 DISTR Dem Alloc'!I406</f>
        <v>0</v>
      </c>
      <c r="H406" s="533">
        <f>'FR-16(7)(v)-3 PROD Comm Alloc'!I406</f>
        <v>0</v>
      </c>
      <c r="I406" s="534">
        <f>'FR-16(7)(v)-6 DISTR Cust Alloc'!I406</f>
        <v>459</v>
      </c>
      <c r="J406" s="345">
        <f>SUM(G406:I406)</f>
        <v>459</v>
      </c>
      <c r="K406" s="345">
        <f>F406-J406</f>
        <v>0</v>
      </c>
    </row>
    <row r="407" spans="1:11" ht="13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K407" si="78">SUM(F405:F406)</f>
        <v>459</v>
      </c>
      <c r="G407" s="543">
        <f t="shared" si="78"/>
        <v>0</v>
      </c>
      <c r="H407" s="535">
        <f t="shared" si="78"/>
        <v>0</v>
      </c>
      <c r="I407" s="536">
        <f t="shared" si="78"/>
        <v>459</v>
      </c>
      <c r="J407" s="346">
        <f t="shared" si="78"/>
        <v>459</v>
      </c>
      <c r="K407" s="346">
        <f t="shared" si="78"/>
        <v>0</v>
      </c>
    </row>
    <row r="408" spans="1:11" ht="13">
      <c r="A408" s="331">
        <v>8</v>
      </c>
      <c r="D408" s="342"/>
      <c r="E408" s="195"/>
      <c r="G408" s="541"/>
      <c r="H408" s="531"/>
      <c r="I408" s="532"/>
    </row>
    <row r="409" spans="1:11" ht="13">
      <c r="A409" s="331">
        <v>9</v>
      </c>
      <c r="B409" s="330" t="s">
        <v>54</v>
      </c>
      <c r="D409" s="342"/>
      <c r="E409" s="195"/>
      <c r="G409" s="541"/>
      <c r="H409" s="531"/>
      <c r="I409" s="532"/>
    </row>
    <row r="410" spans="1:11" ht="13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3">
        <f>'FR-16(7)(v)-8 TOT CLASS Alloc'!I410</f>
        <v>3484</v>
      </c>
      <c r="G410" s="542">
        <f>'FR-16(7)(v)-5 DISTR Dem Alloc'!I410</f>
        <v>0</v>
      </c>
      <c r="H410" s="533">
        <f>'FR-16(7)(v)-3 PROD Comm Alloc'!I410</f>
        <v>3484</v>
      </c>
      <c r="I410" s="534">
        <f>'FR-16(7)(v)-6 DISTR Cust Alloc'!I410</f>
        <v>0</v>
      </c>
      <c r="J410" s="345">
        <f t="shared" ref="J410:J415" si="79">SUM(G410:I410)</f>
        <v>3484</v>
      </c>
      <c r="K410" s="345">
        <f t="shared" ref="K410:K415" si="80">F410-J410</f>
        <v>0</v>
      </c>
    </row>
    <row r="411" spans="1:11" ht="13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3">
        <f>'FR-16(7)(v)-8 TOT CLASS Alloc'!I411</f>
        <v>0</v>
      </c>
      <c r="G411" s="542">
        <f>'FR-16(7)(v)-5 DISTR Dem Alloc'!I411</f>
        <v>0</v>
      </c>
      <c r="H411" s="533">
        <f>'FR-16(7)(v)-3 PROD Comm Alloc'!I411</f>
        <v>0</v>
      </c>
      <c r="I411" s="534">
        <f>'FR-16(7)(v)-6 DISTR Cust Alloc'!I411</f>
        <v>0</v>
      </c>
      <c r="J411" s="345">
        <f t="shared" si="79"/>
        <v>0</v>
      </c>
      <c r="K411" s="345">
        <f t="shared" si="80"/>
        <v>0</v>
      </c>
    </row>
    <row r="412" spans="1:11" ht="13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3">
        <f>'FR-16(7)(v)-8 TOT CLASS Alloc'!I412</f>
        <v>458806</v>
      </c>
      <c r="G412" s="542">
        <f>'FR-16(7)(v)-5 DISTR Dem Alloc'!I412</f>
        <v>452305</v>
      </c>
      <c r="H412" s="533">
        <f>'FR-16(7)(v)-3 PROD Comm Alloc'!I412</f>
        <v>0</v>
      </c>
      <c r="I412" s="534">
        <f>'FR-16(7)(v)-6 DISTR Cust Alloc'!I412</f>
        <v>6501</v>
      </c>
      <c r="J412" s="345">
        <f t="shared" si="79"/>
        <v>458806</v>
      </c>
      <c r="K412" s="345">
        <f t="shared" si="80"/>
        <v>0</v>
      </c>
    </row>
    <row r="413" spans="1:11" ht="13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3">
        <f>'FR-16(7)(v)-8 TOT CLASS Alloc'!I413</f>
        <v>1803</v>
      </c>
      <c r="G413" s="542">
        <f>'FR-16(7)(v)-5 DISTR Dem Alloc'!I413</f>
        <v>0</v>
      </c>
      <c r="H413" s="533">
        <f>'FR-16(7)(v)-3 PROD Comm Alloc'!I413</f>
        <v>0</v>
      </c>
      <c r="I413" s="534">
        <f>'FR-16(7)(v)-6 DISTR Cust Alloc'!I413</f>
        <v>1803</v>
      </c>
      <c r="J413" s="345">
        <f t="shared" si="79"/>
        <v>1803</v>
      </c>
      <c r="K413" s="345">
        <f t="shared" si="80"/>
        <v>0</v>
      </c>
    </row>
    <row r="414" spans="1:11" ht="13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3">
        <f>'FR-16(7)(v)-8 TOT CLASS Alloc'!I414</f>
        <v>175</v>
      </c>
      <c r="G414" s="542">
        <f>'FR-16(7)(v)-5 DISTR Dem Alloc'!I414</f>
        <v>0</v>
      </c>
      <c r="H414" s="533">
        <f>'FR-16(7)(v)-3 PROD Comm Alloc'!I414</f>
        <v>0</v>
      </c>
      <c r="I414" s="534">
        <f>'FR-16(7)(v)-6 DISTR Cust Alloc'!I414</f>
        <v>175</v>
      </c>
      <c r="J414" s="345">
        <f t="shared" si="79"/>
        <v>175</v>
      </c>
      <c r="K414" s="345">
        <f t="shared" si="80"/>
        <v>0</v>
      </c>
    </row>
    <row r="415" spans="1:11" ht="13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3">
        <f>'FR-16(7)(v)-8 TOT CLASS Alloc'!I415</f>
        <v>0</v>
      </c>
      <c r="G415" s="542">
        <f>'FR-16(7)(v)-5 DISTR Dem Alloc'!I415</f>
        <v>0</v>
      </c>
      <c r="H415" s="533">
        <f>'FR-16(7)(v)-3 PROD Comm Alloc'!I415</f>
        <v>0</v>
      </c>
      <c r="I415" s="534">
        <f>'FR-16(7)(v)-6 DISTR Cust Alloc'!I415</f>
        <v>0</v>
      </c>
      <c r="J415" s="345">
        <f t="shared" si="79"/>
        <v>0</v>
      </c>
      <c r="K415" s="496">
        <f t="shared" si="80"/>
        <v>0</v>
      </c>
    </row>
    <row r="416" spans="1:11" ht="13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7">
        <f t="shared" ref="F416:K416" si="81">SUM(F410:F415)</f>
        <v>464268</v>
      </c>
      <c r="G416" s="557">
        <f t="shared" si="81"/>
        <v>452305</v>
      </c>
      <c r="H416" s="558">
        <f t="shared" si="81"/>
        <v>3484</v>
      </c>
      <c r="I416" s="559">
        <f t="shared" si="81"/>
        <v>8479</v>
      </c>
      <c r="J416" s="1018">
        <f t="shared" si="81"/>
        <v>464268</v>
      </c>
      <c r="K416" s="471">
        <f t="shared" si="81"/>
        <v>0</v>
      </c>
    </row>
    <row r="417" spans="1:11" ht="13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3">
        <f>'FR-16(7)(v)-8 TOT CLASS Alloc'!I417</f>
        <v>4456</v>
      </c>
      <c r="G417" s="542">
        <f>'FR-16(7)(v)-5 DISTR Dem Alloc'!I417</f>
        <v>4342</v>
      </c>
      <c r="H417" s="533">
        <f>'FR-16(7)(v)-3 PROD Comm Alloc'!I417</f>
        <v>33</v>
      </c>
      <c r="I417" s="534">
        <f>'FR-16(7)(v)-6 DISTR Cust Alloc'!I417</f>
        <v>81</v>
      </c>
      <c r="J417" s="345">
        <f t="shared" ref="J417:J430" si="82">SUM(G417:I417)</f>
        <v>4456</v>
      </c>
      <c r="K417" s="345">
        <f t="shared" ref="K417:K430" si="83">F417-J417</f>
        <v>0</v>
      </c>
    </row>
    <row r="418" spans="1:11" ht="13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3">
        <f>'FR-16(7)(v)-8 TOT CLASS Alloc'!I418</f>
        <v>-36775</v>
      </c>
      <c r="G418" s="542">
        <f>'FR-16(7)(v)-5 DISTR Dem Alloc'!I418</f>
        <v>-35827</v>
      </c>
      <c r="H418" s="533">
        <f>'FR-16(7)(v)-3 PROD Comm Alloc'!I418</f>
        <v>-276</v>
      </c>
      <c r="I418" s="534">
        <f>'FR-16(7)(v)-6 DISTR Cust Alloc'!I418</f>
        <v>-672</v>
      </c>
      <c r="J418" s="345">
        <f t="shared" si="82"/>
        <v>-36775</v>
      </c>
      <c r="K418" s="345">
        <f t="shared" si="83"/>
        <v>0</v>
      </c>
    </row>
    <row r="419" spans="1:11" ht="13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3">
        <f>'FR-16(7)(v)-8 TOT CLASS Alloc'!I419</f>
        <v>-12740</v>
      </c>
      <c r="G419" s="542">
        <f>'FR-16(7)(v)-5 DISTR Dem Alloc'!I419</f>
        <v>-12411</v>
      </c>
      <c r="H419" s="533">
        <f>'FR-16(7)(v)-3 PROD Comm Alloc'!I419</f>
        <v>-96</v>
      </c>
      <c r="I419" s="534">
        <f>'FR-16(7)(v)-6 DISTR Cust Alloc'!I419</f>
        <v>-233</v>
      </c>
      <c r="J419" s="345">
        <f t="shared" si="82"/>
        <v>-12740</v>
      </c>
      <c r="K419" s="345">
        <f t="shared" si="83"/>
        <v>0</v>
      </c>
    </row>
    <row r="420" spans="1:11" ht="13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3">
        <f>'FR-16(7)(v)-8 TOT CLASS Alloc'!I420</f>
        <v>0</v>
      </c>
      <c r="G420" s="542">
        <f>'FR-16(7)(v)-5 DISTR Dem Alloc'!I420</f>
        <v>0</v>
      </c>
      <c r="H420" s="533">
        <f>'FR-16(7)(v)-3 PROD Comm Alloc'!I420</f>
        <v>0</v>
      </c>
      <c r="I420" s="534">
        <f>'FR-16(7)(v)-6 DISTR Cust Alloc'!I420</f>
        <v>0</v>
      </c>
      <c r="J420" s="345">
        <f t="shared" si="82"/>
        <v>0</v>
      </c>
      <c r="K420" s="345">
        <f t="shared" si="83"/>
        <v>0</v>
      </c>
    </row>
    <row r="421" spans="1:11" ht="13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3">
        <f>'FR-16(7)(v)-8 TOT CLASS Alloc'!I421</f>
        <v>25706</v>
      </c>
      <c r="G421" s="542">
        <f>'FR-16(7)(v)-5 DISTR Dem Alloc'!I421</f>
        <v>25043</v>
      </c>
      <c r="H421" s="533">
        <f>'FR-16(7)(v)-3 PROD Comm Alloc'!I421</f>
        <v>193</v>
      </c>
      <c r="I421" s="534">
        <f>'FR-16(7)(v)-6 DISTR Cust Alloc'!I421</f>
        <v>470</v>
      </c>
      <c r="J421" s="345">
        <f t="shared" si="82"/>
        <v>25706</v>
      </c>
      <c r="K421" s="345">
        <f t="shared" si="83"/>
        <v>0</v>
      </c>
    </row>
    <row r="422" spans="1:11" ht="13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3">
        <f>'FR-16(7)(v)-8 TOT CLASS Alloc'!I422</f>
        <v>0</v>
      </c>
      <c r="G422" s="542">
        <f>'FR-16(7)(v)-5 DISTR Dem Alloc'!I422</f>
        <v>0</v>
      </c>
      <c r="H422" s="533">
        <f>'FR-16(7)(v)-3 PROD Comm Alloc'!I422</f>
        <v>0</v>
      </c>
      <c r="I422" s="534">
        <f>'FR-16(7)(v)-6 DISTR Cust Alloc'!I422</f>
        <v>0</v>
      </c>
      <c r="J422" s="345">
        <f t="shared" si="82"/>
        <v>0</v>
      </c>
      <c r="K422" s="345">
        <f t="shared" si="83"/>
        <v>0</v>
      </c>
    </row>
    <row r="423" spans="1:11" ht="13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3">
        <f>'FR-16(7)(v)-8 TOT CLASS Alloc'!I423</f>
        <v>0</v>
      </c>
      <c r="G423" s="542">
        <f>'FR-16(7)(v)-5 DISTR Dem Alloc'!I423</f>
        <v>0</v>
      </c>
      <c r="H423" s="533">
        <f>'FR-16(7)(v)-3 PROD Comm Alloc'!I423</f>
        <v>0</v>
      </c>
      <c r="I423" s="534">
        <f>'FR-16(7)(v)-6 DISTR Cust Alloc'!I423</f>
        <v>0</v>
      </c>
      <c r="J423" s="345">
        <f t="shared" si="82"/>
        <v>0</v>
      </c>
      <c r="K423" s="345">
        <f t="shared" si="83"/>
        <v>0</v>
      </c>
    </row>
    <row r="424" spans="1:11" ht="13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3">
        <f>'FR-16(7)(v)-8 TOT CLASS Alloc'!I424</f>
        <v>0</v>
      </c>
      <c r="G424" s="542">
        <f>'FR-16(7)(v)-5 DISTR Dem Alloc'!I424</f>
        <v>0</v>
      </c>
      <c r="H424" s="533">
        <f>'FR-16(7)(v)-3 PROD Comm Alloc'!I424</f>
        <v>0</v>
      </c>
      <c r="I424" s="534">
        <f>'FR-16(7)(v)-6 DISTR Cust Alloc'!I424</f>
        <v>0</v>
      </c>
      <c r="J424" s="345">
        <f t="shared" ref="J424:J429" si="84">SUM(G424:I424)</f>
        <v>0</v>
      </c>
      <c r="K424" s="345">
        <f t="shared" ref="K424:K429" si="85">F424-J424</f>
        <v>0</v>
      </c>
    </row>
    <row r="425" spans="1:11" ht="13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3">
        <f>'FR-16(7)(v)-8 TOT CLASS Alloc'!I425</f>
        <v>0</v>
      </c>
      <c r="G425" s="542">
        <f>'FR-16(7)(v)-5 DISTR Dem Alloc'!I425</f>
        <v>0</v>
      </c>
      <c r="H425" s="533">
        <f>'FR-16(7)(v)-3 PROD Comm Alloc'!I425</f>
        <v>0</v>
      </c>
      <c r="I425" s="534">
        <f>'FR-16(7)(v)-6 DISTR Cust Alloc'!I425</f>
        <v>0</v>
      </c>
      <c r="J425" s="345">
        <f t="shared" si="84"/>
        <v>0</v>
      </c>
      <c r="K425" s="345">
        <f t="shared" si="85"/>
        <v>0</v>
      </c>
    </row>
    <row r="426" spans="1:11" ht="13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3">
        <f>'FR-16(7)(v)-8 TOT CLASS Alloc'!I426</f>
        <v>0</v>
      </c>
      <c r="G426" s="542">
        <f>'FR-16(7)(v)-5 DISTR Dem Alloc'!I426</f>
        <v>0</v>
      </c>
      <c r="H426" s="533">
        <f>'FR-16(7)(v)-3 PROD Comm Alloc'!I426</f>
        <v>0</v>
      </c>
      <c r="I426" s="534">
        <f>'FR-16(7)(v)-6 DISTR Cust Alloc'!I426</f>
        <v>0</v>
      </c>
      <c r="J426" s="345">
        <f t="shared" si="84"/>
        <v>0</v>
      </c>
      <c r="K426" s="345">
        <f t="shared" si="85"/>
        <v>0</v>
      </c>
    </row>
    <row r="427" spans="1:11" ht="13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3">
        <f>'FR-16(7)(v)-8 TOT CLASS Alloc'!I427</f>
        <v>0</v>
      </c>
      <c r="G427" s="542">
        <f>'FR-16(7)(v)-5 DISTR Dem Alloc'!I427</f>
        <v>0</v>
      </c>
      <c r="H427" s="533">
        <f>'FR-16(7)(v)-3 PROD Comm Alloc'!I427</f>
        <v>0</v>
      </c>
      <c r="I427" s="534">
        <f>'FR-16(7)(v)-6 DISTR Cust Alloc'!I427</f>
        <v>0</v>
      </c>
      <c r="J427" s="345">
        <f t="shared" si="84"/>
        <v>0</v>
      </c>
      <c r="K427" s="345">
        <f t="shared" si="85"/>
        <v>0</v>
      </c>
    </row>
    <row r="428" spans="1:11" ht="13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3">
        <f>'FR-16(7)(v)-8 TOT CLASS Alloc'!I428</f>
        <v>0</v>
      </c>
      <c r="G428" s="542">
        <f>'FR-16(7)(v)-5 DISTR Dem Alloc'!I428</f>
        <v>0</v>
      </c>
      <c r="H428" s="533">
        <f>'FR-16(7)(v)-3 PROD Comm Alloc'!I428</f>
        <v>0</v>
      </c>
      <c r="I428" s="534">
        <f>'FR-16(7)(v)-6 DISTR Cust Alloc'!I428</f>
        <v>0</v>
      </c>
      <c r="J428" s="345">
        <f t="shared" si="84"/>
        <v>0</v>
      </c>
      <c r="K428" s="345">
        <f t="shared" si="85"/>
        <v>0</v>
      </c>
    </row>
    <row r="429" spans="1:11" ht="13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3">
        <f>'FR-16(7)(v)-8 TOT CLASS Alloc'!I429</f>
        <v>0</v>
      </c>
      <c r="G429" s="542">
        <f>'FR-16(7)(v)-5 DISTR Dem Alloc'!I429</f>
        <v>0</v>
      </c>
      <c r="H429" s="533">
        <f>'FR-16(7)(v)-3 PROD Comm Alloc'!I429</f>
        <v>0</v>
      </c>
      <c r="I429" s="534">
        <f>'FR-16(7)(v)-6 DISTR Cust Alloc'!I429</f>
        <v>0</v>
      </c>
      <c r="J429" s="345">
        <f t="shared" si="84"/>
        <v>0</v>
      </c>
      <c r="K429" s="345">
        <f t="shared" si="85"/>
        <v>0</v>
      </c>
    </row>
    <row r="430" spans="1:11" ht="13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3">
        <f>'FR-16(7)(v)-8 TOT CLASS Alloc'!I430</f>
        <v>0</v>
      </c>
      <c r="G430" s="542">
        <f>'FR-16(7)(v)-5 DISTR Dem Alloc'!I430</f>
        <v>0</v>
      </c>
      <c r="H430" s="533">
        <f>'FR-16(7)(v)-3 PROD Comm Alloc'!I430</f>
        <v>0</v>
      </c>
      <c r="I430" s="534">
        <f>'FR-16(7)(v)-6 DISTR Cust Alloc'!I430</f>
        <v>0</v>
      </c>
      <c r="J430" s="345">
        <f t="shared" si="82"/>
        <v>0</v>
      </c>
      <c r="K430" s="345">
        <f t="shared" si="83"/>
        <v>0</v>
      </c>
    </row>
    <row r="431" spans="1:11" ht="13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K431" si="86">SUM(F416:F430)</f>
        <v>444915</v>
      </c>
      <c r="G431" s="543">
        <f t="shared" si="86"/>
        <v>433452</v>
      </c>
      <c r="H431" s="535">
        <f t="shared" si="86"/>
        <v>3338</v>
      </c>
      <c r="I431" s="536">
        <f t="shared" si="86"/>
        <v>8125</v>
      </c>
      <c r="J431" s="346">
        <f t="shared" si="86"/>
        <v>444915</v>
      </c>
      <c r="K431" s="346">
        <f t="shared" si="86"/>
        <v>0</v>
      </c>
    </row>
    <row r="432" spans="1:11" ht="13">
      <c r="A432" s="331">
        <v>32</v>
      </c>
      <c r="D432" s="342"/>
      <c r="E432" s="195"/>
      <c r="F432" s="333"/>
      <c r="G432" s="542"/>
      <c r="H432" s="533"/>
      <c r="I432" s="534"/>
      <c r="J432" s="345"/>
      <c r="K432" s="345"/>
    </row>
    <row r="433" spans="1:11" ht="13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K433" si="87">F431+F407+F403+F389+F378+F364+F360</f>
        <v>1553301</v>
      </c>
      <c r="G433" s="544">
        <f t="shared" si="87"/>
        <v>1300301</v>
      </c>
      <c r="H433" s="537">
        <f t="shared" si="87"/>
        <v>226978</v>
      </c>
      <c r="I433" s="538">
        <f t="shared" si="87"/>
        <v>26022</v>
      </c>
      <c r="J433" s="345">
        <f t="shared" si="87"/>
        <v>1553301</v>
      </c>
      <c r="K433" s="345">
        <f t="shared" si="87"/>
        <v>0</v>
      </c>
    </row>
    <row r="434" spans="1:11" ht="13">
      <c r="B434" s="341"/>
      <c r="C434" s="195"/>
      <c r="D434" s="342"/>
      <c r="E434" s="195"/>
      <c r="F434" s="195"/>
      <c r="G434" s="195"/>
      <c r="H434" s="195"/>
      <c r="I434" s="195"/>
      <c r="J434" s="195"/>
      <c r="K434" s="195"/>
    </row>
    <row r="435" spans="1:11" ht="13">
      <c r="A435" s="341" t="str">
        <f>co_name</f>
        <v>DUKE ENERGY KENTUCKY, INC.</v>
      </c>
      <c r="C435" s="195"/>
      <c r="D435" s="342"/>
      <c r="E435" s="195"/>
      <c r="F435" s="195"/>
      <c r="G435" s="195"/>
      <c r="H435" s="195"/>
      <c r="I435" s="195"/>
      <c r="J435" s="195" t="str">
        <f>$J$1</f>
        <v>FR-16(7)(v)-11</v>
      </c>
      <c r="K435" s="195"/>
    </row>
    <row r="436" spans="1:11" ht="13">
      <c r="A436" s="341" t="str">
        <f>$A$2</f>
        <v>FT-L CLASSIFIED - GAS COST OF SERVICE</v>
      </c>
      <c r="C436" s="195"/>
      <c r="D436" s="342"/>
      <c r="E436" s="195"/>
      <c r="F436" s="195"/>
      <c r="G436" s="195"/>
      <c r="H436" s="195"/>
      <c r="I436" s="195"/>
      <c r="J436" s="195" t="str">
        <f>$J$2</f>
        <v>WITNESS RESPONSIBLE:</v>
      </c>
      <c r="K436" s="195"/>
    </row>
    <row r="437" spans="1:11" ht="13">
      <c r="A437" s="341" t="str">
        <f>case_name</f>
        <v>CASE NO: 2021-00190</v>
      </c>
      <c r="C437" s="195"/>
      <c r="D437" s="342"/>
      <c r="E437" s="195"/>
      <c r="F437" s="195"/>
      <c r="G437" s="195"/>
      <c r="H437" s="195"/>
      <c r="I437" s="195"/>
      <c r="J437" s="195" t="str">
        <f>Witness</f>
        <v>JAMES E. ZIOLKOWSKI</v>
      </c>
      <c r="K437" s="195"/>
    </row>
    <row r="438" spans="1:11" ht="13">
      <c r="A438" s="341" t="str">
        <f>data_filing</f>
        <v>DATA: 12 MONTH FORECASTED PERIOD</v>
      </c>
      <c r="C438" s="195"/>
      <c r="D438" s="342"/>
      <c r="E438" s="195"/>
      <c r="F438" s="195"/>
      <c r="G438" s="195"/>
      <c r="H438" s="195"/>
      <c r="I438" s="195"/>
      <c r="J438" s="195" t="str">
        <f>"PAGE "&amp;Pages2-5&amp;" OF "&amp;Pages2</f>
        <v>PAGE 10 OF 15</v>
      </c>
      <c r="K438" s="195"/>
    </row>
    <row r="439" spans="1:11" ht="13">
      <c r="A439" s="341" t="str">
        <f>type</f>
        <v xml:space="preserve">TYPE OF FILING: "X" ORIGINAL   UPDATED    REVISED  </v>
      </c>
      <c r="C439" s="195"/>
      <c r="D439" s="342"/>
      <c r="E439" s="195"/>
      <c r="F439" s="195"/>
      <c r="G439" s="195"/>
      <c r="H439" s="195"/>
      <c r="I439" s="195"/>
      <c r="J439" s="195"/>
      <c r="K439" s="195"/>
    </row>
    <row r="440" spans="1:11" ht="13">
      <c r="B440" s="341"/>
      <c r="C440" s="195"/>
      <c r="D440" s="342"/>
      <c r="E440" s="195"/>
      <c r="F440" s="195"/>
      <c r="G440" s="195"/>
      <c r="H440" s="195"/>
      <c r="I440" s="195"/>
      <c r="J440" s="195"/>
      <c r="K440" s="195"/>
    </row>
    <row r="441" spans="1:11" ht="13">
      <c r="B441" s="341"/>
      <c r="C441" s="195"/>
      <c r="D441" s="342"/>
      <c r="E441" s="195"/>
      <c r="F441" s="195"/>
      <c r="G441" s="195"/>
      <c r="H441" s="195"/>
      <c r="I441" s="195"/>
      <c r="J441" s="195"/>
      <c r="K441" s="195"/>
    </row>
    <row r="442" spans="1:11" ht="13">
      <c r="A442" s="342" t="s">
        <v>907</v>
      </c>
      <c r="B442" s="195"/>
      <c r="C442" s="195"/>
      <c r="D442" s="342"/>
      <c r="E442" s="195"/>
      <c r="F442" s="342" t="s">
        <v>229</v>
      </c>
      <c r="G442" s="539" t="s">
        <v>995</v>
      </c>
      <c r="H442" s="527"/>
      <c r="I442" s="528"/>
      <c r="J442" s="342" t="s">
        <v>229</v>
      </c>
      <c r="K442" s="342" t="s">
        <v>342</v>
      </c>
    </row>
    <row r="443" spans="1:11" ht="13">
      <c r="A443" s="344" t="s">
        <v>908</v>
      </c>
      <c r="B443" s="343" t="s">
        <v>55</v>
      </c>
      <c r="C443" s="343"/>
      <c r="D443" s="344" t="s">
        <v>337</v>
      </c>
      <c r="E443" s="343"/>
      <c r="F443" s="344" t="str">
        <f>$F$9</f>
        <v>FT-L</v>
      </c>
      <c r="G443" s="540" t="s">
        <v>840</v>
      </c>
      <c r="H443" s="529" t="s">
        <v>841</v>
      </c>
      <c r="I443" s="530" t="s">
        <v>842</v>
      </c>
      <c r="J443" s="344" t="s">
        <v>341</v>
      </c>
      <c r="K443" s="344" t="s">
        <v>340</v>
      </c>
    </row>
    <row r="444" spans="1:11" ht="13">
      <c r="C444" s="572" t="s">
        <v>349</v>
      </c>
      <c r="D444" s="342"/>
      <c r="E444" s="195"/>
      <c r="F444" s="504"/>
      <c r="G444" s="793">
        <f>$G$10</f>
        <v>3</v>
      </c>
      <c r="H444" s="794">
        <f>$H$10</f>
        <v>4</v>
      </c>
      <c r="I444" s="795">
        <f>$I$10</f>
        <v>5</v>
      </c>
      <c r="J444" s="504"/>
      <c r="K444" s="504"/>
    </row>
    <row r="445" spans="1:11" ht="13">
      <c r="A445" s="331">
        <v>1</v>
      </c>
      <c r="B445" s="351" t="s">
        <v>56</v>
      </c>
      <c r="C445" s="351"/>
      <c r="D445" s="342"/>
      <c r="E445" s="195"/>
      <c r="G445" s="541"/>
      <c r="H445" s="531"/>
      <c r="I445" s="532"/>
    </row>
    <row r="446" spans="1:11" ht="13">
      <c r="A446" s="331">
        <v>2</v>
      </c>
      <c r="B446" s="351"/>
      <c r="C446" s="505" t="str">
        <f>'FR-16(7)(v)-1 Functional'!C446</f>
        <v>PRODUCTION DEPRECIATION</v>
      </c>
      <c r="D446" s="342" t="str">
        <f>'FR-16(7)(v)-1 Functional'!D446</f>
        <v>P229</v>
      </c>
      <c r="E446" s="195"/>
      <c r="F446" s="473">
        <f>'FR-16(7)(v)-8 TOT CLASS Alloc'!I446</f>
        <v>47128</v>
      </c>
      <c r="G446" s="542">
        <f>'FR-16(7)(v)-5 DISTR Dem Alloc'!I446</f>
        <v>0</v>
      </c>
      <c r="H446" s="533">
        <f>'FR-16(7)(v)-3 PROD Comm Alloc'!I446</f>
        <v>47128</v>
      </c>
      <c r="I446" s="534">
        <f>'FR-16(7)(v)-6 DISTR Cust Alloc'!I446</f>
        <v>0</v>
      </c>
      <c r="J446" s="345">
        <f>SUM(G446:I446)</f>
        <v>47128</v>
      </c>
      <c r="K446" s="345">
        <f>F446-J446</f>
        <v>0</v>
      </c>
    </row>
    <row r="447" spans="1:11" ht="13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K447" si="88">SUM(F446:F446)</f>
        <v>47128</v>
      </c>
      <c r="G447" s="543">
        <f t="shared" si="88"/>
        <v>0</v>
      </c>
      <c r="H447" s="535">
        <f t="shared" si="88"/>
        <v>47128</v>
      </c>
      <c r="I447" s="536">
        <f t="shared" si="88"/>
        <v>0</v>
      </c>
      <c r="J447" s="346">
        <f t="shared" si="88"/>
        <v>47128</v>
      </c>
      <c r="K447" s="346">
        <f t="shared" si="88"/>
        <v>0</v>
      </c>
    </row>
    <row r="448" spans="1:11" ht="13">
      <c r="A448" s="331">
        <v>4</v>
      </c>
      <c r="B448" s="351"/>
      <c r="C448" s="351"/>
      <c r="D448" s="342"/>
      <c r="E448" s="195"/>
      <c r="F448" s="351"/>
      <c r="G448" s="541"/>
      <c r="H448" s="531"/>
      <c r="I448" s="532"/>
    </row>
    <row r="449" spans="1:11" ht="13">
      <c r="A449" s="331">
        <v>5</v>
      </c>
      <c r="B449" s="505" t="s">
        <v>57</v>
      </c>
      <c r="C449" s="505"/>
      <c r="D449" s="342"/>
      <c r="E449" s="195"/>
      <c r="F449" s="347"/>
      <c r="G449" s="542"/>
      <c r="H449" s="533"/>
      <c r="I449" s="534"/>
      <c r="J449" s="345"/>
      <c r="K449" s="345"/>
    </row>
    <row r="450" spans="1:11" ht="13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K450" si="89">SUM(F449)</f>
        <v>0</v>
      </c>
      <c r="G450" s="543">
        <f t="shared" si="89"/>
        <v>0</v>
      </c>
      <c r="H450" s="535">
        <f t="shared" si="89"/>
        <v>0</v>
      </c>
      <c r="I450" s="536">
        <f t="shared" si="89"/>
        <v>0</v>
      </c>
      <c r="J450" s="346">
        <f t="shared" si="89"/>
        <v>0</v>
      </c>
      <c r="K450" s="346">
        <f t="shared" si="89"/>
        <v>0</v>
      </c>
    </row>
    <row r="451" spans="1:11" ht="13">
      <c r="A451" s="331">
        <v>7</v>
      </c>
      <c r="B451" s="351"/>
      <c r="C451" s="351"/>
      <c r="D451" s="342"/>
      <c r="E451" s="195"/>
      <c r="F451" s="351"/>
      <c r="G451" s="541"/>
      <c r="H451" s="531"/>
      <c r="I451" s="532"/>
    </row>
    <row r="452" spans="1:11" ht="13">
      <c r="A452" s="331">
        <v>8</v>
      </c>
      <c r="B452" s="351" t="s">
        <v>58</v>
      </c>
      <c r="C452" s="351"/>
      <c r="D452" s="342"/>
      <c r="E452" s="195"/>
      <c r="F452" s="351"/>
      <c r="G452" s="541"/>
      <c r="H452" s="531"/>
      <c r="I452" s="532"/>
    </row>
    <row r="453" spans="1:11" ht="13">
      <c r="A453" s="331">
        <v>9</v>
      </c>
      <c r="B453" s="351"/>
      <c r="C453" s="505" t="str">
        <f>'FR-16(7)(v)-1 Functional'!C453</f>
        <v>DISTRIBUTION DEPRECIATION</v>
      </c>
      <c r="D453" s="342" t="str">
        <f>'FR-16(7)(v)-1 Functional'!D453</f>
        <v>D249</v>
      </c>
      <c r="E453" s="195"/>
      <c r="F453" s="473">
        <f>'FR-16(7)(v)-8 TOT CLASS Alloc'!I453</f>
        <v>1302308</v>
      </c>
      <c r="G453" s="542">
        <f>'FR-16(7)(v)-5 DISTR Dem Alloc'!I453</f>
        <v>1275285</v>
      </c>
      <c r="H453" s="533">
        <f>'FR-16(7)(v)-3 PROD Comm Alloc'!I453</f>
        <v>0</v>
      </c>
      <c r="I453" s="534">
        <f>'FR-16(7)(v)-6 DISTR Cust Alloc'!I453</f>
        <v>27023</v>
      </c>
      <c r="J453" s="345">
        <f>SUM(G453:I453)</f>
        <v>1302308</v>
      </c>
      <c r="K453" s="345">
        <f>F453-J453</f>
        <v>0</v>
      </c>
    </row>
    <row r="454" spans="1:11" ht="13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K454" si="90">SUM(F453:F453)</f>
        <v>1302308</v>
      </c>
      <c r="G454" s="543">
        <f t="shared" si="90"/>
        <v>1275285</v>
      </c>
      <c r="H454" s="535">
        <f t="shared" si="90"/>
        <v>0</v>
      </c>
      <c r="I454" s="536">
        <f t="shared" si="90"/>
        <v>27023</v>
      </c>
      <c r="J454" s="346">
        <f t="shared" si="90"/>
        <v>1302308</v>
      </c>
      <c r="K454" s="346">
        <f t="shared" si="90"/>
        <v>0</v>
      </c>
    </row>
    <row r="455" spans="1:11" ht="13">
      <c r="A455" s="331">
        <v>11</v>
      </c>
      <c r="B455" s="351"/>
      <c r="C455" s="351"/>
      <c r="D455" s="342"/>
      <c r="E455" s="195"/>
      <c r="F455" s="351" t="s">
        <v>343</v>
      </c>
      <c r="G455" s="541"/>
      <c r="H455" s="531"/>
      <c r="I455" s="532"/>
    </row>
    <row r="456" spans="1:11" ht="13">
      <c r="A456" s="331">
        <v>12</v>
      </c>
      <c r="B456" s="351" t="s">
        <v>59</v>
      </c>
      <c r="C456" s="351"/>
      <c r="D456" s="342"/>
      <c r="E456" s="195"/>
      <c r="F456" s="351"/>
      <c r="G456" s="541"/>
      <c r="H456" s="531"/>
      <c r="I456" s="532"/>
    </row>
    <row r="457" spans="1:11" ht="13">
      <c r="A457" s="331">
        <v>13</v>
      </c>
      <c r="B457" s="351"/>
      <c r="C457" s="505" t="str">
        <f>'FR-16(7)(v)-1 Functional'!C457</f>
        <v>GENERAL DEPRECIATION</v>
      </c>
      <c r="D457" s="342" t="str">
        <f>'FR-16(7)(v)-1 Functional'!D457</f>
        <v>G229</v>
      </c>
      <c r="E457" s="195"/>
      <c r="F457" s="473">
        <f>'FR-16(7)(v)-8 TOT CLASS Alloc'!I457</f>
        <v>286773</v>
      </c>
      <c r="G457" s="542">
        <f>'FR-16(7)(v)-5 DISTR Dem Alloc'!I457</f>
        <v>216495</v>
      </c>
      <c r="H457" s="533">
        <f>'FR-16(7)(v)-3 PROD Comm Alloc'!I457</f>
        <v>66218</v>
      </c>
      <c r="I457" s="534">
        <f>'FR-16(7)(v)-6 DISTR Cust Alloc'!I457</f>
        <v>4060</v>
      </c>
      <c r="J457" s="345">
        <f>SUM(G457:I457)</f>
        <v>286773</v>
      </c>
      <c r="K457" s="345">
        <f>F457-J457</f>
        <v>0</v>
      </c>
    </row>
    <row r="458" spans="1:11" ht="13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K458" si="91">SUM(F457:F457)</f>
        <v>286773</v>
      </c>
      <c r="G458" s="543">
        <f t="shared" si="91"/>
        <v>216495</v>
      </c>
      <c r="H458" s="535">
        <f t="shared" si="91"/>
        <v>66218</v>
      </c>
      <c r="I458" s="536">
        <f t="shared" si="91"/>
        <v>4060</v>
      </c>
      <c r="J458" s="346">
        <f t="shared" si="91"/>
        <v>286773</v>
      </c>
      <c r="K458" s="346">
        <f t="shared" si="91"/>
        <v>0</v>
      </c>
    </row>
    <row r="459" spans="1:11" ht="13">
      <c r="A459" s="331">
        <v>15</v>
      </c>
      <c r="B459" s="351"/>
      <c r="C459" s="351"/>
      <c r="D459" s="342"/>
      <c r="E459" s="195"/>
      <c r="F459" s="351"/>
      <c r="G459" s="541"/>
      <c r="H459" s="531"/>
      <c r="I459" s="532"/>
    </row>
    <row r="460" spans="1:11" ht="13">
      <c r="A460" s="331">
        <v>16</v>
      </c>
      <c r="B460" s="351" t="s">
        <v>60</v>
      </c>
      <c r="C460" s="351"/>
      <c r="D460" s="342"/>
      <c r="E460" s="195"/>
      <c r="F460" s="470"/>
      <c r="G460" s="542"/>
      <c r="H460" s="533"/>
      <c r="I460" s="534"/>
      <c r="J460" s="345"/>
      <c r="K460" s="345"/>
    </row>
    <row r="461" spans="1:11" ht="13">
      <c r="A461" s="331">
        <v>17</v>
      </c>
      <c r="B461" s="351"/>
      <c r="C461" s="505" t="str">
        <f>'FR-16(7)(v)-1 Functional'!C461</f>
        <v>COMMON DEPRECIATION</v>
      </c>
      <c r="D461" s="342" t="str">
        <f>'FR-16(7)(v)-1 Functional'!D461</f>
        <v>C229</v>
      </c>
      <c r="E461" s="195"/>
      <c r="F461" s="473">
        <f>'FR-16(7)(v)-8 TOT CLASS Alloc'!I461</f>
        <v>-3820</v>
      </c>
      <c r="G461" s="542">
        <f>'FR-16(7)(v)-5 DISTR Dem Alloc'!I461</f>
        <v>-2884</v>
      </c>
      <c r="H461" s="533">
        <f>'FR-16(7)(v)-3 PROD Comm Alloc'!I461</f>
        <v>-882</v>
      </c>
      <c r="I461" s="534">
        <f>'FR-16(7)(v)-6 DISTR Cust Alloc'!I461</f>
        <v>-54</v>
      </c>
      <c r="J461" s="345">
        <f>SUM(G461:I461)</f>
        <v>-3820</v>
      </c>
      <c r="K461" s="345">
        <f>F461-J461</f>
        <v>0</v>
      </c>
    </row>
    <row r="462" spans="1:11" ht="13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K462" si="92">SUM(F461:F461)</f>
        <v>-3820</v>
      </c>
      <c r="G462" s="543">
        <f t="shared" si="92"/>
        <v>-2884</v>
      </c>
      <c r="H462" s="535">
        <f t="shared" si="92"/>
        <v>-882</v>
      </c>
      <c r="I462" s="536">
        <f t="shared" si="92"/>
        <v>-54</v>
      </c>
      <c r="J462" s="346">
        <f t="shared" si="92"/>
        <v>-3820</v>
      </c>
      <c r="K462" s="346">
        <f t="shared" si="92"/>
        <v>0</v>
      </c>
    </row>
    <row r="463" spans="1:11" ht="13">
      <c r="A463" s="331">
        <v>19</v>
      </c>
      <c r="B463" s="351"/>
      <c r="C463" s="351"/>
      <c r="D463" s="342"/>
      <c r="E463" s="195"/>
      <c r="G463" s="541"/>
      <c r="H463" s="531"/>
      <c r="I463" s="532"/>
    </row>
    <row r="464" spans="1:11" ht="13">
      <c r="A464" s="331">
        <v>20</v>
      </c>
      <c r="B464" s="351"/>
      <c r="C464" s="351"/>
      <c r="D464" s="342"/>
      <c r="E464" s="195"/>
      <c r="G464" s="541"/>
      <c r="H464" s="531"/>
      <c r="I464" s="532"/>
    </row>
    <row r="465" spans="1:12" ht="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K465" si="93">F462+F458+F454+F450+F447</f>
        <v>1632389</v>
      </c>
      <c r="G465" s="544">
        <f t="shared" si="93"/>
        <v>1488896</v>
      </c>
      <c r="H465" s="537">
        <f t="shared" si="93"/>
        <v>112464</v>
      </c>
      <c r="I465" s="538">
        <f t="shared" si="93"/>
        <v>31029</v>
      </c>
      <c r="J465" s="345">
        <f t="shared" si="93"/>
        <v>1632389</v>
      </c>
      <c r="K465" s="345">
        <f t="shared" si="93"/>
        <v>0</v>
      </c>
    </row>
    <row r="466" spans="1:12" ht="13">
      <c r="B466" s="341"/>
      <c r="C466" s="195"/>
      <c r="D466" s="342"/>
      <c r="E466" s="195"/>
      <c r="F466" s="195"/>
      <c r="G466" s="195"/>
      <c r="H466" s="195"/>
      <c r="I466" s="195"/>
      <c r="J466" s="195"/>
      <c r="K466" s="195"/>
    </row>
    <row r="467" spans="1:12" ht="13">
      <c r="A467" s="341" t="str">
        <f>co_name</f>
        <v>DUKE ENERGY KENTUCKY, INC.</v>
      </c>
      <c r="C467" s="195"/>
      <c r="D467" s="342"/>
      <c r="E467" s="195"/>
      <c r="F467" s="195"/>
      <c r="G467" s="195"/>
      <c r="H467" s="195"/>
      <c r="I467" s="195"/>
      <c r="J467" s="195" t="str">
        <f>$J$1</f>
        <v>FR-16(7)(v)-11</v>
      </c>
      <c r="K467" s="195"/>
    </row>
    <row r="468" spans="1:12" ht="13">
      <c r="A468" s="341" t="str">
        <f>$A$2</f>
        <v>FT-L CLASSIFIED - GAS COST OF SERVICE</v>
      </c>
      <c r="C468" s="195"/>
      <c r="D468" s="342"/>
      <c r="E468" s="195"/>
      <c r="F468" s="195"/>
      <c r="G468" s="195"/>
      <c r="H468" s="195"/>
      <c r="I468" s="195"/>
      <c r="J468" s="195" t="str">
        <f>$J$2</f>
        <v>WITNESS RESPONSIBLE:</v>
      </c>
      <c r="K468" s="195"/>
    </row>
    <row r="469" spans="1:12" ht="13">
      <c r="A469" s="341" t="str">
        <f>case_name</f>
        <v>CASE NO: 2021-00190</v>
      </c>
      <c r="C469" s="195"/>
      <c r="D469" s="342"/>
      <c r="E469" s="195"/>
      <c r="F469" s="195"/>
      <c r="G469" s="195"/>
      <c r="H469" s="195"/>
      <c r="I469" s="195"/>
      <c r="J469" s="195" t="str">
        <f>Witness</f>
        <v>JAMES E. ZIOLKOWSKI</v>
      </c>
      <c r="K469" s="195"/>
    </row>
    <row r="470" spans="1:12" ht="13">
      <c r="A470" s="341" t="str">
        <f>data_filing</f>
        <v>DATA: 12 MONTH FORECASTED PERIOD</v>
      </c>
      <c r="C470" s="195"/>
      <c r="D470" s="342"/>
      <c r="E470" s="195"/>
      <c r="F470" s="195"/>
      <c r="G470" s="195"/>
      <c r="H470" s="195"/>
      <c r="I470" s="195"/>
      <c r="J470" s="195" t="str">
        <f>"PAGE "&amp;Pages2-4&amp;" OF "&amp;Pages2</f>
        <v>PAGE 11 OF 15</v>
      </c>
      <c r="K470" s="195"/>
    </row>
    <row r="471" spans="1:12" ht="13">
      <c r="A471" s="341" t="str">
        <f>type</f>
        <v xml:space="preserve">TYPE OF FILING: "X" ORIGINAL   UPDATED    REVISED  </v>
      </c>
      <c r="C471" s="195"/>
      <c r="D471" s="342"/>
      <c r="E471" s="195"/>
      <c r="F471" s="195"/>
      <c r="G471" s="195"/>
      <c r="H471" s="195"/>
      <c r="I471" s="195"/>
      <c r="J471" s="195"/>
      <c r="K471" s="195"/>
    </row>
    <row r="472" spans="1:12" ht="13">
      <c r="B472" s="341"/>
      <c r="C472" s="195"/>
      <c r="D472" s="342"/>
      <c r="E472" s="195"/>
      <c r="F472" s="195"/>
      <c r="G472" s="195"/>
      <c r="H472" s="195"/>
      <c r="I472" s="195"/>
      <c r="J472" s="195"/>
      <c r="K472" s="195"/>
    </row>
    <row r="473" spans="1:12" ht="13">
      <c r="B473" s="341"/>
      <c r="C473" s="195"/>
      <c r="D473" s="342"/>
      <c r="E473" s="195"/>
      <c r="F473" s="195"/>
      <c r="G473" s="195"/>
      <c r="H473" s="195"/>
      <c r="I473" s="195"/>
      <c r="J473" s="195"/>
      <c r="K473" s="195"/>
    </row>
    <row r="474" spans="1:12" ht="13">
      <c r="A474" s="342" t="s">
        <v>907</v>
      </c>
      <c r="B474" s="195"/>
      <c r="C474" s="195"/>
      <c r="D474" s="342"/>
      <c r="E474" s="195"/>
      <c r="F474" s="342" t="s">
        <v>229</v>
      </c>
      <c r="G474" s="539" t="s">
        <v>995</v>
      </c>
      <c r="H474" s="527"/>
      <c r="I474" s="528"/>
      <c r="J474" s="342" t="s">
        <v>229</v>
      </c>
      <c r="K474" s="342" t="s">
        <v>342</v>
      </c>
    </row>
    <row r="475" spans="1:12" ht="13">
      <c r="A475" s="344" t="s">
        <v>908</v>
      </c>
      <c r="B475" s="343" t="s">
        <v>62</v>
      </c>
      <c r="C475" s="343"/>
      <c r="D475" s="344" t="s">
        <v>337</v>
      </c>
      <c r="E475" s="343"/>
      <c r="F475" s="344" t="str">
        <f>$F$9</f>
        <v>FT-L</v>
      </c>
      <c r="G475" s="540" t="s">
        <v>840</v>
      </c>
      <c r="H475" s="529" t="s">
        <v>841</v>
      </c>
      <c r="I475" s="530" t="s">
        <v>842</v>
      </c>
      <c r="J475" s="344" t="s">
        <v>341</v>
      </c>
      <c r="K475" s="344" t="s">
        <v>340</v>
      </c>
      <c r="L475" s="363"/>
    </row>
    <row r="476" spans="1:12" ht="13">
      <c r="C476" s="572" t="s">
        <v>350</v>
      </c>
      <c r="D476" s="342"/>
      <c r="E476" s="195"/>
      <c r="F476" s="504"/>
      <c r="G476" s="793">
        <f>$G$10</f>
        <v>3</v>
      </c>
      <c r="H476" s="794">
        <f>$H$10</f>
        <v>4</v>
      </c>
      <c r="I476" s="795">
        <f>$I$10</f>
        <v>5</v>
      </c>
      <c r="J476" s="504"/>
      <c r="K476" s="504"/>
    </row>
    <row r="477" spans="1:12" ht="13">
      <c r="A477" s="331">
        <v>1</v>
      </c>
      <c r="B477" s="330" t="s">
        <v>63</v>
      </c>
      <c r="D477" s="342"/>
      <c r="E477" s="195"/>
      <c r="G477" s="541"/>
      <c r="H477" s="531"/>
      <c r="I477" s="532"/>
    </row>
    <row r="478" spans="1:12" ht="13">
      <c r="A478" s="331">
        <v>2</v>
      </c>
      <c r="B478" s="330" t="s">
        <v>64</v>
      </c>
      <c r="D478" s="342"/>
      <c r="E478" s="195"/>
      <c r="G478" s="541"/>
      <c r="H478" s="531"/>
      <c r="I478" s="532"/>
    </row>
    <row r="479" spans="1:12" ht="13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3">
        <f>'FR-16(7)(v)-8 TOT CLASS Alloc'!I479</f>
        <v>348764</v>
      </c>
      <c r="G479" s="542">
        <f>'FR-16(7)(v)-5 DISTR Dem Alloc'!$I$479</f>
        <v>336930</v>
      </c>
      <c r="H479" s="533">
        <f>'FR-16(7)(v)-3 PROD Comm Alloc'!$I$479</f>
        <v>4718</v>
      </c>
      <c r="I479" s="534">
        <f>'FR-16(7)(v)-6 DISTR Cust Alloc'!$I$479</f>
        <v>7116</v>
      </c>
      <c r="J479" s="345">
        <f>SUM($G$479:$I$479)</f>
        <v>348764</v>
      </c>
      <c r="K479" s="345">
        <f>F479-$J$479</f>
        <v>0</v>
      </c>
    </row>
    <row r="480" spans="1:12" ht="13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3">
        <f>'FR-16(7)(v)-8 TOT CLASS Alloc'!I480</f>
        <v>0</v>
      </c>
      <c r="G480" s="542">
        <f>'FR-16(7)(v)-5 DISTR Dem Alloc'!$I$480</f>
        <v>0</v>
      </c>
      <c r="H480" s="533">
        <f>'FR-16(7)(v)-3 PROD Comm Alloc'!$I$480</f>
        <v>0</v>
      </c>
      <c r="I480" s="534">
        <f>'FR-16(7)(v)-6 DISTR Cust Alloc'!$I$480</f>
        <v>0</v>
      </c>
      <c r="J480" s="345">
        <f>SUM($G$480:$I$480)</f>
        <v>0</v>
      </c>
      <c r="K480" s="345">
        <f>F480-$J$480</f>
        <v>0</v>
      </c>
    </row>
    <row r="481" spans="1:11" ht="13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348764</v>
      </c>
      <c r="G481" s="543">
        <f>SUM($G$479:$G$480)</f>
        <v>336930</v>
      </c>
      <c r="H481" s="535">
        <f>SUM($H$479:$H$480)</f>
        <v>4718</v>
      </c>
      <c r="I481" s="536">
        <f>SUM($I$479:$I$480)</f>
        <v>7116</v>
      </c>
      <c r="J481" s="346">
        <f>SUM($J$479:$J$480)</f>
        <v>348764</v>
      </c>
      <c r="K481" s="346">
        <f>SUM($K$479:$K$480)</f>
        <v>0</v>
      </c>
    </row>
    <row r="482" spans="1:11" ht="13">
      <c r="A482" s="331">
        <v>6</v>
      </c>
      <c r="D482" s="342"/>
      <c r="E482" s="195"/>
      <c r="F482" s="351"/>
      <c r="G482" s="541"/>
      <c r="H482" s="531"/>
      <c r="I482" s="532"/>
    </row>
    <row r="483" spans="1:11" ht="13">
      <c r="A483" s="331">
        <v>7</v>
      </c>
      <c r="B483" s="330" t="s">
        <v>65</v>
      </c>
      <c r="D483" s="342"/>
      <c r="E483" s="195"/>
      <c r="F483" s="351"/>
      <c r="G483" s="541"/>
      <c r="H483" s="531"/>
      <c r="I483" s="532"/>
    </row>
    <row r="484" spans="1:11" ht="13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3">
        <f>'FR-16(7)(v)-8 TOT CLASS Alloc'!I484</f>
        <v>39105</v>
      </c>
      <c r="G484" s="542">
        <f>'FR-16(7)(v)-5 DISTR Dem Alloc'!$I$484</f>
        <v>38096</v>
      </c>
      <c r="H484" s="533">
        <f>'FR-16(7)(v)-3 PROD Comm Alloc'!$I$484</f>
        <v>294</v>
      </c>
      <c r="I484" s="534">
        <f>'FR-16(7)(v)-6 DISTR Cust Alloc'!$I$484</f>
        <v>715</v>
      </c>
      <c r="J484" s="345">
        <f>SUM($G$484:$I$484)</f>
        <v>39105</v>
      </c>
      <c r="K484" s="345">
        <f>F484-$J$484</f>
        <v>0</v>
      </c>
    </row>
    <row r="485" spans="1:11" ht="13">
      <c r="A485" s="331">
        <v>9</v>
      </c>
      <c r="C485" s="330" t="str">
        <f>'FR-16(7)(v)-1 Functional'!C485</f>
        <v>UNEMPLOYMENT COMPENSATION</v>
      </c>
      <c r="D485" s="352" t="str">
        <f>'FR-16(7)(v)-1 Functional'!D485</f>
        <v>AG39</v>
      </c>
      <c r="E485" s="195"/>
      <c r="F485" s="473">
        <f>'FR-16(7)(v)-8 TOT CLASS Alloc'!I485</f>
        <v>0</v>
      </c>
      <c r="G485" s="542">
        <f>'FR-16(7)(v)-5 DISTR Dem Alloc'!$I$485</f>
        <v>0</v>
      </c>
      <c r="H485" s="533">
        <f>'FR-16(7)(v)-3 PROD Comm Alloc'!$I$485</f>
        <v>0</v>
      </c>
      <c r="I485" s="534">
        <f>'FR-16(7)(v)-6 DISTR Cust Alloc'!$I$485</f>
        <v>0</v>
      </c>
      <c r="J485" s="345">
        <f>SUM($G$485:$I$485)</f>
        <v>0</v>
      </c>
      <c r="K485" s="345">
        <f>F485-$J$485</f>
        <v>0</v>
      </c>
    </row>
    <row r="486" spans="1:11" ht="13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3">
        <f>'FR-16(7)(v)-8 TOT CLASS Alloc'!I486</f>
        <v>0</v>
      </c>
      <c r="G486" s="542">
        <f>'FR-16(7)(v)-5 DISTR Dem Alloc'!$I$486</f>
        <v>0</v>
      </c>
      <c r="H486" s="533">
        <f>'FR-16(7)(v)-3 PROD Comm Alloc'!$I$486</f>
        <v>0</v>
      </c>
      <c r="I486" s="534">
        <f>'FR-16(7)(v)-6 DISTR Cust Alloc'!$I$486</f>
        <v>0</v>
      </c>
      <c r="J486" s="345">
        <f>SUM($G$486:$I$486)</f>
        <v>0</v>
      </c>
      <c r="K486" s="345">
        <f>F486-$J$486</f>
        <v>0</v>
      </c>
    </row>
    <row r="487" spans="1:11" ht="13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3">
        <f>'FR-16(7)(v)-8 TOT CLASS Alloc'!I487</f>
        <v>0</v>
      </c>
      <c r="G487" s="542">
        <f>'FR-16(7)(v)-5 DISTR Dem Alloc'!$I$487</f>
        <v>0</v>
      </c>
      <c r="H487" s="533">
        <f>'FR-16(7)(v)-3 PROD Comm Alloc'!$I$487</f>
        <v>0</v>
      </c>
      <c r="I487" s="534">
        <f>'FR-16(7)(v)-6 DISTR Cust Alloc'!$I$487</f>
        <v>0</v>
      </c>
      <c r="J487" s="345">
        <f>SUM($G$487:$I$487)</f>
        <v>0</v>
      </c>
      <c r="K487" s="345">
        <f>F487-$J$487</f>
        <v>0</v>
      </c>
    </row>
    <row r="488" spans="1:11" ht="13">
      <c r="A488" s="331">
        <v>12</v>
      </c>
      <c r="C488" s="330" t="str">
        <f>'FR-16(7)(v)-1 Functional'!C488</f>
        <v xml:space="preserve">  TOTAL MISCELLANEOUS TAXES</v>
      </c>
      <c r="D488" s="352"/>
      <c r="E488" s="195"/>
      <c r="F488" s="346">
        <f>SUM(F484:F487)</f>
        <v>39105</v>
      </c>
      <c r="G488" s="543">
        <f>SUM($G$484:$G$487)</f>
        <v>38096</v>
      </c>
      <c r="H488" s="535">
        <f>SUM($H$484:$H$487)</f>
        <v>294</v>
      </c>
      <c r="I488" s="536">
        <f>SUM($I$484:$I$487)</f>
        <v>715</v>
      </c>
      <c r="J488" s="346">
        <f>SUM($J$484:$J$487)</f>
        <v>39105</v>
      </c>
      <c r="K488" s="346">
        <f>SUM($K$484:$K$487)</f>
        <v>0</v>
      </c>
    </row>
    <row r="489" spans="1:11" ht="13">
      <c r="A489" s="331">
        <v>13</v>
      </c>
      <c r="D489" s="352"/>
      <c r="E489" s="195"/>
      <c r="F489" s="351"/>
      <c r="G489" s="541"/>
      <c r="H489" s="531"/>
      <c r="I489" s="532"/>
    </row>
    <row r="490" spans="1:11" ht="13">
      <c r="A490" s="331">
        <v>14</v>
      </c>
      <c r="B490" s="330" t="s">
        <v>66</v>
      </c>
      <c r="D490" s="342"/>
      <c r="E490" s="195"/>
      <c r="F490" s="351"/>
      <c r="G490" s="541"/>
      <c r="H490" s="531"/>
      <c r="I490" s="532"/>
    </row>
    <row r="491" spans="1:11" ht="13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3">
        <f>'FR-16(7)(v)-8 TOT CLASS Alloc'!I491</f>
        <v>1919</v>
      </c>
      <c r="G491" s="542">
        <f>'FR-16(7)(v)-5 DISTR Dem Alloc'!$I$491</f>
        <v>1870</v>
      </c>
      <c r="H491" s="533">
        <f>'FR-16(7)(v)-3 PROD Comm Alloc'!$I$491</f>
        <v>14</v>
      </c>
      <c r="I491" s="534">
        <f>'FR-16(7)(v)-6 DISTR Cust Alloc'!$I$491</f>
        <v>35</v>
      </c>
      <c r="J491" s="345">
        <f>SUM($G$491:$I$491)</f>
        <v>1919</v>
      </c>
      <c r="K491" s="345">
        <f>F491-$J$491</f>
        <v>0</v>
      </c>
    </row>
    <row r="492" spans="1:11" ht="13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3">
        <f>'FR-16(7)(v)-8 TOT CLASS Alloc'!I492</f>
        <v>0</v>
      </c>
      <c r="G492" s="542">
        <f>'FR-16(7)(v)-5 DISTR Dem Alloc'!$I$492</f>
        <v>0</v>
      </c>
      <c r="H492" s="533">
        <f>'FR-16(7)(v)-3 PROD Comm Alloc'!$I$492</f>
        <v>0</v>
      </c>
      <c r="I492" s="534">
        <f>'FR-16(7)(v)-6 DISTR Cust Alloc'!$I$492</f>
        <v>0</v>
      </c>
      <c r="J492" s="345">
        <f>SUM($G$492:$I$492)</f>
        <v>0</v>
      </c>
      <c r="K492" s="345">
        <f>F492-$J$492</f>
        <v>0</v>
      </c>
    </row>
    <row r="493" spans="1:11" ht="13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4">
        <f>SUM(F491:F492)</f>
        <v>1919</v>
      </c>
      <c r="G493" s="543">
        <f>SUM($G$491:$G$492)</f>
        <v>1870</v>
      </c>
      <c r="H493" s="535">
        <f>SUM($H$491:$H$492)</f>
        <v>14</v>
      </c>
      <c r="I493" s="536">
        <f>SUM($I$491:$I$492)</f>
        <v>35</v>
      </c>
      <c r="J493" s="346">
        <f>SUM($J$491:$J$492)</f>
        <v>1919</v>
      </c>
      <c r="K493" s="346">
        <f>SUM($K$491:$K$492)</f>
        <v>0</v>
      </c>
    </row>
    <row r="494" spans="1:11" ht="13">
      <c r="A494" s="331">
        <v>18</v>
      </c>
      <c r="D494" s="342"/>
      <c r="E494" s="195"/>
      <c r="G494" s="541"/>
      <c r="H494" s="531"/>
      <c r="I494" s="532"/>
    </row>
    <row r="495" spans="1:11" ht="13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389788</v>
      </c>
      <c r="G495" s="542">
        <f>$G$488+$G$481+$G$493</f>
        <v>376896</v>
      </c>
      <c r="H495" s="533">
        <f>$H$488+$H$481+$H$493</f>
        <v>5026</v>
      </c>
      <c r="I495" s="534">
        <f>$I$488+$I$481+$I$493</f>
        <v>7866</v>
      </c>
      <c r="J495" s="345">
        <f>$J$488+$J$481+$J$493</f>
        <v>389788</v>
      </c>
      <c r="K495" s="345">
        <f>$K$488+$K$481+$K$493</f>
        <v>0</v>
      </c>
    </row>
    <row r="496" spans="1:11" ht="13">
      <c r="A496" s="331">
        <v>20</v>
      </c>
      <c r="D496" s="342"/>
      <c r="E496" s="195"/>
      <c r="G496" s="541"/>
      <c r="H496" s="531"/>
      <c r="I496" s="532"/>
    </row>
    <row r="497" spans="1:11" ht="13">
      <c r="A497" s="331">
        <v>21</v>
      </c>
      <c r="B497" s="330" t="s">
        <v>40</v>
      </c>
      <c r="D497" s="342"/>
      <c r="E497" s="195"/>
      <c r="G497" s="541"/>
      <c r="H497" s="531"/>
      <c r="I497" s="532"/>
    </row>
    <row r="498" spans="1:11" ht="13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K498" si="94">F433</f>
        <v>1553301</v>
      </c>
      <c r="G498" s="542">
        <f t="shared" si="94"/>
        <v>1300301</v>
      </c>
      <c r="H498" s="533">
        <f t="shared" si="94"/>
        <v>226978</v>
      </c>
      <c r="I498" s="534">
        <f t="shared" si="94"/>
        <v>26022</v>
      </c>
      <c r="J498" s="345">
        <f t="shared" si="94"/>
        <v>1553301</v>
      </c>
      <c r="K498" s="345">
        <f t="shared" si="94"/>
        <v>0</v>
      </c>
    </row>
    <row r="499" spans="1:11" ht="13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K499" si="95">F465</f>
        <v>1632389</v>
      </c>
      <c r="G499" s="542">
        <f t="shared" si="95"/>
        <v>1488896</v>
      </c>
      <c r="H499" s="533">
        <f t="shared" si="95"/>
        <v>112464</v>
      </c>
      <c r="I499" s="534">
        <f t="shared" si="95"/>
        <v>31029</v>
      </c>
      <c r="J499" s="345">
        <f t="shared" si="95"/>
        <v>1632389</v>
      </c>
      <c r="K499" s="345">
        <f t="shared" si="95"/>
        <v>0</v>
      </c>
    </row>
    <row r="500" spans="1:11" ht="13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389788</v>
      </c>
      <c r="G500" s="542">
        <f>$G$495</f>
        <v>376896</v>
      </c>
      <c r="H500" s="533">
        <f>$H$495</f>
        <v>5026</v>
      </c>
      <c r="I500" s="534">
        <f>$I$495</f>
        <v>7866</v>
      </c>
      <c r="J500" s="345">
        <f>$J$495</f>
        <v>389788</v>
      </c>
      <c r="K500" s="345">
        <f>$K$495</f>
        <v>0</v>
      </c>
    </row>
    <row r="501" spans="1:11" ht="13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3575478</v>
      </c>
      <c r="G501" s="551">
        <f>SUM($G$498:$G$500)</f>
        <v>3166093</v>
      </c>
      <c r="H501" s="552">
        <f>SUM($H$498:$H$500)</f>
        <v>344468</v>
      </c>
      <c r="I501" s="553">
        <f>SUM($I$498:$I$500)</f>
        <v>64917</v>
      </c>
      <c r="J501" s="346">
        <f>SUM($J$498:$J$500)</f>
        <v>3575478</v>
      </c>
      <c r="K501" s="346">
        <f>SUM($K$498:$K$500)</f>
        <v>0</v>
      </c>
    </row>
    <row r="502" spans="1:11" ht="13">
      <c r="B502" s="341"/>
      <c r="C502" s="195"/>
      <c r="D502" s="342"/>
      <c r="E502" s="195"/>
      <c r="F502" s="195"/>
      <c r="G502" s="195"/>
      <c r="H502" s="195"/>
      <c r="I502" s="195"/>
      <c r="J502" s="195"/>
      <c r="K502" s="195"/>
    </row>
    <row r="503" spans="1:11" ht="13">
      <c r="A503" s="341" t="str">
        <f>co_name</f>
        <v>DUKE ENERGY KENTUCKY, INC.</v>
      </c>
      <c r="C503" s="195"/>
      <c r="D503" s="342"/>
      <c r="E503" s="195"/>
      <c r="F503" s="195"/>
      <c r="G503" s="195"/>
      <c r="H503" s="195"/>
      <c r="I503" s="195"/>
      <c r="J503" s="195" t="str">
        <f>$J$1</f>
        <v>FR-16(7)(v)-11</v>
      </c>
      <c r="K503" s="195"/>
    </row>
    <row r="504" spans="1:11" ht="13">
      <c r="A504" s="341" t="str">
        <f>$A$2</f>
        <v>FT-L CLASSIFIED - GAS COST OF SERVICE</v>
      </c>
      <c r="C504" s="195"/>
      <c r="D504" s="342"/>
      <c r="E504" s="195"/>
      <c r="F504" s="195"/>
      <c r="G504" s="195"/>
      <c r="H504" s="195"/>
      <c r="I504" s="195"/>
      <c r="J504" s="195" t="str">
        <f>$J$2</f>
        <v>WITNESS RESPONSIBLE:</v>
      </c>
      <c r="K504" s="195"/>
    </row>
    <row r="505" spans="1:11" ht="13">
      <c r="A505" s="341" t="str">
        <f>case_name</f>
        <v>CASE NO: 2021-00190</v>
      </c>
      <c r="C505" s="195"/>
      <c r="D505" s="342"/>
      <c r="E505" s="195"/>
      <c r="F505" s="195"/>
      <c r="G505" s="195"/>
      <c r="H505" s="195"/>
      <c r="I505" s="195"/>
      <c r="J505" s="195" t="str">
        <f>Witness</f>
        <v>JAMES E. ZIOLKOWSKI</v>
      </c>
      <c r="K505" s="195"/>
    </row>
    <row r="506" spans="1:11" ht="13">
      <c r="A506" s="341" t="str">
        <f>data_filing</f>
        <v>DATA: 12 MONTH FORECASTED PERIOD</v>
      </c>
      <c r="C506" s="195"/>
      <c r="D506" s="342"/>
      <c r="E506" s="195"/>
      <c r="F506" s="195"/>
      <c r="G506" s="195"/>
      <c r="H506" s="195"/>
      <c r="I506" s="195"/>
      <c r="J506" s="195" t="str">
        <f>"PAGE "&amp;Pages2-3&amp;" OF "&amp;Pages2</f>
        <v>PAGE 12 OF 15</v>
      </c>
      <c r="K506" s="195"/>
    </row>
    <row r="507" spans="1:11" ht="13">
      <c r="A507" s="341" t="str">
        <f>type</f>
        <v xml:space="preserve">TYPE OF FILING: "X" ORIGINAL   UPDATED    REVISED  </v>
      </c>
      <c r="C507" s="195"/>
      <c r="D507" s="342"/>
      <c r="E507" s="195"/>
      <c r="F507" s="195"/>
      <c r="G507" s="195"/>
      <c r="H507" s="195"/>
      <c r="I507" s="195"/>
      <c r="J507" s="195"/>
      <c r="K507" s="195"/>
    </row>
    <row r="508" spans="1:11" ht="13">
      <c r="B508" s="341"/>
      <c r="C508" s="195"/>
      <c r="D508" s="342"/>
      <c r="E508" s="195"/>
      <c r="F508" s="195"/>
      <c r="G508" s="195"/>
      <c r="H508" s="195"/>
      <c r="I508" s="195"/>
      <c r="J508" s="195"/>
      <c r="K508" s="195"/>
    </row>
    <row r="509" spans="1:11" ht="13">
      <c r="B509" s="341"/>
      <c r="C509" s="195"/>
      <c r="D509" s="342"/>
      <c r="E509" s="195"/>
      <c r="F509" s="195"/>
      <c r="G509" s="195"/>
      <c r="H509" s="195"/>
      <c r="I509" s="195"/>
      <c r="J509" s="195"/>
      <c r="K509" s="195"/>
    </row>
    <row r="510" spans="1:11" ht="13">
      <c r="A510" s="342" t="s">
        <v>907</v>
      </c>
      <c r="B510" s="195"/>
      <c r="C510" s="195"/>
      <c r="D510" s="342"/>
      <c r="E510" s="195"/>
      <c r="F510" s="342" t="s">
        <v>229</v>
      </c>
      <c r="G510" s="539" t="s">
        <v>995</v>
      </c>
      <c r="H510" s="527"/>
      <c r="I510" s="528"/>
      <c r="J510" s="342" t="s">
        <v>229</v>
      </c>
      <c r="K510" s="342" t="s">
        <v>342</v>
      </c>
    </row>
    <row r="511" spans="1:11" ht="13">
      <c r="A511" s="344" t="s">
        <v>908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4" t="str">
        <f>$F$9</f>
        <v>FT-L</v>
      </c>
      <c r="G511" s="540" t="s">
        <v>840</v>
      </c>
      <c r="H511" s="529" t="s">
        <v>841</v>
      </c>
      <c r="I511" s="530" t="s">
        <v>842</v>
      </c>
      <c r="J511" s="344" t="s">
        <v>341</v>
      </c>
      <c r="K511" s="344" t="s">
        <v>340</v>
      </c>
    </row>
    <row r="512" spans="1:11" ht="13">
      <c r="C512" s="572" t="s">
        <v>351</v>
      </c>
      <c r="D512" s="342"/>
      <c r="E512" s="195"/>
      <c r="G512" s="793">
        <f>$G$10</f>
        <v>3</v>
      </c>
      <c r="H512" s="794">
        <f>$H$10</f>
        <v>4</v>
      </c>
      <c r="I512" s="795">
        <f>$I$10</f>
        <v>5</v>
      </c>
    </row>
    <row r="513" spans="1:11" ht="13">
      <c r="A513" s="331">
        <v>1</v>
      </c>
      <c r="B513" s="330" t="s">
        <v>69</v>
      </c>
      <c r="D513" s="342"/>
      <c r="E513" s="195"/>
      <c r="G513" s="541"/>
      <c r="H513" s="531"/>
      <c r="I513" s="532"/>
    </row>
    <row r="514" spans="1:11" ht="13">
      <c r="A514" s="331">
        <v>2</v>
      </c>
      <c r="B514" s="330" t="s">
        <v>70</v>
      </c>
      <c r="D514" s="342"/>
      <c r="E514" s="195"/>
      <c r="F514" s="330" t="s">
        <v>343</v>
      </c>
      <c r="G514" s="541"/>
      <c r="H514" s="531"/>
      <c r="I514" s="532"/>
    </row>
    <row r="515" spans="1:11" ht="13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3">
        <f>'FR-16(7)(v)-8 TOT CLASS Alloc'!I515</f>
        <v>732468</v>
      </c>
      <c r="G515" s="542">
        <f>'FR-16(7)(v)-5 DISTR Dem Alloc'!$I$515</f>
        <v>707594</v>
      </c>
      <c r="H515" s="533">
        <f>'FR-16(7)(v)-3 PROD Comm Alloc'!$I$515</f>
        <v>9917</v>
      </c>
      <c r="I515" s="534">
        <f>'FR-16(7)(v)-6 DISTR Cust Alloc'!$I$515</f>
        <v>14957</v>
      </c>
      <c r="J515" s="345">
        <f>SUM($G$515:$I$515)</f>
        <v>732468</v>
      </c>
      <c r="K515" s="345">
        <f>F515-$J$515</f>
        <v>0</v>
      </c>
    </row>
    <row r="516" spans="1:11" ht="13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732468</v>
      </c>
      <c r="G516" s="543">
        <f>$G$515</f>
        <v>707594</v>
      </c>
      <c r="H516" s="535">
        <f>$H$515</f>
        <v>9917</v>
      </c>
      <c r="I516" s="536">
        <f>$I$515</f>
        <v>14957</v>
      </c>
      <c r="J516" s="346">
        <f>$J$515</f>
        <v>732468</v>
      </c>
      <c r="K516" s="346">
        <f>$K$515</f>
        <v>0</v>
      </c>
    </row>
    <row r="517" spans="1:11" ht="13">
      <c r="A517" s="331">
        <v>5</v>
      </c>
      <c r="D517" s="342"/>
      <c r="E517" s="195"/>
      <c r="F517" s="351"/>
      <c r="G517" s="541"/>
      <c r="H517" s="531"/>
      <c r="I517" s="532"/>
    </row>
    <row r="518" spans="1:11" ht="13">
      <c r="A518" s="331">
        <v>6</v>
      </c>
      <c r="B518" s="330" t="s">
        <v>71</v>
      </c>
      <c r="D518" s="342"/>
      <c r="E518" s="195"/>
      <c r="F518" s="351"/>
      <c r="G518" s="541"/>
      <c r="H518" s="531"/>
      <c r="I518" s="532"/>
    </row>
    <row r="519" spans="1:11" ht="13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3">
        <f>'FR-16(7)(v)-8 TOT CLASS Alloc'!I519</f>
        <v>816302</v>
      </c>
      <c r="G519" s="542">
        <f>'FR-16(7)(v)-5 DISTR Dem Alloc'!$I$519</f>
        <v>744551</v>
      </c>
      <c r="H519" s="533">
        <f>'FR-16(7)(v)-3 PROD Comm Alloc'!$I$519</f>
        <v>56243</v>
      </c>
      <c r="I519" s="534">
        <f>'FR-16(7)(v)-6 DISTR Cust Alloc'!$I$519</f>
        <v>15508</v>
      </c>
      <c r="J519" s="345">
        <f>SUM($G$519:$I$519)</f>
        <v>816302</v>
      </c>
      <c r="K519" s="345">
        <f>F519-$J$519</f>
        <v>0</v>
      </c>
    </row>
    <row r="520" spans="1:11" ht="13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3">
        <f>'FR-16(7)(v)-8 TOT CLASS Alloc'!I520</f>
        <v>-14789</v>
      </c>
      <c r="G520" s="542">
        <f>'FR-16(7)(v)-5 DISTR Dem Alloc'!$I$520</f>
        <v>-14408</v>
      </c>
      <c r="H520" s="533">
        <f>'FR-16(7)(v)-3 PROD Comm Alloc'!$I$520</f>
        <v>-111</v>
      </c>
      <c r="I520" s="534">
        <f>'FR-16(7)(v)-6 DISTR Cust Alloc'!$I$520</f>
        <v>-270</v>
      </c>
      <c r="J520" s="345">
        <f>SUM($G$520:$I$520)</f>
        <v>-14789</v>
      </c>
      <c r="K520" s="345">
        <f>F520-$J$520</f>
        <v>0</v>
      </c>
    </row>
    <row r="521" spans="1:11" ht="13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3">
        <f>'FR-16(7)(v)-8 TOT CLASS Alloc'!I521</f>
        <v>-175706</v>
      </c>
      <c r="G521" s="542">
        <f>'FR-16(7)(v)-5 DISTR Dem Alloc'!$I$521</f>
        <v>-160262</v>
      </c>
      <c r="H521" s="533">
        <f>'FR-16(7)(v)-3 PROD Comm Alloc'!$I$521</f>
        <v>-12106</v>
      </c>
      <c r="I521" s="534">
        <f>'FR-16(7)(v)-6 DISTR Cust Alloc'!$I$521</f>
        <v>-3338</v>
      </c>
      <c r="J521" s="345">
        <f>SUM($G$521:$I$521)</f>
        <v>-175706</v>
      </c>
      <c r="K521" s="345">
        <f>F521-$J$521</f>
        <v>0</v>
      </c>
    </row>
    <row r="522" spans="1:11" ht="13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625807</v>
      </c>
      <c r="G522" s="543">
        <f>SUM($G$519:$G$521)</f>
        <v>569881</v>
      </c>
      <c r="H522" s="535">
        <f>SUM($H$519:$H$521)</f>
        <v>44026</v>
      </c>
      <c r="I522" s="536">
        <f>SUM($I$519:$I$521)</f>
        <v>11900</v>
      </c>
      <c r="J522" s="346">
        <f>SUM($J$519:$J$521)</f>
        <v>625807</v>
      </c>
      <c r="K522" s="346">
        <f>SUM($K$519:$K$521)</f>
        <v>0</v>
      </c>
    </row>
    <row r="523" spans="1:11" ht="13">
      <c r="A523" s="331">
        <v>11</v>
      </c>
      <c r="D523" s="342"/>
      <c r="E523" s="195"/>
      <c r="F523" s="351"/>
      <c r="G523" s="541"/>
      <c r="H523" s="531"/>
      <c r="I523" s="532"/>
    </row>
    <row r="524" spans="1:11" ht="13">
      <c r="A524" s="331">
        <v>12</v>
      </c>
      <c r="B524" s="330" t="s">
        <v>72</v>
      </c>
      <c r="D524" s="342"/>
      <c r="E524" s="195"/>
      <c r="F524" s="347">
        <f>F522+F516</f>
        <v>1358275</v>
      </c>
      <c r="G524" s="542">
        <f>$G$522+$G$516</f>
        <v>1277475</v>
      </c>
      <c r="H524" s="533">
        <f>$H$522+$H$516</f>
        <v>53943</v>
      </c>
      <c r="I524" s="534">
        <f>$I$522+$I$516</f>
        <v>26857</v>
      </c>
      <c r="J524" s="345">
        <f>$J$522+$J$516</f>
        <v>1358275</v>
      </c>
      <c r="K524" s="345">
        <f>$K$522+$K$516</f>
        <v>0</v>
      </c>
    </row>
    <row r="525" spans="1:11" ht="13">
      <c r="A525" s="331">
        <v>13</v>
      </c>
      <c r="D525" s="342"/>
      <c r="E525" s="195"/>
      <c r="F525" s="351"/>
      <c r="G525" s="541"/>
      <c r="H525" s="531"/>
      <c r="I525" s="532"/>
    </row>
    <row r="526" spans="1:11" ht="13">
      <c r="A526" s="331">
        <v>14</v>
      </c>
      <c r="B526" s="338" t="s">
        <v>541</v>
      </c>
      <c r="D526" s="342"/>
      <c r="E526" s="195"/>
      <c r="F526" s="351"/>
      <c r="G526" s="541"/>
      <c r="H526" s="531"/>
      <c r="I526" s="532"/>
    </row>
    <row r="527" spans="1:11" ht="13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3">
        <f>'FR-16(7)(v)-8 TOT CLASS Alloc'!I527</f>
        <v>35069</v>
      </c>
      <c r="G527" s="542">
        <f>'FR-16(7)(v)-5 DISTR Dem Alloc'!$I$527</f>
        <v>29359</v>
      </c>
      <c r="H527" s="533">
        <f>'FR-16(7)(v)-3 PROD Comm Alloc'!$I$527</f>
        <v>5122</v>
      </c>
      <c r="I527" s="534">
        <f>'FR-16(7)(v)-6 DISTR Cust Alloc'!$I$527</f>
        <v>588</v>
      </c>
      <c r="J527" s="345">
        <f>SUM($G$527:$I$527)</f>
        <v>35069</v>
      </c>
      <c r="K527" s="345">
        <f>F527-$J$527</f>
        <v>0</v>
      </c>
    </row>
    <row r="528" spans="1:11" ht="13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3">
        <f>'FR-16(7)(v)-8 TOT CLASS Alloc'!I528</f>
        <v>987</v>
      </c>
      <c r="G528" s="542">
        <f>'FR-16(7)(v)-5 DISTR Dem Alloc'!$I$528</f>
        <v>962</v>
      </c>
      <c r="H528" s="533">
        <f>'FR-16(7)(v)-3 PROD Comm Alloc'!$I$528</f>
        <v>7</v>
      </c>
      <c r="I528" s="534">
        <f>'FR-16(7)(v)-6 DISTR Cust Alloc'!$I$528</f>
        <v>18</v>
      </c>
      <c r="J528" s="345">
        <f>SUM($G$528:$I$528)</f>
        <v>987</v>
      </c>
      <c r="K528" s="345">
        <f>F528-$J$528</f>
        <v>0</v>
      </c>
    </row>
    <row r="529" spans="1:11" ht="13">
      <c r="A529" s="331">
        <v>17</v>
      </c>
      <c r="C529" s="612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3">
        <f>'FR-16(7)(v)-8 TOT CLASS Alloc'!I529</f>
        <v>0</v>
      </c>
      <c r="G529" s="542">
        <f>'FR-16(7)(v)-5 DISTR Dem Alloc'!$I$529</f>
        <v>0</v>
      </c>
      <c r="H529" s="533">
        <f>'FR-16(7)(v)-3 PROD Comm Alloc'!$I$529</f>
        <v>0</v>
      </c>
      <c r="I529" s="534">
        <f>'FR-16(7)(v)-6 DISTR Cust Alloc'!$I$529</f>
        <v>0</v>
      </c>
      <c r="J529" s="345">
        <f>SUM($G$529:$I$529)</f>
        <v>0</v>
      </c>
      <c r="K529" s="345">
        <f>F529-$J$529</f>
        <v>0</v>
      </c>
    </row>
    <row r="530" spans="1:11" ht="13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3">
        <f>'FR-16(7)(v)-8 TOT CLASS Alloc'!I530</f>
        <v>-14860</v>
      </c>
      <c r="G530" s="542">
        <f>'FR-16(7)(v)-5 DISTR Dem Alloc'!$I$530</f>
        <v>0</v>
      </c>
      <c r="H530" s="533">
        <f>'FR-16(7)(v)-3 PROD Comm Alloc'!$I$530</f>
        <v>-14860</v>
      </c>
      <c r="I530" s="534">
        <f>'FR-16(7)(v)-6 DISTR Cust Alloc'!$I$530</f>
        <v>0</v>
      </c>
      <c r="J530" s="345">
        <f>SUM($G$530:$I$530)</f>
        <v>-14860</v>
      </c>
      <c r="K530" s="345">
        <f>F530-$J$530</f>
        <v>0</v>
      </c>
    </row>
    <row r="531" spans="1:11" ht="13">
      <c r="A531" s="331">
        <v>19</v>
      </c>
      <c r="C531" s="357" t="s">
        <v>1418</v>
      </c>
      <c r="D531" s="342" t="str">
        <f>'FR-16(7)(v)-1 Functional'!D531</f>
        <v>AG39</v>
      </c>
      <c r="E531" s="195"/>
      <c r="F531" s="473">
        <f>'FR-16(7)(v)-8 TOT CLASS Alloc'!I531</f>
        <v>-39744</v>
      </c>
      <c r="G531" s="542">
        <f>'FR-16(7)(v)-5 DISTR Dem Alloc'!$I$531</f>
        <v>-38719</v>
      </c>
      <c r="H531" s="533">
        <f>'FR-16(7)(v)-3 PROD Comm Alloc'!$I$531</f>
        <v>-299</v>
      </c>
      <c r="I531" s="534">
        <f>'FR-16(7)(v)-6 DISTR Cust Alloc'!$I$531</f>
        <v>-726</v>
      </c>
      <c r="J531" s="345">
        <f>SUM($G$531:$I$531)</f>
        <v>-39744</v>
      </c>
      <c r="K531" s="345">
        <f>F531-$J$531</f>
        <v>0</v>
      </c>
    </row>
    <row r="532" spans="1:11" ht="13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-18548</v>
      </c>
      <c r="G532" s="543">
        <f>SUM($G$527:$G$531)</f>
        <v>-8398</v>
      </c>
      <c r="H532" s="535">
        <f>SUM($H$527:$H$531)</f>
        <v>-10030</v>
      </c>
      <c r="I532" s="536">
        <f>SUM($I$527:$I$531)</f>
        <v>-120</v>
      </c>
      <c r="J532" s="346">
        <f>SUM($J$527:$J$531)</f>
        <v>-18548</v>
      </c>
      <c r="K532" s="346">
        <f>SUM($K$527:$K$531)</f>
        <v>0</v>
      </c>
    </row>
    <row r="533" spans="1:11" ht="13">
      <c r="A533" s="331">
        <v>21</v>
      </c>
      <c r="D533" s="342"/>
      <c r="E533" s="195"/>
      <c r="F533" s="351"/>
      <c r="G533" s="541"/>
      <c r="H533" s="531"/>
      <c r="I533" s="532"/>
    </row>
    <row r="534" spans="1:11" ht="13">
      <c r="A534" s="331">
        <v>22</v>
      </c>
      <c r="B534" s="330" t="s">
        <v>418</v>
      </c>
      <c r="D534" s="342"/>
      <c r="E534" s="195"/>
      <c r="F534" s="351"/>
      <c r="G534" s="541"/>
      <c r="H534" s="531"/>
      <c r="I534" s="532"/>
    </row>
    <row r="535" spans="1:11" ht="13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3">
        <f>'FR-16(7)(v)-8 TOT CLASS Alloc'!I535</f>
        <v>5211</v>
      </c>
      <c r="G535" s="542">
        <f>'FR-16(7)(v)-5 DISTR Dem Alloc'!$I$535</f>
        <v>5034</v>
      </c>
      <c r="H535" s="533">
        <f>'FR-16(7)(v)-3 PROD Comm Alloc'!$I$535</f>
        <v>71</v>
      </c>
      <c r="I535" s="534">
        <f>'FR-16(7)(v)-6 DISTR Cust Alloc'!$I$535</f>
        <v>106</v>
      </c>
      <c r="J535" s="345">
        <f>SUM($G$535:$I$535)</f>
        <v>5211</v>
      </c>
      <c r="K535" s="506">
        <f>F535-$J$535</f>
        <v>0</v>
      </c>
    </row>
    <row r="536" spans="1:11" ht="13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5211</v>
      </c>
      <c r="G536" s="543">
        <f>SUM($G$535:$G$535)</f>
        <v>5034</v>
      </c>
      <c r="H536" s="535">
        <f>SUM($H$535:$H$535)</f>
        <v>71</v>
      </c>
      <c r="I536" s="536">
        <f>SUM($I$535:$I$535)</f>
        <v>106</v>
      </c>
      <c r="J536" s="346">
        <f>SUM($J$535:$J$535)</f>
        <v>5211</v>
      </c>
      <c r="K536" s="346">
        <f>SUM($K$535:$K$535)</f>
        <v>0</v>
      </c>
    </row>
    <row r="537" spans="1:11" ht="13">
      <c r="A537" s="331">
        <v>25</v>
      </c>
      <c r="D537" s="342"/>
      <c r="E537" s="195"/>
      <c r="F537" s="504"/>
      <c r="G537" s="566"/>
      <c r="H537" s="567"/>
      <c r="I537" s="568"/>
      <c r="J537" s="504"/>
      <c r="K537" s="504"/>
    </row>
    <row r="538" spans="1:11" ht="15.5">
      <c r="A538" s="331">
        <v>26</v>
      </c>
      <c r="B538" s="330" t="s">
        <v>73</v>
      </c>
      <c r="D538" s="729"/>
      <c r="E538" s="1"/>
      <c r="F538" s="504"/>
      <c r="G538" s="566"/>
      <c r="H538" s="567"/>
      <c r="I538" s="568"/>
      <c r="J538" s="504"/>
      <c r="K538" s="504"/>
    </row>
    <row r="539" spans="1:11" ht="13">
      <c r="A539" s="331">
        <v>27</v>
      </c>
      <c r="C539" s="330" t="str">
        <f>'FR-16(7)(v)-1 Functional'!C539</f>
        <v>PROV INVEST TAX CREDIT</v>
      </c>
      <c r="D539" s="342" t="s">
        <v>315</v>
      </c>
      <c r="F539" s="473">
        <f>'FR-16(7)(v)-8 TOT CLASS Alloc'!I539</f>
        <v>0</v>
      </c>
      <c r="G539" s="542">
        <f>'FR-16(7)(v)-5 DISTR Dem Alloc'!$I$539</f>
        <v>0</v>
      </c>
      <c r="H539" s="533">
        <f>'FR-16(7)(v)-3 PROD Comm Alloc'!$I$539</f>
        <v>0</v>
      </c>
      <c r="I539" s="534">
        <f>'FR-16(7)(v)-6 DISTR Cust Alloc'!$I$539</f>
        <v>0</v>
      </c>
      <c r="J539" s="345">
        <f>SUM($G$539:$I$539)</f>
        <v>0</v>
      </c>
      <c r="K539" s="345">
        <f>F539-$J$539</f>
        <v>0</v>
      </c>
    </row>
    <row r="540" spans="1:11" ht="15.5">
      <c r="A540" s="331">
        <v>28</v>
      </c>
      <c r="C540" s="337" t="str">
        <f>'FR-16(7)(v)-1 Functional'!C540</f>
        <v xml:space="preserve">  TEST YEAR INV TAX CREDIT</v>
      </c>
      <c r="D540" s="729"/>
      <c r="E540" s="1"/>
      <c r="F540" s="346">
        <f>SUM(F539:F539)</f>
        <v>0</v>
      </c>
      <c r="G540" s="543">
        <f>SUM($G$539:$G$539)</f>
        <v>0</v>
      </c>
      <c r="H540" s="535">
        <f>SUM($H$539:$H$539)</f>
        <v>0</v>
      </c>
      <c r="I540" s="536">
        <f>SUM($I$539:$I$539)</f>
        <v>0</v>
      </c>
      <c r="J540" s="346">
        <f>SUM($J$539:$J$539)</f>
        <v>0</v>
      </c>
      <c r="K540" s="346">
        <f>SUM($K$539:$K$539)</f>
        <v>0</v>
      </c>
    </row>
    <row r="541" spans="1:11" ht="15.5">
      <c r="A541" s="331">
        <v>29</v>
      </c>
      <c r="B541" s="192"/>
      <c r="C541" s="192"/>
      <c r="D541" s="729"/>
      <c r="E541" s="1"/>
      <c r="F541" s="504"/>
      <c r="G541" s="566"/>
      <c r="H541" s="567"/>
      <c r="I541" s="568"/>
      <c r="J541" s="504"/>
      <c r="K541" s="504"/>
    </row>
    <row r="542" spans="1:11" ht="15.5">
      <c r="A542" s="331">
        <v>30</v>
      </c>
      <c r="B542" s="330" t="s">
        <v>40</v>
      </c>
      <c r="C542" s="192"/>
      <c r="D542" s="729"/>
      <c r="E542" s="1"/>
      <c r="F542" s="504"/>
      <c r="G542" s="566"/>
      <c r="H542" s="567"/>
      <c r="I542" s="568"/>
      <c r="J542" s="504"/>
      <c r="K542" s="504"/>
    </row>
    <row r="543" spans="1:11" ht="13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-18548</v>
      </c>
      <c r="G543" s="542">
        <f>$G$532</f>
        <v>-8398</v>
      </c>
      <c r="H543" s="533">
        <f>$H$532</f>
        <v>-10030</v>
      </c>
      <c r="I543" s="534">
        <f>$I$532</f>
        <v>-120</v>
      </c>
      <c r="J543" s="345">
        <f>$J$532</f>
        <v>-18548</v>
      </c>
      <c r="K543" s="345">
        <f>$K$532</f>
        <v>0</v>
      </c>
    </row>
    <row r="544" spans="1:11" ht="13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-5211</v>
      </c>
      <c r="G544" s="542">
        <f>-$G$536</f>
        <v>-5034</v>
      </c>
      <c r="H544" s="533">
        <f>-$H$536</f>
        <v>-71</v>
      </c>
      <c r="I544" s="534">
        <f>-$I$536</f>
        <v>-106</v>
      </c>
      <c r="J544" s="345">
        <f>-$J$536</f>
        <v>-5211</v>
      </c>
      <c r="K544" s="345">
        <f>-$K$536</f>
        <v>0</v>
      </c>
    </row>
    <row r="545" spans="1:11" ht="13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-23759</v>
      </c>
      <c r="G545" s="543">
        <f>SUM($G$543:$G$544)</f>
        <v>-13432</v>
      </c>
      <c r="H545" s="535">
        <f>SUM($H$543:$H$544)</f>
        <v>-10101</v>
      </c>
      <c r="I545" s="536">
        <f>SUM($I$543:$I$544)</f>
        <v>-226</v>
      </c>
      <c r="J545" s="346">
        <f>SUM($J$543:$J$544)</f>
        <v>-23759</v>
      </c>
      <c r="K545" s="346">
        <f>SUM($K$543:$K$544)</f>
        <v>0</v>
      </c>
    </row>
    <row r="546" spans="1:11" ht="13">
      <c r="A546" s="331">
        <v>34</v>
      </c>
      <c r="D546" s="342"/>
      <c r="E546" s="195"/>
      <c r="F546" s="351"/>
      <c r="G546" s="541"/>
      <c r="H546" s="531"/>
      <c r="I546" s="532"/>
    </row>
    <row r="547" spans="1:11" ht="13">
      <c r="A547" s="331">
        <v>35</v>
      </c>
      <c r="B547" s="330" t="s">
        <v>74</v>
      </c>
      <c r="D547" s="342"/>
      <c r="E547" s="195"/>
      <c r="F547" s="351"/>
      <c r="G547" s="541"/>
      <c r="H547" s="531"/>
      <c r="I547" s="532"/>
    </row>
    <row r="548" spans="1:11" ht="13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K548" si="96">F334</f>
        <v>2812700</v>
      </c>
      <c r="G548" s="542">
        <f t="shared" si="96"/>
        <v>2717208</v>
      </c>
      <c r="H548" s="533">
        <f t="shared" si="96"/>
        <v>38070</v>
      </c>
      <c r="I548" s="534">
        <f t="shared" si="96"/>
        <v>57422</v>
      </c>
      <c r="J548" s="345">
        <f t="shared" si="96"/>
        <v>2812700</v>
      </c>
      <c r="K548" s="345">
        <f t="shared" si="96"/>
        <v>0</v>
      </c>
    </row>
    <row r="549" spans="1:11" ht="13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-1358275</v>
      </c>
      <c r="G549" s="542">
        <f>-$G$524</f>
        <v>-1277475</v>
      </c>
      <c r="H549" s="533">
        <f>-$H$524</f>
        <v>-53943</v>
      </c>
      <c r="I549" s="534">
        <f>-$I$524</f>
        <v>-26857</v>
      </c>
      <c r="J549" s="345">
        <f>-$J$524</f>
        <v>-1358275</v>
      </c>
      <c r="K549" s="345">
        <f>-$K$524</f>
        <v>0</v>
      </c>
    </row>
    <row r="550" spans="1:11" ht="13">
      <c r="A550" s="331">
        <v>38</v>
      </c>
      <c r="C550" s="330" t="s">
        <v>1419</v>
      </c>
      <c r="D550" s="342"/>
      <c r="E550" s="195"/>
      <c r="F550" s="347">
        <f t="shared" ref="F550:K550" ca="1" si="97">F591</f>
        <v>54328</v>
      </c>
      <c r="G550" s="542">
        <f t="shared" ca="1" si="97"/>
        <v>488</v>
      </c>
      <c r="H550" s="533">
        <f t="shared" ca="1" si="97"/>
        <v>0</v>
      </c>
      <c r="I550" s="534">
        <f t="shared" ca="1" si="97"/>
        <v>53840</v>
      </c>
      <c r="J550" s="345">
        <f t="shared" ca="1" si="97"/>
        <v>54328</v>
      </c>
      <c r="K550" s="345">
        <f t="shared" ca="1" si="97"/>
        <v>0</v>
      </c>
    </row>
    <row r="551" spans="1:11" ht="13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-23759</v>
      </c>
      <c r="G551" s="542">
        <f>$G$545</f>
        <v>-13432</v>
      </c>
      <c r="H551" s="533">
        <f>$H$545</f>
        <v>-10101</v>
      </c>
      <c r="I551" s="534">
        <f>$I$545</f>
        <v>-226</v>
      </c>
      <c r="J551" s="345">
        <f>$J$545</f>
        <v>-23759</v>
      </c>
      <c r="K551" s="345">
        <f>$K$545</f>
        <v>0</v>
      </c>
    </row>
    <row r="552" spans="1:11" ht="13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 ca="1">SUM(F548:F551)</f>
        <v>1484994</v>
      </c>
      <c r="G552" s="543">
        <f ca="1">SUM($G$548:$G$551)</f>
        <v>1426789</v>
      </c>
      <c r="H552" s="535">
        <f ca="1">SUM($H$548:$H$551)</f>
        <v>-25974</v>
      </c>
      <c r="I552" s="536">
        <f ca="1">SUM($I$548:$I$551)</f>
        <v>84179</v>
      </c>
      <c r="J552" s="346">
        <f ca="1">SUM($J$548:$J$551)</f>
        <v>1484994</v>
      </c>
      <c r="K552" s="346">
        <f ca="1">SUM($K$548:$K$551)</f>
        <v>0</v>
      </c>
    </row>
    <row r="553" spans="1:11" ht="13">
      <c r="A553" s="331">
        <v>41</v>
      </c>
      <c r="D553" s="342"/>
      <c r="E553" s="195"/>
      <c r="F553" s="351"/>
      <c r="G553" s="541"/>
      <c r="H553" s="531"/>
      <c r="I553" s="532"/>
    </row>
    <row r="554" spans="1:11" ht="13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560">
        <f>ROUND(G692/(1-G692),9)</f>
        <v>0.26582278500000001</v>
      </c>
      <c r="H554" s="561">
        <f>ROUND(H692/(1-H692),9)</f>
        <v>0.26582278500000001</v>
      </c>
      <c r="I554" s="562">
        <f>ROUND(I692/(1-I692),9)</f>
        <v>0.26582278500000001</v>
      </c>
      <c r="J554" s="348"/>
      <c r="K554" s="348">
        <f>ROUND(K692/(1-K692),9)</f>
        <v>0.26582278500000001</v>
      </c>
    </row>
    <row r="555" spans="1:11" ht="13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 ca="1">ROUND(F554*F552,0)</f>
        <v>394745</v>
      </c>
      <c r="G555" s="554">
        <f ca="1">ROUND($G$552*$G$554,0)</f>
        <v>379273</v>
      </c>
      <c r="H555" s="555">
        <f ca="1">ROUND($H$552*$H$554,0)</f>
        <v>-6904</v>
      </c>
      <c r="I555" s="556">
        <f ca="1">ROUND($I$552*$I$554,0)</f>
        <v>22377</v>
      </c>
      <c r="J555" s="345">
        <f ca="1">SUM($G$555:$I$555)</f>
        <v>394746</v>
      </c>
      <c r="K555" s="345">
        <f ca="1">ROUND($K$552*$K$554,0)</f>
        <v>0</v>
      </c>
    </row>
    <row r="556" spans="1:11" ht="13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-23759</v>
      </c>
      <c r="G556" s="542">
        <f>$G$545</f>
        <v>-13432</v>
      </c>
      <c r="H556" s="533">
        <f>$H$545</f>
        <v>-10101</v>
      </c>
      <c r="I556" s="534">
        <f>$I$545</f>
        <v>-226</v>
      </c>
      <c r="J556" s="345">
        <f>$J$545</f>
        <v>-23759</v>
      </c>
      <c r="K556" s="345">
        <f>$K$545</f>
        <v>0</v>
      </c>
    </row>
    <row r="557" spans="1:11" ht="13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 ca="1">SUM(F555:F556)</f>
        <v>370986</v>
      </c>
      <c r="G557" s="543">
        <f ca="1">SUM($G$555:$G$556)</f>
        <v>365841</v>
      </c>
      <c r="H557" s="535">
        <f ca="1">SUM($H$555:$H$556)</f>
        <v>-17005</v>
      </c>
      <c r="I557" s="536">
        <f ca="1">SUM($I$555:$I$556)</f>
        <v>22151</v>
      </c>
      <c r="J557" s="346">
        <f ca="1">SUM($J$555:$J$556)</f>
        <v>370987</v>
      </c>
      <c r="K557" s="346">
        <f ca="1">SUM($K$555:$K$556)</f>
        <v>0</v>
      </c>
    </row>
    <row r="558" spans="1:11" ht="13">
      <c r="A558" s="331">
        <v>46</v>
      </c>
      <c r="D558" s="342"/>
      <c r="E558" s="195"/>
      <c r="F558" s="351"/>
      <c r="G558" s="541"/>
      <c r="H558" s="531"/>
      <c r="I558" s="532"/>
    </row>
    <row r="559" spans="1:11" ht="13">
      <c r="A559" s="331">
        <v>47</v>
      </c>
      <c r="B559" s="330" t="s">
        <v>68</v>
      </c>
      <c r="D559" s="342"/>
      <c r="E559" s="195"/>
      <c r="F559" s="351"/>
      <c r="G559" s="541"/>
      <c r="H559" s="531"/>
      <c r="I559" s="532"/>
    </row>
    <row r="560" spans="1:11" ht="13">
      <c r="A560" s="331">
        <v>48</v>
      </c>
      <c r="B560" s="330" t="s">
        <v>75</v>
      </c>
      <c r="D560" s="342"/>
      <c r="E560" s="195"/>
      <c r="F560" s="351"/>
      <c r="G560" s="541"/>
      <c r="H560" s="531"/>
      <c r="I560" s="532"/>
    </row>
    <row r="561" spans="1:11" ht="13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 ca="1">F555</f>
        <v>394745</v>
      </c>
      <c r="G561" s="542">
        <f ca="1">$G$555</f>
        <v>379273</v>
      </c>
      <c r="H561" s="533">
        <f ca="1">$H$555</f>
        <v>-6904</v>
      </c>
      <c r="I561" s="534">
        <f ca="1">$I$555</f>
        <v>22377</v>
      </c>
      <c r="J561" s="345">
        <f ca="1">$J$555</f>
        <v>394746</v>
      </c>
      <c r="K561" s="345">
        <f ca="1">$K$555</f>
        <v>0</v>
      </c>
    </row>
    <row r="562" spans="1:11" ht="13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544">
        <f>-$G$540</f>
        <v>0</v>
      </c>
      <c r="H562" s="537">
        <f>-$H$540</f>
        <v>0</v>
      </c>
      <c r="I562" s="538">
        <f>-$I$540</f>
        <v>0</v>
      </c>
      <c r="J562" s="345">
        <f>-$J$540</f>
        <v>0</v>
      </c>
      <c r="K562" s="345">
        <f>-$K$540</f>
        <v>0</v>
      </c>
    </row>
    <row r="563" spans="1:11" ht="13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 ca="1">SUM(F560:F562)</f>
        <v>394745</v>
      </c>
      <c r="G563" s="543">
        <f ca="1">SUM($G$560:$G$562)</f>
        <v>379273</v>
      </c>
      <c r="H563" s="535">
        <f ca="1">SUM($H$560:$H$562)</f>
        <v>-6904</v>
      </c>
      <c r="I563" s="536">
        <f ca="1">SUM($I$560:$I$562)</f>
        <v>22377</v>
      </c>
      <c r="J563" s="346">
        <f ca="1">SUM($J$560:$J$562)</f>
        <v>394746</v>
      </c>
      <c r="K563" s="346">
        <f ca="1">SUM($K$560:$K$562)</f>
        <v>0</v>
      </c>
    </row>
    <row r="564" spans="1:11" ht="13">
      <c r="A564" s="331">
        <v>52</v>
      </c>
      <c r="D564" s="342"/>
      <c r="E564" s="195"/>
      <c r="G564" s="541"/>
      <c r="H564" s="531"/>
      <c r="I564" s="532"/>
    </row>
    <row r="565" spans="1:11" ht="13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563">
        <f>ROUND((G693*(1-G692))+((1-G693)*(1-G692)*G694)+G692,5)</f>
        <v>0.24925</v>
      </c>
      <c r="H565" s="564">
        <f>ROUND((H693*(1-H692))+((1-H693)*(1-H692)*H694)+H692,5)</f>
        <v>0.24925</v>
      </c>
      <c r="I565" s="565">
        <f>ROUND((I693*(1-I692))+((1-I693)*(1-I692)*I694)+I692,5)</f>
        <v>0.24925</v>
      </c>
      <c r="K565" s="330">
        <f>ROUND((K693*(1-K692))+((1-K693)*(1-K692)*K694)+K692,5)</f>
        <v>0.24925</v>
      </c>
    </row>
    <row r="566" spans="1:11" ht="13">
      <c r="B566" s="341"/>
      <c r="C566" s="195"/>
      <c r="D566" s="342"/>
      <c r="E566" s="195"/>
      <c r="F566" s="195"/>
      <c r="G566" s="195"/>
      <c r="H566" s="195"/>
      <c r="I566" s="195"/>
      <c r="J566" s="195"/>
      <c r="K566" s="195"/>
    </row>
    <row r="567" spans="1:11" ht="13">
      <c r="A567" s="341" t="str">
        <f>co_name</f>
        <v>DUKE ENERGY KENTUCKY, INC.</v>
      </c>
      <c r="C567" s="195"/>
      <c r="D567" s="342"/>
      <c r="E567" s="195"/>
      <c r="F567" s="195"/>
      <c r="G567" s="195"/>
      <c r="H567" s="195"/>
      <c r="I567" s="195"/>
      <c r="J567" s="195" t="str">
        <f>$J$1</f>
        <v>FR-16(7)(v)-11</v>
      </c>
      <c r="K567" s="195"/>
    </row>
    <row r="568" spans="1:11" ht="13">
      <c r="A568" s="341" t="str">
        <f>$A$2</f>
        <v>FT-L CLASSIFIED - GAS COST OF SERVICE</v>
      </c>
      <c r="C568" s="195"/>
      <c r="D568" s="342"/>
      <c r="E568" s="195"/>
      <c r="F568" s="195"/>
      <c r="G568" s="195"/>
      <c r="H568" s="195"/>
      <c r="I568" s="195"/>
      <c r="J568" s="195" t="str">
        <f>$J$2</f>
        <v>WITNESS RESPONSIBLE:</v>
      </c>
      <c r="K568" s="195"/>
    </row>
    <row r="569" spans="1:11" ht="13">
      <c r="A569" s="341" t="str">
        <f>case_name</f>
        <v>CASE NO: 2021-00190</v>
      </c>
      <c r="C569" s="195"/>
      <c r="D569" s="342"/>
      <c r="E569" s="195"/>
      <c r="F569" s="195"/>
      <c r="G569" s="195"/>
      <c r="H569" s="195"/>
      <c r="I569" s="195"/>
      <c r="J569" s="195" t="str">
        <f>Witness</f>
        <v>JAMES E. ZIOLKOWSKI</v>
      </c>
      <c r="K569" s="195"/>
    </row>
    <row r="570" spans="1:11" ht="13">
      <c r="A570" s="341" t="str">
        <f>data_filing</f>
        <v>DATA: 12 MONTH FORECASTED PERIOD</v>
      </c>
      <c r="C570" s="195"/>
      <c r="D570" s="342"/>
      <c r="E570" s="195"/>
      <c r="F570" s="195"/>
      <c r="G570" s="195"/>
      <c r="H570" s="195"/>
      <c r="I570" s="195"/>
      <c r="J570" s="195" t="str">
        <f>"PAGE "&amp;Pages2-2&amp;" OF "&amp;Pages2</f>
        <v>PAGE 13 OF 15</v>
      </c>
      <c r="K570" s="195"/>
    </row>
    <row r="571" spans="1:11" ht="13">
      <c r="A571" s="341" t="str">
        <f>type</f>
        <v xml:space="preserve">TYPE OF FILING: "X" ORIGINAL   UPDATED    REVISED  </v>
      </c>
      <c r="C571" s="195"/>
      <c r="D571" s="342"/>
      <c r="E571" s="195"/>
      <c r="F571" s="195"/>
      <c r="G571" s="195"/>
      <c r="H571" s="195"/>
      <c r="I571" s="195"/>
      <c r="J571" s="195"/>
      <c r="K571" s="195"/>
    </row>
    <row r="574" spans="1:11" ht="13">
      <c r="A574" s="342" t="s">
        <v>907</v>
      </c>
      <c r="B574" s="1352"/>
      <c r="C574" s="1083"/>
      <c r="D574" s="1083"/>
      <c r="E574" s="340"/>
      <c r="F574" s="352" t="s">
        <v>229</v>
      </c>
      <c r="G574" s="539" t="s">
        <v>995</v>
      </c>
      <c r="H574" s="527"/>
      <c r="I574" s="528"/>
      <c r="J574" s="342" t="s">
        <v>229</v>
      </c>
      <c r="K574" s="342" t="s">
        <v>342</v>
      </c>
    </row>
    <row r="575" spans="1:11" ht="13">
      <c r="A575" s="344" t="s">
        <v>908</v>
      </c>
      <c r="B575" s="1354" t="s">
        <v>1376</v>
      </c>
      <c r="C575" s="1355"/>
      <c r="D575" s="1356" t="s">
        <v>1377</v>
      </c>
      <c r="E575" s="1357"/>
      <c r="F575" s="353" t="str">
        <f>$F$9</f>
        <v>FT-L</v>
      </c>
      <c r="G575" s="540" t="s">
        <v>840</v>
      </c>
      <c r="H575" s="529" t="s">
        <v>841</v>
      </c>
      <c r="I575" s="530" t="s">
        <v>842</v>
      </c>
      <c r="J575" s="344" t="s">
        <v>341</v>
      </c>
      <c r="K575" s="344" t="s">
        <v>340</v>
      </c>
    </row>
    <row r="576" spans="1:11" ht="15.5">
      <c r="A576" s="1358"/>
      <c r="B576" s="1359"/>
      <c r="C576" s="1360" t="s">
        <v>1378</v>
      </c>
      <c r="D576" s="1361"/>
      <c r="E576" s="340"/>
      <c r="F576" s="351"/>
      <c r="G576" s="1407">
        <f>$G$10</f>
        <v>3</v>
      </c>
      <c r="H576" s="1408">
        <f>$H$10</f>
        <v>4</v>
      </c>
      <c r="I576" s="1409">
        <f>$I$10</f>
        <v>5</v>
      </c>
    </row>
    <row r="577" spans="1:11" ht="13">
      <c r="A577" s="961">
        <v>1</v>
      </c>
      <c r="B577" s="1365" t="s">
        <v>1379</v>
      </c>
      <c r="C577" s="1352"/>
      <c r="D577" s="1352"/>
      <c r="E577" s="340"/>
      <c r="F577" s="340"/>
      <c r="G577" s="1410"/>
      <c r="H577" s="1411"/>
      <c r="I577" s="1412"/>
      <c r="J577" s="195"/>
      <c r="K577" s="195"/>
    </row>
    <row r="578" spans="1:11" ht="13">
      <c r="A578" s="961">
        <v>2</v>
      </c>
      <c r="B578" s="1369" t="s">
        <v>1380</v>
      </c>
      <c r="C578" s="1352"/>
      <c r="D578" s="1370" t="s">
        <v>315</v>
      </c>
      <c r="E578" s="340"/>
      <c r="F578" s="473">
        <f ca="1">'FR-16(7)(v)-8 TOT CLASS Alloc'!I578</f>
        <v>581936</v>
      </c>
      <c r="G578" s="542">
        <f ca="1">ROUND(F578*VLOOKUP(D578,AllocTable_Functional,$G$10,FALSE),0)</f>
        <v>5226</v>
      </c>
      <c r="H578" s="533">
        <f ca="1">ROUND(F578*VLOOKUP(D578,AllocTable_Functional,$H$10,FALSE),0)</f>
        <v>0</v>
      </c>
      <c r="I578" s="534">
        <f ca="1">ROUND(F578*VLOOKUP(D578,AllocTable_Functional,$I$10,FALSE),0)</f>
        <v>576710</v>
      </c>
      <c r="J578" s="345">
        <f ca="1">SUM(G578:I578)</f>
        <v>581936</v>
      </c>
      <c r="K578" s="345">
        <f ca="1">F578-J578</f>
        <v>0</v>
      </c>
    </row>
    <row r="579" spans="1:11" ht="13">
      <c r="A579" s="961">
        <v>3</v>
      </c>
      <c r="B579" s="1369" t="s">
        <v>1152</v>
      </c>
      <c r="C579" s="1371"/>
      <c r="D579" s="1370" t="s">
        <v>315</v>
      </c>
      <c r="E579" s="340"/>
      <c r="F579" s="1372">
        <f>'FR-16(7)(v)-8 TOT CLASS Alloc'!I579</f>
        <v>0</v>
      </c>
      <c r="G579" s="544">
        <f>ROUND(F579*VLOOKUP(D579,AllocTable_Functional,$G$10,FALSE),0)</f>
        <v>0</v>
      </c>
      <c r="H579" s="537">
        <f>ROUND(F579*VLOOKUP(D579,AllocTable_Functional,$H$10,FALSE),0)</f>
        <v>0</v>
      </c>
      <c r="I579" s="538">
        <f>ROUND(F579*VLOOKUP(D579,AllocTable_Functional,$I$10,FALSE),0)</f>
        <v>0</v>
      </c>
      <c r="J579" s="496">
        <f>SUM(G579:I579)</f>
        <v>0</v>
      </c>
      <c r="K579" s="496">
        <f>F579-J579</f>
        <v>0</v>
      </c>
    </row>
    <row r="580" spans="1:11" ht="13">
      <c r="A580" s="961">
        <v>4</v>
      </c>
      <c r="B580" s="1373" t="s">
        <v>1381</v>
      </c>
      <c r="C580" s="1352"/>
      <c r="D580" s="1374"/>
      <c r="E580" s="340"/>
      <c r="F580" s="1280">
        <f t="shared" ref="F580:K580" ca="1" si="98">SUM(F578:F579)</f>
        <v>581936</v>
      </c>
      <c r="G580" s="1413">
        <f t="shared" ca="1" si="98"/>
        <v>5226</v>
      </c>
      <c r="H580" s="1414">
        <f t="shared" ca="1" si="98"/>
        <v>0</v>
      </c>
      <c r="I580" s="1415">
        <f t="shared" ca="1" si="98"/>
        <v>576710</v>
      </c>
      <c r="J580" s="333">
        <f t="shared" ca="1" si="98"/>
        <v>581936</v>
      </c>
      <c r="K580" s="333">
        <f t="shared" ca="1" si="98"/>
        <v>0</v>
      </c>
    </row>
    <row r="581" spans="1:11" ht="15.5">
      <c r="A581" s="961">
        <v>5</v>
      </c>
      <c r="B581" s="1358"/>
      <c r="C581" s="1361"/>
      <c r="D581" s="1375"/>
      <c r="E581" s="340"/>
      <c r="F581" s="351"/>
      <c r="G581" s="541"/>
      <c r="H581" s="531"/>
      <c r="I581" s="532"/>
    </row>
    <row r="582" spans="1:11" ht="13">
      <c r="A582" s="961">
        <v>6</v>
      </c>
      <c r="B582" s="1376" t="s">
        <v>1382</v>
      </c>
      <c r="C582" s="1352"/>
      <c r="D582" s="1374"/>
      <c r="E582" s="340"/>
      <c r="F582" s="351"/>
      <c r="G582" s="541"/>
      <c r="H582" s="531"/>
      <c r="I582" s="532"/>
    </row>
    <row r="583" spans="1:11" ht="13">
      <c r="A583" s="961">
        <v>7</v>
      </c>
      <c r="B583" s="1377" t="s">
        <v>1383</v>
      </c>
      <c r="C583" s="1352"/>
      <c r="D583" s="1374"/>
      <c r="E583" s="340"/>
      <c r="F583" s="351"/>
      <c r="G583" s="541"/>
      <c r="H583" s="531"/>
      <c r="I583" s="532"/>
    </row>
    <row r="584" spans="1:11" ht="13">
      <c r="A584" s="961">
        <v>8</v>
      </c>
      <c r="B584" s="1378" t="s">
        <v>1384</v>
      </c>
      <c r="C584" s="1371"/>
      <c r="D584" s="1370" t="s">
        <v>315</v>
      </c>
      <c r="E584" s="340"/>
      <c r="F584" s="1431">
        <f ca="1">'FR-16(7)(v)-8 TOT CLASS Alloc'!I584</f>
        <v>54328</v>
      </c>
      <c r="G584" s="544">
        <f ca="1">F584-SUM(H584:I584)</f>
        <v>488</v>
      </c>
      <c r="H584" s="537">
        <f ca="1">ROUND(F584*VLOOKUP(D584,AllocTable_Functional,$H$10,FALSE),0)</f>
        <v>0</v>
      </c>
      <c r="I584" s="538">
        <f ca="1">ROUND(F584*VLOOKUP(D584,AllocTable_Functional,$I$10,FALSE),0)</f>
        <v>53840</v>
      </c>
      <c r="J584" s="496">
        <f ca="1">SUM(G584:I584)</f>
        <v>54328</v>
      </c>
      <c r="K584" s="496">
        <f ca="1">F584-J584</f>
        <v>0</v>
      </c>
    </row>
    <row r="585" spans="1:11" ht="13">
      <c r="A585" s="961">
        <v>9</v>
      </c>
      <c r="B585" s="1373" t="s">
        <v>1386</v>
      </c>
      <c r="C585" s="1352"/>
      <c r="D585" s="1374"/>
      <c r="E585" s="340"/>
      <c r="F585" s="1280">
        <f t="shared" ref="F585:K585" ca="1" si="99">SUM(F584)</f>
        <v>54328</v>
      </c>
      <c r="G585" s="1413">
        <f t="shared" ca="1" si="99"/>
        <v>488</v>
      </c>
      <c r="H585" s="1414">
        <f t="shared" ca="1" si="99"/>
        <v>0</v>
      </c>
      <c r="I585" s="1415">
        <f t="shared" ca="1" si="99"/>
        <v>53840</v>
      </c>
      <c r="J585" s="333">
        <f t="shared" ca="1" si="99"/>
        <v>54328</v>
      </c>
      <c r="K585" s="333">
        <f t="shared" ca="1" si="99"/>
        <v>0</v>
      </c>
    </row>
    <row r="586" spans="1:11" ht="13">
      <c r="A586" s="961">
        <v>10</v>
      </c>
      <c r="B586" s="1082"/>
      <c r="C586" s="1352"/>
      <c r="D586" s="1374"/>
      <c r="E586" s="340"/>
      <c r="F586" s="351"/>
      <c r="G586" s="541"/>
      <c r="H586" s="531"/>
      <c r="I586" s="532"/>
    </row>
    <row r="587" spans="1:11" ht="13">
      <c r="A587" s="961">
        <v>11</v>
      </c>
      <c r="B587" s="1379" t="s">
        <v>1387</v>
      </c>
      <c r="C587" s="1380"/>
      <c r="D587" s="1381"/>
      <c r="E587" s="340"/>
      <c r="F587" s="351"/>
      <c r="G587" s="541"/>
      <c r="H587" s="531"/>
      <c r="I587" s="532"/>
    </row>
    <row r="588" spans="1:11" ht="13">
      <c r="A588" s="961">
        <v>12</v>
      </c>
      <c r="B588" s="1369" t="s">
        <v>1388</v>
      </c>
      <c r="C588" s="1371"/>
      <c r="D588" s="1370" t="s">
        <v>315</v>
      </c>
      <c r="E588" s="340"/>
      <c r="F588" s="1431">
        <f ca="1">'FR-16(7)(v)-8 TOT CLASS Alloc'!I588</f>
        <v>0</v>
      </c>
      <c r="G588" s="544">
        <f ca="1">ROUND(F588*VLOOKUP(D588,AllocTable_Functional,$G$10,FALSE),0)</f>
        <v>0</v>
      </c>
      <c r="H588" s="537">
        <f ca="1">ROUND(F588*VLOOKUP(D588,AllocTable_Functional,$H$10,FALSE),0)</f>
        <v>0</v>
      </c>
      <c r="I588" s="538">
        <f ca="1">ROUND(F588*VLOOKUP(D588,AllocTable_Functional,$I$10,FALSE),0)</f>
        <v>0</v>
      </c>
      <c r="J588" s="496">
        <f ca="1">SUM(G588:I588)</f>
        <v>0</v>
      </c>
      <c r="K588" s="496">
        <f ca="1">F588-J588</f>
        <v>0</v>
      </c>
    </row>
    <row r="589" spans="1:11" ht="13">
      <c r="A589" s="961">
        <v>13</v>
      </c>
      <c r="B589" s="1373" t="s">
        <v>1389</v>
      </c>
      <c r="C589" s="1352"/>
      <c r="D589" s="1374"/>
      <c r="E589" s="340"/>
      <c r="F589" s="1280">
        <f t="shared" ref="F589:K589" ca="1" si="100">SUM(F588)</f>
        <v>0</v>
      </c>
      <c r="G589" s="1413">
        <f t="shared" ca="1" si="100"/>
        <v>0</v>
      </c>
      <c r="H589" s="1414">
        <f t="shared" ca="1" si="100"/>
        <v>0</v>
      </c>
      <c r="I589" s="1415">
        <f t="shared" ca="1" si="100"/>
        <v>0</v>
      </c>
      <c r="J589" s="333">
        <f t="shared" ca="1" si="100"/>
        <v>0</v>
      </c>
      <c r="K589" s="333">
        <f t="shared" ca="1" si="100"/>
        <v>0</v>
      </c>
    </row>
    <row r="590" spans="1:11" ht="13">
      <c r="A590" s="961">
        <v>14</v>
      </c>
      <c r="B590" s="1352"/>
      <c r="C590" s="1352"/>
      <c r="D590" s="1374"/>
      <c r="E590" s="340"/>
      <c r="F590" s="351"/>
      <c r="G590" s="541"/>
      <c r="H590" s="531"/>
      <c r="I590" s="532"/>
    </row>
    <row r="591" spans="1:11" ht="13">
      <c r="A591" s="961">
        <v>15</v>
      </c>
      <c r="B591" s="1352" t="s">
        <v>1390</v>
      </c>
      <c r="C591" s="1352"/>
      <c r="D591" s="1374"/>
      <c r="E591" s="340"/>
      <c r="F591" s="1280">
        <f ca="1">F589+F585</f>
        <v>54328</v>
      </c>
      <c r="G591" s="1413">
        <f t="shared" ref="G591:K591" ca="1" si="101">G589+G585</f>
        <v>488</v>
      </c>
      <c r="H591" s="1414">
        <f t="shared" ca="1" si="101"/>
        <v>0</v>
      </c>
      <c r="I591" s="1415">
        <f t="shared" ca="1" si="101"/>
        <v>53840</v>
      </c>
      <c r="J591" s="333">
        <f t="shared" ca="1" si="101"/>
        <v>54328</v>
      </c>
      <c r="K591" s="333">
        <f t="shared" ca="1" si="101"/>
        <v>0</v>
      </c>
    </row>
    <row r="592" spans="1:11" ht="13">
      <c r="A592" s="961">
        <v>16</v>
      </c>
      <c r="B592" s="1352"/>
      <c r="C592" s="1352"/>
      <c r="D592" s="1374"/>
      <c r="E592" s="340"/>
      <c r="F592" s="351"/>
      <c r="G592" s="541"/>
      <c r="H592" s="531"/>
      <c r="I592" s="532"/>
    </row>
    <row r="593" spans="1:11" ht="13">
      <c r="A593" s="961">
        <v>17</v>
      </c>
      <c r="B593" s="1382" t="s">
        <v>68</v>
      </c>
      <c r="C593" s="1383"/>
      <c r="D593" s="961"/>
      <c r="E593" s="340"/>
      <c r="F593" s="351"/>
      <c r="G593" s="541"/>
      <c r="H593" s="531"/>
      <c r="I593" s="532"/>
    </row>
    <row r="594" spans="1:11" ht="13">
      <c r="A594" s="961">
        <v>18</v>
      </c>
      <c r="B594" s="1377" t="s">
        <v>1391</v>
      </c>
      <c r="C594" s="1352"/>
      <c r="D594" s="1374"/>
      <c r="E594" s="340"/>
      <c r="F594" s="351"/>
      <c r="G594" s="541"/>
      <c r="H594" s="531"/>
      <c r="I594" s="532"/>
    </row>
    <row r="595" spans="1:11" ht="13">
      <c r="A595" s="961">
        <v>19</v>
      </c>
      <c r="B595" s="1352" t="s">
        <v>43</v>
      </c>
      <c r="C595" s="1352"/>
      <c r="D595" s="1374"/>
      <c r="E595" s="340"/>
      <c r="F595" s="1280">
        <f>F334</f>
        <v>2812700</v>
      </c>
      <c r="G595" s="1413">
        <f>G334</f>
        <v>2717208</v>
      </c>
      <c r="H595" s="1414">
        <f>H334</f>
        <v>38070</v>
      </c>
      <c r="I595" s="1415">
        <f>I334</f>
        <v>57422</v>
      </c>
      <c r="J595" s="1280">
        <f>J334</f>
        <v>2812700</v>
      </c>
      <c r="K595" s="1280">
        <f t="shared" ref="K595" si="102">K316</f>
        <v>0</v>
      </c>
    </row>
    <row r="596" spans="1:11" ht="13">
      <c r="A596" s="961">
        <v>20</v>
      </c>
      <c r="B596" s="1352" t="s">
        <v>199</v>
      </c>
      <c r="C596" s="1352"/>
      <c r="D596" s="1374"/>
      <c r="E596" s="340"/>
      <c r="F596" s="1280">
        <f t="shared" ref="F596:K596" ca="1" si="103">F557</f>
        <v>370986</v>
      </c>
      <c r="G596" s="1413">
        <f t="shared" ca="1" si="103"/>
        <v>365841</v>
      </c>
      <c r="H596" s="1414">
        <f t="shared" ca="1" si="103"/>
        <v>-17005</v>
      </c>
      <c r="I596" s="1415">
        <f t="shared" ca="1" si="103"/>
        <v>22151</v>
      </c>
      <c r="J596" s="333">
        <f t="shared" ca="1" si="103"/>
        <v>370987</v>
      </c>
      <c r="K596" s="333">
        <f t="shared" ca="1" si="103"/>
        <v>0</v>
      </c>
    </row>
    <row r="597" spans="1:11" ht="13">
      <c r="A597" s="961">
        <v>21</v>
      </c>
      <c r="B597" s="1352" t="s">
        <v>1392</v>
      </c>
      <c r="C597" s="1352"/>
      <c r="D597" s="1374"/>
      <c r="E597" s="340"/>
      <c r="F597" s="1280">
        <f>-F524</f>
        <v>-1358275</v>
      </c>
      <c r="G597" s="1413">
        <f t="shared" ref="G597:K597" si="104">-G524</f>
        <v>-1277475</v>
      </c>
      <c r="H597" s="1414">
        <f t="shared" si="104"/>
        <v>-53943</v>
      </c>
      <c r="I597" s="1415">
        <f t="shared" si="104"/>
        <v>-26857</v>
      </c>
      <c r="J597" s="333">
        <f t="shared" si="104"/>
        <v>-1358275</v>
      </c>
      <c r="K597" s="333">
        <f t="shared" si="104"/>
        <v>0</v>
      </c>
    </row>
    <row r="598" spans="1:11" ht="13">
      <c r="A598" s="961">
        <v>22</v>
      </c>
      <c r="B598" s="1352" t="s">
        <v>1393</v>
      </c>
      <c r="C598" s="1352"/>
      <c r="D598" s="1374"/>
      <c r="E598" s="340"/>
      <c r="F598" s="1280">
        <f t="shared" ref="F598:K598" ca="1" si="105">-F580</f>
        <v>-581936</v>
      </c>
      <c r="G598" s="1413">
        <f t="shared" ca="1" si="105"/>
        <v>-5226</v>
      </c>
      <c r="H598" s="1414">
        <f t="shared" ca="1" si="105"/>
        <v>0</v>
      </c>
      <c r="I598" s="1415">
        <f t="shared" ca="1" si="105"/>
        <v>-576710</v>
      </c>
      <c r="J598" s="333">
        <f t="shared" ca="1" si="105"/>
        <v>-581936</v>
      </c>
      <c r="K598" s="333">
        <f t="shared" ca="1" si="105"/>
        <v>0</v>
      </c>
    </row>
    <row r="599" spans="1:11" ht="13">
      <c r="A599" s="961">
        <v>23</v>
      </c>
      <c r="B599" s="1371" t="s">
        <v>1394</v>
      </c>
      <c r="C599" s="1371"/>
      <c r="D599" s="1374"/>
      <c r="E599" s="340"/>
      <c r="F599" s="1384">
        <f t="shared" ref="F599:K599" ca="1" si="106">F591</f>
        <v>54328</v>
      </c>
      <c r="G599" s="1416">
        <f t="shared" ca="1" si="106"/>
        <v>488</v>
      </c>
      <c r="H599" s="1417">
        <f t="shared" ca="1" si="106"/>
        <v>0</v>
      </c>
      <c r="I599" s="1418">
        <f t="shared" ca="1" si="106"/>
        <v>53840</v>
      </c>
      <c r="J599" s="1388">
        <f t="shared" ca="1" si="106"/>
        <v>54328</v>
      </c>
      <c r="K599" s="1388">
        <f t="shared" ca="1" si="106"/>
        <v>0</v>
      </c>
    </row>
    <row r="600" spans="1:11" ht="13">
      <c r="A600" s="961">
        <v>24</v>
      </c>
      <c r="B600" s="1082" t="s">
        <v>1395</v>
      </c>
      <c r="C600" s="1352"/>
      <c r="D600" s="1374"/>
      <c r="E600" s="340"/>
      <c r="F600" s="1280">
        <f t="shared" ref="F600:K600" ca="1" si="107">SUM(F595:F599)</f>
        <v>1297803</v>
      </c>
      <c r="G600" s="1413">
        <f t="shared" ca="1" si="107"/>
        <v>1800836</v>
      </c>
      <c r="H600" s="1414">
        <f t="shared" ca="1" si="107"/>
        <v>-32878</v>
      </c>
      <c r="I600" s="1415">
        <f t="shared" ca="1" si="107"/>
        <v>-470154</v>
      </c>
      <c r="J600" s="333">
        <f t="shared" ca="1" si="107"/>
        <v>1297804</v>
      </c>
      <c r="K600" s="333">
        <f t="shared" ca="1" si="107"/>
        <v>0</v>
      </c>
    </row>
    <row r="601" spans="1:11" ht="13">
      <c r="A601" s="961">
        <v>25</v>
      </c>
      <c r="B601" s="1352"/>
      <c r="C601" s="1352"/>
      <c r="D601" s="1374"/>
      <c r="E601" s="340"/>
      <c r="F601" s="351"/>
      <c r="G601" s="541"/>
      <c r="H601" s="531"/>
      <c r="I601" s="532"/>
    </row>
    <row r="602" spans="1:11" ht="13">
      <c r="A602" s="961">
        <v>26</v>
      </c>
      <c r="B602" s="1352" t="s">
        <v>1396</v>
      </c>
      <c r="C602" s="1352"/>
      <c r="D602" s="1374"/>
      <c r="E602" s="340"/>
      <c r="F602" s="1389">
        <f>ROUND(SIT/(1-SIT),8)</f>
        <v>5.2282660000000002E-2</v>
      </c>
      <c r="G602" s="1419">
        <f t="shared" ref="G602:K602" si="108">ROUND(SIT/(1-SIT),8)</f>
        <v>5.2282660000000002E-2</v>
      </c>
      <c r="H602" s="1420">
        <f t="shared" si="108"/>
        <v>5.2282660000000002E-2</v>
      </c>
      <c r="I602" s="1421">
        <f t="shared" si="108"/>
        <v>5.2282660000000002E-2</v>
      </c>
      <c r="J602" s="1389">
        <f t="shared" si="108"/>
        <v>5.2282660000000002E-2</v>
      </c>
      <c r="K602" s="1389">
        <f t="shared" si="108"/>
        <v>5.2282660000000002E-2</v>
      </c>
    </row>
    <row r="603" spans="1:11" ht="13">
      <c r="A603" s="961">
        <v>27</v>
      </c>
      <c r="B603" s="1352" t="s">
        <v>1397</v>
      </c>
      <c r="C603" s="1352"/>
      <c r="D603" s="1393" t="s">
        <v>1398</v>
      </c>
      <c r="E603" s="340"/>
      <c r="F603" s="1394">
        <f ca="1">ROUND(F600*F602,0)</f>
        <v>67853</v>
      </c>
      <c r="G603" s="1414">
        <f ca="1">ROUND(G600*G602,0)</f>
        <v>94152</v>
      </c>
      <c r="H603" s="1414">
        <f ca="1">ROUND(H600*H602,0)</f>
        <v>-1719</v>
      </c>
      <c r="I603" s="1415">
        <f ca="1">ROUND(I600*I602,0)</f>
        <v>-24581</v>
      </c>
      <c r="J603" s="345">
        <f ca="1">SUM(G603:I603)</f>
        <v>67852</v>
      </c>
      <c r="K603" s="345">
        <f ca="1">F603-J603</f>
        <v>1</v>
      </c>
    </row>
    <row r="604" spans="1:11" ht="13">
      <c r="A604" s="961">
        <v>28</v>
      </c>
      <c r="B604" s="1371" t="s">
        <v>1399</v>
      </c>
      <c r="C604" s="1371"/>
      <c r="D604" s="1374"/>
      <c r="E604" s="1395"/>
      <c r="F604" s="1394">
        <f ca="1">F591</f>
        <v>54328</v>
      </c>
      <c r="G604" s="1422">
        <f ca="1">G591</f>
        <v>488</v>
      </c>
      <c r="H604" s="1423">
        <f ca="1">H591</f>
        <v>0</v>
      </c>
      <c r="I604" s="1424">
        <f ca="1">I591</f>
        <v>53840</v>
      </c>
      <c r="J604" s="345">
        <f ca="1">SUM(G604:I604)</f>
        <v>54328</v>
      </c>
      <c r="K604" s="345">
        <f ca="1">F604-J604</f>
        <v>0</v>
      </c>
    </row>
    <row r="605" spans="1:11" ht="13">
      <c r="A605" s="961">
        <v>29</v>
      </c>
      <c r="B605" s="1082" t="s">
        <v>1400</v>
      </c>
      <c r="C605" s="1352"/>
      <c r="D605" s="1374"/>
      <c r="E605" s="340"/>
      <c r="F605" s="1399">
        <f t="shared" ref="F605:K605" ca="1" si="109">F604+F603</f>
        <v>122181</v>
      </c>
      <c r="G605" s="1425">
        <f t="shared" ca="1" si="109"/>
        <v>94640</v>
      </c>
      <c r="H605" s="1426">
        <f t="shared" ca="1" si="109"/>
        <v>-1719</v>
      </c>
      <c r="I605" s="1427">
        <f t="shared" ca="1" si="109"/>
        <v>29259</v>
      </c>
      <c r="J605" s="1399">
        <f t="shared" ca="1" si="109"/>
        <v>122180</v>
      </c>
      <c r="K605" s="1399">
        <f t="shared" ca="1" si="109"/>
        <v>1</v>
      </c>
    </row>
    <row r="606" spans="1:11" ht="13">
      <c r="A606" s="961">
        <v>30</v>
      </c>
      <c r="B606" s="1352"/>
      <c r="C606" s="1352"/>
      <c r="D606" s="1374"/>
      <c r="E606" s="340"/>
      <c r="F606" s="351"/>
      <c r="G606" s="541"/>
      <c r="H606" s="531"/>
      <c r="I606" s="532"/>
    </row>
    <row r="607" spans="1:11" ht="13">
      <c r="A607" s="961">
        <v>31</v>
      </c>
      <c r="B607" s="1352" t="s">
        <v>1401</v>
      </c>
      <c r="C607" s="1352"/>
      <c r="D607" s="1374"/>
      <c r="E607" s="340"/>
      <c r="F607" s="351"/>
      <c r="G607" s="541"/>
      <c r="H607" s="531"/>
      <c r="I607" s="532"/>
    </row>
    <row r="608" spans="1:11" ht="13">
      <c r="A608" s="961">
        <v>32</v>
      </c>
      <c r="B608" s="1352" t="s">
        <v>1397</v>
      </c>
      <c r="C608" s="1352"/>
      <c r="D608" s="1374"/>
      <c r="E608" s="340"/>
      <c r="F608" s="1394">
        <f t="shared" ref="F608:K608" ca="1" si="110">F603</f>
        <v>67853</v>
      </c>
      <c r="G608" s="1422">
        <f t="shared" ca="1" si="110"/>
        <v>94152</v>
      </c>
      <c r="H608" s="1423">
        <f t="shared" ca="1" si="110"/>
        <v>-1719</v>
      </c>
      <c r="I608" s="1424">
        <f t="shared" ca="1" si="110"/>
        <v>-24581</v>
      </c>
      <c r="J608" s="1394">
        <f t="shared" ca="1" si="110"/>
        <v>67852</v>
      </c>
      <c r="K608" s="1394">
        <f t="shared" ca="1" si="110"/>
        <v>1</v>
      </c>
    </row>
    <row r="609" spans="1:11" ht="13">
      <c r="A609" s="961">
        <v>33</v>
      </c>
      <c r="B609" s="1371" t="s">
        <v>1387</v>
      </c>
      <c r="C609" s="1371"/>
      <c r="D609" s="1374"/>
      <c r="E609" s="340"/>
      <c r="F609" s="1394">
        <f t="shared" ref="F609:K609" ca="1" si="111">F589</f>
        <v>0</v>
      </c>
      <c r="G609" s="1422">
        <f t="shared" ca="1" si="111"/>
        <v>0</v>
      </c>
      <c r="H609" s="1423">
        <f t="shared" ca="1" si="111"/>
        <v>0</v>
      </c>
      <c r="I609" s="1424">
        <f t="shared" ca="1" si="111"/>
        <v>0</v>
      </c>
      <c r="J609" s="1394">
        <f t="shared" ca="1" si="111"/>
        <v>0</v>
      </c>
      <c r="K609" s="1394">
        <f t="shared" ca="1" si="111"/>
        <v>0</v>
      </c>
    </row>
    <row r="610" spans="1:11" ht="13">
      <c r="A610" s="961">
        <v>34</v>
      </c>
      <c r="B610" s="1082" t="s">
        <v>1402</v>
      </c>
      <c r="C610" s="1352"/>
      <c r="D610" s="1374"/>
      <c r="E610" s="340"/>
      <c r="F610" s="1399">
        <f t="shared" ref="F610:K610" ca="1" si="112">F608+F609</f>
        <v>67853</v>
      </c>
      <c r="G610" s="1425">
        <f t="shared" ca="1" si="112"/>
        <v>94152</v>
      </c>
      <c r="H610" s="1426">
        <f t="shared" ca="1" si="112"/>
        <v>-1719</v>
      </c>
      <c r="I610" s="1427">
        <f t="shared" ca="1" si="112"/>
        <v>-24581</v>
      </c>
      <c r="J610" s="1399">
        <f t="shared" ca="1" si="112"/>
        <v>67852</v>
      </c>
      <c r="K610" s="1399">
        <f t="shared" ca="1" si="112"/>
        <v>1</v>
      </c>
    </row>
    <row r="611" spans="1:11" ht="13">
      <c r="A611" s="961">
        <v>35</v>
      </c>
      <c r="B611" s="1352"/>
      <c r="C611" s="1352"/>
      <c r="D611" s="1352"/>
      <c r="E611" s="340"/>
      <c r="F611" s="1394"/>
      <c r="G611" s="1422"/>
      <c r="H611" s="1423"/>
      <c r="I611" s="1424"/>
      <c r="J611" s="1394"/>
      <c r="K611" s="1394"/>
    </row>
    <row r="612" spans="1:11" ht="13">
      <c r="A612" s="961">
        <v>36</v>
      </c>
      <c r="B612" s="1352" t="s">
        <v>76</v>
      </c>
      <c r="C612" s="1352"/>
      <c r="D612" s="1352"/>
      <c r="E612" s="340"/>
      <c r="F612" s="1403">
        <f t="shared" ref="F612:K612" si="113">(SIT*(1-FIT))+((1-SIT)*(1-FIT)*RevTax)+FIT</f>
        <v>0.24925115</v>
      </c>
      <c r="G612" s="1428">
        <f t="shared" si="113"/>
        <v>0.24925115</v>
      </c>
      <c r="H612" s="1429">
        <f t="shared" si="113"/>
        <v>0.24925115</v>
      </c>
      <c r="I612" s="1430">
        <f t="shared" si="113"/>
        <v>0.24925115</v>
      </c>
      <c r="J612" s="1403">
        <f t="shared" si="113"/>
        <v>0.24925115</v>
      </c>
      <c r="K612" s="1403">
        <f t="shared" si="113"/>
        <v>0.24925115</v>
      </c>
    </row>
    <row r="614" spans="1:11" ht="13">
      <c r="A614" s="341" t="str">
        <f>co_name</f>
        <v>DUKE ENERGY KENTUCKY, INC.</v>
      </c>
      <c r="C614" s="195"/>
      <c r="D614" s="342"/>
      <c r="E614" s="195"/>
      <c r="F614" s="195"/>
      <c r="G614" s="195"/>
      <c r="H614" s="195"/>
      <c r="I614" s="195"/>
      <c r="J614" s="195" t="str">
        <f>$J$1</f>
        <v>FR-16(7)(v)-11</v>
      </c>
      <c r="K614" s="195"/>
    </row>
    <row r="615" spans="1:11" ht="13">
      <c r="A615" s="341" t="str">
        <f>$A$2</f>
        <v>FT-L CLASSIFIED - GAS COST OF SERVICE</v>
      </c>
      <c r="C615" s="195"/>
      <c r="D615" s="342"/>
      <c r="E615" s="195"/>
      <c r="F615" s="195"/>
      <c r="G615" s="195"/>
      <c r="H615" s="195"/>
      <c r="I615" s="195"/>
      <c r="J615" s="195" t="str">
        <f>$J$2</f>
        <v>WITNESS RESPONSIBLE:</v>
      </c>
      <c r="K615" s="195"/>
    </row>
    <row r="616" spans="1:11" ht="13">
      <c r="A616" s="341" t="str">
        <f>case_name</f>
        <v>CASE NO: 2021-00190</v>
      </c>
      <c r="C616" s="195"/>
      <c r="D616" s="342"/>
      <c r="E616" s="195"/>
      <c r="F616" s="195"/>
      <c r="G616" s="195"/>
      <c r="H616" s="195"/>
      <c r="I616" s="195"/>
      <c r="J616" s="195" t="str">
        <f>Witness</f>
        <v>JAMES E. ZIOLKOWSKI</v>
      </c>
      <c r="K616" s="195"/>
    </row>
    <row r="617" spans="1:11" ht="13">
      <c r="A617" s="341" t="str">
        <f>data_filing</f>
        <v>DATA: 12 MONTH FORECASTED PERIOD</v>
      </c>
      <c r="C617" s="195"/>
      <c r="D617" s="342"/>
      <c r="E617" s="195"/>
      <c r="F617" s="195"/>
      <c r="G617" s="195"/>
      <c r="H617" s="195"/>
      <c r="I617" s="195"/>
      <c r="J617" s="195" t="str">
        <f>"PAGE "&amp;Pages2-1&amp;" OF "&amp;Pages2</f>
        <v>PAGE 14 OF 15</v>
      </c>
      <c r="K617" s="195"/>
    </row>
    <row r="618" spans="1:11" ht="13">
      <c r="A618" s="341" t="str">
        <f>type</f>
        <v xml:space="preserve">TYPE OF FILING: "X" ORIGINAL   UPDATED    REVISED  </v>
      </c>
      <c r="C618" s="195"/>
      <c r="D618" s="342"/>
      <c r="E618" s="195"/>
      <c r="F618" s="195"/>
      <c r="G618" s="195"/>
      <c r="H618" s="195"/>
      <c r="I618" s="195"/>
      <c r="J618" s="195"/>
      <c r="K618" s="195"/>
    </row>
    <row r="619" spans="1:11" ht="13">
      <c r="B619" s="341"/>
      <c r="C619" s="195"/>
      <c r="D619" s="342"/>
      <c r="E619" s="195"/>
      <c r="F619" s="195"/>
      <c r="G619" s="195"/>
      <c r="H619" s="195"/>
      <c r="I619" s="195"/>
      <c r="J619" s="195"/>
      <c r="K619" s="195"/>
    </row>
    <row r="620" spans="1:11" ht="13">
      <c r="B620" s="341"/>
      <c r="C620" s="195"/>
      <c r="D620" s="342"/>
      <c r="E620" s="195"/>
      <c r="F620" s="195"/>
      <c r="G620" s="195"/>
      <c r="H620" s="195"/>
      <c r="I620" s="195"/>
      <c r="J620" s="195"/>
      <c r="K620" s="195"/>
    </row>
    <row r="621" spans="1:11" ht="13">
      <c r="A621" s="342" t="s">
        <v>907</v>
      </c>
      <c r="B621" s="195"/>
      <c r="C621" s="195"/>
      <c r="D621" s="342"/>
      <c r="E621" s="195"/>
      <c r="F621" s="342" t="s">
        <v>229</v>
      </c>
      <c r="G621" s="539" t="s">
        <v>995</v>
      </c>
      <c r="H621" s="527"/>
      <c r="I621" s="528"/>
      <c r="J621" s="342" t="s">
        <v>229</v>
      </c>
      <c r="K621" s="342" t="s">
        <v>342</v>
      </c>
    </row>
    <row r="622" spans="1:11" ht="13">
      <c r="A622" s="344" t="s">
        <v>908</v>
      </c>
      <c r="B622" s="343" t="s">
        <v>77</v>
      </c>
      <c r="C622" s="343"/>
      <c r="D622" s="344" t="s">
        <v>337</v>
      </c>
      <c r="E622" s="343"/>
      <c r="F622" s="344" t="str">
        <f>$F$9</f>
        <v>FT-L</v>
      </c>
      <c r="G622" s="540" t="s">
        <v>840</v>
      </c>
      <c r="H622" s="529" t="s">
        <v>841</v>
      </c>
      <c r="I622" s="530" t="s">
        <v>842</v>
      </c>
      <c r="J622" s="344" t="s">
        <v>341</v>
      </c>
      <c r="K622" s="344" t="s">
        <v>340</v>
      </c>
    </row>
    <row r="623" spans="1:11" ht="13">
      <c r="C623" s="572" t="s">
        <v>352</v>
      </c>
      <c r="D623" s="342"/>
      <c r="E623" s="195"/>
      <c r="G623" s="793">
        <f>$G$10</f>
        <v>3</v>
      </c>
      <c r="H623" s="794">
        <f>$H$10</f>
        <v>4</v>
      </c>
      <c r="I623" s="795">
        <f>$I$10</f>
        <v>5</v>
      </c>
    </row>
    <row r="624" spans="1:11" ht="13">
      <c r="A624" s="331">
        <v>1</v>
      </c>
      <c r="B624" s="330" t="s">
        <v>78</v>
      </c>
      <c r="D624" s="342"/>
      <c r="E624" s="195"/>
      <c r="G624" s="541"/>
      <c r="H624" s="531"/>
      <c r="I624" s="532"/>
    </row>
    <row r="625" spans="1:11" ht="13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3">
        <f>'FR-16(7)(v)-8 TOT CLASS Alloc'!I625</f>
        <v>54</v>
      </c>
      <c r="G625" s="542">
        <f>'FR-16(7)(v)-5 DISTR Dem Alloc'!$I$625</f>
        <v>0</v>
      </c>
      <c r="H625" s="533">
        <f>'FR-16(7)(v)-3 PROD Comm Alloc'!$I$625</f>
        <v>0</v>
      </c>
      <c r="I625" s="534">
        <f>'FR-16(7)(v)-6 DISTR Cust Alloc'!$I$625</f>
        <v>54</v>
      </c>
      <c r="J625" s="345">
        <f>SUM($G$625:$I$625)</f>
        <v>54</v>
      </c>
      <c r="K625" s="345">
        <f>F625-$J$625</f>
        <v>0</v>
      </c>
    </row>
    <row r="626" spans="1:11" ht="13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3">
        <f>'FR-16(7)(v)-8 TOT CLASS Alloc'!I626</f>
        <v>0</v>
      </c>
      <c r="G626" s="542">
        <f>'FR-16(7)(v)-5 DISTR Dem Alloc'!$I$626</f>
        <v>0</v>
      </c>
      <c r="H626" s="533">
        <f>'FR-16(7)(v)-3 PROD Comm Alloc'!$I$626</f>
        <v>0</v>
      </c>
      <c r="I626" s="534">
        <f>'FR-16(7)(v)-6 DISTR Cust Alloc'!$I$626</f>
        <v>0</v>
      </c>
      <c r="J626" s="345">
        <f>SUM($G$626:$I$626)</f>
        <v>0</v>
      </c>
      <c r="K626" s="345">
        <f>F626-$J$626</f>
        <v>0</v>
      </c>
    </row>
    <row r="627" spans="1:11" ht="13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3">
        <f>'FR-16(7)(v)-8 TOT CLASS Alloc'!I627</f>
        <v>1</v>
      </c>
      <c r="G627" s="542">
        <f>'FR-16(7)(v)-5 DISTR Dem Alloc'!$I$627</f>
        <v>0</v>
      </c>
      <c r="H627" s="533">
        <f>'FR-16(7)(v)-3 PROD Comm Alloc'!$I$627</f>
        <v>0</v>
      </c>
      <c r="I627" s="534">
        <f>'FR-16(7)(v)-6 DISTR Cust Alloc'!$I$627</f>
        <v>1</v>
      </c>
      <c r="J627" s="345">
        <f>SUM($G$627:$I$627)</f>
        <v>1</v>
      </c>
      <c r="K627" s="345">
        <f>F627-$J$627</f>
        <v>0</v>
      </c>
    </row>
    <row r="628" spans="1:11" ht="13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3">
        <f>'FR-16(7)(v)-8 TOT CLASS Alloc'!I628</f>
        <v>0</v>
      </c>
      <c r="G628" s="542">
        <f>'FR-16(7)(v)-5 DISTR Dem Alloc'!$I$628</f>
        <v>0</v>
      </c>
      <c r="H628" s="533">
        <f>'FR-16(7)(v)-3 PROD Comm Alloc'!$I$628</f>
        <v>0</v>
      </c>
      <c r="I628" s="534">
        <f>'FR-16(7)(v)-6 DISTR Cust Alloc'!$I$628</f>
        <v>0</v>
      </c>
      <c r="J628" s="345">
        <f>SUM($G$628:$I$628)</f>
        <v>0</v>
      </c>
      <c r="K628" s="345">
        <f>F628-$J$628</f>
        <v>0</v>
      </c>
    </row>
    <row r="629" spans="1:11" ht="13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3">
        <f>'FR-16(7)(v)-8 TOT CLASS Alloc'!I629</f>
        <v>16278</v>
      </c>
      <c r="G629" s="542">
        <f>'FR-16(7)(v)-5 DISTR Dem Alloc'!$I$629</f>
        <v>15859</v>
      </c>
      <c r="H629" s="533">
        <f>'FR-16(7)(v)-3 PROD Comm Alloc'!$I$629</f>
        <v>122</v>
      </c>
      <c r="I629" s="534">
        <f>'FR-16(7)(v)-6 DISTR Cust Alloc'!$I$629</f>
        <v>297</v>
      </c>
      <c r="J629" s="345">
        <f>SUM($G$629:$I$629)</f>
        <v>16278</v>
      </c>
      <c r="K629" s="345">
        <f>F629-$J$629</f>
        <v>0</v>
      </c>
    </row>
    <row r="630" spans="1:11" ht="13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16333</v>
      </c>
      <c r="G630" s="543">
        <f>SUM($G$625:$G$629)</f>
        <v>15859</v>
      </c>
      <c r="H630" s="535">
        <f>SUM($H$625:$H$629)</f>
        <v>122</v>
      </c>
      <c r="I630" s="536">
        <f>SUM($I$625:$I$629)</f>
        <v>352</v>
      </c>
      <c r="J630" s="346">
        <f>SUM($J$625:$J$629)</f>
        <v>16333</v>
      </c>
      <c r="K630" s="346">
        <f>SUM($K$625:$K$629)</f>
        <v>0</v>
      </c>
    </row>
    <row r="631" spans="1:11" ht="13">
      <c r="A631" s="331">
        <v>8</v>
      </c>
      <c r="D631" s="342"/>
      <c r="E631" s="195"/>
      <c r="G631" s="541"/>
      <c r="H631" s="531"/>
      <c r="I631" s="532"/>
    </row>
    <row r="632" spans="1:11" ht="13">
      <c r="A632" s="331">
        <v>9</v>
      </c>
      <c r="B632" s="330" t="s">
        <v>77</v>
      </c>
      <c r="D632" s="342"/>
      <c r="E632" s="195"/>
      <c r="G632" s="541"/>
      <c r="H632" s="531"/>
      <c r="I632" s="532"/>
    </row>
    <row r="633" spans="1:11" ht="13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3575478</v>
      </c>
      <c r="G633" s="542">
        <f>$G$501</f>
        <v>3166093</v>
      </c>
      <c r="H633" s="533">
        <f>$H$501</f>
        <v>344468</v>
      </c>
      <c r="I633" s="534">
        <f>$I$501</f>
        <v>64917</v>
      </c>
      <c r="J633" s="345">
        <f>$J$501</f>
        <v>3575478</v>
      </c>
      <c r="K633" s="345">
        <f>$K$501</f>
        <v>0</v>
      </c>
    </row>
    <row r="634" spans="1:11" ht="13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 t="shared" ref="F634:K634" si="114">F334</f>
        <v>2812700</v>
      </c>
      <c r="G634" s="542">
        <f t="shared" si="114"/>
        <v>2717208</v>
      </c>
      <c r="H634" s="533">
        <f t="shared" si="114"/>
        <v>38070</v>
      </c>
      <c r="I634" s="534">
        <f t="shared" si="114"/>
        <v>57422</v>
      </c>
      <c r="J634" s="345">
        <f t="shared" si="114"/>
        <v>2812700</v>
      </c>
      <c r="K634" s="345">
        <f t="shared" si="114"/>
        <v>0</v>
      </c>
    </row>
    <row r="635" spans="1:11" ht="13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 ca="1">F557</f>
        <v>370986</v>
      </c>
      <c r="G635" s="542">
        <f ca="1">$G$557</f>
        <v>365841</v>
      </c>
      <c r="H635" s="533">
        <f ca="1">$H$557</f>
        <v>-17005</v>
      </c>
      <c r="I635" s="534">
        <f ca="1">$I$557</f>
        <v>22151</v>
      </c>
      <c r="J635" s="345">
        <f ca="1">$J$557</f>
        <v>370987</v>
      </c>
      <c r="K635" s="345">
        <f ca="1">$K$557</f>
        <v>0</v>
      </c>
    </row>
    <row r="636" spans="1:11" ht="13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-16333</v>
      </c>
      <c r="G636" s="542">
        <f>-$G$630</f>
        <v>-15859</v>
      </c>
      <c r="H636" s="533">
        <f>-$H$630</f>
        <v>-122</v>
      </c>
      <c r="I636" s="534">
        <f>-$I$630</f>
        <v>-352</v>
      </c>
      <c r="J636" s="345">
        <f>-$J$630</f>
        <v>-16333</v>
      </c>
      <c r="K636" s="345">
        <f>-$K$630</f>
        <v>0</v>
      </c>
    </row>
    <row r="637" spans="1:11" ht="13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 ca="1">SUM(F632:F636)</f>
        <v>6742831</v>
      </c>
      <c r="G637" s="543">
        <f ca="1">SUM($G$632:$G$636)</f>
        <v>6233283</v>
      </c>
      <c r="H637" s="535">
        <f ca="1">SUM($H$632:$H$636)</f>
        <v>365411</v>
      </c>
      <c r="I637" s="536">
        <f ca="1">SUM($I$632:$I$636)</f>
        <v>144138</v>
      </c>
      <c r="J637" s="346">
        <f ca="1">SUM($J$632:$J$636)</f>
        <v>6742832</v>
      </c>
      <c r="K637" s="346">
        <f ca="1">$J$637-F637</f>
        <v>1</v>
      </c>
    </row>
    <row r="638" spans="1:11" ht="13">
      <c r="A638" s="331">
        <v>15</v>
      </c>
      <c r="D638" s="342"/>
      <c r="E638" s="195"/>
      <c r="G638" s="541"/>
      <c r="H638" s="531"/>
      <c r="I638" s="532"/>
    </row>
    <row r="639" spans="1:11" ht="13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16333</v>
      </c>
      <c r="G639" s="542">
        <f>-$G$636</f>
        <v>15859</v>
      </c>
      <c r="H639" s="533">
        <f>-$H$636</f>
        <v>122</v>
      </c>
      <c r="I639" s="534">
        <f>-$I$636</f>
        <v>352</v>
      </c>
      <c r="J639" s="345">
        <f>-$J$636</f>
        <v>16333</v>
      </c>
      <c r="K639" s="345">
        <f>-$K$636</f>
        <v>0</v>
      </c>
    </row>
    <row r="640" spans="1:11" ht="13">
      <c r="A640" s="331">
        <v>17</v>
      </c>
      <c r="C640" s="357" t="str">
        <f>'FR-16(7)(v)-1 Functional'!C640</f>
        <v>LESS: REVS EXCL FROM REV TAX CALC</v>
      </c>
      <c r="D640" s="342"/>
      <c r="E640" s="195"/>
      <c r="F640" s="473">
        <f>'FR-16(7)(v)-8 TOT CLASS Alloc'!I640</f>
        <v>0</v>
      </c>
      <c r="G640" s="542">
        <f>'FR-16(7)(v)-5 DISTR Dem Alloc'!I640</f>
        <v>0</v>
      </c>
      <c r="H640" s="533">
        <f>'FR-16(7)(v)-3 PROD Comm Alloc'!I640</f>
        <v>0</v>
      </c>
      <c r="I640" s="534">
        <f>'FR-16(7)(v)-6 DISTR Cust Alloc'!I640</f>
        <v>0</v>
      </c>
      <c r="J640" s="345">
        <f>SUM(G640:I640)</f>
        <v>0</v>
      </c>
      <c r="K640" s="345">
        <f>'FR-16(7)(v)-3 PROD Comm Alloc'!L855</f>
        <v>0</v>
      </c>
    </row>
    <row r="641" spans="1:11" ht="13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16333</v>
      </c>
      <c r="G641" s="543">
        <f>$G$639-G640</f>
        <v>15859</v>
      </c>
      <c r="H641" s="535">
        <f>$H$639-H640</f>
        <v>122</v>
      </c>
      <c r="I641" s="536">
        <f>$I$639-I640</f>
        <v>352</v>
      </c>
      <c r="J641" s="346">
        <f>$J$639-J640</f>
        <v>16333</v>
      </c>
      <c r="K641" s="346">
        <f>$K$639-K640</f>
        <v>0</v>
      </c>
    </row>
    <row r="642" spans="1:11" ht="13">
      <c r="A642" s="331">
        <v>19</v>
      </c>
      <c r="D642" s="342"/>
      <c r="E642" s="195"/>
      <c r="G642" s="541"/>
      <c r="H642" s="531"/>
      <c r="I642" s="532"/>
    </row>
    <row r="643" spans="1:11" ht="13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K643" si="115">ROUND(F694/(1-F694),8)</f>
        <v>0</v>
      </c>
      <c r="G643" s="560">
        <f t="shared" si="115"/>
        <v>0</v>
      </c>
      <c r="H643" s="561">
        <f t="shared" si="115"/>
        <v>0</v>
      </c>
      <c r="I643" s="562">
        <f t="shared" si="115"/>
        <v>0</v>
      </c>
      <c r="J643" s="348">
        <f t="shared" si="115"/>
        <v>0</v>
      </c>
      <c r="K643" s="348">
        <f t="shared" si="115"/>
        <v>0</v>
      </c>
    </row>
    <row r="644" spans="1:11" ht="13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542">
        <f>ROUND(G643*G641,0)</f>
        <v>0</v>
      </c>
      <c r="H644" s="533">
        <f>ROUND(H643*H641,0)</f>
        <v>0</v>
      </c>
      <c r="I644" s="534">
        <f>ROUND(I643*I641,0)</f>
        <v>0</v>
      </c>
      <c r="J644" s="345">
        <f>SUM(G644:I644)</f>
        <v>0</v>
      </c>
      <c r="K644" s="345">
        <f>ROUND(K643*K641,0)</f>
        <v>0</v>
      </c>
    </row>
    <row r="645" spans="1:11" ht="13">
      <c r="A645" s="331">
        <v>22</v>
      </c>
      <c r="C645" s="330" t="str">
        <f>'FR-16(7)(v)-1 Functional'!C645</f>
        <v>REVENUE TAX ON COST OF SERVICE</v>
      </c>
      <c r="D645" s="342"/>
      <c r="E645" s="195"/>
      <c r="F645" s="506">
        <f ca="1">ROUND(F643*F637,0)</f>
        <v>0</v>
      </c>
      <c r="G645" s="542">
        <f ca="1">ROUND(G643*$G$637,0)</f>
        <v>0</v>
      </c>
      <c r="H645" s="533">
        <f ca="1">ROUND(H643*$H$637,0)</f>
        <v>0</v>
      </c>
      <c r="I645" s="534">
        <f ca="1">ROUND(I643*$I$637,0)</f>
        <v>0</v>
      </c>
      <c r="J645" s="506">
        <f ca="1">SUM(G645:I645)</f>
        <v>0</v>
      </c>
      <c r="K645" s="506">
        <f ca="1">ROUND(K643*$K$637,0)</f>
        <v>0</v>
      </c>
    </row>
    <row r="646" spans="1:11" ht="13">
      <c r="A646" s="331">
        <v>23</v>
      </c>
      <c r="C646" s="357" t="str">
        <f>'FR-16(7)(v)-1 Functional'!C646</f>
        <v>TOTAL REVENUE TAX</v>
      </c>
      <c r="D646" s="342"/>
      <c r="E646" s="195"/>
      <c r="F646" s="504">
        <f t="shared" ref="F646:K646" ca="1" si="116">F645+F644</f>
        <v>0</v>
      </c>
      <c r="G646" s="566">
        <f t="shared" ca="1" si="116"/>
        <v>0</v>
      </c>
      <c r="H646" s="567">
        <f t="shared" ca="1" si="116"/>
        <v>0</v>
      </c>
      <c r="I646" s="568">
        <f t="shared" ca="1" si="116"/>
        <v>0</v>
      </c>
      <c r="J646" s="504">
        <f t="shared" ca="1" si="116"/>
        <v>0</v>
      </c>
      <c r="K646" s="504">
        <f t="shared" ca="1" si="116"/>
        <v>0</v>
      </c>
    </row>
    <row r="647" spans="1:11" ht="13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 ca="1">F646+F637</f>
        <v>6742831</v>
      </c>
      <c r="G647" s="543">
        <f ca="1">G646+$G$637</f>
        <v>6233283</v>
      </c>
      <c r="H647" s="535">
        <f ca="1">H646+$H$637</f>
        <v>365411</v>
      </c>
      <c r="I647" s="536">
        <f ca="1">I646+$I$637</f>
        <v>144138</v>
      </c>
      <c r="J647" s="346">
        <f ca="1">J646+$J$637</f>
        <v>6742832</v>
      </c>
      <c r="K647" s="346">
        <f ca="1">K646+$K$637</f>
        <v>1</v>
      </c>
    </row>
    <row r="648" spans="1:11" ht="13">
      <c r="A648" s="331">
        <v>25</v>
      </c>
      <c r="D648" s="342"/>
      <c r="E648" s="195"/>
      <c r="G648" s="541"/>
      <c r="H648" s="531"/>
      <c r="I648" s="532"/>
    </row>
    <row r="649" spans="1:11" ht="13">
      <c r="A649" s="331">
        <v>26</v>
      </c>
      <c r="B649" s="330" t="s">
        <v>1172</v>
      </c>
      <c r="D649" s="342"/>
      <c r="E649" s="195"/>
      <c r="F649" s="473">
        <f>'FR-16(7)(v)-8 TOT CLASS Alloc'!I649</f>
        <v>6308299</v>
      </c>
      <c r="G649" s="542">
        <f>'FR-16(7)(v)-5 DISTR Dem Alloc'!I649</f>
        <v>2350389</v>
      </c>
      <c r="H649" s="533">
        <f>'FR-16(7)(v)-3 PROD Comm Alloc'!I649</f>
        <v>2322022</v>
      </c>
      <c r="I649" s="534">
        <f>'FR-16(7)(v)-6 DISTR Cust Alloc'!I649</f>
        <v>1635888</v>
      </c>
      <c r="J649" s="345">
        <f>SUM(G649:I649)</f>
        <v>6308299</v>
      </c>
      <c r="K649" s="345">
        <f>F649-J649</f>
        <v>0</v>
      </c>
    </row>
    <row r="650" spans="1:11" ht="13">
      <c r="A650" s="331">
        <v>27</v>
      </c>
      <c r="B650" s="330" t="s">
        <v>79</v>
      </c>
      <c r="D650" s="342"/>
      <c r="E650" s="195"/>
      <c r="F650" s="345">
        <f t="shared" ref="F650:K650" ca="1" si="117">-F647</f>
        <v>-6742831</v>
      </c>
      <c r="G650" s="542">
        <f t="shared" ca="1" si="117"/>
        <v>-6233283</v>
      </c>
      <c r="H650" s="533">
        <f t="shared" ca="1" si="117"/>
        <v>-365411</v>
      </c>
      <c r="I650" s="534">
        <f t="shared" ca="1" si="117"/>
        <v>-144138</v>
      </c>
      <c r="J650" s="345">
        <f t="shared" ca="1" si="117"/>
        <v>-6742832</v>
      </c>
      <c r="K650" s="345">
        <f t="shared" ca="1" si="117"/>
        <v>-1</v>
      </c>
    </row>
    <row r="651" spans="1:11" ht="13">
      <c r="A651" s="331">
        <v>28</v>
      </c>
      <c r="B651" s="330" t="s">
        <v>80</v>
      </c>
      <c r="D651" s="342"/>
      <c r="E651" s="195"/>
      <c r="F651" s="345">
        <f ca="1">F650+F649</f>
        <v>-434532</v>
      </c>
      <c r="G651" s="542">
        <f ca="1">G650+G649</f>
        <v>-3882894</v>
      </c>
      <c r="H651" s="533">
        <f ca="1">H650+H649</f>
        <v>1956611</v>
      </c>
      <c r="I651" s="534">
        <f ca="1">I650+I649</f>
        <v>1491750</v>
      </c>
      <c r="J651" s="345">
        <f ca="1">SUM(G651:I651)</f>
        <v>-434533</v>
      </c>
      <c r="K651" s="345">
        <f ca="1">K650+K649</f>
        <v>-1</v>
      </c>
    </row>
    <row r="652" spans="1:11" ht="13">
      <c r="A652" s="331">
        <v>29</v>
      </c>
      <c r="B652" s="330" t="s">
        <v>76</v>
      </c>
      <c r="D652" s="342"/>
      <c r="E652" s="195"/>
      <c r="F652" s="348">
        <f>F565</f>
        <v>0.24925</v>
      </c>
      <c r="G652" s="560">
        <f>$G$565</f>
        <v>0.24925</v>
      </c>
      <c r="H652" s="561">
        <f>$H$565</f>
        <v>0.24925</v>
      </c>
      <c r="I652" s="562">
        <f>$I$565</f>
        <v>0.24925</v>
      </c>
      <c r="J652" s="348">
        <f>$K$565</f>
        <v>0.24925</v>
      </c>
      <c r="K652" s="348">
        <f>$K$565</f>
        <v>0.24925</v>
      </c>
    </row>
    <row r="653" spans="1:11" ht="13">
      <c r="A653" s="331">
        <v>30</v>
      </c>
      <c r="B653" s="330" t="s">
        <v>81</v>
      </c>
      <c r="D653" s="342"/>
      <c r="E653" s="195"/>
      <c r="F653" s="345">
        <f ca="1">ROUND(F652*F651,0)</f>
        <v>-108307</v>
      </c>
      <c r="G653" s="542">
        <f ca="1">ROUND(F652*F651,0)-H653-I653</f>
        <v>-967811</v>
      </c>
      <c r="H653" s="533">
        <f ca="1">ROUND(H652*H651,0)</f>
        <v>487685</v>
      </c>
      <c r="I653" s="534">
        <f ca="1">ROUND(I652*I651,0)</f>
        <v>371819</v>
      </c>
      <c r="J653" s="345">
        <f ca="1">SUM(G653:I653)</f>
        <v>-108307</v>
      </c>
      <c r="K653" s="506">
        <f t="shared" ref="K653:K654" ca="1" si="118">F653-J653</f>
        <v>0</v>
      </c>
    </row>
    <row r="654" spans="1:11" ht="13">
      <c r="A654" s="331">
        <v>31</v>
      </c>
      <c r="B654" s="330" t="s">
        <v>82</v>
      </c>
      <c r="D654" s="342"/>
      <c r="E654" s="195"/>
      <c r="F654" s="345">
        <f ca="1">F651-F653</f>
        <v>-326225</v>
      </c>
      <c r="G654" s="544">
        <f ca="1">G651-G653</f>
        <v>-2915083</v>
      </c>
      <c r="H654" s="537">
        <f ca="1">H651-H653</f>
        <v>1468926</v>
      </c>
      <c r="I654" s="538">
        <f ca="1">I651-I653</f>
        <v>1119931</v>
      </c>
      <c r="J654" s="345">
        <f ca="1">SUM(G654:I654)</f>
        <v>-326226</v>
      </c>
      <c r="K654" s="506">
        <f t="shared" ca="1" si="118"/>
        <v>1</v>
      </c>
    </row>
    <row r="655" spans="1:11" ht="13">
      <c r="A655" s="526"/>
      <c r="B655" s="578"/>
      <c r="C655" s="578"/>
      <c r="D655" s="730"/>
      <c r="E655" s="578"/>
      <c r="F655" s="526"/>
      <c r="G655" s="526"/>
      <c r="H655" s="526"/>
      <c r="I655" s="526"/>
      <c r="J655" s="526"/>
      <c r="K655" s="526"/>
    </row>
    <row r="656" spans="1:11" ht="13">
      <c r="A656" s="341" t="str">
        <f>co_name</f>
        <v>DUKE ENERGY KENTUCKY, INC.</v>
      </c>
      <c r="C656" s="195"/>
      <c r="D656" s="342"/>
      <c r="E656" s="195"/>
      <c r="F656" s="195"/>
      <c r="G656" s="195"/>
      <c r="H656" s="195"/>
      <c r="I656" s="195"/>
      <c r="J656" s="195" t="str">
        <f>$J$1</f>
        <v>FR-16(7)(v)-11</v>
      </c>
      <c r="K656" s="195"/>
    </row>
    <row r="657" spans="1:11" ht="13">
      <c r="A657" s="341" t="str">
        <f>$A$2</f>
        <v>FT-L CLASSIFIED - GAS COST OF SERVICE</v>
      </c>
      <c r="C657" s="195"/>
      <c r="D657" s="342"/>
      <c r="E657" s="195"/>
      <c r="F657" s="195"/>
      <c r="G657" s="195"/>
      <c r="H657" s="195"/>
      <c r="I657" s="195"/>
      <c r="J657" s="195" t="str">
        <f>$J$2</f>
        <v>WITNESS RESPONSIBLE:</v>
      </c>
      <c r="K657" s="195"/>
    </row>
    <row r="658" spans="1:11" ht="13">
      <c r="A658" s="341" t="str">
        <f>case_name</f>
        <v>CASE NO: 2021-00190</v>
      </c>
      <c r="C658" s="195"/>
      <c r="D658" s="342"/>
      <c r="E658" s="195"/>
      <c r="F658" s="195"/>
      <c r="G658" s="195"/>
      <c r="H658" s="195"/>
      <c r="I658" s="195"/>
      <c r="J658" s="195" t="str">
        <f>Witness</f>
        <v>JAMES E. ZIOLKOWSKI</v>
      </c>
      <c r="K658" s="195"/>
    </row>
    <row r="659" spans="1:11" ht="13">
      <c r="A659" s="341" t="str">
        <f>data_filing</f>
        <v>DATA: 12 MONTH FORECASTED PERIOD</v>
      </c>
      <c r="C659" s="195"/>
      <c r="D659" s="342"/>
      <c r="E659" s="195"/>
      <c r="F659" s="195"/>
      <c r="G659" s="195"/>
      <c r="H659" s="195"/>
      <c r="I659" s="195"/>
      <c r="J659" s="195" t="str">
        <f>"PAGE "&amp;Pages2&amp;" OF "&amp;Pages2</f>
        <v>PAGE 15 OF 15</v>
      </c>
      <c r="K659" s="195"/>
    </row>
    <row r="660" spans="1:11" ht="13">
      <c r="A660" s="341" t="str">
        <f>type</f>
        <v xml:space="preserve">TYPE OF FILING: "X" ORIGINAL   UPDATED    REVISED  </v>
      </c>
      <c r="C660" s="195"/>
      <c r="D660" s="342"/>
      <c r="E660" s="195"/>
      <c r="F660" s="195"/>
      <c r="G660" s="195"/>
      <c r="H660" s="195"/>
      <c r="I660" s="195"/>
      <c r="J660" s="195"/>
      <c r="K660" s="195"/>
    </row>
    <row r="661" spans="1:11" ht="13">
      <c r="B661" s="341"/>
      <c r="C661" s="195"/>
      <c r="D661" s="342"/>
      <c r="E661" s="195"/>
      <c r="F661" s="195"/>
      <c r="G661" s="195"/>
      <c r="H661" s="195"/>
      <c r="I661" s="195"/>
      <c r="J661" s="195"/>
      <c r="K661" s="195"/>
    </row>
    <row r="662" spans="1:11" ht="13">
      <c r="B662" s="341"/>
      <c r="C662" s="195"/>
      <c r="D662" s="342"/>
      <c r="E662" s="195"/>
      <c r="F662" s="195"/>
      <c r="G662" s="195"/>
      <c r="H662" s="195"/>
      <c r="I662" s="195"/>
      <c r="J662" s="195"/>
      <c r="K662" s="195"/>
    </row>
    <row r="663" spans="1:11" ht="13">
      <c r="A663" s="342" t="s">
        <v>907</v>
      </c>
      <c r="B663" s="195"/>
      <c r="C663" s="195"/>
      <c r="D663" s="342"/>
      <c r="E663" s="195"/>
      <c r="F663" s="342" t="s">
        <v>229</v>
      </c>
      <c r="G663" s="539" t="s">
        <v>995</v>
      </c>
      <c r="H663" s="527"/>
      <c r="I663" s="528"/>
      <c r="J663" s="342" t="s">
        <v>229</v>
      </c>
      <c r="K663" s="342" t="s">
        <v>342</v>
      </c>
    </row>
    <row r="664" spans="1:11" ht="13">
      <c r="A664" s="344" t="s">
        <v>908</v>
      </c>
      <c r="B664" s="343" t="s">
        <v>83</v>
      </c>
      <c r="C664" s="343"/>
      <c r="D664" s="344" t="s">
        <v>337</v>
      </c>
      <c r="E664" s="343"/>
      <c r="F664" s="344" t="str">
        <f>$F$9</f>
        <v>FT-L</v>
      </c>
      <c r="G664" s="540" t="s">
        <v>840</v>
      </c>
      <c r="H664" s="529" t="s">
        <v>841</v>
      </c>
      <c r="I664" s="530" t="s">
        <v>842</v>
      </c>
      <c r="J664" s="344" t="s">
        <v>341</v>
      </c>
      <c r="K664" s="344" t="s">
        <v>340</v>
      </c>
    </row>
    <row r="665" spans="1:11" ht="13">
      <c r="C665" s="572" t="s">
        <v>353</v>
      </c>
      <c r="D665" s="342"/>
      <c r="E665" s="195"/>
      <c r="G665" s="817">
        <f>$G$10</f>
        <v>3</v>
      </c>
      <c r="H665" s="817">
        <f>$H$10</f>
        <v>4</v>
      </c>
      <c r="I665" s="817">
        <f>$I$10</f>
        <v>5</v>
      </c>
    </row>
    <row r="666" spans="1:11" ht="13">
      <c r="A666" s="331">
        <v>1</v>
      </c>
      <c r="B666" s="330" t="s">
        <v>84</v>
      </c>
      <c r="D666" s="342"/>
      <c r="E666" s="195"/>
    </row>
    <row r="667" spans="1:11" ht="13">
      <c r="A667" s="331">
        <v>2</v>
      </c>
      <c r="B667" s="330" t="s">
        <v>85</v>
      </c>
      <c r="D667" s="342"/>
      <c r="E667" s="195"/>
      <c r="G667" s="513" t="s">
        <v>339</v>
      </c>
    </row>
    <row r="668" spans="1:11" ht="13">
      <c r="A668" s="331">
        <v>3</v>
      </c>
      <c r="C668" s="330" t="str">
        <f>'FR-16(7)(v)-1 Functional'!C668</f>
        <v>LONG TERM DEBT</v>
      </c>
      <c r="D668" s="342"/>
      <c r="E668" s="195"/>
      <c r="F668" s="473">
        <f>'FR-16(7)(v)-1 Functional'!$F$668</f>
        <v>794320510</v>
      </c>
      <c r="G668" s="348">
        <f>IF($F$673=0,0,ROUND(F668/$F$673,5))</f>
        <v>0.46721000000000001</v>
      </c>
    </row>
    <row r="669" spans="1:11" ht="13">
      <c r="A669" s="331">
        <v>4</v>
      </c>
      <c r="C669" s="330" t="str">
        <f>'FR-16(7)(v)-1 Functional'!C669</f>
        <v>PREFERRED STOCK</v>
      </c>
      <c r="D669" s="342"/>
      <c r="E669" s="195"/>
      <c r="F669" s="473">
        <f>'FR-16(7)(v)-1 Functional'!$F$669</f>
        <v>0</v>
      </c>
      <c r="G669" s="348">
        <f>IF($F$673=0,0,ROUND(F669/$F$673,5))</f>
        <v>0</v>
      </c>
    </row>
    <row r="670" spans="1:11" ht="13">
      <c r="A670" s="331">
        <v>5</v>
      </c>
      <c r="C670" s="330" t="str">
        <f>'FR-16(7)(v)-1 Functional'!C670</f>
        <v>COMMON STOCK</v>
      </c>
      <c r="D670" s="342"/>
      <c r="E670" s="195"/>
      <c r="F670" s="473">
        <f>'FR-16(7)(v)-1 Functional'!$F$670</f>
        <v>861861344</v>
      </c>
      <c r="G670" s="348">
        <f>1-G668-G669-G671-G672</f>
        <v>0.50695000000000001</v>
      </c>
    </row>
    <row r="671" spans="1:11" ht="13">
      <c r="A671" s="331">
        <v>6</v>
      </c>
      <c r="C671" s="330" t="str">
        <f>'FR-16(7)(v)-1 Functional'!C671</f>
        <v>SHORT TERM DEBT</v>
      </c>
      <c r="D671" s="342"/>
      <c r="E671" s="195"/>
      <c r="F671" s="473">
        <f>'FR-16(7)(v)-1 Functional'!$F$671</f>
        <v>43936209</v>
      </c>
      <c r="G671" s="348">
        <f>IF($F$673=0,0,ROUND(F671/$F$673,5))</f>
        <v>2.5839999999999998E-2</v>
      </c>
    </row>
    <row r="672" spans="1:11" ht="13">
      <c r="A672" s="331">
        <v>7</v>
      </c>
      <c r="C672" s="330" t="str">
        <f>'FR-16(7)(v)-1 Functional'!C672</f>
        <v>UNAMORTIZED DISCOUNT</v>
      </c>
      <c r="D672" s="342"/>
      <c r="E672" s="195"/>
      <c r="F672" s="473">
        <f>'FR-16(7)(v)-1 Functional'!$F$672</f>
        <v>0</v>
      </c>
      <c r="G672" s="348">
        <f>IF($F$673=0,0,ROUND(F672/$F$673,5))</f>
        <v>0</v>
      </c>
    </row>
    <row r="673" spans="1:9" ht="13">
      <c r="A673" s="331">
        <v>8</v>
      </c>
      <c r="C673" s="330" t="str">
        <f>'FR-16(7)(v)-1 Functional'!C673</f>
        <v xml:space="preserve">  TOTAL</v>
      </c>
      <c r="D673" s="342"/>
      <c r="E673" s="195"/>
      <c r="F673" s="474">
        <f>SUM(F667:F672)</f>
        <v>1700118063</v>
      </c>
      <c r="G673" s="515">
        <f>SUM(G668:G672)</f>
        <v>1</v>
      </c>
    </row>
    <row r="674" spans="1:9" ht="13">
      <c r="A674" s="331">
        <v>9</v>
      </c>
      <c r="D674" s="342"/>
      <c r="E674" s="195"/>
    </row>
    <row r="675" spans="1:9" ht="13">
      <c r="A675" s="331">
        <v>10</v>
      </c>
      <c r="B675" s="330" t="s">
        <v>86</v>
      </c>
      <c r="D675" s="342"/>
      <c r="E675" s="195"/>
    </row>
    <row r="676" spans="1:9" ht="13">
      <c r="A676" s="331">
        <v>11</v>
      </c>
      <c r="C676" s="330" t="str">
        <f>'FR-16(7)(v)-1 Functional'!C676</f>
        <v>LONG TERM DEBT</v>
      </c>
      <c r="D676" s="342"/>
      <c r="E676" s="195"/>
      <c r="F676" s="580">
        <f>'FR-16(7)(v)-1 Functional'!$F$676</f>
        <v>3.8429999999999999E-2</v>
      </c>
      <c r="G676" s="516"/>
      <c r="H676" s="516"/>
      <c r="I676" s="516"/>
    </row>
    <row r="677" spans="1:9" ht="13">
      <c r="A677" s="331">
        <v>12</v>
      </c>
      <c r="C677" s="330" t="str">
        <f>'FR-16(7)(v)-1 Functional'!C677</f>
        <v>PREFERRED STOCK</v>
      </c>
      <c r="D677" s="342"/>
      <c r="E677" s="195"/>
      <c r="F677" s="580">
        <f>'FR-16(7)(v)-1 Functional'!$F$677</f>
        <v>0</v>
      </c>
      <c r="G677" s="516"/>
      <c r="H677" s="516"/>
      <c r="I677" s="516"/>
    </row>
    <row r="678" spans="1:9" ht="13">
      <c r="A678" s="331">
        <v>13</v>
      </c>
      <c r="C678" s="330" t="str">
        <f>'FR-16(7)(v)-1 Functional'!C678</f>
        <v>COMMON STOCK</v>
      </c>
      <c r="D678" s="342"/>
      <c r="E678" s="195"/>
      <c r="F678" s="580">
        <f>'FR-16(7)(v)-1 Functional'!$F$678</f>
        <v>0.10299999999999999</v>
      </c>
      <c r="G678" s="516"/>
      <c r="H678" s="516"/>
      <c r="I678" s="516"/>
    </row>
    <row r="679" spans="1:9" ht="13">
      <c r="A679" s="331">
        <v>14</v>
      </c>
      <c r="C679" s="330" t="str">
        <f>'FR-16(7)(v)-1 Functional'!C679</f>
        <v>SHORT TERM DEBT</v>
      </c>
      <c r="D679" s="342"/>
      <c r="E679" s="195"/>
      <c r="F679" s="580">
        <f>'FR-16(7)(v)-1 Functional'!$F$679</f>
        <v>1.6670000000000001E-2</v>
      </c>
      <c r="G679" s="516"/>
      <c r="H679" s="516"/>
      <c r="I679" s="516"/>
    </row>
    <row r="680" spans="1:9" ht="13">
      <c r="A680" s="331">
        <v>15</v>
      </c>
      <c r="C680" s="330" t="str">
        <f>'FR-16(7)(v)-1 Functional'!C680</f>
        <v>UNAMORTIZED DISCOUNT</v>
      </c>
      <c r="D680" s="342"/>
      <c r="E680" s="195"/>
      <c r="F680" s="580">
        <f>'FR-16(7)(v)-1 Functional'!$F$680</f>
        <v>0</v>
      </c>
      <c r="G680" s="516"/>
      <c r="H680" s="516"/>
      <c r="I680" s="516"/>
    </row>
    <row r="681" spans="1:9" ht="13">
      <c r="A681" s="331">
        <v>16</v>
      </c>
      <c r="D681" s="342"/>
      <c r="E681" s="195"/>
    </row>
    <row r="682" spans="1:9" ht="13">
      <c r="A682" s="331">
        <v>17</v>
      </c>
      <c r="B682" s="330" t="s">
        <v>87</v>
      </c>
      <c r="D682" s="342"/>
      <c r="E682" s="195"/>
    </row>
    <row r="683" spans="1:9" ht="13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G683" s="514"/>
      <c r="H683" s="514"/>
      <c r="I683" s="514"/>
    </row>
    <row r="684" spans="1:9" ht="13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G684" s="514"/>
      <c r="H684" s="514"/>
      <c r="I684" s="514"/>
    </row>
    <row r="685" spans="1:9" ht="13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G685" s="514"/>
      <c r="H685" s="514"/>
      <c r="I685" s="514"/>
    </row>
    <row r="686" spans="1:9" ht="13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G686" s="514"/>
      <c r="H686" s="514"/>
      <c r="I686" s="514"/>
    </row>
    <row r="687" spans="1:9" ht="13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G687" s="514"/>
      <c r="H687" s="514"/>
      <c r="I687" s="514"/>
    </row>
    <row r="688" spans="1:9" ht="13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7">
        <f>SUM(F683:F687)</f>
        <v>7.060000000000001E-2</v>
      </c>
      <c r="G688" s="518"/>
      <c r="H688" s="518"/>
      <c r="I688" s="518"/>
    </row>
    <row r="689" spans="1:11" ht="13">
      <c r="A689" s="331">
        <v>24</v>
      </c>
      <c r="D689" s="342"/>
      <c r="E689" s="195"/>
    </row>
    <row r="690" spans="1:11" ht="13">
      <c r="A690" s="331">
        <v>25</v>
      </c>
      <c r="B690" s="330" t="s">
        <v>88</v>
      </c>
      <c r="D690" s="342"/>
      <c r="E690" s="195"/>
      <c r="F690" s="363"/>
    </row>
    <row r="691" spans="1:11" ht="13">
      <c r="A691" s="331">
        <v>26</v>
      </c>
      <c r="C691" s="330" t="str">
        <f>'FR-16(7)(v)-1 Functional'!C691</f>
        <v>SHORT TERM DEBT COST</v>
      </c>
      <c r="D691" s="342"/>
      <c r="E691" s="195"/>
      <c r="F691" s="760">
        <v>0</v>
      </c>
      <c r="G691" s="519">
        <f>$F$691</f>
        <v>0</v>
      </c>
      <c r="H691" s="519">
        <f>$F$691</f>
        <v>0</v>
      </c>
      <c r="I691" s="519">
        <f>$F$691</f>
        <v>0</v>
      </c>
      <c r="J691" s="519">
        <f>$F$691</f>
        <v>0</v>
      </c>
      <c r="K691" s="519">
        <f>$F$691</f>
        <v>0</v>
      </c>
    </row>
    <row r="692" spans="1:11" ht="13">
      <c r="A692" s="331">
        <v>27</v>
      </c>
      <c r="C692" s="330" t="str">
        <f>'FR-16(7)(v)-1 Functional'!C692</f>
        <v>FEDERAL INCOME TAX RATE</v>
      </c>
      <c r="D692" s="342"/>
      <c r="E692" s="195"/>
      <c r="F692" s="519">
        <f t="shared" ref="F692:K692" si="119">FIT</f>
        <v>0.21</v>
      </c>
      <c r="G692" s="519">
        <f t="shared" si="119"/>
        <v>0.21</v>
      </c>
      <c r="H692" s="519">
        <f t="shared" si="119"/>
        <v>0.21</v>
      </c>
      <c r="I692" s="519">
        <f t="shared" si="119"/>
        <v>0.21</v>
      </c>
      <c r="J692" s="519">
        <f t="shared" si="119"/>
        <v>0.21</v>
      </c>
      <c r="K692" s="519">
        <f t="shared" si="119"/>
        <v>0.21</v>
      </c>
    </row>
    <row r="693" spans="1:11" ht="13">
      <c r="A693" s="331">
        <v>28</v>
      </c>
      <c r="C693" s="330" t="str">
        <f>'FR-16(7)(v)-1 Functional'!C693</f>
        <v>STATE INCOME TAX RATE</v>
      </c>
      <c r="D693" s="342"/>
      <c r="E693" s="195"/>
      <c r="F693" s="519">
        <f t="shared" ref="F693:K693" si="120">SIT</f>
        <v>4.9685000000000007E-2</v>
      </c>
      <c r="G693" s="519">
        <f t="shared" si="120"/>
        <v>4.9685000000000007E-2</v>
      </c>
      <c r="H693" s="519">
        <f t="shared" si="120"/>
        <v>4.9685000000000007E-2</v>
      </c>
      <c r="I693" s="519">
        <f t="shared" si="120"/>
        <v>4.9685000000000007E-2</v>
      </c>
      <c r="J693" s="519">
        <f t="shared" si="120"/>
        <v>4.9685000000000007E-2</v>
      </c>
      <c r="K693" s="519">
        <f t="shared" si="120"/>
        <v>4.9685000000000007E-2</v>
      </c>
    </row>
    <row r="694" spans="1:11" ht="13">
      <c r="A694" s="331">
        <v>29</v>
      </c>
      <c r="C694" s="330" t="str">
        <f>'FR-16(7)(v)-1 Functional'!C694</f>
        <v>REVENUE TAX RATE</v>
      </c>
      <c r="D694" s="342"/>
      <c r="E694" s="195"/>
      <c r="F694" s="516">
        <v>0</v>
      </c>
      <c r="G694" s="519">
        <f>RevTax</f>
        <v>0</v>
      </c>
      <c r="H694" s="519">
        <f>RevTax</f>
        <v>0</v>
      </c>
      <c r="I694" s="519">
        <f>RevTax</f>
        <v>0</v>
      </c>
      <c r="J694" s="519">
        <f>RevTax</f>
        <v>0</v>
      </c>
      <c r="K694" s="519">
        <f>RevTax</f>
        <v>0</v>
      </c>
    </row>
    <row r="696" spans="1:11" ht="13">
      <c r="A696" s="341"/>
      <c r="C696" s="195"/>
      <c r="D696" s="342"/>
      <c r="E696" s="195"/>
      <c r="F696" s="195"/>
      <c r="G696" s="195"/>
      <c r="H696" s="195"/>
      <c r="I696" s="195"/>
      <c r="J696" s="195"/>
      <c r="K696" s="195"/>
    </row>
    <row r="697" spans="1:11" ht="13">
      <c r="A697" s="341"/>
      <c r="C697" s="195"/>
      <c r="D697" s="342"/>
      <c r="E697" s="195"/>
      <c r="F697" s="195"/>
      <c r="G697" s="195"/>
      <c r="H697" s="195"/>
      <c r="I697" s="195"/>
      <c r="J697" s="195"/>
      <c r="K697" s="195"/>
    </row>
    <row r="698" spans="1:11" ht="13">
      <c r="A698" s="341"/>
      <c r="C698" s="195"/>
      <c r="D698" s="342"/>
      <c r="E698" s="195"/>
      <c r="F698" s="195"/>
      <c r="G698" s="195"/>
      <c r="H698" s="195"/>
      <c r="I698" s="195"/>
      <c r="J698" s="195"/>
      <c r="K698" s="195"/>
    </row>
    <row r="699" spans="1:11" ht="13">
      <c r="A699" s="341"/>
      <c r="C699" s="195"/>
      <c r="D699" s="342"/>
      <c r="E699" s="195"/>
      <c r="F699" s="195"/>
      <c r="G699" s="195"/>
      <c r="H699" s="195"/>
      <c r="I699" s="195"/>
      <c r="J699" s="195"/>
      <c r="K699" s="195"/>
    </row>
    <row r="700" spans="1:11" ht="13">
      <c r="A700" s="341"/>
      <c r="C700" s="195"/>
      <c r="D700" s="342"/>
      <c r="E700" s="195"/>
      <c r="F700" s="195"/>
      <c r="G700" s="195"/>
      <c r="H700" s="195"/>
      <c r="I700" s="195"/>
      <c r="J700" s="195"/>
      <c r="K700" s="195"/>
    </row>
    <row r="747" spans="1:11" ht="13">
      <c r="A747" s="341"/>
      <c r="C747" s="195"/>
      <c r="D747" s="342"/>
      <c r="E747" s="195"/>
      <c r="F747" s="195"/>
      <c r="G747" s="195"/>
      <c r="H747" s="195"/>
      <c r="I747" s="195"/>
      <c r="J747" s="195"/>
      <c r="K747" s="195"/>
    </row>
    <row r="748" spans="1:11" ht="13">
      <c r="A748" s="341"/>
      <c r="C748" s="195"/>
      <c r="D748" s="342"/>
      <c r="E748" s="195"/>
      <c r="F748" s="195"/>
      <c r="G748" s="195"/>
      <c r="H748" s="195"/>
      <c r="I748" s="195"/>
      <c r="J748" s="195"/>
      <c r="K748" s="195"/>
    </row>
    <row r="749" spans="1:11" ht="13">
      <c r="A749" s="341"/>
      <c r="C749" s="195"/>
      <c r="D749" s="342"/>
      <c r="E749" s="195"/>
      <c r="F749" s="195"/>
      <c r="G749" s="195"/>
      <c r="H749" s="195"/>
      <c r="I749" s="195"/>
      <c r="J749" s="195"/>
      <c r="K749" s="195"/>
    </row>
    <row r="750" spans="1:11" ht="13">
      <c r="A750" s="341"/>
      <c r="C750" s="195"/>
      <c r="D750" s="342"/>
      <c r="E750" s="195"/>
      <c r="F750" s="195"/>
      <c r="G750" s="195"/>
      <c r="H750" s="195"/>
      <c r="I750" s="195"/>
      <c r="J750" s="195"/>
      <c r="K750" s="195"/>
    </row>
    <row r="751" spans="1:11" ht="13">
      <c r="A751" s="341"/>
      <c r="C751" s="195"/>
      <c r="D751" s="342"/>
      <c r="E751" s="195"/>
      <c r="F751" s="195"/>
      <c r="G751" s="195"/>
      <c r="H751" s="195"/>
      <c r="I751" s="195"/>
      <c r="J751" s="195"/>
      <c r="K751" s="195"/>
    </row>
    <row r="805" spans="1:11" ht="13">
      <c r="A805" s="341"/>
      <c r="C805" s="195"/>
      <c r="D805" s="342"/>
      <c r="E805" s="195"/>
      <c r="F805" s="195"/>
      <c r="G805" s="195"/>
      <c r="H805" s="195"/>
      <c r="I805" s="195"/>
      <c r="J805" s="195"/>
      <c r="K805" s="195"/>
    </row>
    <row r="806" spans="1:11" ht="13">
      <c r="A806" s="341"/>
      <c r="C806" s="195"/>
      <c r="D806" s="342"/>
      <c r="E806" s="195"/>
      <c r="F806" s="195"/>
      <c r="G806" s="195"/>
      <c r="H806" s="195"/>
      <c r="I806" s="195"/>
      <c r="J806" s="195"/>
      <c r="K806" s="195"/>
    </row>
    <row r="807" spans="1:11" ht="13">
      <c r="A807" s="341"/>
      <c r="C807" s="195"/>
      <c r="D807" s="342"/>
      <c r="E807" s="195"/>
      <c r="F807" s="195"/>
      <c r="G807" s="195"/>
      <c r="H807" s="195"/>
      <c r="I807" s="195"/>
      <c r="J807" s="195"/>
      <c r="K807" s="195"/>
    </row>
    <row r="808" spans="1:11" ht="13">
      <c r="A808" s="341"/>
      <c r="C808" s="195"/>
      <c r="D808" s="342"/>
      <c r="E808" s="195"/>
      <c r="F808" s="195"/>
      <c r="G808" s="195"/>
      <c r="H808" s="195"/>
      <c r="I808" s="195"/>
      <c r="J808" s="195"/>
      <c r="K808" s="195"/>
    </row>
    <row r="809" spans="1:11" ht="13">
      <c r="A809" s="341"/>
      <c r="C809" s="195"/>
      <c r="D809" s="342"/>
      <c r="E809" s="195"/>
      <c r="F809" s="195"/>
      <c r="G809" s="195"/>
      <c r="H809" s="195"/>
      <c r="I809" s="195"/>
      <c r="J809" s="195"/>
      <c r="K809" s="195"/>
    </row>
    <row r="861" spans="1:11" ht="20">
      <c r="A861" s="1184" t="s">
        <v>1193</v>
      </c>
    </row>
    <row r="863" spans="1:11" ht="13">
      <c r="A863" s="342" t="s">
        <v>907</v>
      </c>
      <c r="B863" s="195"/>
      <c r="C863" s="195"/>
      <c r="D863" s="342"/>
      <c r="E863" s="195"/>
      <c r="F863" s="342" t="s">
        <v>229</v>
      </c>
      <c r="G863" s="539" t="s">
        <v>995</v>
      </c>
      <c r="H863" s="527"/>
      <c r="I863" s="528"/>
      <c r="J863" s="342" t="s">
        <v>229</v>
      </c>
      <c r="K863" s="342" t="s">
        <v>342</v>
      </c>
    </row>
    <row r="864" spans="1:11" ht="13">
      <c r="A864" s="344" t="s">
        <v>908</v>
      </c>
      <c r="B864" s="343" t="s">
        <v>99</v>
      </c>
      <c r="C864" s="343"/>
      <c r="D864" s="344" t="s">
        <v>337</v>
      </c>
      <c r="E864" s="343"/>
      <c r="F864" s="344" t="str">
        <f>$F$9</f>
        <v>FT-L</v>
      </c>
      <c r="G864" s="540" t="s">
        <v>840</v>
      </c>
      <c r="H864" s="529" t="s">
        <v>841</v>
      </c>
      <c r="I864" s="530" t="s">
        <v>842</v>
      </c>
      <c r="J864" s="344" t="s">
        <v>341</v>
      </c>
      <c r="K864" s="344" t="s">
        <v>340</v>
      </c>
    </row>
    <row r="865" spans="1:11" ht="13">
      <c r="B865" s="195"/>
      <c r="C865" s="572" t="s">
        <v>4</v>
      </c>
      <c r="D865" s="342"/>
      <c r="E865" s="195"/>
      <c r="G865" s="793">
        <f>$G$10</f>
        <v>3</v>
      </c>
      <c r="H865" s="794">
        <f>$H$10</f>
        <v>4</v>
      </c>
      <c r="I865" s="795">
        <f>$I$10</f>
        <v>5</v>
      </c>
    </row>
    <row r="866" spans="1:11" ht="13">
      <c r="A866" s="331">
        <v>1</v>
      </c>
      <c r="B866" s="330" t="s">
        <v>100</v>
      </c>
      <c r="D866" s="342"/>
      <c r="E866" s="195"/>
      <c r="G866" s="541"/>
      <c r="H866" s="531"/>
      <c r="I866" s="532"/>
    </row>
    <row r="867" spans="1:11" ht="13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K867" ca="1" si="121">F647</f>
        <v>6742831</v>
      </c>
      <c r="G867" s="542">
        <f t="shared" ca="1" si="121"/>
        <v>6233283</v>
      </c>
      <c r="H867" s="533">
        <f t="shared" ca="1" si="121"/>
        <v>365411</v>
      </c>
      <c r="I867" s="534">
        <f t="shared" ca="1" si="121"/>
        <v>144138</v>
      </c>
      <c r="J867" s="345">
        <f t="shared" ca="1" si="121"/>
        <v>6742832</v>
      </c>
      <c r="K867" s="345">
        <f t="shared" ca="1" si="121"/>
        <v>1</v>
      </c>
    </row>
    <row r="868" spans="1:11" ht="13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16333</v>
      </c>
      <c r="G868" s="542">
        <f>$G$630</f>
        <v>15859</v>
      </c>
      <c r="H868" s="533">
        <f>$H$630</f>
        <v>122</v>
      </c>
      <c r="I868" s="534">
        <f>$I$630</f>
        <v>352</v>
      </c>
      <c r="J868" s="345">
        <f>$J$630</f>
        <v>16333</v>
      </c>
      <c r="K868" s="345">
        <f>$K$630</f>
        <v>0</v>
      </c>
    </row>
    <row r="869" spans="1:11" ht="13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K869" ca="1" si="122">SUM(F866:F868)</f>
        <v>6759164</v>
      </c>
      <c r="G869" s="543">
        <f t="shared" ca="1" si="122"/>
        <v>6249142</v>
      </c>
      <c r="H869" s="535">
        <f t="shared" ca="1" si="122"/>
        <v>365533</v>
      </c>
      <c r="I869" s="536">
        <f t="shared" ca="1" si="122"/>
        <v>144490</v>
      </c>
      <c r="J869" s="346">
        <f t="shared" ca="1" si="122"/>
        <v>6759165</v>
      </c>
      <c r="K869" s="346">
        <f t="shared" ca="1" si="122"/>
        <v>1</v>
      </c>
    </row>
    <row r="870" spans="1:11" ht="13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-3575478</v>
      </c>
      <c r="G870" s="542">
        <f>-$G$501</f>
        <v>-3166093</v>
      </c>
      <c r="H870" s="533">
        <f>-$H$501</f>
        <v>-344468</v>
      </c>
      <c r="I870" s="534">
        <f>-$I$501</f>
        <v>-64917</v>
      </c>
      <c r="J870" s="506">
        <f>-$J$501</f>
        <v>-3575478</v>
      </c>
      <c r="K870" s="345">
        <f>-$K$501</f>
        <v>0</v>
      </c>
    </row>
    <row r="871" spans="1:11" ht="13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 ca="1">-ROUND(F694*F867,0)</f>
        <v>0</v>
      </c>
      <c r="G871" s="542">
        <f ca="1">-ROUND(G694*G867,0)</f>
        <v>0</v>
      </c>
      <c r="H871" s="533">
        <f ca="1">-ROUND(H694*H867,0)</f>
        <v>0</v>
      </c>
      <c r="I871" s="534">
        <f ca="1">-ROUND(I694*I867,0)</f>
        <v>0</v>
      </c>
      <c r="J871" s="504">
        <f ca="1">SUM(G871:I871)</f>
        <v>0</v>
      </c>
      <c r="K871" s="345">
        <f ca="1">-ROUND('FR-16(7)(v)-1 Functional'!K694*K867,0)</f>
        <v>0</v>
      </c>
    </row>
    <row r="872" spans="1:11" ht="13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 ca="1">SUM(F869:F871)</f>
        <v>3183686</v>
      </c>
      <c r="G872" s="543">
        <f ca="1">SUM(G869:G871)</f>
        <v>3083049</v>
      </c>
      <c r="H872" s="535">
        <f ca="1">SUM(H869:H871)</f>
        <v>21065</v>
      </c>
      <c r="I872" s="536">
        <f ca="1">SUM(I869:I871)</f>
        <v>79573</v>
      </c>
      <c r="J872" s="346">
        <f ca="1">SUM(G872:I872)</f>
        <v>3183687</v>
      </c>
      <c r="K872" s="346">
        <f ca="1">SUM(K869:K871)</f>
        <v>1</v>
      </c>
    </row>
    <row r="873" spans="1:11" ht="13">
      <c r="A873" s="331">
        <v>8</v>
      </c>
      <c r="D873" s="342"/>
      <c r="E873" s="195"/>
      <c r="G873" s="541"/>
      <c r="H873" s="531"/>
      <c r="I873" s="532"/>
    </row>
    <row r="874" spans="1:11" ht="13">
      <c r="A874" s="331">
        <v>9</v>
      </c>
      <c r="B874" s="330" t="s">
        <v>101</v>
      </c>
      <c r="D874" s="342"/>
      <c r="E874" s="195"/>
      <c r="G874" s="541"/>
      <c r="H874" s="531"/>
      <c r="I874" s="532"/>
    </row>
    <row r="875" spans="1:11" ht="13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-732468</v>
      </c>
      <c r="G875" s="542">
        <f>-$G$516</f>
        <v>-707594</v>
      </c>
      <c r="H875" s="533">
        <f>-$H$516</f>
        <v>-9917</v>
      </c>
      <c r="I875" s="534">
        <f>-$I$516</f>
        <v>-14957</v>
      </c>
      <c r="J875" s="345">
        <f>-$J$516</f>
        <v>-732468</v>
      </c>
      <c r="K875" s="345">
        <f>-$K$516</f>
        <v>0</v>
      </c>
    </row>
    <row r="876" spans="1:11" ht="13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-625807</v>
      </c>
      <c r="G876" s="542">
        <f>-$G$522</f>
        <v>-569881</v>
      </c>
      <c r="H876" s="533">
        <f>-$H$522</f>
        <v>-44026</v>
      </c>
      <c r="I876" s="534">
        <f>-$I$522</f>
        <v>-11900</v>
      </c>
      <c r="J876" s="345">
        <f>-$J$522</f>
        <v>-625807</v>
      </c>
      <c r="K876" s="345">
        <f>-$K$522</f>
        <v>0</v>
      </c>
    </row>
    <row r="877" spans="1:11" ht="13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 ca="1">SUM(F874:F876)+F872</f>
        <v>1825411</v>
      </c>
      <c r="G877" s="543">
        <f ca="1">SUM(G874:G876)+G872</f>
        <v>1805574</v>
      </c>
      <c r="H877" s="535">
        <f ca="1">SUM(H874:H876)+H872</f>
        <v>-32878</v>
      </c>
      <c r="I877" s="536">
        <f ca="1">SUM(I874:I876)+I872</f>
        <v>52716</v>
      </c>
      <c r="J877" s="346">
        <f ca="1">SUM(G877:I877)</f>
        <v>1825412</v>
      </c>
      <c r="K877" s="346">
        <f ca="1">SUM(K874:K876)+K872</f>
        <v>1</v>
      </c>
    </row>
    <row r="878" spans="1:11" ht="13">
      <c r="A878" s="331">
        <v>13</v>
      </c>
      <c r="D878" s="342"/>
      <c r="E878" s="195"/>
      <c r="G878" s="541"/>
      <c r="H878" s="531"/>
      <c r="I878" s="532"/>
    </row>
    <row r="879" spans="1:11" ht="13">
      <c r="A879" s="331">
        <v>14</v>
      </c>
      <c r="B879" s="330" t="s">
        <v>99</v>
      </c>
      <c r="D879" s="342"/>
      <c r="E879" s="195"/>
      <c r="G879" s="541"/>
      <c r="H879" s="531"/>
      <c r="I879" s="532"/>
    </row>
    <row r="880" spans="1:11" ht="13">
      <c r="A880" s="331">
        <v>15</v>
      </c>
      <c r="B880" s="330" t="s">
        <v>74</v>
      </c>
      <c r="D880" s="342"/>
      <c r="E880" s="195"/>
      <c r="G880" s="541"/>
      <c r="H880" s="531"/>
      <c r="I880" s="532"/>
    </row>
    <row r="881" spans="1:11" ht="13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K881" ca="1" si="123">F877</f>
        <v>1825411</v>
      </c>
      <c r="G881" s="542">
        <f t="shared" ca="1" si="123"/>
        <v>1805574</v>
      </c>
      <c r="H881" s="533">
        <f t="shared" ca="1" si="123"/>
        <v>-32878</v>
      </c>
      <c r="I881" s="534">
        <f t="shared" ca="1" si="123"/>
        <v>52716</v>
      </c>
      <c r="J881" s="345">
        <f t="shared" ca="1" si="123"/>
        <v>1825412</v>
      </c>
      <c r="K881" s="345">
        <f t="shared" ca="1" si="123"/>
        <v>1</v>
      </c>
    </row>
    <row r="882" spans="1:11" ht="13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K882" ca="1" si="124">SUM(F881:F881)</f>
        <v>1825411</v>
      </c>
      <c r="G882" s="542">
        <f t="shared" ca="1" si="124"/>
        <v>1805574</v>
      </c>
      <c r="H882" s="533">
        <f t="shared" ca="1" si="124"/>
        <v>-32878</v>
      </c>
      <c r="I882" s="534">
        <f t="shared" ca="1" si="124"/>
        <v>52716</v>
      </c>
      <c r="J882" s="345">
        <f t="shared" ca="1" si="124"/>
        <v>1825412</v>
      </c>
      <c r="K882" s="345">
        <f t="shared" ca="1" si="124"/>
        <v>1</v>
      </c>
    </row>
    <row r="883" spans="1:11" ht="13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560">
        <f>G692</f>
        <v>0.21</v>
      </c>
      <c r="H883" s="561">
        <f>H692</f>
        <v>0.21</v>
      </c>
      <c r="I883" s="562">
        <f>I692</f>
        <v>0.21</v>
      </c>
      <c r="J883" s="348"/>
      <c r="K883" s="348">
        <f>'FR-16(7)(v)-1 Functional'!K692</f>
        <v>0.21</v>
      </c>
    </row>
    <row r="884" spans="1:11" ht="13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 ca="1">ROUND(F883*F882,0)</f>
        <v>383336</v>
      </c>
      <c r="G884" s="542">
        <f ca="1">ROUND(G883*G882,0)</f>
        <v>379171</v>
      </c>
      <c r="H884" s="533">
        <f ca="1">ROUND(H883*H882,0)</f>
        <v>-6904</v>
      </c>
      <c r="I884" s="534">
        <f ca="1">ROUND(I883*I882,0)</f>
        <v>11070</v>
      </c>
      <c r="J884" s="345">
        <f ca="1">SUM(G884:I884)</f>
        <v>383337</v>
      </c>
      <c r="K884" s="345">
        <f ca="1">ROUND(K883*K882,0)</f>
        <v>0</v>
      </c>
    </row>
    <row r="885" spans="1:11" ht="13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-18548</v>
      </c>
      <c r="G885" s="542">
        <f>$G$532</f>
        <v>-8398</v>
      </c>
      <c r="H885" s="533">
        <f>$H$532</f>
        <v>-10030</v>
      </c>
      <c r="I885" s="534">
        <f>$I$532</f>
        <v>-120</v>
      </c>
      <c r="J885" s="345">
        <f>$J$532</f>
        <v>-18548</v>
      </c>
      <c r="K885" s="345">
        <f>$K$532</f>
        <v>0</v>
      </c>
    </row>
    <row r="886" spans="1:11" ht="13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-5211</v>
      </c>
      <c r="G886" s="542">
        <f>-$G$536</f>
        <v>-5034</v>
      </c>
      <c r="H886" s="533">
        <f>-$H$536</f>
        <v>-71</v>
      </c>
      <c r="I886" s="534">
        <f>-$I$536</f>
        <v>-106</v>
      </c>
      <c r="J886" s="345">
        <f>-$J$536</f>
        <v>-5211</v>
      </c>
      <c r="K886" s="345">
        <f>-$K$536</f>
        <v>0</v>
      </c>
    </row>
    <row r="887" spans="1:11" ht="13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K887" ca="1" si="125">SUM(F884:F886)</f>
        <v>359577</v>
      </c>
      <c r="G887" s="543">
        <f t="shared" ca="1" si="125"/>
        <v>365739</v>
      </c>
      <c r="H887" s="535">
        <f t="shared" ca="1" si="125"/>
        <v>-17005</v>
      </c>
      <c r="I887" s="536">
        <f t="shared" ca="1" si="125"/>
        <v>10844</v>
      </c>
      <c r="J887" s="346">
        <f t="shared" ca="1" si="125"/>
        <v>359578</v>
      </c>
      <c r="K887" s="346">
        <f t="shared" ca="1" si="125"/>
        <v>0</v>
      </c>
    </row>
    <row r="888" spans="1:11" ht="13">
      <c r="A888" s="331">
        <v>23</v>
      </c>
      <c r="D888" s="342"/>
      <c r="E888" s="195"/>
      <c r="G888" s="541"/>
      <c r="H888" s="531"/>
      <c r="I888" s="532"/>
    </row>
    <row r="889" spans="1:11" ht="13">
      <c r="A889" s="331">
        <v>24</v>
      </c>
      <c r="B889" s="330" t="s">
        <v>75</v>
      </c>
      <c r="D889" s="342"/>
      <c r="E889" s="195"/>
      <c r="G889" s="541"/>
      <c r="H889" s="531"/>
      <c r="I889" s="532"/>
    </row>
    <row r="890" spans="1:11" ht="13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K890" ca="1" si="126">F884</f>
        <v>383336</v>
      </c>
      <c r="G890" s="542">
        <f t="shared" ca="1" si="126"/>
        <v>379171</v>
      </c>
      <c r="H890" s="533">
        <f t="shared" ca="1" si="126"/>
        <v>-6904</v>
      </c>
      <c r="I890" s="534">
        <f t="shared" ca="1" si="126"/>
        <v>11070</v>
      </c>
      <c r="J890" s="345">
        <f t="shared" ca="1" si="126"/>
        <v>383337</v>
      </c>
      <c r="K890" s="345">
        <f t="shared" ca="1" si="126"/>
        <v>0</v>
      </c>
    </row>
    <row r="891" spans="1:11" ht="13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544">
        <f>-$G$540</f>
        <v>0</v>
      </c>
      <c r="H891" s="537">
        <f>-$H$540</f>
        <v>0</v>
      </c>
      <c r="I891" s="538">
        <f>-$I$540</f>
        <v>0</v>
      </c>
      <c r="J891" s="345">
        <f>-$J$540</f>
        <v>0</v>
      </c>
      <c r="K891" s="345">
        <f>-$K$540</f>
        <v>0</v>
      </c>
    </row>
    <row r="892" spans="1:11" ht="13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K892" ca="1" si="127">SUM(F889:F891)</f>
        <v>383336</v>
      </c>
      <c r="G892" s="543">
        <f t="shared" ca="1" si="127"/>
        <v>379171</v>
      </c>
      <c r="H892" s="535">
        <f t="shared" ca="1" si="127"/>
        <v>-6904</v>
      </c>
      <c r="I892" s="536">
        <f t="shared" ca="1" si="127"/>
        <v>11070</v>
      </c>
      <c r="J892" s="346">
        <f t="shared" ca="1" si="127"/>
        <v>383337</v>
      </c>
      <c r="K892" s="346">
        <f t="shared" ca="1" si="127"/>
        <v>0</v>
      </c>
    </row>
    <row r="893" spans="1:11" ht="13">
      <c r="A893" s="331">
        <v>28</v>
      </c>
      <c r="D893" s="342"/>
      <c r="E893" s="195"/>
      <c r="G893" s="541"/>
      <c r="H893" s="531"/>
      <c r="I893" s="532"/>
    </row>
    <row r="894" spans="1:11" ht="13">
      <c r="A894" s="331">
        <v>29</v>
      </c>
      <c r="B894" s="330" t="s">
        <v>40</v>
      </c>
      <c r="D894" s="342"/>
      <c r="E894" s="195"/>
      <c r="G894" s="541"/>
      <c r="H894" s="531"/>
      <c r="I894" s="532"/>
    </row>
    <row r="895" spans="1:11" ht="13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K895" ca="1" si="128">F872</f>
        <v>3183686</v>
      </c>
      <c r="G895" s="542">
        <f t="shared" ca="1" si="128"/>
        <v>3083049</v>
      </c>
      <c r="H895" s="533">
        <f t="shared" ca="1" si="128"/>
        <v>21065</v>
      </c>
      <c r="I895" s="534">
        <f t="shared" ca="1" si="128"/>
        <v>79573</v>
      </c>
      <c r="J895" s="345">
        <f t="shared" ca="1" si="128"/>
        <v>3183687</v>
      </c>
      <c r="K895" s="345">
        <f t="shared" ca="1" si="128"/>
        <v>1</v>
      </c>
    </row>
    <row r="896" spans="1:11" ht="13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K896" ca="1" si="129">-F887</f>
        <v>-359577</v>
      </c>
      <c r="G896" s="542">
        <f t="shared" ca="1" si="129"/>
        <v>-365739</v>
      </c>
      <c r="H896" s="533">
        <f t="shared" ca="1" si="129"/>
        <v>17005</v>
      </c>
      <c r="I896" s="534">
        <f t="shared" ca="1" si="129"/>
        <v>-10844</v>
      </c>
      <c r="J896" s="345">
        <f t="shared" ca="1" si="129"/>
        <v>-359578</v>
      </c>
      <c r="K896" s="345">
        <f t="shared" ca="1" si="129"/>
        <v>0</v>
      </c>
    </row>
    <row r="897" spans="1:11" ht="13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K897" ca="1" si="130">SUM(F894:F896)</f>
        <v>2824109</v>
      </c>
      <c r="G897" s="543">
        <f t="shared" ca="1" si="130"/>
        <v>2717310</v>
      </c>
      <c r="H897" s="535">
        <f t="shared" ca="1" si="130"/>
        <v>38070</v>
      </c>
      <c r="I897" s="536">
        <f t="shared" ca="1" si="130"/>
        <v>68729</v>
      </c>
      <c r="J897" s="346">
        <f t="shared" ca="1" si="130"/>
        <v>2824109</v>
      </c>
      <c r="K897" s="346">
        <f t="shared" ca="1" si="130"/>
        <v>1</v>
      </c>
    </row>
    <row r="898" spans="1:11" ht="13">
      <c r="A898" s="331">
        <v>33</v>
      </c>
      <c r="D898" s="342"/>
      <c r="E898" s="195"/>
      <c r="G898" s="541"/>
      <c r="H898" s="531"/>
      <c r="I898" s="532"/>
    </row>
    <row r="899" spans="1:11" ht="13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K899" ca="1" si="131">IF(F331=0,0,ROUND(F897/F331,5))</f>
        <v>7.0889999999999995E-2</v>
      </c>
      <c r="G899" s="569">
        <f t="shared" ca="1" si="131"/>
        <v>7.0599999999999996E-2</v>
      </c>
      <c r="H899" s="570">
        <f t="shared" ca="1" si="131"/>
        <v>7.0599999999999996E-2</v>
      </c>
      <c r="I899" s="571">
        <f t="shared" ca="1" si="131"/>
        <v>8.4500000000000006E-2</v>
      </c>
      <c r="J899" s="348">
        <f t="shared" ca="1" si="131"/>
        <v>7.0889999999999995E-2</v>
      </c>
      <c r="K899" s="348">
        <f t="shared" si="131"/>
        <v>0</v>
      </c>
    </row>
  </sheetData>
  <pageMargins left="1" right="1" top="1" bottom="1" header="1" footer="0.5"/>
  <pageSetup scale="67" orientation="landscape" blackAndWhite="1" r:id="rId1"/>
  <headerFooter alignWithMargins="0"/>
  <rowBreaks count="13" manualBreakCount="13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54">
    <tabColor rgb="FFFFFF00"/>
    <pageSetUpPr fitToPage="1"/>
  </sheetPr>
  <dimension ref="A1:N899"/>
  <sheetViews>
    <sheetView zoomScale="80" zoomScaleNormal="80" zoomScaleSheetLayoutView="80" workbookViewId="0"/>
  </sheetViews>
  <sheetFormatPr defaultColWidth="8.765625" defaultRowHeight="12.5"/>
  <cols>
    <col min="1" max="1" width="6.4609375" style="330" customWidth="1"/>
    <col min="2" max="2" width="3.53515625" style="330" customWidth="1"/>
    <col min="3" max="3" width="41.765625" style="330" customWidth="1"/>
    <col min="4" max="4" width="8.23046875" style="331" customWidth="1"/>
    <col min="5" max="5" width="8.765625" style="330" customWidth="1"/>
    <col min="6" max="6" width="14" style="330" customWidth="1"/>
    <col min="7" max="8" width="11.765625" style="330" customWidth="1"/>
    <col min="9" max="9" width="13.765625" style="330" customWidth="1"/>
    <col min="10" max="11" width="11.765625" style="330" customWidth="1"/>
    <col min="12" max="16384" width="8.765625" style="330"/>
  </cols>
  <sheetData>
    <row r="1" spans="1:11" ht="13">
      <c r="A1" s="341" t="str">
        <f>co_name</f>
        <v>DUKE ENERGY KENTUCKY, INC.</v>
      </c>
      <c r="C1" s="195"/>
      <c r="D1" s="342"/>
      <c r="E1" s="195"/>
      <c r="F1" s="195"/>
      <c r="G1" s="195"/>
      <c r="H1" s="195"/>
      <c r="I1" s="195"/>
      <c r="J1" s="577" t="s">
        <v>1463</v>
      </c>
      <c r="K1" s="195"/>
    </row>
    <row r="2" spans="1:11" ht="13">
      <c r="A2" s="577" t="s">
        <v>1206</v>
      </c>
      <c r="C2" s="195"/>
      <c r="D2" s="342"/>
      <c r="E2" s="195"/>
      <c r="F2" s="195"/>
      <c r="G2" s="195"/>
      <c r="H2" s="195"/>
      <c r="I2" s="195"/>
      <c r="J2" s="577" t="s">
        <v>435</v>
      </c>
      <c r="K2" s="195"/>
    </row>
    <row r="3" spans="1:11" ht="13">
      <c r="A3" s="341" t="str">
        <f>case_name</f>
        <v>CASE NO: 2021-00190</v>
      </c>
      <c r="C3" s="195"/>
      <c r="D3" s="342"/>
      <c r="E3" s="195"/>
      <c r="F3" s="195"/>
      <c r="G3" s="195"/>
      <c r="H3" s="195"/>
      <c r="I3" s="195"/>
      <c r="J3" s="195" t="str">
        <f>Witness</f>
        <v>JAMES E. ZIOLKOWSKI</v>
      </c>
      <c r="K3" s="195"/>
    </row>
    <row r="4" spans="1:11" ht="13">
      <c r="A4" s="341" t="str">
        <f>data_filing</f>
        <v>DATA: 12 MONTH FORECASTED PERIOD</v>
      </c>
      <c r="C4" s="195"/>
      <c r="D4" s="342"/>
      <c r="E4" s="195"/>
      <c r="F4" s="195"/>
      <c r="G4" s="195"/>
      <c r="H4" s="195"/>
      <c r="I4" s="195"/>
      <c r="J4" s="195" t="str">
        <f>"PAGE "&amp;Pages2-14&amp;" OF "&amp;Pages2</f>
        <v>PAGE 1 OF 15</v>
      </c>
      <c r="K4" s="195"/>
    </row>
    <row r="5" spans="1:11" ht="13">
      <c r="A5" s="341" t="str">
        <f>type</f>
        <v xml:space="preserve">TYPE OF FILING: "X" ORIGINAL   UPDATED    REVISED  </v>
      </c>
      <c r="C5" s="195"/>
      <c r="D5" s="342"/>
      <c r="E5" s="195"/>
      <c r="F5" s="195"/>
      <c r="G5" s="195"/>
      <c r="H5" s="195"/>
      <c r="I5" s="195"/>
      <c r="J5" s="195"/>
      <c r="K5" s="195"/>
    </row>
    <row r="6" spans="1:11" ht="13">
      <c r="A6" s="341"/>
      <c r="C6" s="195"/>
      <c r="D6" s="342"/>
      <c r="E6" s="195"/>
      <c r="F6" s="195"/>
      <c r="G6" s="195"/>
      <c r="H6" s="195"/>
      <c r="I6" s="195"/>
      <c r="J6" s="195"/>
      <c r="K6" s="195"/>
    </row>
    <row r="7" spans="1:11" ht="13">
      <c r="A7" s="341"/>
      <c r="C7" s="195"/>
      <c r="D7" s="342"/>
      <c r="E7" s="195"/>
      <c r="F7" s="195"/>
      <c r="G7" s="195"/>
      <c r="H7" s="195"/>
      <c r="I7" s="195"/>
      <c r="J7" s="195"/>
      <c r="K7" s="195"/>
    </row>
    <row r="8" spans="1:11" ht="13">
      <c r="A8" s="342" t="s">
        <v>907</v>
      </c>
      <c r="B8" s="195"/>
      <c r="C8" s="195"/>
      <c r="D8" s="342"/>
      <c r="E8" s="195"/>
      <c r="F8" s="342" t="s">
        <v>229</v>
      </c>
      <c r="G8" s="539" t="s">
        <v>995</v>
      </c>
      <c r="H8" s="527"/>
      <c r="I8" s="528"/>
      <c r="J8" s="342" t="s">
        <v>229</v>
      </c>
      <c r="K8" s="342" t="s">
        <v>342</v>
      </c>
    </row>
    <row r="9" spans="1:11" ht="13">
      <c r="A9" s="344" t="s">
        <v>908</v>
      </c>
      <c r="B9" s="343" t="s">
        <v>102</v>
      </c>
      <c r="C9" s="343"/>
      <c r="D9" s="344" t="s">
        <v>337</v>
      </c>
      <c r="E9" s="343"/>
      <c r="F9" s="822" t="s">
        <v>1176</v>
      </c>
      <c r="G9" s="540" t="s">
        <v>840</v>
      </c>
      <c r="H9" s="529" t="s">
        <v>841</v>
      </c>
      <c r="I9" s="530" t="s">
        <v>842</v>
      </c>
      <c r="J9" s="344" t="s">
        <v>341</v>
      </c>
      <c r="K9" s="344" t="s">
        <v>340</v>
      </c>
    </row>
    <row r="10" spans="1:11" ht="13">
      <c r="C10" s="572" t="s">
        <v>354</v>
      </c>
      <c r="D10" s="342"/>
      <c r="E10" s="195"/>
      <c r="G10" s="779">
        <v>3</v>
      </c>
      <c r="H10" s="780">
        <v>4</v>
      </c>
      <c r="I10" s="781">
        <v>5</v>
      </c>
    </row>
    <row r="11" spans="1:11" ht="13">
      <c r="A11" s="331">
        <v>1</v>
      </c>
      <c r="B11" s="330" t="s">
        <v>100</v>
      </c>
      <c r="D11" s="342"/>
      <c r="E11" s="195"/>
      <c r="G11" s="541"/>
      <c r="H11" s="531"/>
      <c r="I11" s="532"/>
    </row>
    <row r="12" spans="1:11" ht="13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>F101</f>
        <v>21511148</v>
      </c>
      <c r="G12" s="542">
        <f>G101</f>
        <v>20717425</v>
      </c>
      <c r="H12" s="533">
        <f>H101</f>
        <v>10533</v>
      </c>
      <c r="I12" s="534">
        <f>I101</f>
        <v>783190</v>
      </c>
      <c r="J12" s="345">
        <f>J101</f>
        <v>21511148</v>
      </c>
      <c r="K12" s="345">
        <f>F12-J12</f>
        <v>0</v>
      </c>
    </row>
    <row r="13" spans="1:11" ht="13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>-F151</f>
        <v>-5893586</v>
      </c>
      <c r="G13" s="542">
        <f>-G151</f>
        <v>-5775429</v>
      </c>
      <c r="H13" s="533">
        <f>-H151</f>
        <v>-5718</v>
      </c>
      <c r="I13" s="534">
        <f>-I151</f>
        <v>-112439</v>
      </c>
      <c r="J13" s="345">
        <f>-J151</f>
        <v>-5893586</v>
      </c>
      <c r="K13" s="345">
        <f>F13-J13</f>
        <v>0</v>
      </c>
    </row>
    <row r="14" spans="1:11" ht="13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>F326</f>
        <v>-2777415</v>
      </c>
      <c r="G14" s="542">
        <f>G326</f>
        <v>-2657826</v>
      </c>
      <c r="H14" s="533">
        <f>H326</f>
        <v>-219</v>
      </c>
      <c r="I14" s="534">
        <f>I326</f>
        <v>-119370</v>
      </c>
      <c r="J14" s="345">
        <f>J326</f>
        <v>-2777415</v>
      </c>
      <c r="K14" s="345">
        <f>F14-J14</f>
        <v>0</v>
      </c>
    </row>
    <row r="15" spans="1:11" ht="13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0">SUM(F12:F14)</f>
        <v>12840147</v>
      </c>
      <c r="G15" s="543">
        <f t="shared" si="0"/>
        <v>12284170</v>
      </c>
      <c r="H15" s="535">
        <f t="shared" si="0"/>
        <v>4596</v>
      </c>
      <c r="I15" s="536">
        <f t="shared" si="0"/>
        <v>551381</v>
      </c>
      <c r="J15" s="346">
        <f t="shared" si="0"/>
        <v>12840147</v>
      </c>
      <c r="K15" s="346">
        <f t="shared" si="0"/>
        <v>0</v>
      </c>
    </row>
    <row r="16" spans="1:11" ht="13">
      <c r="A16" s="331">
        <v>6</v>
      </c>
      <c r="D16" s="342"/>
      <c r="E16" s="195"/>
      <c r="G16" s="541"/>
      <c r="H16" s="531"/>
      <c r="I16" s="532"/>
    </row>
    <row r="17" spans="1:11" ht="13">
      <c r="A17" s="331">
        <v>7</v>
      </c>
      <c r="B17" s="330" t="s">
        <v>98</v>
      </c>
      <c r="D17" s="342"/>
      <c r="E17" s="195"/>
      <c r="G17" s="541"/>
      <c r="H17" s="531"/>
      <c r="I17" s="532"/>
    </row>
    <row r="18" spans="1:11" ht="13">
      <c r="A18" s="331">
        <v>8</v>
      </c>
      <c r="C18" s="330" t="str">
        <f>'FR-16(7)(v)-1 Functional'!C18</f>
        <v>TOTAL O&amp;M EXPENSE</v>
      </c>
      <c r="D18" s="342"/>
      <c r="E18" s="195"/>
      <c r="F18" s="345">
        <f>F433</f>
        <v>572568</v>
      </c>
      <c r="G18" s="542">
        <f>G433</f>
        <v>396544</v>
      </c>
      <c r="H18" s="533">
        <f>H433</f>
        <v>162403</v>
      </c>
      <c r="I18" s="534">
        <f>I433</f>
        <v>13621</v>
      </c>
      <c r="J18" s="345">
        <f>J433</f>
        <v>572568</v>
      </c>
      <c r="K18" s="345">
        <f t="shared" ref="K18:K24" si="1">F18-J18</f>
        <v>0</v>
      </c>
    </row>
    <row r="19" spans="1:11" ht="13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>F465</f>
        <v>494111</v>
      </c>
      <c r="G19" s="542">
        <f>G465</f>
        <v>472654</v>
      </c>
      <c r="H19" s="533">
        <f>H465</f>
        <v>864</v>
      </c>
      <c r="I19" s="534">
        <f>I465</f>
        <v>20593</v>
      </c>
      <c r="J19" s="345">
        <f>J465</f>
        <v>494111</v>
      </c>
      <c r="K19" s="345">
        <f t="shared" si="1"/>
        <v>0</v>
      </c>
    </row>
    <row r="20" spans="1:11" ht="13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125233</v>
      </c>
      <c r="G20" s="542">
        <f>$G$495</f>
        <v>119750</v>
      </c>
      <c r="H20" s="533">
        <f>$H$495</f>
        <v>255</v>
      </c>
      <c r="I20" s="534">
        <f>$I$495</f>
        <v>5228</v>
      </c>
      <c r="J20" s="345">
        <f>$J$495</f>
        <v>125233</v>
      </c>
      <c r="K20" s="345">
        <f t="shared" si="1"/>
        <v>0</v>
      </c>
    </row>
    <row r="21" spans="1:11" ht="13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>SUM(F17:F20)</f>
        <v>1191912</v>
      </c>
      <c r="G21" s="543">
        <f>SUM(G17:G20)</f>
        <v>988948</v>
      </c>
      <c r="H21" s="535">
        <f>SUM(H17:H20)</f>
        <v>163522</v>
      </c>
      <c r="I21" s="536">
        <f>SUM(I17:I20)</f>
        <v>39442</v>
      </c>
      <c r="J21" s="346">
        <f>SUM(J17:J20)</f>
        <v>1191912</v>
      </c>
      <c r="K21" s="346">
        <f t="shared" si="1"/>
        <v>0</v>
      </c>
    </row>
    <row r="22" spans="1:11" ht="13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>F557</f>
        <v>131615</v>
      </c>
      <c r="G22" s="542">
        <f>$G$557</f>
        <v>117129</v>
      </c>
      <c r="H22" s="533">
        <f>$H$557</f>
        <v>4367</v>
      </c>
      <c r="I22" s="534">
        <f>$I$557</f>
        <v>10119</v>
      </c>
      <c r="J22" s="345">
        <f>$J$557</f>
        <v>131615</v>
      </c>
      <c r="K22" s="345">
        <f t="shared" si="1"/>
        <v>0</v>
      </c>
    </row>
    <row r="23" spans="1:11" ht="13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>F605</f>
        <v>40939</v>
      </c>
      <c r="G23" s="542">
        <f>G605</f>
        <v>30270</v>
      </c>
      <c r="H23" s="533">
        <f>H605</f>
        <v>227</v>
      </c>
      <c r="I23" s="534">
        <f>I605</f>
        <v>10442</v>
      </c>
      <c r="J23" s="345">
        <f>J605</f>
        <v>40939</v>
      </c>
      <c r="K23" s="345">
        <f t="shared" si="1"/>
        <v>0</v>
      </c>
    </row>
    <row r="24" spans="1:11" ht="13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>SUM(F21:F23)</f>
        <v>1364466</v>
      </c>
      <c r="G24" s="543">
        <f>SUM(G21:G23)</f>
        <v>1136347</v>
      </c>
      <c r="H24" s="535">
        <f>SUM(H21:H23)</f>
        <v>168116</v>
      </c>
      <c r="I24" s="536">
        <f>SUM(I21:I23)</f>
        <v>60003</v>
      </c>
      <c r="J24" s="346">
        <f>SUM(J21:J23)</f>
        <v>1364466</v>
      </c>
      <c r="K24" s="346">
        <f t="shared" si="1"/>
        <v>0</v>
      </c>
    </row>
    <row r="25" spans="1:11" ht="13">
      <c r="A25" s="331">
        <v>15</v>
      </c>
      <c r="D25" s="342"/>
      <c r="E25" s="195"/>
      <c r="G25" s="541"/>
      <c r="H25" s="531"/>
      <c r="I25" s="532"/>
    </row>
    <row r="26" spans="1:11" ht="13">
      <c r="A26" s="331">
        <v>16</v>
      </c>
      <c r="B26" s="330" t="s">
        <v>43</v>
      </c>
      <c r="D26" s="342"/>
      <c r="E26" s="195"/>
      <c r="F26" s="345">
        <f>F334</f>
        <v>906514</v>
      </c>
      <c r="G26" s="542">
        <f>G334</f>
        <v>867262</v>
      </c>
      <c r="H26" s="533">
        <f>H334</f>
        <v>324</v>
      </c>
      <c r="I26" s="534">
        <f>I334</f>
        <v>38927</v>
      </c>
      <c r="J26" s="345">
        <f>J334</f>
        <v>906513</v>
      </c>
      <c r="K26" s="345">
        <f t="shared" ref="K26:K31" si="2">F26-J26</f>
        <v>1</v>
      </c>
    </row>
    <row r="27" spans="1:11" ht="13">
      <c r="A27" s="331">
        <v>17</v>
      </c>
      <c r="B27" s="357" t="s">
        <v>103</v>
      </c>
      <c r="C27" s="357"/>
      <c r="D27" s="342"/>
      <c r="E27" s="195"/>
      <c r="F27" s="345">
        <f>-F630</f>
        <v>-5097</v>
      </c>
      <c r="G27" s="542">
        <f>-$G$630</f>
        <v>-4837</v>
      </c>
      <c r="H27" s="533">
        <f>-$H$630</f>
        <v>-87</v>
      </c>
      <c r="I27" s="534">
        <f>-$I$630</f>
        <v>-173</v>
      </c>
      <c r="J27" s="345">
        <f>-$J$630</f>
        <v>-5097</v>
      </c>
      <c r="K27" s="345">
        <f t="shared" si="2"/>
        <v>0</v>
      </c>
    </row>
    <row r="28" spans="1:11" ht="13">
      <c r="A28" s="331">
        <v>18</v>
      </c>
      <c r="C28" s="330" t="str">
        <f>'FR-16(7)(v)-1 Functional'!C28</f>
        <v>TOTAL GAS COST OF SERVICE</v>
      </c>
      <c r="D28" s="342"/>
      <c r="E28" s="195"/>
      <c r="F28" s="346">
        <f>SUM(F24:F27)</f>
        <v>2265883</v>
      </c>
      <c r="G28" s="551">
        <f>SUM(G24:G27)</f>
        <v>1998772</v>
      </c>
      <c r="H28" s="552">
        <f>SUM(H24:H27)</f>
        <v>168353</v>
      </c>
      <c r="I28" s="553">
        <f>SUM(I24:I27)</f>
        <v>98757</v>
      </c>
      <c r="J28" s="346">
        <f>SUM(J24:J27)</f>
        <v>2265882</v>
      </c>
      <c r="K28" s="346">
        <f t="shared" si="2"/>
        <v>1</v>
      </c>
    </row>
    <row r="29" spans="1:11" ht="13">
      <c r="A29" s="1104">
        <v>19</v>
      </c>
      <c r="B29" s="1105" t="s">
        <v>1184</v>
      </c>
      <c r="C29" s="1106"/>
      <c r="D29" s="1107">
        <f>1-'WP FR-16(7)(v)Rate Incr (40.0%)'!I11</f>
        <v>0</v>
      </c>
      <c r="E29" s="1108"/>
      <c r="F29" s="1106"/>
      <c r="G29" s="1110"/>
      <c r="H29" s="1106"/>
      <c r="I29" s="1111"/>
      <c r="J29" s="1106"/>
      <c r="K29" s="1112">
        <f t="shared" si="2"/>
        <v>0</v>
      </c>
    </row>
    <row r="30" spans="1:11" ht="13">
      <c r="A30" s="1104">
        <v>20</v>
      </c>
      <c r="B30" s="1113" t="s">
        <v>1185</v>
      </c>
      <c r="C30" s="1017"/>
      <c r="D30" s="1114"/>
      <c r="E30" s="1108"/>
      <c r="F30" s="1115">
        <f t="shared" ref="F30:K30" si="3">F28+F29</f>
        <v>2265883</v>
      </c>
      <c r="G30" s="1174">
        <f t="shared" si="3"/>
        <v>1998772</v>
      </c>
      <c r="H30" s="1172">
        <f t="shared" si="3"/>
        <v>168353</v>
      </c>
      <c r="I30" s="1173">
        <f t="shared" si="3"/>
        <v>98757</v>
      </c>
      <c r="J30" s="1115">
        <f t="shared" si="3"/>
        <v>2265882</v>
      </c>
      <c r="K30" s="1115">
        <f t="shared" si="3"/>
        <v>1</v>
      </c>
    </row>
    <row r="31" spans="1:11" ht="13">
      <c r="A31" s="1104">
        <v>21</v>
      </c>
      <c r="B31" s="1120" t="s">
        <v>843</v>
      </c>
      <c r="C31" s="1106"/>
      <c r="D31" s="1114"/>
      <c r="E31" s="1108"/>
      <c r="F31" s="1140">
        <f>'FR-16(7)(v)-8 TOT CLASS Alloc'!J31</f>
        <v>2048757</v>
      </c>
      <c r="G31" s="1116">
        <f>'FR-16(7)(v)-5 DISTR Dem Alloc'!J31</f>
        <v>763340</v>
      </c>
      <c r="H31" s="1117">
        <f>'FR-16(7)(v)-3 PROD Comm Alloc'!J31</f>
        <v>754127</v>
      </c>
      <c r="I31" s="1118">
        <f>'FR-16(7)(v)-6 DISTR Cust Alloc'!J31</f>
        <v>531290</v>
      </c>
      <c r="J31" s="1119">
        <f>SUM(G31:I31)</f>
        <v>2048757</v>
      </c>
      <c r="K31" s="1119">
        <f t="shared" si="2"/>
        <v>0</v>
      </c>
    </row>
    <row r="32" spans="1:11" ht="13">
      <c r="A32" s="1104">
        <v>22</v>
      </c>
      <c r="B32" s="1121" t="s">
        <v>1186</v>
      </c>
      <c r="C32" s="1017"/>
      <c r="D32" s="1114"/>
      <c r="E32" s="1108"/>
      <c r="F32" s="1124">
        <f t="shared" ref="F32:K32" si="4">F30-F31</f>
        <v>217126</v>
      </c>
      <c r="G32" s="1143">
        <f t="shared" si="4"/>
        <v>1235432</v>
      </c>
      <c r="H32" s="1161">
        <f t="shared" si="4"/>
        <v>-585774</v>
      </c>
      <c r="I32" s="1144">
        <f t="shared" si="4"/>
        <v>-432533</v>
      </c>
      <c r="J32" s="1124">
        <f t="shared" si="4"/>
        <v>217125</v>
      </c>
      <c r="K32" s="1124">
        <f t="shared" si="4"/>
        <v>1</v>
      </c>
    </row>
    <row r="33" spans="1:14" ht="13">
      <c r="A33" s="1104">
        <v>23</v>
      </c>
      <c r="B33" s="1017"/>
      <c r="C33" s="1017"/>
      <c r="D33" s="1114"/>
      <c r="E33" s="1108"/>
      <c r="F33" s="1017"/>
      <c r="G33" s="1126"/>
      <c r="H33" s="1127"/>
      <c r="I33" s="1128"/>
      <c r="J33" s="1017"/>
      <c r="K33" s="1017"/>
    </row>
    <row r="34" spans="1:14" ht="13">
      <c r="A34" s="1104">
        <v>24</v>
      </c>
      <c r="B34" s="1017" t="s">
        <v>104</v>
      </c>
      <c r="C34" s="1017"/>
      <c r="D34" s="1114"/>
      <c r="E34" s="1108"/>
      <c r="F34" s="1119">
        <f>F654+F26</f>
        <v>774242</v>
      </c>
      <c r="G34" s="1116">
        <f>G654+G26</f>
        <v>-37512</v>
      </c>
      <c r="H34" s="1117">
        <f>H654+H26</f>
        <v>440264</v>
      </c>
      <c r="I34" s="1118">
        <f>I654+I26</f>
        <v>371490</v>
      </c>
      <c r="J34" s="1119">
        <f>J654+J26</f>
        <v>774242</v>
      </c>
      <c r="K34" s="1119">
        <f>F34-J34</f>
        <v>0</v>
      </c>
    </row>
    <row r="35" spans="1:14" ht="13">
      <c r="A35" s="1104">
        <v>25</v>
      </c>
      <c r="B35" s="1017" t="s">
        <v>105</v>
      </c>
      <c r="C35" s="1017"/>
      <c r="D35" s="1114"/>
      <c r="E35" s="1108"/>
      <c r="F35" s="1129">
        <f t="shared" ref="F35:K35" si="5">IF(F331=0,0,ROUND(F34/F331,5))</f>
        <v>6.0299999999999999E-2</v>
      </c>
      <c r="G35" s="1130">
        <f t="shared" si="5"/>
        <v>-3.0500000000000002E-3</v>
      </c>
      <c r="H35" s="1131">
        <f t="shared" si="5"/>
        <v>95.792860000000005</v>
      </c>
      <c r="I35" s="1132">
        <f t="shared" si="5"/>
        <v>0.67374000000000001</v>
      </c>
      <c r="J35" s="1129">
        <f t="shared" si="5"/>
        <v>6.0299999999999999E-2</v>
      </c>
      <c r="K35" s="1129">
        <f t="shared" si="5"/>
        <v>0</v>
      </c>
    </row>
    <row r="36" spans="1:14" ht="13">
      <c r="A36" s="1104">
        <v>26</v>
      </c>
      <c r="B36" s="1017" t="s">
        <v>42</v>
      </c>
      <c r="C36" s="1017"/>
      <c r="D36" s="1114"/>
      <c r="E36" s="1108"/>
      <c r="F36" s="1129">
        <f>$F$688</f>
        <v>7.060000000000001E-2</v>
      </c>
      <c r="G36" s="1130">
        <f>F688</f>
        <v>7.060000000000001E-2</v>
      </c>
      <c r="H36" s="1131">
        <f>F688</f>
        <v>7.060000000000001E-2</v>
      </c>
      <c r="I36" s="1132">
        <f>F688</f>
        <v>7.060000000000001E-2</v>
      </c>
      <c r="J36" s="1129">
        <f>$F$688</f>
        <v>7.060000000000001E-2</v>
      </c>
      <c r="K36" s="1129">
        <f>IF(K35=0,0,$F$688)</f>
        <v>0</v>
      </c>
      <c r="N36" s="653" t="s">
        <v>1188</v>
      </c>
    </row>
    <row r="37" spans="1:14" ht="13">
      <c r="A37" s="1104">
        <v>27</v>
      </c>
      <c r="B37" s="1017" t="s">
        <v>106</v>
      </c>
      <c r="C37" s="1017"/>
      <c r="D37" s="1114"/>
      <c r="E37" s="1108"/>
      <c r="F37" s="1129">
        <f>IF(F670=0,0,(F35-$F$683-$F$684-$F$686)*$F$673/$F$670)</f>
        <v>8.2691896668891554E-2</v>
      </c>
      <c r="G37" s="1130">
        <f>IF(F670=0,0,(G35-F683-F684-F686)*F673/F670)</f>
        <v>-4.2273075992708638E-2</v>
      </c>
      <c r="H37" s="1131">
        <f>IF(F670=0,0,(H35-F683-F684-F686)*F673/F670)</f>
        <v>188.92589226328295</v>
      </c>
      <c r="I37" s="1132">
        <f>IF(F670=0,0,(I35-F683-F684-F686)*F673/F670)</f>
        <v>1.292771025785419</v>
      </c>
      <c r="J37" s="1129">
        <f>IF(F670=0,0,(J35-F683-F684-F686)*F673/F670)</f>
        <v>8.2691896668891554E-2</v>
      </c>
      <c r="K37" s="1129">
        <f>IF(OR(E670=0,K35=0)=TRUE,0,(K35-E683-E684-E686)*E673/E670)</f>
        <v>0</v>
      </c>
      <c r="N37" s="653" t="s">
        <v>1189</v>
      </c>
    </row>
    <row r="38" spans="1:14" ht="13">
      <c r="A38" s="1104">
        <v>28</v>
      </c>
      <c r="B38" s="1017" t="s">
        <v>107</v>
      </c>
      <c r="C38" s="1017"/>
      <c r="D38" s="1114"/>
      <c r="E38" s="1108"/>
      <c r="F38" s="1129">
        <f>IF(F670=0,0,(F36-$F$683-$F$684-$F$686)*$F$673/$F$670)</f>
        <v>0.10300980066912017</v>
      </c>
      <c r="G38" s="1130">
        <f>IF(F670=0,0,(G36-F683-F684-F686)*F673/F670)</f>
        <v>0.10300980066912017</v>
      </c>
      <c r="H38" s="1131">
        <f>IF(F670=0,0,(H36-F683-F684-F686)*F673/F670)</f>
        <v>0.10300980066912017</v>
      </c>
      <c r="I38" s="1132">
        <f>IF(F670=0,0,(I36-F683-F684-F686)*F673/F670)</f>
        <v>0.10300980066912017</v>
      </c>
      <c r="J38" s="1129">
        <f>IF($F$670=0,0,(J36-$F$683-$F$684-$F$686)*$F$673/$F$670)</f>
        <v>0.10300980066912017</v>
      </c>
      <c r="K38" s="1129">
        <f>IF(OR($F$670=0,K36=0)=TRUE,0,(K36-$F$683-$F$684-$F$686)*$F$673/$F$670)</f>
        <v>0</v>
      </c>
    </row>
    <row r="39" spans="1:14" ht="13">
      <c r="A39" s="1104">
        <v>29</v>
      </c>
      <c r="B39" s="1017"/>
      <c r="C39" s="1017"/>
      <c r="D39" s="1114"/>
      <c r="E39" s="1108"/>
      <c r="F39" s="1017" t="s">
        <v>343</v>
      </c>
      <c r="G39" s="1126"/>
      <c r="H39" s="1127"/>
      <c r="I39" s="1128"/>
      <c r="J39" s="1017"/>
      <c r="K39" s="1017"/>
    </row>
    <row r="40" spans="1:14" ht="13">
      <c r="A40" s="1104">
        <v>30</v>
      </c>
      <c r="B40" s="1017" t="s">
        <v>108</v>
      </c>
      <c r="C40" s="1017"/>
      <c r="D40" s="1114"/>
      <c r="E40" s="1108"/>
      <c r="F40" s="1140">
        <f>'FR-16(7)(v)-8 TOT CLASS Alloc'!J40</f>
        <v>1782710</v>
      </c>
      <c r="G40" s="1116">
        <f>'FR-16(7)(v)-5 DISTR Dem Alloc'!J40</f>
        <v>664214</v>
      </c>
      <c r="H40" s="1117">
        <f>'FR-16(7)(v)-3 PROD Comm Alloc'!J40</f>
        <v>656198</v>
      </c>
      <c r="I40" s="1118">
        <f>'FR-16(7)(v)-6 DISTR Cust Alloc'!J40</f>
        <v>462298</v>
      </c>
      <c r="J40" s="1119">
        <f>SUM(G40:I40)</f>
        <v>1782710</v>
      </c>
      <c r="K40" s="1119">
        <f>F40-J40</f>
        <v>0</v>
      </c>
    </row>
    <row r="41" spans="1:14" ht="13">
      <c r="A41" s="1104">
        <v>31</v>
      </c>
      <c r="B41" s="1017" t="s">
        <v>109</v>
      </c>
      <c r="C41" s="1017"/>
      <c r="D41" s="1114"/>
      <c r="E41" s="1108"/>
      <c r="F41" s="1119">
        <f t="shared" ref="F41:K41" si="6">F28-F40</f>
        <v>483173</v>
      </c>
      <c r="G41" s="1116">
        <f t="shared" si="6"/>
        <v>1334558</v>
      </c>
      <c r="H41" s="1117">
        <f t="shared" si="6"/>
        <v>-487845</v>
      </c>
      <c r="I41" s="1118">
        <f t="shared" si="6"/>
        <v>-363541</v>
      </c>
      <c r="J41" s="1119">
        <f t="shared" si="6"/>
        <v>483172</v>
      </c>
      <c r="K41" s="1119">
        <f t="shared" si="6"/>
        <v>1</v>
      </c>
    </row>
    <row r="42" spans="1:14" ht="13">
      <c r="A42" s="1104">
        <v>32</v>
      </c>
      <c r="B42" s="1017"/>
      <c r="C42" s="1017" t="s">
        <v>283</v>
      </c>
      <c r="D42" s="1114"/>
      <c r="E42" s="1108"/>
      <c r="F42" s="1133">
        <f t="shared" ref="F42:K42" si="7">IF(F40=0,0,ROUND(F41/F40,5))</f>
        <v>0.27102999999999999</v>
      </c>
      <c r="G42" s="1134">
        <f t="shared" si="7"/>
        <v>2.0092300000000001</v>
      </c>
      <c r="H42" s="1135">
        <f t="shared" si="7"/>
        <v>-0.74343999999999999</v>
      </c>
      <c r="I42" s="1136">
        <f t="shared" si="7"/>
        <v>-0.78637999999999997</v>
      </c>
      <c r="J42" s="1133">
        <f t="shared" si="7"/>
        <v>0.27102999999999999</v>
      </c>
      <c r="K42" s="1119">
        <f t="shared" si="7"/>
        <v>0</v>
      </c>
    </row>
    <row r="43" spans="1:14" ht="13">
      <c r="A43" s="1104">
        <v>33</v>
      </c>
      <c r="B43" s="1017" t="s">
        <v>110</v>
      </c>
      <c r="C43" s="1017"/>
      <c r="D43" s="1114"/>
      <c r="E43" s="1108"/>
      <c r="F43" s="1119">
        <f t="shared" ref="F43:K43" si="8">F31-F40</f>
        <v>266047</v>
      </c>
      <c r="G43" s="1116">
        <f t="shared" si="8"/>
        <v>99126</v>
      </c>
      <c r="H43" s="1117">
        <f t="shared" si="8"/>
        <v>97929</v>
      </c>
      <c r="I43" s="1118">
        <f t="shared" si="8"/>
        <v>68992</v>
      </c>
      <c r="J43" s="1119">
        <f t="shared" si="8"/>
        <v>266047</v>
      </c>
      <c r="K43" s="1119">
        <f t="shared" si="8"/>
        <v>0</v>
      </c>
    </row>
    <row r="44" spans="1:14" ht="13">
      <c r="A44" s="1104">
        <v>34</v>
      </c>
      <c r="B44" s="1017"/>
      <c r="C44" s="1017" t="s">
        <v>283</v>
      </c>
      <c r="D44" s="1114"/>
      <c r="E44" s="1108"/>
      <c r="F44" s="1133">
        <f t="shared" ref="F44:K44" si="9">IF(F40=0,0,ROUND(F43/F40,5))</f>
        <v>0.14924000000000001</v>
      </c>
      <c r="G44" s="1137">
        <f t="shared" si="9"/>
        <v>0.14924000000000001</v>
      </c>
      <c r="H44" s="1138">
        <f t="shared" si="9"/>
        <v>0.14924000000000001</v>
      </c>
      <c r="I44" s="1139">
        <f t="shared" si="9"/>
        <v>0.14924000000000001</v>
      </c>
      <c r="J44" s="1133">
        <f t="shared" si="9"/>
        <v>0.14924000000000001</v>
      </c>
      <c r="K44" s="1119">
        <f t="shared" si="9"/>
        <v>0</v>
      </c>
    </row>
    <row r="45" spans="1:14" ht="13">
      <c r="A45" s="341"/>
      <c r="C45" s="195"/>
      <c r="D45" s="342"/>
      <c r="E45" s="195"/>
      <c r="F45" s="195"/>
      <c r="G45" s="195"/>
      <c r="H45" s="195"/>
      <c r="I45" s="195"/>
      <c r="J45" s="195"/>
      <c r="K45" s="195"/>
    </row>
    <row r="46" spans="1:14" ht="13">
      <c r="A46" s="341" t="str">
        <f>co_name</f>
        <v>DUKE ENERGY KENTUCKY, INC.</v>
      </c>
      <c r="C46" s="195"/>
      <c r="D46" s="342"/>
      <c r="E46" s="195"/>
      <c r="F46" s="195"/>
      <c r="G46" s="195"/>
      <c r="H46" s="195"/>
      <c r="I46" s="195"/>
      <c r="J46" s="195" t="str">
        <f>$J$1</f>
        <v>FR-16(7)(v)-12</v>
      </c>
      <c r="K46" s="195"/>
    </row>
    <row r="47" spans="1:14" ht="13">
      <c r="A47" s="341" t="str">
        <f>$A$2</f>
        <v>INTERRUPTIBLE TRANSPORTATION CLASSIFIED - GAS COST OF SERVICE</v>
      </c>
      <c r="C47" s="195"/>
      <c r="D47" s="342"/>
      <c r="E47" s="195"/>
      <c r="F47" s="195"/>
      <c r="G47" s="195"/>
      <c r="H47" s="195"/>
      <c r="I47" s="195"/>
      <c r="J47" s="195" t="str">
        <f>$J$2</f>
        <v>WITNESS RESPONSIBLE:</v>
      </c>
      <c r="K47" s="195"/>
    </row>
    <row r="48" spans="1:14" ht="13">
      <c r="A48" s="341" t="str">
        <f>case_name</f>
        <v>CASE NO: 2021-00190</v>
      </c>
      <c r="C48" s="195"/>
      <c r="D48" s="342"/>
      <c r="E48" s="195"/>
      <c r="F48" s="195"/>
      <c r="G48" s="195"/>
      <c r="H48" s="195"/>
      <c r="I48" s="195"/>
      <c r="J48" s="195" t="str">
        <f>Witness</f>
        <v>JAMES E. ZIOLKOWSKI</v>
      </c>
      <c r="K48" s="195"/>
    </row>
    <row r="49" spans="1:11" ht="13">
      <c r="A49" s="341" t="str">
        <f>data_filing</f>
        <v>DATA: 12 MONTH FORECASTED PERIOD</v>
      </c>
      <c r="C49" s="195"/>
      <c r="D49" s="342"/>
      <c r="E49" s="195"/>
      <c r="F49" s="195"/>
      <c r="G49" s="195"/>
      <c r="H49" s="195"/>
      <c r="I49" s="195"/>
      <c r="J49" s="195" t="str">
        <f>"PAGE "&amp;Pages2-13&amp;" OF "&amp;Pages2</f>
        <v>PAGE 2 OF 15</v>
      </c>
      <c r="K49" s="195"/>
    </row>
    <row r="50" spans="1:11" ht="13">
      <c r="A50" s="341" t="str">
        <f>type</f>
        <v xml:space="preserve">TYPE OF FILING: "X" ORIGINAL   UPDATED    REVISED  </v>
      </c>
      <c r="C50" s="195"/>
      <c r="D50" s="342"/>
      <c r="E50" s="195"/>
      <c r="F50" s="195"/>
      <c r="G50" s="195"/>
      <c r="H50" s="195"/>
      <c r="I50" s="195"/>
      <c r="J50" s="195"/>
      <c r="K50" s="195"/>
    </row>
    <row r="51" spans="1:11" ht="13">
      <c r="A51" s="341"/>
      <c r="C51" s="195"/>
      <c r="D51" s="342"/>
      <c r="E51" s="195"/>
      <c r="F51" s="195"/>
      <c r="G51" s="195"/>
      <c r="H51" s="195"/>
      <c r="I51" s="195"/>
      <c r="J51" s="195"/>
      <c r="K51" s="195"/>
    </row>
    <row r="52" spans="1:11" ht="13">
      <c r="A52" s="341"/>
      <c r="C52" s="195"/>
      <c r="D52" s="342"/>
      <c r="E52" s="195"/>
      <c r="F52" s="195"/>
      <c r="G52" s="195"/>
      <c r="H52" s="195"/>
      <c r="I52" s="195"/>
      <c r="J52" s="195"/>
      <c r="K52" s="195"/>
    </row>
    <row r="53" spans="1:11" ht="13">
      <c r="A53" s="342" t="s">
        <v>907</v>
      </c>
      <c r="B53" s="195"/>
      <c r="C53" s="195"/>
      <c r="D53" s="342"/>
      <c r="E53" s="195"/>
      <c r="F53" s="342" t="s">
        <v>229</v>
      </c>
      <c r="G53" s="539" t="s">
        <v>995</v>
      </c>
      <c r="H53" s="527"/>
      <c r="I53" s="528"/>
      <c r="J53" s="342" t="s">
        <v>229</v>
      </c>
      <c r="K53" s="342" t="s">
        <v>342</v>
      </c>
    </row>
    <row r="54" spans="1:11" ht="13">
      <c r="A54" s="344" t="s">
        <v>908</v>
      </c>
      <c r="B54" s="343" t="s">
        <v>95</v>
      </c>
      <c r="C54" s="343"/>
      <c r="D54" s="344" t="s">
        <v>337</v>
      </c>
      <c r="E54" s="343"/>
      <c r="F54" s="344" t="str">
        <f>$F$9</f>
        <v>INTERRUPTIBLE</v>
      </c>
      <c r="G54" s="540" t="s">
        <v>840</v>
      </c>
      <c r="H54" s="529" t="s">
        <v>841</v>
      </c>
      <c r="I54" s="530" t="s">
        <v>842</v>
      </c>
      <c r="J54" s="344" t="s">
        <v>341</v>
      </c>
      <c r="K54" s="344" t="s">
        <v>340</v>
      </c>
    </row>
    <row r="55" spans="1:11" ht="13">
      <c r="C55" s="572" t="s">
        <v>344</v>
      </c>
      <c r="D55" s="342"/>
      <c r="E55" s="195"/>
      <c r="G55" s="793">
        <f>$G$10</f>
        <v>3</v>
      </c>
      <c r="H55" s="794">
        <f>$H$10</f>
        <v>4</v>
      </c>
      <c r="I55" s="795">
        <f>$I$10</f>
        <v>5</v>
      </c>
      <c r="K55" s="330" t="s">
        <v>343</v>
      </c>
    </row>
    <row r="56" spans="1:11" ht="13">
      <c r="A56" s="331">
        <v>1</v>
      </c>
      <c r="B56" s="330" t="s">
        <v>14</v>
      </c>
      <c r="E56" s="195"/>
      <c r="G56" s="541"/>
      <c r="H56" s="531"/>
      <c r="I56" s="532"/>
    </row>
    <row r="57" spans="1:11" ht="13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3">
        <f>'FR-16(7)(v)-8 TOT CLASS Alloc'!J57</f>
        <v>0</v>
      </c>
      <c r="G57" s="542">
        <f>'FR-16(7)(v)-5 DISTR Dem Alloc'!$J$57</f>
        <v>0</v>
      </c>
      <c r="H57" s="533">
        <f>'FR-16(7)(v)-3 PROD Comm Alloc'!$J$57</f>
        <v>0</v>
      </c>
      <c r="I57" s="534">
        <f>'FR-16(7)(v)-6 DISTR Cust Alloc'!$J$57</f>
        <v>0</v>
      </c>
      <c r="J57" s="345">
        <f>SUM($G$57:$I$57)</f>
        <v>0</v>
      </c>
      <c r="K57" s="345">
        <f>F57-$J$57</f>
        <v>0</v>
      </c>
    </row>
    <row r="58" spans="1:11" ht="13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3">
        <f>'FR-16(7)(v)-8 TOT CLASS Alloc'!J58</f>
        <v>0</v>
      </c>
      <c r="G58" s="542">
        <f>'FR-16(7)(v)-5 DISTR Dem Alloc'!$J$58</f>
        <v>0</v>
      </c>
      <c r="H58" s="533">
        <f>'FR-16(7)(v)-3 PROD Comm Alloc'!$J$58</f>
        <v>0</v>
      </c>
      <c r="I58" s="534">
        <f>'FR-16(7)(v)-6 DISTR Cust Alloc'!$J$58</f>
        <v>0</v>
      </c>
      <c r="J58" s="345">
        <f>SUM($G$58:$I$58)</f>
        <v>0</v>
      </c>
      <c r="K58" s="345">
        <f>F58-$J$58</f>
        <v>0</v>
      </c>
    </row>
    <row r="59" spans="1:11" ht="13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0</v>
      </c>
      <c r="G59" s="543">
        <f>SUM($G$57:$G$58)</f>
        <v>0</v>
      </c>
      <c r="H59" s="535">
        <f>SUM($H$57:$H$58)</f>
        <v>0</v>
      </c>
      <c r="I59" s="536">
        <f>SUM($I$57:$I$58)</f>
        <v>0</v>
      </c>
      <c r="J59" s="346">
        <f>SUM($J$57:$J$58)</f>
        <v>0</v>
      </c>
      <c r="K59" s="346">
        <f>SUM($K$57:$K$58)</f>
        <v>0</v>
      </c>
    </row>
    <row r="60" spans="1:11" ht="13">
      <c r="A60" s="331">
        <v>5</v>
      </c>
      <c r="D60" s="342"/>
      <c r="E60" s="195"/>
      <c r="G60" s="541"/>
      <c r="H60" s="531"/>
      <c r="I60" s="532"/>
    </row>
    <row r="61" spans="1:11" ht="13">
      <c r="A61" s="331">
        <v>6</v>
      </c>
      <c r="B61" s="330" t="s">
        <v>15</v>
      </c>
      <c r="D61" s="342"/>
      <c r="E61" s="195"/>
      <c r="G61" s="541"/>
      <c r="H61" s="531"/>
      <c r="I61" s="532"/>
    </row>
    <row r="62" spans="1:11" ht="13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1"/>
      <c r="G62" s="542"/>
      <c r="H62" s="533"/>
      <c r="I62" s="534"/>
      <c r="J62" s="345"/>
      <c r="K62" s="345"/>
    </row>
    <row r="63" spans="1:11" ht="13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543">
        <f>SUM($G$62)</f>
        <v>0</v>
      </c>
      <c r="H63" s="535">
        <f>SUM($H$62)</f>
        <v>0</v>
      </c>
      <c r="I63" s="536">
        <f>SUM($I$62)</f>
        <v>0</v>
      </c>
      <c r="J63" s="346">
        <f>SUM($J$62)</f>
        <v>0</v>
      </c>
      <c r="K63" s="346">
        <f>SUM($K$62)</f>
        <v>0</v>
      </c>
    </row>
    <row r="64" spans="1:11" ht="13">
      <c r="A64" s="331">
        <v>9</v>
      </c>
      <c r="D64" s="342"/>
      <c r="E64" s="195"/>
      <c r="G64" s="541"/>
      <c r="H64" s="531"/>
      <c r="I64" s="532"/>
    </row>
    <row r="65" spans="1:11" ht="13">
      <c r="A65" s="331">
        <v>10</v>
      </c>
      <c r="B65" s="330" t="s">
        <v>16</v>
      </c>
      <c r="D65" s="342"/>
      <c r="E65" s="195"/>
      <c r="F65" s="345">
        <f>F63+F59</f>
        <v>0</v>
      </c>
      <c r="G65" s="542">
        <f>$G$63+$G$59</f>
        <v>0</v>
      </c>
      <c r="H65" s="533">
        <f>$H$63+$H$59</f>
        <v>0</v>
      </c>
      <c r="I65" s="534">
        <f>$I$63+$I$59</f>
        <v>0</v>
      </c>
      <c r="J65" s="345">
        <f>$J$63+$J$59</f>
        <v>0</v>
      </c>
      <c r="K65" s="345">
        <f>$K$63+$K$59</f>
        <v>0</v>
      </c>
    </row>
    <row r="66" spans="1:11" ht="13">
      <c r="A66" s="331">
        <v>11</v>
      </c>
      <c r="D66" s="342"/>
      <c r="E66" s="195"/>
      <c r="G66" s="541"/>
      <c r="H66" s="531"/>
      <c r="I66" s="532"/>
    </row>
    <row r="67" spans="1:11" ht="13">
      <c r="A67" s="331">
        <v>12</v>
      </c>
      <c r="B67" s="330" t="s">
        <v>17</v>
      </c>
      <c r="D67" s="342"/>
      <c r="E67" s="195"/>
      <c r="G67" s="541"/>
      <c r="H67" s="531"/>
      <c r="I67" s="532"/>
    </row>
    <row r="68" spans="1:11" ht="13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3">
        <f>'FR-16(7)(v)-8 TOT CLASS Alloc'!J68</f>
        <v>1794040</v>
      </c>
      <c r="G68" s="542">
        <f>'FR-16(7)(v)-5 DISTR Dem Alloc'!J68</f>
        <v>1794040</v>
      </c>
      <c r="H68" s="533">
        <f>'FR-16(7)(v)-3 PROD Comm Alloc'!J68</f>
        <v>0</v>
      </c>
      <c r="I68" s="534">
        <f>'FR-16(7)(v)-6 DISTR Cust Alloc'!J68</f>
        <v>0</v>
      </c>
      <c r="J68" s="345">
        <f t="shared" ref="J68:J77" si="10">SUM(G68:I68)</f>
        <v>1794040</v>
      </c>
      <c r="K68" s="345">
        <f t="shared" ref="K68:K77" si="11">F68-J68</f>
        <v>0</v>
      </c>
    </row>
    <row r="69" spans="1:11" ht="13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3">
        <f>'FR-16(7)(v)-8 TOT CLASS Alloc'!J69</f>
        <v>118501</v>
      </c>
      <c r="G69" s="542">
        <f>'FR-16(7)(v)-5 DISTR Dem Alloc'!J69</f>
        <v>118501</v>
      </c>
      <c r="H69" s="533">
        <f>'FR-16(7)(v)-3 PROD Comm Alloc'!J69</f>
        <v>0</v>
      </c>
      <c r="I69" s="534">
        <f>'FR-16(7)(v)-6 DISTR Cust Alloc'!J69</f>
        <v>0</v>
      </c>
      <c r="J69" s="345">
        <f t="shared" si="10"/>
        <v>118501</v>
      </c>
      <c r="K69" s="345">
        <f t="shared" si="11"/>
        <v>0</v>
      </c>
    </row>
    <row r="70" spans="1:11" ht="13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3">
        <f>'FR-16(7)(v)-8 TOT CLASS Alloc'!J70</f>
        <v>236451</v>
      </c>
      <c r="G70" s="542">
        <f>'FR-16(7)(v)-5 DISTR Dem Alloc'!J70</f>
        <v>236451</v>
      </c>
      <c r="H70" s="533">
        <f>'FR-16(7)(v)-3 PROD Comm Alloc'!J70</f>
        <v>0</v>
      </c>
      <c r="I70" s="534">
        <f>'FR-16(7)(v)-6 DISTR Cust Alloc'!J70</f>
        <v>0</v>
      </c>
      <c r="J70" s="345">
        <f t="shared" si="10"/>
        <v>236451</v>
      </c>
      <c r="K70" s="345">
        <f t="shared" si="11"/>
        <v>0</v>
      </c>
    </row>
    <row r="71" spans="1:11" ht="13">
      <c r="A71" s="331">
        <v>16</v>
      </c>
      <c r="C71" s="330" t="str">
        <f>'FR-16(7)(v)-1 Functional'!C71</f>
        <v>MAINS - (2761, 2762, 2763, 2765)</v>
      </c>
      <c r="D71" s="342" t="str">
        <f>'FR-16(7)(v)-1 Functional'!D71</f>
        <v>K415</v>
      </c>
      <c r="E71" s="195"/>
      <c r="F71" s="473">
        <f>'FR-16(7)(v)-8 TOT CLASS Alloc'!J71</f>
        <v>17269316</v>
      </c>
      <c r="G71" s="542">
        <f>'FR-16(7)(v)-5 DISTR Dem Alloc'!J71</f>
        <v>17269316</v>
      </c>
      <c r="H71" s="533">
        <f>'FR-16(7)(v)-3 PROD Comm Alloc'!J71</f>
        <v>0</v>
      </c>
      <c r="I71" s="534">
        <f>'FR-16(7)(v)-6 DISTR Cust Alloc'!J71</f>
        <v>0</v>
      </c>
      <c r="J71" s="345">
        <f t="shared" si="10"/>
        <v>17269316</v>
      </c>
      <c r="K71" s="345">
        <f t="shared" si="11"/>
        <v>0</v>
      </c>
    </row>
    <row r="72" spans="1:11" ht="13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3">
        <f>'FR-16(7)(v)-8 TOT CLASS Alloc'!J72</f>
        <v>366309</v>
      </c>
      <c r="G72" s="542">
        <f>'FR-16(7)(v)-5 DISTR Dem Alloc'!J72</f>
        <v>0</v>
      </c>
      <c r="H72" s="533">
        <f>'FR-16(7)(v)-3 PROD Comm Alloc'!J72</f>
        <v>0</v>
      </c>
      <c r="I72" s="534">
        <f>'FR-16(7)(v)-6 DISTR Cust Alloc'!J72</f>
        <v>366309</v>
      </c>
      <c r="J72" s="345">
        <f t="shared" si="10"/>
        <v>366309</v>
      </c>
      <c r="K72" s="345">
        <f t="shared" si="11"/>
        <v>0</v>
      </c>
    </row>
    <row r="73" spans="1:11" ht="13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3">
        <f>'FR-16(7)(v)-8 TOT CLASS Alloc'!J73</f>
        <v>367041</v>
      </c>
      <c r="G73" s="542">
        <f>'FR-16(7)(v)-5 DISTR Dem Alloc'!J73</f>
        <v>0</v>
      </c>
      <c r="H73" s="533">
        <f>'FR-16(7)(v)-3 PROD Comm Alloc'!J73</f>
        <v>0</v>
      </c>
      <c r="I73" s="534">
        <f>'FR-16(7)(v)-6 DISTR Cust Alloc'!J73</f>
        <v>367041</v>
      </c>
      <c r="J73" s="345">
        <f t="shared" si="10"/>
        <v>367041</v>
      </c>
      <c r="K73" s="345">
        <f t="shared" si="11"/>
        <v>0</v>
      </c>
    </row>
    <row r="74" spans="1:11" ht="13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3">
        <f>'FR-16(7)(v)-8 TOT CLASS Alloc'!J74</f>
        <v>506956</v>
      </c>
      <c r="G74" s="542">
        <f>'FR-16(7)(v)-5 DISTR Dem Alloc'!J74</f>
        <v>506956</v>
      </c>
      <c r="H74" s="533">
        <f>'FR-16(7)(v)-3 PROD Comm Alloc'!J74</f>
        <v>0</v>
      </c>
      <c r="I74" s="534">
        <f>'FR-16(7)(v)-6 DISTR Cust Alloc'!J74</f>
        <v>0</v>
      </c>
      <c r="J74" s="345">
        <f t="shared" si="10"/>
        <v>506956</v>
      </c>
      <c r="K74" s="345">
        <f t="shared" si="11"/>
        <v>0</v>
      </c>
    </row>
    <row r="75" spans="1:11" ht="13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3">
        <f>'FR-16(7)(v)-8 TOT CLASS Alloc'!J75</f>
        <v>23423</v>
      </c>
      <c r="G75" s="542">
        <f>'FR-16(7)(v)-5 DISTR Dem Alloc'!J75</f>
        <v>0</v>
      </c>
      <c r="H75" s="533">
        <f>'FR-16(7)(v)-3 PROD Comm Alloc'!J75</f>
        <v>0</v>
      </c>
      <c r="I75" s="534">
        <f>'FR-16(7)(v)-6 DISTR Cust Alloc'!J75</f>
        <v>23423</v>
      </c>
      <c r="J75" s="345">
        <f t="shared" si="10"/>
        <v>23423</v>
      </c>
      <c r="K75" s="345">
        <f t="shared" si="11"/>
        <v>0</v>
      </c>
    </row>
    <row r="76" spans="1:11" ht="13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3">
        <f>'FR-16(7)(v)-8 TOT CLASS Alloc'!J76</f>
        <v>0</v>
      </c>
      <c r="G76" s="542">
        <f>'FR-16(7)(v)-5 DISTR Dem Alloc'!J76</f>
        <v>0</v>
      </c>
      <c r="H76" s="533">
        <f>'FR-16(7)(v)-3 PROD Comm Alloc'!J76</f>
        <v>0</v>
      </c>
      <c r="I76" s="534">
        <f>'FR-16(7)(v)-6 DISTR Cust Alloc'!J76</f>
        <v>0</v>
      </c>
      <c r="J76" s="345">
        <f t="shared" si="10"/>
        <v>0</v>
      </c>
      <c r="K76" s="345">
        <f t="shared" si="11"/>
        <v>0</v>
      </c>
    </row>
    <row r="77" spans="1:11" ht="13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3">
        <f>'FR-16(7)(v)-8 TOT CLASS Alloc'!J77</f>
        <v>0</v>
      </c>
      <c r="G77" s="542">
        <f>'FR-16(7)(v)-5 DISTR Dem Alloc'!J77</f>
        <v>0</v>
      </c>
      <c r="H77" s="533">
        <f>'FR-16(7)(v)-3 PROD Comm Alloc'!J77</f>
        <v>0</v>
      </c>
      <c r="I77" s="534">
        <f>'FR-16(7)(v)-6 DISTR Cust Alloc'!J77</f>
        <v>0</v>
      </c>
      <c r="J77" s="345">
        <f t="shared" si="10"/>
        <v>0</v>
      </c>
      <c r="K77" s="345">
        <f t="shared" si="11"/>
        <v>0</v>
      </c>
    </row>
    <row r="78" spans="1:11" ht="13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K78" si="12">SUM(F68:F77)</f>
        <v>20682037</v>
      </c>
      <c r="G78" s="543">
        <f t="shared" si="12"/>
        <v>19925264</v>
      </c>
      <c r="H78" s="535">
        <f t="shared" si="12"/>
        <v>0</v>
      </c>
      <c r="I78" s="536">
        <f t="shared" si="12"/>
        <v>756773</v>
      </c>
      <c r="J78" s="346">
        <f t="shared" si="12"/>
        <v>20682037</v>
      </c>
      <c r="K78" s="346">
        <f t="shared" si="12"/>
        <v>0</v>
      </c>
    </row>
    <row r="79" spans="1:11" ht="13">
      <c r="A79" s="331">
        <v>24</v>
      </c>
      <c r="D79" s="342"/>
      <c r="E79" s="195"/>
      <c r="G79" s="541"/>
      <c r="H79" s="531"/>
      <c r="I79" s="532"/>
    </row>
    <row r="80" spans="1:11" ht="13">
      <c r="A80" s="331">
        <v>25</v>
      </c>
      <c r="B80" s="330" t="s">
        <v>18</v>
      </c>
      <c r="D80" s="342"/>
      <c r="E80" s="195"/>
      <c r="F80" s="345">
        <f>F78+F63</f>
        <v>20682037</v>
      </c>
      <c r="G80" s="542">
        <f>G78+$G$63</f>
        <v>19925264</v>
      </c>
      <c r="H80" s="533">
        <f>H78+$H$63</f>
        <v>0</v>
      </c>
      <c r="I80" s="534">
        <f>I78+$I$63</f>
        <v>756773</v>
      </c>
      <c r="J80" s="345">
        <f>J78+$J$63</f>
        <v>20682037</v>
      </c>
      <c r="K80" s="345">
        <f>K78+$K$63</f>
        <v>0</v>
      </c>
    </row>
    <row r="81" spans="1:11" ht="13">
      <c r="A81" s="331">
        <v>26</v>
      </c>
      <c r="B81" s="330" t="s">
        <v>19</v>
      </c>
      <c r="D81" s="342"/>
      <c r="E81" s="195"/>
      <c r="F81" s="345">
        <f t="shared" ref="F81:K81" si="13">F78+F65</f>
        <v>20682037</v>
      </c>
      <c r="G81" s="542">
        <f t="shared" si="13"/>
        <v>19925264</v>
      </c>
      <c r="H81" s="533">
        <f t="shared" si="13"/>
        <v>0</v>
      </c>
      <c r="I81" s="534">
        <f t="shared" si="13"/>
        <v>756773</v>
      </c>
      <c r="J81" s="345">
        <f t="shared" si="13"/>
        <v>20682037</v>
      </c>
      <c r="K81" s="345">
        <f t="shared" si="13"/>
        <v>0</v>
      </c>
    </row>
    <row r="82" spans="1:11" ht="13">
      <c r="A82" s="331">
        <v>27</v>
      </c>
      <c r="D82" s="342"/>
      <c r="E82" s="195"/>
      <c r="G82" s="541"/>
      <c r="H82" s="531"/>
      <c r="I82" s="532"/>
    </row>
    <row r="83" spans="1:11" ht="13">
      <c r="A83" s="331">
        <v>28</v>
      </c>
      <c r="B83" s="330" t="s">
        <v>20</v>
      </c>
      <c r="D83" s="342"/>
      <c r="E83" s="195"/>
      <c r="G83" s="541"/>
      <c r="H83" s="531"/>
      <c r="I83" s="532"/>
    </row>
    <row r="84" spans="1:11" ht="13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3">
        <f>'FR-16(7)(v)-8 TOT CLASS Alloc'!J84</f>
        <v>0</v>
      </c>
      <c r="G84" s="542">
        <f>'FR-16(7)(v)-5 DISTR Dem Alloc'!J84</f>
        <v>0</v>
      </c>
      <c r="H84" s="533">
        <f>'FR-16(7)(v)-3 PROD Comm Alloc'!J84</f>
        <v>0</v>
      </c>
      <c r="I84" s="534">
        <f>'FR-16(7)(v)-6 DISTR Cust Alloc'!J84</f>
        <v>0</v>
      </c>
      <c r="J84" s="345">
        <f t="shared" ref="J84:J89" si="14">SUM(G84:I84)</f>
        <v>0</v>
      </c>
      <c r="K84" s="345">
        <f t="shared" ref="K84:K89" si="15">F84-J84</f>
        <v>0</v>
      </c>
    </row>
    <row r="85" spans="1:11" ht="13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3">
        <f>'FR-16(7)(v)-8 TOT CLASS Alloc'!J85</f>
        <v>7970</v>
      </c>
      <c r="G85" s="542">
        <f>'FR-16(7)(v)-5 DISTR Dem Alloc'!J85</f>
        <v>0</v>
      </c>
      <c r="H85" s="533">
        <f>'FR-16(7)(v)-3 PROD Comm Alloc'!J85</f>
        <v>7970</v>
      </c>
      <c r="I85" s="534">
        <f>'FR-16(7)(v)-6 DISTR Cust Alloc'!J85</f>
        <v>0</v>
      </c>
      <c r="J85" s="345">
        <f t="shared" si="14"/>
        <v>7970</v>
      </c>
      <c r="K85" s="345">
        <f t="shared" si="15"/>
        <v>0</v>
      </c>
    </row>
    <row r="86" spans="1:11" ht="13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3">
        <f>'FR-16(7)(v)-8 TOT CLASS Alloc'!J86</f>
        <v>617575</v>
      </c>
      <c r="G86" s="542">
        <f>'FR-16(7)(v)-5 DISTR Dem Alloc'!J86</f>
        <v>599387</v>
      </c>
      <c r="H86" s="533">
        <f>'FR-16(7)(v)-3 PROD Comm Alloc'!J86</f>
        <v>0</v>
      </c>
      <c r="I86" s="534">
        <f>'FR-16(7)(v)-6 DISTR Cust Alloc'!J86</f>
        <v>18188</v>
      </c>
      <c r="J86" s="345">
        <f t="shared" si="14"/>
        <v>617575</v>
      </c>
      <c r="K86" s="345">
        <f t="shared" si="15"/>
        <v>0</v>
      </c>
    </row>
    <row r="87" spans="1:11" ht="13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3">
        <f>'FR-16(7)(v)-8 TOT CLASS Alloc'!J87</f>
        <v>1641</v>
      </c>
      <c r="G87" s="542">
        <f>'FR-16(7)(v)-5 DISTR Dem Alloc'!J87</f>
        <v>0</v>
      </c>
      <c r="H87" s="533">
        <f>'FR-16(7)(v)-3 PROD Comm Alloc'!J87</f>
        <v>0</v>
      </c>
      <c r="I87" s="534">
        <f>'FR-16(7)(v)-6 DISTR Cust Alloc'!J87</f>
        <v>1641</v>
      </c>
      <c r="J87" s="345">
        <f t="shared" si="14"/>
        <v>1641</v>
      </c>
      <c r="K87" s="345">
        <f t="shared" si="15"/>
        <v>0</v>
      </c>
    </row>
    <row r="88" spans="1:11" ht="13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3">
        <f>'FR-16(7)(v)-8 TOT CLASS Alloc'!J88</f>
        <v>159</v>
      </c>
      <c r="G88" s="542">
        <f>'FR-16(7)(v)-5 DISTR Dem Alloc'!J88</f>
        <v>0</v>
      </c>
      <c r="H88" s="533">
        <f>'FR-16(7)(v)-3 PROD Comm Alloc'!J88</f>
        <v>0</v>
      </c>
      <c r="I88" s="534">
        <f>'FR-16(7)(v)-6 DISTR Cust Alloc'!J88</f>
        <v>159</v>
      </c>
      <c r="J88" s="345">
        <f t="shared" si="14"/>
        <v>159</v>
      </c>
      <c r="K88" s="345">
        <f t="shared" si="15"/>
        <v>0</v>
      </c>
    </row>
    <row r="89" spans="1:11" ht="13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3">
        <f>'FR-16(7)(v)-8 TOT CLASS Alloc'!J89</f>
        <v>0</v>
      </c>
      <c r="G89" s="542">
        <f>'FR-16(7)(v)-5 DISTR Dem Alloc'!J89</f>
        <v>0</v>
      </c>
      <c r="H89" s="533">
        <f>'FR-16(7)(v)-3 PROD Comm Alloc'!J89</f>
        <v>0</v>
      </c>
      <c r="I89" s="534">
        <f>'FR-16(7)(v)-6 DISTR Cust Alloc'!J89</f>
        <v>0</v>
      </c>
      <c r="J89" s="345">
        <f t="shared" si="14"/>
        <v>0</v>
      </c>
      <c r="K89" s="345">
        <f t="shared" si="15"/>
        <v>0</v>
      </c>
    </row>
    <row r="90" spans="1:11" ht="13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4">
        <f t="shared" ref="F90:K90" si="16">SUM(F84:F89)</f>
        <v>627345</v>
      </c>
      <c r="G90" s="543">
        <f t="shared" si="16"/>
        <v>599387</v>
      </c>
      <c r="H90" s="535">
        <f t="shared" si="16"/>
        <v>7970</v>
      </c>
      <c r="I90" s="536">
        <f t="shared" si="16"/>
        <v>19988</v>
      </c>
      <c r="J90" s="346">
        <f t="shared" si="16"/>
        <v>627345</v>
      </c>
      <c r="K90" s="346">
        <f t="shared" si="16"/>
        <v>0</v>
      </c>
    </row>
    <row r="91" spans="1:11" ht="13">
      <c r="A91" s="331">
        <v>36</v>
      </c>
      <c r="D91" s="342"/>
      <c r="E91" s="195"/>
      <c r="G91" s="541"/>
      <c r="H91" s="531"/>
      <c r="I91" s="532"/>
    </row>
    <row r="92" spans="1:11" ht="13">
      <c r="A92" s="331">
        <v>37</v>
      </c>
      <c r="B92" s="330" t="s">
        <v>21</v>
      </c>
      <c r="D92" s="342"/>
      <c r="E92" s="195"/>
      <c r="G92" s="541"/>
      <c r="H92" s="531"/>
      <c r="I92" s="532"/>
    </row>
    <row r="93" spans="1:11" ht="13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3">
        <f>'FR-16(7)(v)-8 TOT CLASS Alloc'!J93</f>
        <v>0</v>
      </c>
      <c r="G93" s="542">
        <f>'FR-16(7)(v)-5 DISTR Dem Alloc'!J93</f>
        <v>0</v>
      </c>
      <c r="H93" s="533">
        <f>'FR-16(7)(v)-3 PROD Comm Alloc'!J93</f>
        <v>0</v>
      </c>
      <c r="I93" s="534">
        <f>'FR-16(7)(v)-6 DISTR Cust Alloc'!J93</f>
        <v>0</v>
      </c>
      <c r="J93" s="345">
        <f t="shared" ref="J93:J98" si="17">SUM(G93:I93)</f>
        <v>0</v>
      </c>
      <c r="K93" s="345">
        <f t="shared" ref="K93:K98" si="18">F93-J93</f>
        <v>0</v>
      </c>
    </row>
    <row r="94" spans="1:11" ht="13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3">
        <f>'FR-16(7)(v)-8 TOT CLASS Alloc'!J94</f>
        <v>2563</v>
      </c>
      <c r="G94" s="542">
        <f>'FR-16(7)(v)-5 DISTR Dem Alloc'!J94</f>
        <v>0</v>
      </c>
      <c r="H94" s="533">
        <f>'FR-16(7)(v)-3 PROD Comm Alloc'!J94</f>
        <v>2563</v>
      </c>
      <c r="I94" s="534">
        <f>'FR-16(7)(v)-6 DISTR Cust Alloc'!J94</f>
        <v>0</v>
      </c>
      <c r="J94" s="345">
        <f t="shared" si="17"/>
        <v>2563</v>
      </c>
      <c r="K94" s="345">
        <f t="shared" si="18"/>
        <v>0</v>
      </c>
    </row>
    <row r="95" spans="1:11" ht="13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3">
        <f>'FR-16(7)(v)-8 TOT CLASS Alloc'!J95</f>
        <v>198624</v>
      </c>
      <c r="G95" s="542">
        <f>'FR-16(7)(v)-5 DISTR Dem Alloc'!J95</f>
        <v>192774</v>
      </c>
      <c r="H95" s="533">
        <f>'FR-16(7)(v)-3 PROD Comm Alloc'!J95</f>
        <v>0</v>
      </c>
      <c r="I95" s="534">
        <f>'FR-16(7)(v)-6 DISTR Cust Alloc'!J95</f>
        <v>5850</v>
      </c>
      <c r="J95" s="345">
        <f t="shared" si="17"/>
        <v>198624</v>
      </c>
      <c r="K95" s="345">
        <f t="shared" si="18"/>
        <v>0</v>
      </c>
    </row>
    <row r="96" spans="1:11" ht="13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3">
        <f>'FR-16(7)(v)-8 TOT CLASS Alloc'!J96</f>
        <v>528</v>
      </c>
      <c r="G96" s="542">
        <f>'FR-16(7)(v)-5 DISTR Dem Alloc'!J96</f>
        <v>0</v>
      </c>
      <c r="H96" s="533">
        <f>'FR-16(7)(v)-3 PROD Comm Alloc'!J96</f>
        <v>0</v>
      </c>
      <c r="I96" s="534">
        <f>'FR-16(7)(v)-6 DISTR Cust Alloc'!J96</f>
        <v>528</v>
      </c>
      <c r="J96" s="345">
        <f t="shared" si="17"/>
        <v>528</v>
      </c>
      <c r="K96" s="345">
        <f t="shared" si="18"/>
        <v>0</v>
      </c>
    </row>
    <row r="97" spans="1:11" ht="13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3">
        <f>'FR-16(7)(v)-8 TOT CLASS Alloc'!J97</f>
        <v>51</v>
      </c>
      <c r="G97" s="542">
        <f>'FR-16(7)(v)-5 DISTR Dem Alloc'!J97</f>
        <v>0</v>
      </c>
      <c r="H97" s="533">
        <f>'FR-16(7)(v)-3 PROD Comm Alloc'!J97</f>
        <v>0</v>
      </c>
      <c r="I97" s="534">
        <f>'FR-16(7)(v)-6 DISTR Cust Alloc'!J97</f>
        <v>51</v>
      </c>
      <c r="J97" s="345">
        <f t="shared" si="17"/>
        <v>51</v>
      </c>
      <c r="K97" s="345">
        <f t="shared" si="18"/>
        <v>0</v>
      </c>
    </row>
    <row r="98" spans="1:11" ht="13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3">
        <f>'FR-16(7)(v)-8 TOT CLASS Alloc'!J98</f>
        <v>0</v>
      </c>
      <c r="G98" s="542">
        <f>'FR-16(7)(v)-5 DISTR Dem Alloc'!J98</f>
        <v>0</v>
      </c>
      <c r="H98" s="533">
        <f>'FR-16(7)(v)-3 PROD Comm Alloc'!J98</f>
        <v>0</v>
      </c>
      <c r="I98" s="534">
        <f>'FR-16(7)(v)-6 DISTR Cust Alloc'!J98</f>
        <v>0</v>
      </c>
      <c r="J98" s="345">
        <f t="shared" si="17"/>
        <v>0</v>
      </c>
      <c r="K98" s="345">
        <f t="shared" si="18"/>
        <v>0</v>
      </c>
    </row>
    <row r="99" spans="1:11" ht="13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K99" si="19">SUM(F93:F98)</f>
        <v>201766</v>
      </c>
      <c r="G99" s="543">
        <f t="shared" si="19"/>
        <v>192774</v>
      </c>
      <c r="H99" s="535">
        <f t="shared" si="19"/>
        <v>2563</v>
      </c>
      <c r="I99" s="536">
        <f t="shared" si="19"/>
        <v>6429</v>
      </c>
      <c r="J99" s="346">
        <f t="shared" si="19"/>
        <v>201766</v>
      </c>
      <c r="K99" s="346">
        <f t="shared" si="19"/>
        <v>0</v>
      </c>
    </row>
    <row r="100" spans="1:11" ht="13">
      <c r="A100" s="331">
        <v>45</v>
      </c>
      <c r="E100" s="195"/>
      <c r="G100" s="541"/>
      <c r="H100" s="531"/>
      <c r="I100" s="532"/>
    </row>
    <row r="101" spans="1:11" ht="13">
      <c r="A101" s="331">
        <v>46</v>
      </c>
      <c r="B101" s="330" t="s">
        <v>95</v>
      </c>
      <c r="E101" s="195"/>
      <c r="F101" s="345">
        <f t="shared" ref="F101:K101" si="20">F81+F90+F99</f>
        <v>21511148</v>
      </c>
      <c r="G101" s="544">
        <f t="shared" si="20"/>
        <v>20717425</v>
      </c>
      <c r="H101" s="537">
        <f t="shared" si="20"/>
        <v>10533</v>
      </c>
      <c r="I101" s="538">
        <f t="shared" si="20"/>
        <v>783190</v>
      </c>
      <c r="J101" s="345">
        <f t="shared" si="20"/>
        <v>21511148</v>
      </c>
      <c r="K101" s="345">
        <f t="shared" si="20"/>
        <v>0</v>
      </c>
    </row>
    <row r="102" spans="1:11" ht="13">
      <c r="B102" s="341"/>
      <c r="C102" s="195"/>
      <c r="D102" s="342"/>
      <c r="E102" s="195"/>
      <c r="F102" s="195"/>
      <c r="G102" s="195"/>
      <c r="H102" s="195"/>
      <c r="I102" s="195"/>
      <c r="J102" s="195"/>
      <c r="K102" s="195"/>
    </row>
    <row r="103" spans="1:11" ht="13">
      <c r="A103" s="341" t="str">
        <f>co_name</f>
        <v>DUKE ENERGY KENTUCKY, INC.</v>
      </c>
      <c r="C103" s="195"/>
      <c r="D103" s="342"/>
      <c r="E103" s="195"/>
      <c r="F103" s="195"/>
      <c r="G103" s="195"/>
      <c r="H103" s="195"/>
      <c r="I103" s="195"/>
      <c r="J103" s="195" t="str">
        <f>$J$1</f>
        <v>FR-16(7)(v)-12</v>
      </c>
      <c r="K103" s="195"/>
    </row>
    <row r="104" spans="1:11" ht="13">
      <c r="A104" s="341" t="str">
        <f>$A$2</f>
        <v>INTERRUPTIBLE TRANSPORTATION CLASSIFIED - GAS COST OF SERVICE</v>
      </c>
      <c r="C104" s="195"/>
      <c r="D104" s="342"/>
      <c r="E104" s="195"/>
      <c r="F104" s="195"/>
      <c r="G104" s="195"/>
      <c r="H104" s="195"/>
      <c r="I104" s="195"/>
      <c r="J104" s="195" t="str">
        <f>$J$2</f>
        <v>WITNESS RESPONSIBLE:</v>
      </c>
      <c r="K104" s="195"/>
    </row>
    <row r="105" spans="1:11" ht="13">
      <c r="A105" s="341" t="str">
        <f>case_name</f>
        <v>CASE NO: 2021-00190</v>
      </c>
      <c r="C105" s="195"/>
      <c r="D105" s="342"/>
      <c r="E105" s="195"/>
      <c r="F105" s="195"/>
      <c r="G105" s="195"/>
      <c r="H105" s="195"/>
      <c r="I105" s="195"/>
      <c r="J105" s="195" t="str">
        <f>Witness</f>
        <v>JAMES E. ZIOLKOWSKI</v>
      </c>
      <c r="K105" s="195"/>
    </row>
    <row r="106" spans="1:11" ht="13">
      <c r="A106" s="341" t="str">
        <f>data_filing</f>
        <v>DATA: 12 MONTH FORECASTED PERIOD</v>
      </c>
      <c r="C106" s="195"/>
      <c r="D106" s="342"/>
      <c r="E106" s="195"/>
      <c r="F106" s="195"/>
      <c r="G106" s="195"/>
      <c r="H106" s="195"/>
      <c r="I106" s="195"/>
      <c r="J106" s="195" t="str">
        <f>"PAGE "&amp;Pages2-12&amp;" OF "&amp;Pages2</f>
        <v>PAGE 3 OF 15</v>
      </c>
      <c r="K106" s="195"/>
    </row>
    <row r="107" spans="1:11" ht="13">
      <c r="A107" s="341" t="str">
        <f>type</f>
        <v xml:space="preserve">TYPE OF FILING: "X" ORIGINAL   UPDATED    REVISED  </v>
      </c>
      <c r="C107" s="195"/>
      <c r="D107" s="342"/>
      <c r="E107" s="195"/>
      <c r="F107" s="195"/>
      <c r="G107" s="195"/>
      <c r="H107" s="195"/>
      <c r="I107" s="195"/>
      <c r="J107" s="195"/>
      <c r="K107" s="195"/>
    </row>
    <row r="108" spans="1:11" ht="13">
      <c r="A108" s="341"/>
      <c r="C108" s="195"/>
      <c r="D108" s="342"/>
      <c r="E108" s="195"/>
      <c r="F108" s="195"/>
      <c r="G108" s="195"/>
      <c r="H108" s="195"/>
      <c r="I108" s="195"/>
      <c r="J108" s="195"/>
      <c r="K108" s="195"/>
    </row>
    <row r="109" spans="1:11" ht="13">
      <c r="B109" s="341"/>
      <c r="C109" s="195"/>
      <c r="D109" s="342"/>
      <c r="E109" s="195"/>
      <c r="F109" s="195"/>
      <c r="G109" s="195"/>
      <c r="H109" s="195"/>
      <c r="I109" s="195"/>
      <c r="J109" s="195"/>
      <c r="K109" s="195"/>
    </row>
    <row r="110" spans="1:11" ht="13">
      <c r="A110" s="342" t="s">
        <v>907</v>
      </c>
      <c r="B110" s="195"/>
      <c r="C110" s="195"/>
      <c r="D110" s="342"/>
      <c r="E110" s="195"/>
      <c r="F110" s="342" t="s">
        <v>229</v>
      </c>
      <c r="G110" s="539" t="s">
        <v>995</v>
      </c>
      <c r="H110" s="527"/>
      <c r="I110" s="528"/>
      <c r="J110" s="342" t="s">
        <v>229</v>
      </c>
      <c r="K110" s="342" t="s">
        <v>342</v>
      </c>
    </row>
    <row r="111" spans="1:11" ht="13">
      <c r="A111" s="344" t="s">
        <v>908</v>
      </c>
      <c r="B111" s="343" t="s">
        <v>22</v>
      </c>
      <c r="C111" s="343"/>
      <c r="D111" s="344" t="s">
        <v>337</v>
      </c>
      <c r="E111" s="343"/>
      <c r="F111" s="344" t="str">
        <f>$F$9</f>
        <v>INTERRUPTIBLE</v>
      </c>
      <c r="G111" s="540" t="s">
        <v>840</v>
      </c>
      <c r="H111" s="529" t="s">
        <v>841</v>
      </c>
      <c r="I111" s="530" t="s">
        <v>842</v>
      </c>
      <c r="J111" s="344" t="s">
        <v>341</v>
      </c>
      <c r="K111" s="344" t="s">
        <v>340</v>
      </c>
    </row>
    <row r="112" spans="1:11" ht="13">
      <c r="C112" s="572" t="s">
        <v>345</v>
      </c>
      <c r="D112" s="342"/>
      <c r="E112" s="195"/>
      <c r="G112" s="793">
        <f>$G$10</f>
        <v>3</v>
      </c>
      <c r="H112" s="794">
        <f>$H$10</f>
        <v>4</v>
      </c>
      <c r="I112" s="795">
        <f>$I$10</f>
        <v>5</v>
      </c>
    </row>
    <row r="113" spans="1:11" ht="13">
      <c r="A113" s="331">
        <v>1</v>
      </c>
      <c r="B113" s="330" t="s">
        <v>14</v>
      </c>
      <c r="D113" s="342"/>
      <c r="E113" s="195"/>
      <c r="G113" s="541"/>
      <c r="H113" s="531"/>
      <c r="I113" s="532"/>
    </row>
    <row r="114" spans="1:11" ht="13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3">
        <f>'FR-16(7)(v)-8 TOT CLASS Alloc'!J114</f>
        <v>0</v>
      </c>
      <c r="G114" s="542">
        <f>'FR-16(7)(v)-5 DISTR Dem Alloc'!J114</f>
        <v>0</v>
      </c>
      <c r="H114" s="533">
        <f>'FR-16(7)(v)-3 PROD Comm Alloc'!J114</f>
        <v>0</v>
      </c>
      <c r="I114" s="534">
        <f>'FR-16(7)(v)-6 DISTR Cust Alloc'!J114</f>
        <v>0</v>
      </c>
      <c r="J114" s="345">
        <f>SUM(G114:I114)</f>
        <v>0</v>
      </c>
      <c r="K114" s="345">
        <f>F114-J114</f>
        <v>0</v>
      </c>
    </row>
    <row r="115" spans="1:11" ht="13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K115" si="21">SUM(F114:F114)</f>
        <v>0</v>
      </c>
      <c r="G115" s="543">
        <f t="shared" si="21"/>
        <v>0</v>
      </c>
      <c r="H115" s="535">
        <f t="shared" si="21"/>
        <v>0</v>
      </c>
      <c r="I115" s="536">
        <f t="shared" si="21"/>
        <v>0</v>
      </c>
      <c r="J115" s="346">
        <f t="shared" si="21"/>
        <v>0</v>
      </c>
      <c r="K115" s="346">
        <f t="shared" si="21"/>
        <v>0</v>
      </c>
    </row>
    <row r="116" spans="1:11" ht="13">
      <c r="A116" s="331">
        <v>4</v>
      </c>
      <c r="D116" s="342"/>
      <c r="E116" s="195"/>
      <c r="G116" s="541"/>
      <c r="H116" s="531"/>
      <c r="I116" s="532"/>
    </row>
    <row r="117" spans="1:11" ht="13">
      <c r="A117" s="331">
        <v>5</v>
      </c>
      <c r="B117" s="330" t="s">
        <v>15</v>
      </c>
      <c r="D117" s="342"/>
      <c r="E117" s="195"/>
      <c r="G117" s="541"/>
      <c r="H117" s="531"/>
      <c r="I117" s="532"/>
    </row>
    <row r="118" spans="1:11" ht="13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1"/>
      <c r="G118" s="542"/>
      <c r="H118" s="533"/>
      <c r="I118" s="534"/>
      <c r="J118" s="345"/>
      <c r="K118" s="345"/>
    </row>
    <row r="119" spans="1:11" ht="13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K119" si="22">SUM(F118:F118)</f>
        <v>0</v>
      </c>
      <c r="G119" s="543">
        <f t="shared" si="22"/>
        <v>0</v>
      </c>
      <c r="H119" s="535">
        <f t="shared" si="22"/>
        <v>0</v>
      </c>
      <c r="I119" s="536">
        <f t="shared" si="22"/>
        <v>0</v>
      </c>
      <c r="J119" s="346">
        <f t="shared" si="22"/>
        <v>0</v>
      </c>
      <c r="K119" s="346">
        <f t="shared" si="22"/>
        <v>0</v>
      </c>
    </row>
    <row r="120" spans="1:11" ht="13">
      <c r="A120" s="331">
        <v>8</v>
      </c>
      <c r="D120" s="342"/>
      <c r="E120" s="195"/>
      <c r="G120" s="541"/>
      <c r="H120" s="531"/>
      <c r="I120" s="532"/>
    </row>
    <row r="121" spans="1:11" ht="13">
      <c r="A121" s="331">
        <v>9</v>
      </c>
      <c r="B121" s="330" t="s">
        <v>17</v>
      </c>
      <c r="D121" s="342"/>
      <c r="E121" s="195"/>
      <c r="G121" s="541"/>
      <c r="H121" s="531"/>
      <c r="I121" s="532"/>
    </row>
    <row r="122" spans="1:11" ht="13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3">
        <f>'FR-16(7)(v)-8 TOT CLASS Alloc'!J122</f>
        <v>112296</v>
      </c>
      <c r="G122" s="542">
        <f>'FR-16(7)(v)-5 DISTR Dem Alloc'!J122</f>
        <v>112296</v>
      </c>
      <c r="H122" s="533">
        <f>'FR-16(7)(v)-3 PROD Comm Alloc'!J122</f>
        <v>0</v>
      </c>
      <c r="I122" s="534">
        <f>'FR-16(7)(v)-6 DISTR Cust Alloc'!J122</f>
        <v>0</v>
      </c>
      <c r="J122" s="345">
        <f t="shared" ref="J122:J130" si="23">SUM(G122:I122)</f>
        <v>112296</v>
      </c>
      <c r="K122" s="345">
        <f t="shared" ref="K122:K130" si="24">F122-J122</f>
        <v>0</v>
      </c>
    </row>
    <row r="123" spans="1:11" ht="13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3">
        <f>'FR-16(7)(v)-8 TOT CLASS Alloc'!J123</f>
        <v>52694</v>
      </c>
      <c r="G123" s="542">
        <f>'FR-16(7)(v)-5 DISTR Dem Alloc'!J123</f>
        <v>52694</v>
      </c>
      <c r="H123" s="533">
        <f>'FR-16(7)(v)-3 PROD Comm Alloc'!J123</f>
        <v>0</v>
      </c>
      <c r="I123" s="534">
        <f>'FR-16(7)(v)-6 DISTR Cust Alloc'!J123</f>
        <v>0</v>
      </c>
      <c r="J123" s="345">
        <f t="shared" si="23"/>
        <v>52694</v>
      </c>
      <c r="K123" s="345">
        <f t="shared" si="24"/>
        <v>0</v>
      </c>
    </row>
    <row r="124" spans="1:11" ht="13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3">
        <f>'FR-16(7)(v)-8 TOT CLASS Alloc'!J124</f>
        <v>212655</v>
      </c>
      <c r="G124" s="542">
        <f>'FR-16(7)(v)-5 DISTR Dem Alloc'!J124</f>
        <v>212655</v>
      </c>
      <c r="H124" s="533">
        <f>'FR-16(7)(v)-3 PROD Comm Alloc'!J124</f>
        <v>0</v>
      </c>
      <c r="I124" s="534">
        <f>'FR-16(7)(v)-6 DISTR Cust Alloc'!J124</f>
        <v>0</v>
      </c>
      <c r="J124" s="345">
        <f t="shared" si="23"/>
        <v>212655</v>
      </c>
      <c r="K124" s="345">
        <f t="shared" si="24"/>
        <v>0</v>
      </c>
    </row>
    <row r="125" spans="1:11" ht="13">
      <c r="A125" s="331">
        <v>13</v>
      </c>
      <c r="C125" s="330" t="str">
        <f>'FR-16(7)(v)-1 Functional'!C125</f>
        <v>MAINS - (2761, 2762, 2763, 2765)</v>
      </c>
      <c r="D125" s="342" t="str">
        <f>'FR-16(7)(v)-1 Functional'!D125</f>
        <v>K415</v>
      </c>
      <c r="E125" s="195"/>
      <c r="F125" s="473">
        <f>'FR-16(7)(v)-8 TOT CLASS Alloc'!J125</f>
        <v>4937245</v>
      </c>
      <c r="G125" s="542">
        <f>'FR-16(7)(v)-5 DISTR Dem Alloc'!J125</f>
        <v>4937245</v>
      </c>
      <c r="H125" s="533">
        <f>'FR-16(7)(v)-3 PROD Comm Alloc'!J125</f>
        <v>0</v>
      </c>
      <c r="I125" s="534">
        <f>'FR-16(7)(v)-6 DISTR Cust Alloc'!J125</f>
        <v>0</v>
      </c>
      <c r="J125" s="345">
        <f t="shared" si="23"/>
        <v>4937245</v>
      </c>
      <c r="K125" s="345">
        <f t="shared" si="24"/>
        <v>0</v>
      </c>
    </row>
    <row r="126" spans="1:11" ht="13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3">
        <f>'FR-16(7)(v)-8 TOT CLASS Alloc'!J126</f>
        <v>99323</v>
      </c>
      <c r="G126" s="542">
        <f>'FR-16(7)(v)-5 DISTR Dem Alloc'!J126</f>
        <v>0</v>
      </c>
      <c r="H126" s="533">
        <f>'FR-16(7)(v)-3 PROD Comm Alloc'!J126</f>
        <v>0</v>
      </c>
      <c r="I126" s="534">
        <f>'FR-16(7)(v)-6 DISTR Cust Alloc'!J126</f>
        <v>99323</v>
      </c>
      <c r="J126" s="345">
        <f t="shared" si="23"/>
        <v>99323</v>
      </c>
      <c r="K126" s="345">
        <f t="shared" si="24"/>
        <v>0</v>
      </c>
    </row>
    <row r="127" spans="1:11" ht="13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3">
        <f>'FR-16(7)(v)-8 TOT CLASS Alloc'!J127</f>
        <v>-10682</v>
      </c>
      <c r="G127" s="542">
        <f>'FR-16(7)(v)-5 DISTR Dem Alloc'!J127</f>
        <v>0</v>
      </c>
      <c r="H127" s="533">
        <f>'FR-16(7)(v)-3 PROD Comm Alloc'!J127</f>
        <v>0</v>
      </c>
      <c r="I127" s="534">
        <f>'FR-16(7)(v)-6 DISTR Cust Alloc'!J127</f>
        <v>-10682</v>
      </c>
      <c r="J127" s="345">
        <f t="shared" si="23"/>
        <v>-10682</v>
      </c>
      <c r="K127" s="345">
        <f t="shared" si="24"/>
        <v>0</v>
      </c>
    </row>
    <row r="128" spans="1:11" ht="13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3">
        <f>'FR-16(7)(v)-8 TOT CLASS Alloc'!J128</f>
        <v>30514</v>
      </c>
      <c r="G128" s="542">
        <f>'FR-16(7)(v)-5 DISTR Dem Alloc'!J128</f>
        <v>30514</v>
      </c>
      <c r="H128" s="533">
        <f>'FR-16(7)(v)-3 PROD Comm Alloc'!J128</f>
        <v>0</v>
      </c>
      <c r="I128" s="534">
        <f>'FR-16(7)(v)-6 DISTR Cust Alloc'!J128</f>
        <v>0</v>
      </c>
      <c r="J128" s="345">
        <f t="shared" si="23"/>
        <v>30514</v>
      </c>
      <c r="K128" s="345">
        <f t="shared" si="24"/>
        <v>0</v>
      </c>
    </row>
    <row r="129" spans="1:11" ht="13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3">
        <f>'FR-16(7)(v)-8 TOT CLASS Alloc'!J129</f>
        <v>9458</v>
      </c>
      <c r="G129" s="542">
        <f>'FR-16(7)(v)-5 DISTR Dem Alloc'!J129</f>
        <v>0</v>
      </c>
      <c r="H129" s="533">
        <f>'FR-16(7)(v)-3 PROD Comm Alloc'!J129</f>
        <v>0</v>
      </c>
      <c r="I129" s="534">
        <f>'FR-16(7)(v)-6 DISTR Cust Alloc'!J129</f>
        <v>9458</v>
      </c>
      <c r="J129" s="345">
        <f t="shared" si="23"/>
        <v>9458</v>
      </c>
      <c r="K129" s="345">
        <f t="shared" si="24"/>
        <v>0</v>
      </c>
    </row>
    <row r="130" spans="1:11" ht="13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3">
        <f>'FR-16(7)(v)-8 TOT CLASS Alloc'!J130</f>
        <v>0</v>
      </c>
      <c r="G130" s="542">
        <f>'FR-16(7)(v)-5 DISTR Dem Alloc'!J130</f>
        <v>0</v>
      </c>
      <c r="H130" s="533">
        <f>'FR-16(7)(v)-3 PROD Comm Alloc'!J130</f>
        <v>0</v>
      </c>
      <c r="I130" s="534">
        <f>'FR-16(7)(v)-6 DISTR Cust Alloc'!J130</f>
        <v>0</v>
      </c>
      <c r="J130" s="345">
        <f t="shared" si="23"/>
        <v>0</v>
      </c>
      <c r="K130" s="345">
        <f t="shared" si="24"/>
        <v>0</v>
      </c>
    </row>
    <row r="131" spans="1:11" ht="13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K131" si="25">SUM(F121:F130)</f>
        <v>5443503</v>
      </c>
      <c r="G131" s="543">
        <f t="shared" si="25"/>
        <v>5345404</v>
      </c>
      <c r="H131" s="535">
        <f t="shared" si="25"/>
        <v>0</v>
      </c>
      <c r="I131" s="536">
        <f t="shared" si="25"/>
        <v>98099</v>
      </c>
      <c r="J131" s="346">
        <f t="shared" si="25"/>
        <v>5443503</v>
      </c>
      <c r="K131" s="346">
        <f t="shared" si="25"/>
        <v>0</v>
      </c>
    </row>
    <row r="132" spans="1:11" ht="13">
      <c r="A132" s="331">
        <v>20</v>
      </c>
      <c r="D132" s="342"/>
      <c r="E132" s="195"/>
      <c r="G132" s="541"/>
      <c r="H132" s="531"/>
      <c r="I132" s="532"/>
    </row>
    <row r="133" spans="1:11" ht="13">
      <c r="A133" s="331">
        <v>21</v>
      </c>
      <c r="B133" s="330" t="s">
        <v>20</v>
      </c>
      <c r="D133" s="342"/>
      <c r="E133" s="195"/>
      <c r="G133" s="541"/>
      <c r="H133" s="531"/>
      <c r="I133" s="532"/>
    </row>
    <row r="134" spans="1:11" ht="13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3">
        <f>'FR-16(7)(v)-8 TOT CLASS Alloc'!J134</f>
        <v>0</v>
      </c>
      <c r="G134" s="542">
        <f>'FR-16(7)(v)-5 DISTR Dem Alloc'!J134</f>
        <v>0</v>
      </c>
      <c r="H134" s="533">
        <f>'FR-16(7)(v)-3 PROD Comm Alloc'!J134</f>
        <v>0</v>
      </c>
      <c r="I134" s="534">
        <f>'FR-16(7)(v)-6 DISTR Cust Alloc'!J134</f>
        <v>0</v>
      </c>
      <c r="J134" s="345">
        <f t="shared" ref="J134:J139" si="26">SUM(G134:I134)</f>
        <v>0</v>
      </c>
      <c r="K134" s="345">
        <f t="shared" ref="K134:K139" si="27">F134-J134</f>
        <v>0</v>
      </c>
    </row>
    <row r="135" spans="1:11" ht="13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3">
        <f>'FR-16(7)(v)-8 TOT CLASS Alloc'!J135</f>
        <v>3924</v>
      </c>
      <c r="G135" s="542">
        <f>'FR-16(7)(v)-5 DISTR Dem Alloc'!J135</f>
        <v>0</v>
      </c>
      <c r="H135" s="533">
        <f>'FR-16(7)(v)-3 PROD Comm Alloc'!J135</f>
        <v>3924</v>
      </c>
      <c r="I135" s="534">
        <f>'FR-16(7)(v)-6 DISTR Cust Alloc'!J135</f>
        <v>0</v>
      </c>
      <c r="J135" s="345">
        <f t="shared" si="26"/>
        <v>3924</v>
      </c>
      <c r="K135" s="345">
        <f t="shared" si="27"/>
        <v>0</v>
      </c>
    </row>
    <row r="136" spans="1:11" ht="13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3">
        <f>'FR-16(7)(v)-8 TOT CLASS Alloc'!J136</f>
        <v>304028</v>
      </c>
      <c r="G136" s="542">
        <f>'FR-16(7)(v)-5 DISTR Dem Alloc'!J136</f>
        <v>295074</v>
      </c>
      <c r="H136" s="533">
        <f>'FR-16(7)(v)-3 PROD Comm Alloc'!J136</f>
        <v>0</v>
      </c>
      <c r="I136" s="534">
        <f>'FR-16(7)(v)-6 DISTR Cust Alloc'!J136</f>
        <v>8954</v>
      </c>
      <c r="J136" s="345">
        <f t="shared" si="26"/>
        <v>304028</v>
      </c>
      <c r="K136" s="345">
        <f t="shared" si="27"/>
        <v>0</v>
      </c>
    </row>
    <row r="137" spans="1:11" ht="13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3">
        <f>'FR-16(7)(v)-8 TOT CLASS Alloc'!J137</f>
        <v>808</v>
      </c>
      <c r="G137" s="542">
        <f>'FR-16(7)(v)-5 DISTR Dem Alloc'!J137</f>
        <v>0</v>
      </c>
      <c r="H137" s="533">
        <f>'FR-16(7)(v)-3 PROD Comm Alloc'!J137</f>
        <v>0</v>
      </c>
      <c r="I137" s="534">
        <f>'FR-16(7)(v)-6 DISTR Cust Alloc'!J137</f>
        <v>808</v>
      </c>
      <c r="J137" s="345">
        <f t="shared" si="26"/>
        <v>808</v>
      </c>
      <c r="K137" s="345">
        <f t="shared" si="27"/>
        <v>0</v>
      </c>
    </row>
    <row r="138" spans="1:11" ht="13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3">
        <f>'FR-16(7)(v)-8 TOT CLASS Alloc'!J138</f>
        <v>78</v>
      </c>
      <c r="G138" s="542">
        <f>'FR-16(7)(v)-5 DISTR Dem Alloc'!J138</f>
        <v>0</v>
      </c>
      <c r="H138" s="533">
        <f>'FR-16(7)(v)-3 PROD Comm Alloc'!J138</f>
        <v>0</v>
      </c>
      <c r="I138" s="534">
        <f>'FR-16(7)(v)-6 DISTR Cust Alloc'!J138</f>
        <v>78</v>
      </c>
      <c r="J138" s="345">
        <f t="shared" si="26"/>
        <v>78</v>
      </c>
      <c r="K138" s="345">
        <f t="shared" si="27"/>
        <v>0</v>
      </c>
    </row>
    <row r="139" spans="1:11" ht="13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3">
        <f>'FR-16(7)(v)-8 TOT CLASS Alloc'!J139</f>
        <v>0</v>
      </c>
      <c r="G139" s="542">
        <f>'FR-16(7)(v)-5 DISTR Dem Alloc'!J139</f>
        <v>0</v>
      </c>
      <c r="H139" s="533">
        <f>'FR-16(7)(v)-3 PROD Comm Alloc'!J139</f>
        <v>0</v>
      </c>
      <c r="I139" s="534">
        <f>'FR-16(7)(v)-6 DISTR Cust Alloc'!J139</f>
        <v>0</v>
      </c>
      <c r="J139" s="345">
        <f t="shared" si="26"/>
        <v>0</v>
      </c>
      <c r="K139" s="345">
        <f t="shared" si="27"/>
        <v>0</v>
      </c>
    </row>
    <row r="140" spans="1:11" ht="13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K140" si="28">SUM(F133:F139)</f>
        <v>308838</v>
      </c>
      <c r="G140" s="543">
        <f t="shared" si="28"/>
        <v>295074</v>
      </c>
      <c r="H140" s="535">
        <f t="shared" si="28"/>
        <v>3924</v>
      </c>
      <c r="I140" s="536">
        <f t="shared" si="28"/>
        <v>9840</v>
      </c>
      <c r="J140" s="346">
        <f t="shared" si="28"/>
        <v>308838</v>
      </c>
      <c r="K140" s="346">
        <f t="shared" si="28"/>
        <v>0</v>
      </c>
    </row>
    <row r="141" spans="1:11" ht="13">
      <c r="A141" s="331">
        <v>29</v>
      </c>
      <c r="C141" s="363"/>
      <c r="D141" s="342"/>
      <c r="E141" s="195"/>
      <c r="G141" s="541"/>
      <c r="H141" s="531"/>
      <c r="I141" s="532"/>
    </row>
    <row r="142" spans="1:11" ht="13">
      <c r="A142" s="331">
        <v>30</v>
      </c>
      <c r="B142" s="330" t="s">
        <v>21</v>
      </c>
      <c r="C142" s="363"/>
      <c r="D142" s="342"/>
      <c r="E142" s="195"/>
      <c r="G142" s="541"/>
      <c r="H142" s="531"/>
      <c r="I142" s="532"/>
    </row>
    <row r="143" spans="1:11" ht="13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3">
        <f>'FR-16(7)(v)-8 TOT CLASS Alloc'!J143</f>
        <v>0</v>
      </c>
      <c r="G143" s="542">
        <f>'FR-16(7)(v)-5 DISTR Dem Alloc'!J143</f>
        <v>0</v>
      </c>
      <c r="H143" s="533">
        <f>'FR-16(7)(v)-3 PROD Comm Alloc'!J143</f>
        <v>0</v>
      </c>
      <c r="I143" s="534">
        <f>'FR-16(7)(v)-6 DISTR Cust Alloc'!J143</f>
        <v>0</v>
      </c>
      <c r="J143" s="345">
        <f t="shared" ref="J143:J148" si="29">SUM(G143:I143)</f>
        <v>0</v>
      </c>
      <c r="K143" s="345">
        <f t="shared" ref="K143:K148" si="30">F143-J143</f>
        <v>0</v>
      </c>
    </row>
    <row r="144" spans="1:11" ht="13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3">
        <f>'FR-16(7)(v)-8 TOT CLASS Alloc'!J144</f>
        <v>1794</v>
      </c>
      <c r="G144" s="542">
        <f>'FR-16(7)(v)-5 DISTR Dem Alloc'!J144</f>
        <v>0</v>
      </c>
      <c r="H144" s="533">
        <f>'FR-16(7)(v)-3 PROD Comm Alloc'!J144</f>
        <v>1794</v>
      </c>
      <c r="I144" s="534">
        <f>'FR-16(7)(v)-6 DISTR Cust Alloc'!J144</f>
        <v>0</v>
      </c>
      <c r="J144" s="345">
        <f t="shared" si="29"/>
        <v>1794</v>
      </c>
      <c r="K144" s="345">
        <f t="shared" si="30"/>
        <v>0</v>
      </c>
    </row>
    <row r="145" spans="1:11" ht="13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3">
        <f>'FR-16(7)(v)-8 TOT CLASS Alloc'!J145</f>
        <v>139046</v>
      </c>
      <c r="G145" s="542">
        <f>'FR-16(7)(v)-5 DISTR Dem Alloc'!J145</f>
        <v>134951</v>
      </c>
      <c r="H145" s="533">
        <f>'FR-16(7)(v)-3 PROD Comm Alloc'!J145</f>
        <v>0</v>
      </c>
      <c r="I145" s="534">
        <f>'FR-16(7)(v)-6 DISTR Cust Alloc'!J145</f>
        <v>4095</v>
      </c>
      <c r="J145" s="345">
        <f t="shared" si="29"/>
        <v>139046</v>
      </c>
      <c r="K145" s="345">
        <f t="shared" si="30"/>
        <v>0</v>
      </c>
    </row>
    <row r="146" spans="1:11" ht="13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3">
        <f>'FR-16(7)(v)-8 TOT CLASS Alloc'!J146</f>
        <v>369</v>
      </c>
      <c r="G146" s="542">
        <f>'FR-16(7)(v)-5 DISTR Dem Alloc'!J146</f>
        <v>0</v>
      </c>
      <c r="H146" s="533">
        <f>'FR-16(7)(v)-3 PROD Comm Alloc'!J146</f>
        <v>0</v>
      </c>
      <c r="I146" s="534">
        <f>'FR-16(7)(v)-6 DISTR Cust Alloc'!J146</f>
        <v>369</v>
      </c>
      <c r="J146" s="345">
        <f t="shared" si="29"/>
        <v>369</v>
      </c>
      <c r="K146" s="345">
        <f t="shared" si="30"/>
        <v>0</v>
      </c>
    </row>
    <row r="147" spans="1:11" ht="13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3">
        <f>'FR-16(7)(v)-8 TOT CLASS Alloc'!J147</f>
        <v>36</v>
      </c>
      <c r="G147" s="542">
        <f>'FR-16(7)(v)-5 DISTR Dem Alloc'!J147</f>
        <v>0</v>
      </c>
      <c r="H147" s="533">
        <f>'FR-16(7)(v)-3 PROD Comm Alloc'!J147</f>
        <v>0</v>
      </c>
      <c r="I147" s="534">
        <f>'FR-16(7)(v)-6 DISTR Cust Alloc'!J147</f>
        <v>36</v>
      </c>
      <c r="J147" s="345">
        <f t="shared" si="29"/>
        <v>36</v>
      </c>
      <c r="K147" s="345">
        <f t="shared" si="30"/>
        <v>0</v>
      </c>
    </row>
    <row r="148" spans="1:11" ht="13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3">
        <f>'FR-16(7)(v)-8 TOT CLASS Alloc'!J148</f>
        <v>0</v>
      </c>
      <c r="G148" s="542">
        <f>'FR-16(7)(v)-5 DISTR Dem Alloc'!J148</f>
        <v>0</v>
      </c>
      <c r="H148" s="533">
        <f>'FR-16(7)(v)-3 PROD Comm Alloc'!J148</f>
        <v>0</v>
      </c>
      <c r="I148" s="534">
        <f>'FR-16(7)(v)-6 DISTR Cust Alloc'!J148</f>
        <v>0</v>
      </c>
      <c r="J148" s="345">
        <f t="shared" si="29"/>
        <v>0</v>
      </c>
      <c r="K148" s="345">
        <f t="shared" si="30"/>
        <v>0</v>
      </c>
    </row>
    <row r="149" spans="1:11" ht="13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141245</v>
      </c>
      <c r="G149" s="543">
        <f>SUM(G142:G148)</f>
        <v>134951</v>
      </c>
      <c r="H149" s="535">
        <f>SUM(H142:H148)</f>
        <v>1794</v>
      </c>
      <c r="I149" s="536">
        <f>SUM(I142:I148)</f>
        <v>4500</v>
      </c>
      <c r="J149" s="346">
        <f>SUM(J142:J148)</f>
        <v>141245</v>
      </c>
      <c r="K149" s="346">
        <f>SUM(K142:K148)</f>
        <v>0</v>
      </c>
    </row>
    <row r="150" spans="1:11" ht="13">
      <c r="A150" s="331">
        <v>38</v>
      </c>
      <c r="D150" s="342"/>
      <c r="E150" s="195"/>
      <c r="G150" s="541"/>
      <c r="H150" s="531"/>
      <c r="I150" s="532"/>
    </row>
    <row r="151" spans="1:11" ht="13">
      <c r="A151" s="331">
        <v>39</v>
      </c>
      <c r="B151" s="330" t="s">
        <v>23</v>
      </c>
      <c r="D151" s="342"/>
      <c r="E151" s="195"/>
      <c r="F151" s="345">
        <f t="shared" ref="F151:K151" si="31">F149+F140+F131+F119+F115</f>
        <v>5893586</v>
      </c>
      <c r="G151" s="544">
        <f t="shared" si="31"/>
        <v>5775429</v>
      </c>
      <c r="H151" s="537">
        <f t="shared" si="31"/>
        <v>5718</v>
      </c>
      <c r="I151" s="538">
        <f t="shared" si="31"/>
        <v>112439</v>
      </c>
      <c r="J151" s="345">
        <f t="shared" si="31"/>
        <v>5893586</v>
      </c>
      <c r="K151" s="345">
        <f t="shared" si="31"/>
        <v>0</v>
      </c>
    </row>
    <row r="152" spans="1:11" ht="13">
      <c r="B152" s="341"/>
      <c r="C152" s="195"/>
      <c r="D152" s="342"/>
      <c r="E152" s="195"/>
      <c r="F152" s="195"/>
      <c r="G152" s="195"/>
      <c r="H152" s="195"/>
      <c r="I152" s="195"/>
      <c r="J152" s="195"/>
    </row>
    <row r="153" spans="1:11" ht="13">
      <c r="A153" s="341" t="str">
        <f>co_name</f>
        <v>DUKE ENERGY KENTUCKY, INC.</v>
      </c>
      <c r="C153" s="195"/>
      <c r="D153" s="342"/>
      <c r="E153" s="195"/>
      <c r="F153" s="195"/>
      <c r="G153" s="195"/>
      <c r="H153" s="195"/>
      <c r="I153" s="195"/>
      <c r="J153" s="195" t="str">
        <f>$J$1</f>
        <v>FR-16(7)(v)-12</v>
      </c>
      <c r="K153" s="195"/>
    </row>
    <row r="154" spans="1:11" ht="13">
      <c r="A154" s="341" t="str">
        <f>$A$2</f>
        <v>INTERRUPTIBLE TRANSPORTATION CLASSIFIED - GAS COST OF SERVICE</v>
      </c>
      <c r="C154" s="195"/>
      <c r="D154" s="342"/>
      <c r="E154" s="195"/>
      <c r="F154" s="195"/>
      <c r="G154" s="195"/>
      <c r="H154" s="195"/>
      <c r="I154" s="195"/>
      <c r="J154" s="195" t="str">
        <f>$J$2</f>
        <v>WITNESS RESPONSIBLE:</v>
      </c>
      <c r="K154" s="195"/>
    </row>
    <row r="155" spans="1:11" ht="13">
      <c r="A155" s="341" t="str">
        <f>case_name</f>
        <v>CASE NO: 2021-00190</v>
      </c>
      <c r="C155" s="195"/>
      <c r="D155" s="342"/>
      <c r="E155" s="195"/>
      <c r="F155" s="195"/>
      <c r="G155" s="195"/>
      <c r="H155" s="195"/>
      <c r="I155" s="195"/>
      <c r="J155" s="195" t="str">
        <f>Witness</f>
        <v>JAMES E. ZIOLKOWSKI</v>
      </c>
      <c r="K155" s="195"/>
    </row>
    <row r="156" spans="1:11" ht="13">
      <c r="A156" s="341" t="str">
        <f>data_filing</f>
        <v>DATA: 12 MONTH FORECASTED PERIOD</v>
      </c>
      <c r="C156" s="195"/>
      <c r="D156" s="342"/>
      <c r="E156" s="195"/>
      <c r="F156" s="195"/>
      <c r="G156" s="195"/>
      <c r="H156" s="195"/>
      <c r="I156" s="195"/>
      <c r="J156" s="195" t="str">
        <f>"PAGE "&amp;Pages2-11&amp;" OF "&amp;Pages2</f>
        <v>PAGE 4 OF 15</v>
      </c>
      <c r="K156" s="195"/>
    </row>
    <row r="157" spans="1:11" ht="13">
      <c r="A157" s="341" t="str">
        <f>type</f>
        <v xml:space="preserve">TYPE OF FILING: "X" ORIGINAL   UPDATED    REVISED  </v>
      </c>
      <c r="C157" s="195"/>
      <c r="D157" s="342"/>
      <c r="E157" s="195"/>
      <c r="F157" s="195"/>
      <c r="G157" s="195"/>
      <c r="H157" s="195"/>
      <c r="I157" s="195"/>
      <c r="J157" s="195"/>
      <c r="K157" s="195"/>
    </row>
    <row r="158" spans="1:11" ht="13">
      <c r="A158" s="341"/>
      <c r="C158" s="195"/>
      <c r="D158" s="342"/>
      <c r="E158" s="195"/>
      <c r="F158" s="195"/>
      <c r="G158" s="195"/>
      <c r="H158" s="195"/>
      <c r="I158" s="195"/>
      <c r="J158" s="195"/>
      <c r="K158" s="195"/>
    </row>
    <row r="159" spans="1:11" ht="13">
      <c r="B159" s="341"/>
      <c r="C159" s="195"/>
      <c r="D159" s="342"/>
      <c r="E159" s="195"/>
      <c r="F159" s="195"/>
      <c r="G159" s="195"/>
      <c r="H159" s="195"/>
      <c r="I159" s="195"/>
      <c r="J159" s="195"/>
    </row>
    <row r="160" spans="1:11" ht="13">
      <c r="A160" s="342" t="s">
        <v>907</v>
      </c>
      <c r="B160" s="195"/>
      <c r="C160" s="195"/>
      <c r="D160" s="342"/>
      <c r="E160" s="195"/>
      <c r="F160" s="342" t="s">
        <v>229</v>
      </c>
      <c r="G160" s="539" t="s">
        <v>995</v>
      </c>
      <c r="H160" s="527"/>
      <c r="I160" s="528"/>
      <c r="J160" s="342" t="s">
        <v>229</v>
      </c>
      <c r="K160" s="342" t="s">
        <v>342</v>
      </c>
    </row>
    <row r="161" spans="1:11" ht="13">
      <c r="A161" s="344" t="s">
        <v>908</v>
      </c>
      <c r="B161" s="343" t="str">
        <f>"NET GAS PLANT"</f>
        <v>NET GAS PLANT</v>
      </c>
      <c r="C161" s="343"/>
      <c r="D161" s="344" t="s">
        <v>337</v>
      </c>
      <c r="E161" s="343"/>
      <c r="F161" s="344" t="str">
        <f>$F$9</f>
        <v>INTERRUPTIBLE</v>
      </c>
      <c r="G161" s="540" t="s">
        <v>840</v>
      </c>
      <c r="H161" s="529" t="s">
        <v>841</v>
      </c>
      <c r="I161" s="530" t="s">
        <v>842</v>
      </c>
      <c r="J161" s="344" t="s">
        <v>341</v>
      </c>
      <c r="K161" s="344" t="s">
        <v>340</v>
      </c>
    </row>
    <row r="162" spans="1:11" ht="13">
      <c r="C162" s="572" t="s">
        <v>346</v>
      </c>
      <c r="D162" s="342"/>
      <c r="E162" s="195"/>
      <c r="G162" s="793">
        <f>$G$10</f>
        <v>3</v>
      </c>
      <c r="H162" s="794">
        <f>$H$10</f>
        <v>4</v>
      </c>
      <c r="I162" s="795">
        <f>$I$10</f>
        <v>5</v>
      </c>
    </row>
    <row r="163" spans="1:11" ht="13">
      <c r="A163" s="331">
        <v>1</v>
      </c>
      <c r="B163" s="330" t="s">
        <v>14</v>
      </c>
      <c r="D163" s="342"/>
      <c r="E163" s="195"/>
      <c r="G163" s="541"/>
      <c r="H163" s="531"/>
      <c r="I163" s="532"/>
    </row>
    <row r="164" spans="1:11" ht="13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0</v>
      </c>
      <c r="G164" s="542">
        <f>$G$59</f>
        <v>0</v>
      </c>
      <c r="H164" s="533">
        <f>$H$59</f>
        <v>0</v>
      </c>
      <c r="I164" s="534">
        <f>$I$59</f>
        <v>0</v>
      </c>
      <c r="J164" s="345">
        <f>$J$59</f>
        <v>0</v>
      </c>
      <c r="K164" s="345">
        <f>F164-J164</f>
        <v>0</v>
      </c>
    </row>
    <row r="165" spans="1:11" ht="13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>-F115</f>
        <v>0</v>
      </c>
      <c r="G165" s="542">
        <f>-G115</f>
        <v>0</v>
      </c>
      <c r="H165" s="533">
        <f>-H115</f>
        <v>0</v>
      </c>
      <c r="I165" s="534">
        <f>-I115</f>
        <v>0</v>
      </c>
      <c r="J165" s="345">
        <f>-J115</f>
        <v>0</v>
      </c>
      <c r="K165" s="345">
        <f>F165-J165</f>
        <v>0</v>
      </c>
    </row>
    <row r="166" spans="1:11" ht="13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K166" si="32">SUM(F164:F165)</f>
        <v>0</v>
      </c>
      <c r="G166" s="543">
        <f t="shared" si="32"/>
        <v>0</v>
      </c>
      <c r="H166" s="535">
        <f t="shared" si="32"/>
        <v>0</v>
      </c>
      <c r="I166" s="536">
        <f t="shared" si="32"/>
        <v>0</v>
      </c>
      <c r="J166" s="346">
        <f t="shared" si="32"/>
        <v>0</v>
      </c>
      <c r="K166" s="346">
        <f t="shared" si="32"/>
        <v>0</v>
      </c>
    </row>
    <row r="167" spans="1:11" ht="13">
      <c r="A167" s="331">
        <v>5</v>
      </c>
      <c r="D167" s="342"/>
      <c r="E167" s="195"/>
      <c r="G167" s="541"/>
      <c r="H167" s="531"/>
      <c r="I167" s="532"/>
    </row>
    <row r="168" spans="1:11" ht="13">
      <c r="A168" s="331">
        <v>6</v>
      </c>
      <c r="B168" s="357" t="s">
        <v>15</v>
      </c>
      <c r="C168" s="357"/>
      <c r="D168" s="342"/>
      <c r="E168" s="195"/>
      <c r="F168" s="345"/>
      <c r="G168" s="542"/>
      <c r="H168" s="533"/>
      <c r="I168" s="534"/>
      <c r="J168" s="345"/>
    </row>
    <row r="169" spans="1:11" ht="13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542">
        <f>$G$63</f>
        <v>0</v>
      </c>
      <c r="H169" s="533">
        <f>$H$63</f>
        <v>0</v>
      </c>
      <c r="I169" s="534">
        <f>$I$63</f>
        <v>0</v>
      </c>
      <c r="J169" s="345">
        <f>$J$63</f>
        <v>0</v>
      </c>
      <c r="K169" s="345">
        <f>F169-J169</f>
        <v>0</v>
      </c>
    </row>
    <row r="170" spans="1:11" ht="13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>-F119</f>
        <v>0</v>
      </c>
      <c r="G170" s="542">
        <f>-G119</f>
        <v>0</v>
      </c>
      <c r="H170" s="533">
        <f>-H119</f>
        <v>0</v>
      </c>
      <c r="I170" s="534">
        <f>-I119</f>
        <v>0</v>
      </c>
      <c r="J170" s="345">
        <f>-J119</f>
        <v>0</v>
      </c>
      <c r="K170" s="345">
        <f>F170-J170</f>
        <v>0</v>
      </c>
    </row>
    <row r="171" spans="1:11" ht="13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K171" si="33">SUM(F168:F170)</f>
        <v>0</v>
      </c>
      <c r="G171" s="543">
        <f t="shared" si="33"/>
        <v>0</v>
      </c>
      <c r="H171" s="535">
        <f t="shared" si="33"/>
        <v>0</v>
      </c>
      <c r="I171" s="536">
        <f t="shared" si="33"/>
        <v>0</v>
      </c>
      <c r="J171" s="346">
        <f t="shared" si="33"/>
        <v>0</v>
      </c>
      <c r="K171" s="346">
        <f t="shared" si="33"/>
        <v>0</v>
      </c>
    </row>
    <row r="172" spans="1:11" ht="13">
      <c r="A172" s="331">
        <v>10</v>
      </c>
      <c r="D172" s="342"/>
      <c r="E172" s="195"/>
      <c r="G172" s="541"/>
      <c r="H172" s="531"/>
      <c r="I172" s="532"/>
    </row>
    <row r="173" spans="1:11" ht="13">
      <c r="A173" s="331">
        <v>11</v>
      </c>
      <c r="B173" s="330" t="s">
        <v>17</v>
      </c>
      <c r="D173" s="342"/>
      <c r="E173" s="195"/>
      <c r="G173" s="541"/>
      <c r="H173" s="531"/>
      <c r="I173" s="532"/>
    </row>
    <row r="174" spans="1:11" ht="13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>F78</f>
        <v>20682037</v>
      </c>
      <c r="G174" s="542">
        <f>G78</f>
        <v>19925264</v>
      </c>
      <c r="H174" s="533">
        <f>H78</f>
        <v>0</v>
      </c>
      <c r="I174" s="534">
        <f>I78</f>
        <v>756773</v>
      </c>
      <c r="J174" s="345">
        <f>J78</f>
        <v>20682037</v>
      </c>
      <c r="K174" s="345">
        <f>F174-J174</f>
        <v>0</v>
      </c>
    </row>
    <row r="175" spans="1:11" ht="13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>-F131</f>
        <v>-5443503</v>
      </c>
      <c r="G175" s="542">
        <f>-G131</f>
        <v>-5345404</v>
      </c>
      <c r="H175" s="533">
        <f>-H131</f>
        <v>0</v>
      </c>
      <c r="I175" s="534">
        <f>-I131</f>
        <v>-98099</v>
      </c>
      <c r="J175" s="345">
        <f>-J131</f>
        <v>-5443503</v>
      </c>
      <c r="K175" s="345">
        <f>F175-J175</f>
        <v>0</v>
      </c>
    </row>
    <row r="176" spans="1:11" ht="13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K176" si="34">SUM(F173:F175)</f>
        <v>15238534</v>
      </c>
      <c r="G176" s="543">
        <f t="shared" si="34"/>
        <v>14579860</v>
      </c>
      <c r="H176" s="535">
        <f t="shared" si="34"/>
        <v>0</v>
      </c>
      <c r="I176" s="536">
        <f t="shared" si="34"/>
        <v>658674</v>
      </c>
      <c r="J176" s="346">
        <f t="shared" si="34"/>
        <v>15238534</v>
      </c>
      <c r="K176" s="346">
        <f t="shared" si="34"/>
        <v>0</v>
      </c>
    </row>
    <row r="177" spans="1:11" ht="13">
      <c r="A177" s="331">
        <v>15</v>
      </c>
      <c r="D177" s="342"/>
      <c r="E177" s="195"/>
      <c r="G177" s="541"/>
      <c r="H177" s="531"/>
      <c r="I177" s="532"/>
    </row>
    <row r="178" spans="1:11" ht="13">
      <c r="A178" s="331">
        <v>16</v>
      </c>
      <c r="B178" s="330" t="s">
        <v>429</v>
      </c>
      <c r="D178" s="342"/>
      <c r="E178" s="195"/>
      <c r="F178" s="345">
        <f t="shared" ref="F178:K178" si="35">F176+F171+F166</f>
        <v>15238534</v>
      </c>
      <c r="G178" s="542">
        <f t="shared" si="35"/>
        <v>14579860</v>
      </c>
      <c r="H178" s="533">
        <f t="shared" si="35"/>
        <v>0</v>
      </c>
      <c r="I178" s="534">
        <f t="shared" si="35"/>
        <v>658674</v>
      </c>
      <c r="J178" s="345">
        <f t="shared" si="35"/>
        <v>15238534</v>
      </c>
      <c r="K178" s="345">
        <f t="shared" si="35"/>
        <v>0</v>
      </c>
    </row>
    <row r="179" spans="1:11" ht="13">
      <c r="A179" s="331">
        <v>17</v>
      </c>
      <c r="B179" s="330" t="s">
        <v>24</v>
      </c>
      <c r="D179" s="342"/>
      <c r="E179" s="195"/>
      <c r="F179" s="345">
        <f t="shared" ref="F179:K179" si="36">F176+F171</f>
        <v>15238534</v>
      </c>
      <c r="G179" s="542">
        <f t="shared" si="36"/>
        <v>14579860</v>
      </c>
      <c r="H179" s="533">
        <f t="shared" si="36"/>
        <v>0</v>
      </c>
      <c r="I179" s="534">
        <f t="shared" si="36"/>
        <v>658674</v>
      </c>
      <c r="J179" s="345">
        <f t="shared" si="36"/>
        <v>15238534</v>
      </c>
      <c r="K179" s="345">
        <f t="shared" si="36"/>
        <v>0</v>
      </c>
    </row>
    <row r="180" spans="1:11" ht="13">
      <c r="A180" s="331">
        <v>18</v>
      </c>
      <c r="D180" s="342"/>
      <c r="E180" s="195"/>
      <c r="G180" s="541"/>
      <c r="H180" s="531"/>
      <c r="I180" s="532"/>
    </row>
    <row r="181" spans="1:11" ht="13">
      <c r="A181" s="331">
        <v>19</v>
      </c>
      <c r="B181" s="330" t="s">
        <v>20</v>
      </c>
      <c r="D181" s="342"/>
      <c r="E181" s="195"/>
      <c r="G181" s="541"/>
      <c r="H181" s="531"/>
      <c r="I181" s="532"/>
    </row>
    <row r="182" spans="1:11" ht="13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>F90</f>
        <v>627345</v>
      </c>
      <c r="G182" s="542">
        <f>G90</f>
        <v>599387</v>
      </c>
      <c r="H182" s="533">
        <f>H90</f>
        <v>7970</v>
      </c>
      <c r="I182" s="534">
        <f>I90</f>
        <v>19988</v>
      </c>
      <c r="J182" s="345">
        <f>J90</f>
        <v>627345</v>
      </c>
      <c r="K182" s="345">
        <f>F182-J182</f>
        <v>0</v>
      </c>
    </row>
    <row r="183" spans="1:11" ht="13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>-F140</f>
        <v>-308838</v>
      </c>
      <c r="G183" s="542">
        <f>-G140</f>
        <v>-295074</v>
      </c>
      <c r="H183" s="533">
        <f>-H140</f>
        <v>-3924</v>
      </c>
      <c r="I183" s="534">
        <f>-I140</f>
        <v>-9840</v>
      </c>
      <c r="J183" s="345">
        <f>-J140</f>
        <v>-308838</v>
      </c>
      <c r="K183" s="345">
        <f>F183-J183</f>
        <v>0</v>
      </c>
    </row>
    <row r="184" spans="1:11" ht="13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K184" si="37">SUM(F181:F183)</f>
        <v>318507</v>
      </c>
      <c r="G184" s="543">
        <f t="shared" si="37"/>
        <v>304313</v>
      </c>
      <c r="H184" s="535">
        <f t="shared" si="37"/>
        <v>4046</v>
      </c>
      <c r="I184" s="536">
        <f t="shared" si="37"/>
        <v>10148</v>
      </c>
      <c r="J184" s="346">
        <f t="shared" si="37"/>
        <v>318507</v>
      </c>
      <c r="K184" s="346">
        <f t="shared" si="37"/>
        <v>0</v>
      </c>
    </row>
    <row r="185" spans="1:11" ht="13">
      <c r="A185" s="331">
        <v>23</v>
      </c>
      <c r="D185" s="342"/>
      <c r="E185" s="195"/>
      <c r="F185" s="345"/>
      <c r="G185" s="542"/>
      <c r="H185" s="533"/>
      <c r="I185" s="534"/>
      <c r="J185" s="345"/>
    </row>
    <row r="186" spans="1:11" ht="13">
      <c r="A186" s="331">
        <v>24</v>
      </c>
      <c r="B186" s="330" t="s">
        <v>21</v>
      </c>
      <c r="D186" s="342"/>
      <c r="E186" s="195"/>
      <c r="F186" s="345"/>
      <c r="G186" s="542"/>
      <c r="H186" s="533"/>
      <c r="I186" s="534"/>
      <c r="J186" s="345"/>
    </row>
    <row r="187" spans="1:11" ht="13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>F99</f>
        <v>201766</v>
      </c>
      <c r="G187" s="542">
        <f>G99</f>
        <v>192774</v>
      </c>
      <c r="H187" s="533">
        <f>H99</f>
        <v>2563</v>
      </c>
      <c r="I187" s="534">
        <f>I99</f>
        <v>6429</v>
      </c>
      <c r="J187" s="345">
        <f>J99</f>
        <v>201766</v>
      </c>
      <c r="K187" s="345">
        <f>F187-J187</f>
        <v>0</v>
      </c>
    </row>
    <row r="188" spans="1:11" ht="13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>-F149</f>
        <v>-141245</v>
      </c>
      <c r="G188" s="542">
        <f>-G149</f>
        <v>-134951</v>
      </c>
      <c r="H188" s="533">
        <f>-H149</f>
        <v>-1794</v>
      </c>
      <c r="I188" s="534">
        <f>-I149</f>
        <v>-4500</v>
      </c>
      <c r="J188" s="345">
        <f>-J149</f>
        <v>-141245</v>
      </c>
      <c r="K188" s="345">
        <f>F188-J188</f>
        <v>0</v>
      </c>
    </row>
    <row r="189" spans="1:11" ht="13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K189" si="38">SUM(F186:F188)</f>
        <v>60521</v>
      </c>
      <c r="G189" s="543">
        <f t="shared" si="38"/>
        <v>57823</v>
      </c>
      <c r="H189" s="535">
        <f t="shared" si="38"/>
        <v>769</v>
      </c>
      <c r="I189" s="536">
        <f t="shared" si="38"/>
        <v>1929</v>
      </c>
      <c r="J189" s="346">
        <f t="shared" si="38"/>
        <v>60521</v>
      </c>
      <c r="K189" s="346">
        <f t="shared" si="38"/>
        <v>0</v>
      </c>
    </row>
    <row r="190" spans="1:11" ht="13">
      <c r="A190" s="331">
        <v>28</v>
      </c>
      <c r="D190" s="342"/>
      <c r="E190" s="195"/>
      <c r="F190" s="345"/>
      <c r="G190" s="542"/>
      <c r="H190" s="533"/>
      <c r="I190" s="534"/>
      <c r="J190" s="345"/>
      <c r="K190" s="345"/>
    </row>
    <row r="191" spans="1:11" ht="13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K191" si="39">F189+F184+F176+F171+F166</f>
        <v>15617562</v>
      </c>
      <c r="G191" s="544">
        <f t="shared" si="39"/>
        <v>14941996</v>
      </c>
      <c r="H191" s="537">
        <f t="shared" si="39"/>
        <v>4815</v>
      </c>
      <c r="I191" s="538">
        <f t="shared" si="39"/>
        <v>670751</v>
      </c>
      <c r="J191" s="345">
        <f t="shared" si="39"/>
        <v>15617562</v>
      </c>
      <c r="K191" s="345">
        <f t="shared" si="39"/>
        <v>0</v>
      </c>
    </row>
    <row r="192" spans="1:11" ht="13">
      <c r="B192" s="341"/>
      <c r="C192" s="195"/>
      <c r="D192" s="342"/>
      <c r="E192" s="195"/>
      <c r="F192" s="195"/>
      <c r="G192" s="195"/>
      <c r="H192" s="195"/>
      <c r="I192" s="195"/>
      <c r="J192" s="195"/>
      <c r="K192" s="195"/>
    </row>
    <row r="193" spans="1:11" ht="13">
      <c r="A193" s="341" t="str">
        <f>co_name</f>
        <v>DUKE ENERGY KENTUCKY, INC.</v>
      </c>
      <c r="C193" s="195"/>
      <c r="D193" s="342"/>
      <c r="E193" s="195"/>
      <c r="F193" s="195"/>
      <c r="G193" s="195"/>
      <c r="H193" s="195"/>
      <c r="I193" s="195"/>
      <c r="J193" s="195" t="str">
        <f>$J$1</f>
        <v>FR-16(7)(v)-12</v>
      </c>
      <c r="K193" s="195"/>
    </row>
    <row r="194" spans="1:11" ht="13">
      <c r="A194" s="341" t="str">
        <f>$A$2</f>
        <v>INTERRUPTIBLE TRANSPORTATION CLASSIFIED - GAS COST OF SERVICE</v>
      </c>
      <c r="C194" s="195"/>
      <c r="D194" s="342"/>
      <c r="E194" s="195"/>
      <c r="F194" s="195"/>
      <c r="G194" s="195"/>
      <c r="H194" s="195"/>
      <c r="I194" s="195"/>
      <c r="J194" s="195" t="str">
        <f>$J$2</f>
        <v>WITNESS RESPONSIBLE:</v>
      </c>
      <c r="K194" s="195"/>
    </row>
    <row r="195" spans="1:11" ht="13">
      <c r="A195" s="341" t="str">
        <f>case_name</f>
        <v>CASE NO: 2021-00190</v>
      </c>
      <c r="C195" s="195"/>
      <c r="D195" s="342"/>
      <c r="E195" s="195"/>
      <c r="F195" s="195"/>
      <c r="G195" s="195"/>
      <c r="H195" s="195"/>
      <c r="I195" s="195"/>
      <c r="J195" s="195" t="str">
        <f>Witness</f>
        <v>JAMES E. ZIOLKOWSKI</v>
      </c>
      <c r="K195" s="195"/>
    </row>
    <row r="196" spans="1:11" ht="13">
      <c r="A196" s="341" t="str">
        <f>data_filing</f>
        <v>DATA: 12 MONTH FORECASTED PERIOD</v>
      </c>
      <c r="C196" s="195"/>
      <c r="D196" s="342"/>
      <c r="E196" s="195"/>
      <c r="F196" s="195"/>
      <c r="G196" s="195"/>
      <c r="H196" s="195"/>
      <c r="I196" s="195"/>
      <c r="J196" s="195" t="str">
        <f>"PAGE "&amp;Pages2-10&amp;" OF "&amp;Pages2</f>
        <v>PAGE 5 OF 15</v>
      </c>
      <c r="K196" s="195"/>
    </row>
    <row r="197" spans="1:11" ht="13">
      <c r="A197" s="341" t="str">
        <f>type</f>
        <v xml:space="preserve">TYPE OF FILING: "X" ORIGINAL   UPDATED    REVISED  </v>
      </c>
      <c r="C197" s="195"/>
      <c r="D197" s="342"/>
      <c r="E197" s="195"/>
      <c r="F197" s="195"/>
      <c r="G197" s="195"/>
      <c r="H197" s="195"/>
      <c r="I197" s="195"/>
      <c r="J197" s="195"/>
      <c r="K197" s="195"/>
    </row>
    <row r="198" spans="1:11" ht="13">
      <c r="B198" s="341"/>
      <c r="C198" s="195"/>
      <c r="D198" s="342"/>
      <c r="E198" s="195"/>
      <c r="F198" s="195"/>
      <c r="G198" s="195"/>
      <c r="H198" s="195"/>
      <c r="I198" s="195"/>
      <c r="J198" s="195"/>
      <c r="K198" s="195"/>
    </row>
    <row r="199" spans="1:11" ht="13">
      <c r="B199" s="341"/>
      <c r="C199" s="195"/>
      <c r="D199" s="342"/>
      <c r="E199" s="195"/>
      <c r="F199" s="195"/>
      <c r="G199" s="195"/>
      <c r="H199" s="195"/>
      <c r="I199" s="195"/>
      <c r="J199" s="195"/>
      <c r="K199" s="195"/>
    </row>
    <row r="200" spans="1:11" ht="13">
      <c r="A200" s="342" t="s">
        <v>907</v>
      </c>
      <c r="B200" s="195"/>
      <c r="C200" s="195"/>
      <c r="D200" s="342"/>
      <c r="E200" s="195"/>
      <c r="F200" s="342" t="s">
        <v>229</v>
      </c>
      <c r="G200" s="539" t="s">
        <v>995</v>
      </c>
      <c r="H200" s="527"/>
      <c r="I200" s="528"/>
      <c r="J200" s="342" t="s">
        <v>229</v>
      </c>
      <c r="K200" s="342" t="s">
        <v>342</v>
      </c>
    </row>
    <row r="201" spans="1:11" ht="13">
      <c r="A201" s="344" t="s">
        <v>908</v>
      </c>
      <c r="B201" s="343" t="s">
        <v>946</v>
      </c>
      <c r="C201" s="343"/>
      <c r="D201" s="344" t="s">
        <v>337</v>
      </c>
      <c r="E201" s="343"/>
      <c r="F201" s="344" t="str">
        <f>$F$9</f>
        <v>INTERRUPTIBLE</v>
      </c>
      <c r="G201" s="540" t="s">
        <v>840</v>
      </c>
      <c r="H201" s="529" t="s">
        <v>841</v>
      </c>
      <c r="I201" s="530" t="s">
        <v>842</v>
      </c>
      <c r="J201" s="344" t="s">
        <v>341</v>
      </c>
      <c r="K201" s="344" t="s">
        <v>340</v>
      </c>
    </row>
    <row r="202" spans="1:11" ht="13">
      <c r="C202" s="572" t="s">
        <v>347</v>
      </c>
      <c r="D202" s="342"/>
      <c r="E202" s="195"/>
      <c r="G202" s="793">
        <f>$G$10</f>
        <v>3</v>
      </c>
      <c r="H202" s="794">
        <f>$H$10</f>
        <v>4</v>
      </c>
      <c r="I202" s="795">
        <f>$I$10</f>
        <v>5</v>
      </c>
    </row>
    <row r="203" spans="1:11" ht="13">
      <c r="A203" s="331">
        <v>1</v>
      </c>
      <c r="B203" s="330" t="s">
        <v>26</v>
      </c>
      <c r="D203" s="342"/>
      <c r="E203" s="195"/>
      <c r="G203" s="541"/>
      <c r="H203" s="531"/>
      <c r="I203" s="532"/>
    </row>
    <row r="204" spans="1:11" ht="13">
      <c r="A204" s="331">
        <v>2</v>
      </c>
      <c r="B204" s="330" t="s">
        <v>816</v>
      </c>
      <c r="D204" s="342"/>
      <c r="E204" s="195"/>
      <c r="G204" s="541"/>
      <c r="H204" s="531"/>
      <c r="I204" s="532"/>
    </row>
    <row r="205" spans="1:11" ht="13">
      <c r="A205" s="331">
        <v>3</v>
      </c>
      <c r="B205" s="330" t="s">
        <v>27</v>
      </c>
      <c r="D205" s="342"/>
      <c r="E205" s="195"/>
      <c r="G205" s="541"/>
      <c r="H205" s="531"/>
      <c r="I205" s="532"/>
    </row>
    <row r="206" spans="1:11" ht="13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3">
        <f>'FR-16(7)(v)-8 TOT CLASS Alloc'!J206</f>
        <v>1825682</v>
      </c>
      <c r="G206" s="542">
        <f>'FR-16(7)(v)-5 DISTR Dem Alloc'!J206</f>
        <v>1746828</v>
      </c>
      <c r="H206" s="533">
        <f>'FR-16(7)(v)-3 PROD Comm Alloc'!J206</f>
        <v>563</v>
      </c>
      <c r="I206" s="534">
        <f>'FR-16(7)(v)-6 DISTR Cust Alloc'!J206</f>
        <v>78291</v>
      </c>
      <c r="J206" s="345">
        <f t="shared" ref="J206:J214" si="40">SUM(G206:I206)</f>
        <v>1825682</v>
      </c>
      <c r="K206" s="345">
        <f t="shared" ref="K206:K214" si="41">F206-J206</f>
        <v>0</v>
      </c>
    </row>
    <row r="207" spans="1:11" ht="13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3">
        <f>'FR-16(7)(v)-8 TOT CLASS Alloc'!J207</f>
        <v>0</v>
      </c>
      <c r="G207" s="542">
        <f>'FR-16(7)(v)-5 DISTR Dem Alloc'!J207</f>
        <v>0</v>
      </c>
      <c r="H207" s="533">
        <f>'FR-16(7)(v)-3 PROD Comm Alloc'!J207</f>
        <v>0</v>
      </c>
      <c r="I207" s="534">
        <f>'FR-16(7)(v)-6 DISTR Cust Alloc'!J207</f>
        <v>0</v>
      </c>
      <c r="J207" s="345">
        <f t="shared" si="40"/>
        <v>0</v>
      </c>
      <c r="K207" s="345">
        <f t="shared" si="41"/>
        <v>0</v>
      </c>
    </row>
    <row r="208" spans="1:11" ht="13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3">
        <f>'FR-16(7)(v)-8 TOT CLASS Alloc'!J208</f>
        <v>-41971</v>
      </c>
      <c r="G208" s="542">
        <f>'FR-16(7)(v)-5 DISTR Dem Alloc'!J208</f>
        <v>-40156</v>
      </c>
      <c r="H208" s="533">
        <f>'FR-16(7)(v)-3 PROD Comm Alloc'!J208</f>
        <v>0</v>
      </c>
      <c r="I208" s="534">
        <f>'FR-16(7)(v)-6 DISTR Cust Alloc'!J208</f>
        <v>-1815</v>
      </c>
      <c r="J208" s="345">
        <f t="shared" si="40"/>
        <v>-41971</v>
      </c>
      <c r="K208" s="345">
        <f t="shared" si="41"/>
        <v>0</v>
      </c>
    </row>
    <row r="209" spans="1:11" ht="13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3">
        <f>'FR-16(7)(v)-8 TOT CLASS Alloc'!J209</f>
        <v>-43021</v>
      </c>
      <c r="G209" s="542">
        <f>'FR-16(7)(v)-5 DISTR Dem Alloc'!J209</f>
        <v>-41163</v>
      </c>
      <c r="H209" s="533">
        <f>'FR-16(7)(v)-3 PROD Comm Alloc'!J209</f>
        <v>-13</v>
      </c>
      <c r="I209" s="534">
        <f>'FR-16(7)(v)-6 DISTR Cust Alloc'!J209</f>
        <v>-1845</v>
      </c>
      <c r="J209" s="345">
        <f t="shared" si="40"/>
        <v>-43021</v>
      </c>
      <c r="K209" s="345">
        <f t="shared" si="41"/>
        <v>0</v>
      </c>
    </row>
    <row r="210" spans="1:11" ht="13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3">
        <f>'FR-16(7)(v)-8 TOT CLASS Alloc'!J210</f>
        <v>0</v>
      </c>
      <c r="G210" s="542">
        <f>'FR-16(7)(v)-5 DISTR Dem Alloc'!J210</f>
        <v>0</v>
      </c>
      <c r="H210" s="533">
        <f>'FR-16(7)(v)-3 PROD Comm Alloc'!J210</f>
        <v>0</v>
      </c>
      <c r="I210" s="534">
        <f>'FR-16(7)(v)-6 DISTR Cust Alloc'!J210</f>
        <v>0</v>
      </c>
      <c r="J210" s="345">
        <f t="shared" si="40"/>
        <v>0</v>
      </c>
      <c r="K210" s="345">
        <f t="shared" si="41"/>
        <v>0</v>
      </c>
    </row>
    <row r="211" spans="1:11" ht="13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3">
        <f>'FR-16(7)(v)-8 TOT CLASS Alloc'!J211</f>
        <v>0</v>
      </c>
      <c r="G211" s="542">
        <f>'FR-16(7)(v)-5 DISTR Dem Alloc'!J211</f>
        <v>0</v>
      </c>
      <c r="H211" s="533">
        <f>'FR-16(7)(v)-3 PROD Comm Alloc'!J211</f>
        <v>0</v>
      </c>
      <c r="I211" s="534">
        <f>'FR-16(7)(v)-6 DISTR Cust Alloc'!J211</f>
        <v>0</v>
      </c>
      <c r="J211" s="345">
        <f t="shared" si="40"/>
        <v>0</v>
      </c>
      <c r="K211" s="345">
        <f t="shared" si="41"/>
        <v>0</v>
      </c>
    </row>
    <row r="212" spans="1:11" ht="13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3">
        <f>'FR-16(7)(v)-8 TOT CLASS Alloc'!J212</f>
        <v>-12291</v>
      </c>
      <c r="G212" s="542">
        <f>'FR-16(7)(v)-5 DISTR Dem Alloc'!J212</f>
        <v>-11690</v>
      </c>
      <c r="H212" s="533">
        <f>'FR-16(7)(v)-3 PROD Comm Alloc'!J212</f>
        <v>-211</v>
      </c>
      <c r="I212" s="534">
        <f>'FR-16(7)(v)-6 DISTR Cust Alloc'!J212</f>
        <v>-390</v>
      </c>
      <c r="J212" s="345">
        <f t="shared" si="40"/>
        <v>-12291</v>
      </c>
      <c r="K212" s="345">
        <f t="shared" si="41"/>
        <v>0</v>
      </c>
    </row>
    <row r="213" spans="1:11" ht="13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3">
        <f>'FR-16(7)(v)-8 TOT CLASS Alloc'!J213</f>
        <v>0</v>
      </c>
      <c r="G213" s="542">
        <f>'FR-16(7)(v)-5 DISTR Dem Alloc'!J213</f>
        <v>0</v>
      </c>
      <c r="H213" s="533">
        <f>'FR-16(7)(v)-3 PROD Comm Alloc'!J213</f>
        <v>0</v>
      </c>
      <c r="I213" s="534">
        <f>'FR-16(7)(v)-6 DISTR Cust Alloc'!J213</f>
        <v>0</v>
      </c>
      <c r="J213" s="345">
        <f t="shared" si="40"/>
        <v>0</v>
      </c>
      <c r="K213" s="345">
        <f t="shared" si="41"/>
        <v>0</v>
      </c>
    </row>
    <row r="214" spans="1:11" ht="13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3">
        <f>'FR-16(7)(v)-8 TOT CLASS Alloc'!J214</f>
        <v>216273</v>
      </c>
      <c r="G214" s="542">
        <f>'FR-16(7)(v)-5 DISTR Dem Alloc'!J214</f>
        <v>206932</v>
      </c>
      <c r="H214" s="533">
        <f>'FR-16(7)(v)-3 PROD Comm Alloc'!J214</f>
        <v>67</v>
      </c>
      <c r="I214" s="534">
        <f>'FR-16(7)(v)-6 DISTR Cust Alloc'!J214</f>
        <v>9274</v>
      </c>
      <c r="J214" s="345">
        <f t="shared" si="40"/>
        <v>216273</v>
      </c>
      <c r="K214" s="345">
        <f t="shared" si="41"/>
        <v>0</v>
      </c>
    </row>
    <row r="215" spans="1:11" ht="13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K215" si="42">SUM(F206:F214)</f>
        <v>1944672</v>
      </c>
      <c r="G215" s="543">
        <f t="shared" si="42"/>
        <v>1860751</v>
      </c>
      <c r="H215" s="535">
        <f t="shared" si="42"/>
        <v>406</v>
      </c>
      <c r="I215" s="536">
        <f t="shared" si="42"/>
        <v>83515</v>
      </c>
      <c r="J215" s="346">
        <f t="shared" si="42"/>
        <v>1944672</v>
      </c>
      <c r="K215" s="346">
        <f t="shared" si="42"/>
        <v>0</v>
      </c>
    </row>
    <row r="216" spans="1:11" ht="13">
      <c r="A216" s="331">
        <v>14</v>
      </c>
      <c r="D216" s="342"/>
      <c r="E216" s="195"/>
      <c r="G216" s="541"/>
      <c r="H216" s="531"/>
      <c r="I216" s="532"/>
    </row>
    <row r="217" spans="1:11" ht="13">
      <c r="A217" s="331">
        <v>15</v>
      </c>
      <c r="B217" s="330" t="s">
        <v>28</v>
      </c>
      <c r="D217" s="342"/>
      <c r="E217" s="195"/>
      <c r="G217" s="541"/>
      <c r="H217" s="531"/>
      <c r="I217" s="532"/>
    </row>
    <row r="218" spans="1:11" ht="13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3">
        <f>'FR-16(7)(v)-8 TOT CLASS Alloc'!J218</f>
        <v>0</v>
      </c>
      <c r="G218" s="542">
        <f>'FR-16(7)(v)-5 DISTR Dem Alloc'!J218</f>
        <v>0</v>
      </c>
      <c r="H218" s="533">
        <f>'FR-16(7)(v)-3 PROD Comm Alloc'!J218</f>
        <v>0</v>
      </c>
      <c r="I218" s="534">
        <f>'FR-16(7)(v)-6 DISTR Cust Alloc'!J218</f>
        <v>0</v>
      </c>
      <c r="J218" s="345">
        <f t="shared" ref="J218:J228" si="43">SUM(G218:I218)</f>
        <v>0</v>
      </c>
      <c r="K218" s="345">
        <f t="shared" ref="K218:K228" si="44">F218-J218</f>
        <v>0</v>
      </c>
    </row>
    <row r="219" spans="1:11" ht="13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3">
        <f>'FR-16(7)(v)-8 TOT CLASS Alloc'!J219</f>
        <v>0</v>
      </c>
      <c r="G219" s="542">
        <f>'FR-16(7)(v)-5 DISTR Dem Alloc'!J219</f>
        <v>0</v>
      </c>
      <c r="H219" s="533">
        <f>'FR-16(7)(v)-3 PROD Comm Alloc'!J219</f>
        <v>0</v>
      </c>
      <c r="I219" s="534">
        <f>'FR-16(7)(v)-6 DISTR Cust Alloc'!J219</f>
        <v>0</v>
      </c>
      <c r="J219" s="345">
        <f t="shared" si="43"/>
        <v>0</v>
      </c>
      <c r="K219" s="345">
        <f t="shared" si="44"/>
        <v>0</v>
      </c>
    </row>
    <row r="220" spans="1:11" ht="13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3">
        <f>'FR-16(7)(v)-8 TOT CLASS Alloc'!J220</f>
        <v>0</v>
      </c>
      <c r="G220" s="542">
        <f>'FR-16(7)(v)-5 DISTR Dem Alloc'!J220</f>
        <v>0</v>
      </c>
      <c r="H220" s="533">
        <f>'FR-16(7)(v)-3 PROD Comm Alloc'!J220</f>
        <v>0</v>
      </c>
      <c r="I220" s="534">
        <f>'FR-16(7)(v)-6 DISTR Cust Alloc'!J220</f>
        <v>0</v>
      </c>
      <c r="J220" s="345">
        <f t="shared" si="43"/>
        <v>0</v>
      </c>
      <c r="K220" s="345">
        <f t="shared" si="44"/>
        <v>0</v>
      </c>
    </row>
    <row r="221" spans="1:11" ht="13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3">
        <f>'FR-16(7)(v)-8 TOT CLASS Alloc'!J221</f>
        <v>0</v>
      </c>
      <c r="G221" s="542">
        <f>'FR-16(7)(v)-5 DISTR Dem Alloc'!J221</f>
        <v>0</v>
      </c>
      <c r="H221" s="533">
        <f>'FR-16(7)(v)-3 PROD Comm Alloc'!J221</f>
        <v>0</v>
      </c>
      <c r="I221" s="534">
        <f>'FR-16(7)(v)-6 DISTR Cust Alloc'!J221</f>
        <v>0</v>
      </c>
      <c r="J221" s="345">
        <f t="shared" si="43"/>
        <v>0</v>
      </c>
      <c r="K221" s="345">
        <f t="shared" si="44"/>
        <v>0</v>
      </c>
    </row>
    <row r="222" spans="1:11" ht="13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3">
        <f>'FR-16(7)(v)-8 TOT CLASS Alloc'!J222</f>
        <v>0</v>
      </c>
      <c r="G222" s="542">
        <f>'FR-16(7)(v)-5 DISTR Dem Alloc'!J222</f>
        <v>0</v>
      </c>
      <c r="H222" s="533">
        <f>'FR-16(7)(v)-3 PROD Comm Alloc'!J222</f>
        <v>0</v>
      </c>
      <c r="I222" s="534">
        <f>'FR-16(7)(v)-6 DISTR Cust Alloc'!J222</f>
        <v>0</v>
      </c>
      <c r="J222" s="345">
        <f t="shared" si="43"/>
        <v>0</v>
      </c>
      <c r="K222" s="345">
        <f t="shared" si="44"/>
        <v>0</v>
      </c>
    </row>
    <row r="223" spans="1:11" ht="13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3">
        <f>'FR-16(7)(v)-8 TOT CLASS Alloc'!J223</f>
        <v>0</v>
      </c>
      <c r="G223" s="542">
        <f>'FR-16(7)(v)-5 DISTR Dem Alloc'!J223</f>
        <v>0</v>
      </c>
      <c r="H223" s="533">
        <f>'FR-16(7)(v)-3 PROD Comm Alloc'!J223</f>
        <v>0</v>
      </c>
      <c r="I223" s="534">
        <f>'FR-16(7)(v)-6 DISTR Cust Alloc'!J223</f>
        <v>0</v>
      </c>
      <c r="J223" s="345">
        <f t="shared" si="43"/>
        <v>0</v>
      </c>
      <c r="K223" s="345">
        <f t="shared" si="44"/>
        <v>0</v>
      </c>
    </row>
    <row r="224" spans="1:11" ht="13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3">
        <f>'FR-16(7)(v)-8 TOT CLASS Alloc'!J224</f>
        <v>0</v>
      </c>
      <c r="G224" s="542">
        <f>'FR-16(7)(v)-5 DISTR Dem Alloc'!J224</f>
        <v>0</v>
      </c>
      <c r="H224" s="533">
        <f>'FR-16(7)(v)-3 PROD Comm Alloc'!J224</f>
        <v>0</v>
      </c>
      <c r="I224" s="534">
        <f>'FR-16(7)(v)-6 DISTR Cust Alloc'!J224</f>
        <v>0</v>
      </c>
      <c r="J224" s="345">
        <f t="shared" si="43"/>
        <v>0</v>
      </c>
      <c r="K224" s="345">
        <f t="shared" si="44"/>
        <v>0</v>
      </c>
    </row>
    <row r="225" spans="1:11" ht="13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3">
        <f>'FR-16(7)(v)-8 TOT CLASS Alloc'!J225</f>
        <v>0</v>
      </c>
      <c r="G225" s="542">
        <f>'FR-16(7)(v)-5 DISTR Dem Alloc'!J225</f>
        <v>0</v>
      </c>
      <c r="H225" s="533">
        <f>'FR-16(7)(v)-3 PROD Comm Alloc'!J225</f>
        <v>0</v>
      </c>
      <c r="I225" s="534">
        <f>'FR-16(7)(v)-6 DISTR Cust Alloc'!J225</f>
        <v>0</v>
      </c>
      <c r="J225" s="345">
        <f t="shared" si="43"/>
        <v>0</v>
      </c>
      <c r="K225" s="345">
        <f t="shared" si="44"/>
        <v>0</v>
      </c>
    </row>
    <row r="226" spans="1:11" ht="13">
      <c r="A226" s="331">
        <v>24</v>
      </c>
      <c r="C226" s="612" t="str">
        <f>'FR-16(7)(v)-1 Functional'!C226</f>
        <v>RATE CASE EXPENSE AMORT</v>
      </c>
      <c r="D226" s="342" t="str">
        <f>'FR-16(7)(v)-1 Functional'!D226</f>
        <v>AG39</v>
      </c>
      <c r="F226" s="473">
        <f>'FR-16(7)(v)-8 TOT CLASS Alloc'!J226</f>
        <v>0</v>
      </c>
      <c r="G226" s="542">
        <f>'FR-16(7)(v)-5 DISTR Dem Alloc'!J226</f>
        <v>0</v>
      </c>
      <c r="H226" s="533">
        <f>'FR-16(7)(v)-3 PROD Comm Alloc'!J226</f>
        <v>0</v>
      </c>
      <c r="I226" s="534">
        <f>'FR-16(7)(v)-6 DISTR Cust Alloc'!J226</f>
        <v>0</v>
      </c>
      <c r="J226" s="345">
        <f>SUM(G226:I226)</f>
        <v>0</v>
      </c>
      <c r="K226" s="345">
        <f>F226-J226</f>
        <v>0</v>
      </c>
    </row>
    <row r="227" spans="1:11" ht="13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3">
        <f>'FR-16(7)(v)-8 TOT CLASS Alloc'!J227</f>
        <v>0</v>
      </c>
      <c r="G227" s="542">
        <f>'FR-16(7)(v)-5 DISTR Dem Alloc'!J227</f>
        <v>0</v>
      </c>
      <c r="H227" s="533">
        <f>'FR-16(7)(v)-3 PROD Comm Alloc'!J227</f>
        <v>0</v>
      </c>
      <c r="I227" s="534">
        <f>'FR-16(7)(v)-6 DISTR Cust Alloc'!J227</f>
        <v>0</v>
      </c>
      <c r="J227" s="345">
        <f>SUM(G227:I227)</f>
        <v>0</v>
      </c>
      <c r="K227" s="345">
        <f>F227-J227</f>
        <v>0</v>
      </c>
    </row>
    <row r="228" spans="1:11" ht="13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3">
        <f>'FR-16(7)(v)-8 TOT CLASS Alloc'!J228</f>
        <v>0</v>
      </c>
      <c r="G228" s="542">
        <f>'FR-16(7)(v)-5 DISTR Dem Alloc'!J228</f>
        <v>0</v>
      </c>
      <c r="H228" s="533">
        <f>'FR-16(7)(v)-3 PROD Comm Alloc'!J228</f>
        <v>0</v>
      </c>
      <c r="I228" s="534">
        <f>'FR-16(7)(v)-6 DISTR Cust Alloc'!J228</f>
        <v>0</v>
      </c>
      <c r="J228" s="345">
        <f t="shared" si="43"/>
        <v>0</v>
      </c>
      <c r="K228" s="345">
        <f t="shared" si="44"/>
        <v>0</v>
      </c>
    </row>
    <row r="229" spans="1:11" ht="13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K229" si="45">SUM(F217:F228)</f>
        <v>0</v>
      </c>
      <c r="G229" s="543">
        <f t="shared" si="45"/>
        <v>0</v>
      </c>
      <c r="H229" s="535">
        <f t="shared" si="45"/>
        <v>0</v>
      </c>
      <c r="I229" s="536">
        <f t="shared" si="45"/>
        <v>0</v>
      </c>
      <c r="J229" s="346">
        <f t="shared" si="45"/>
        <v>0</v>
      </c>
      <c r="K229" s="346">
        <f t="shared" si="45"/>
        <v>0</v>
      </c>
    </row>
    <row r="230" spans="1:11" ht="13">
      <c r="A230" s="331">
        <v>28</v>
      </c>
      <c r="D230" s="342"/>
      <c r="E230" s="195"/>
      <c r="G230" s="541"/>
      <c r="H230" s="531"/>
      <c r="I230" s="532"/>
    </row>
    <row r="231" spans="1:11" ht="13">
      <c r="A231" s="331">
        <v>29</v>
      </c>
      <c r="B231" s="351" t="s">
        <v>817</v>
      </c>
      <c r="C231" s="351"/>
      <c r="D231" s="342"/>
      <c r="E231" s="195"/>
      <c r="G231" s="541"/>
      <c r="H231" s="531"/>
      <c r="I231" s="532"/>
    </row>
    <row r="232" spans="1:11" ht="13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3">
        <f>'FR-16(7)(v)-8 TOT CLASS Alloc'!J232</f>
        <v>46063</v>
      </c>
      <c r="G232" s="542">
        <f>'FR-16(7)(v)-5 DISTR Dem Alloc'!J232</f>
        <v>44071</v>
      </c>
      <c r="H232" s="533">
        <f>'FR-16(7)(v)-3 PROD Comm Alloc'!J232</f>
        <v>0</v>
      </c>
      <c r="I232" s="534">
        <f>'FR-16(7)(v)-6 DISTR Cust Alloc'!J232</f>
        <v>1992</v>
      </c>
      <c r="J232" s="345">
        <f>SUM(G232:I232)</f>
        <v>46063</v>
      </c>
      <c r="K232" s="345">
        <f>F232-J232</f>
        <v>0</v>
      </c>
    </row>
    <row r="233" spans="1:11" ht="13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3">
        <f>'FR-16(7)(v)-8 TOT CLASS Alloc'!J233</f>
        <v>0</v>
      </c>
      <c r="G233" s="542">
        <f>'FR-16(7)(v)-5 DISTR Dem Alloc'!J233</f>
        <v>0</v>
      </c>
      <c r="H233" s="533">
        <f>'FR-16(7)(v)-3 PROD Comm Alloc'!J233</f>
        <v>0</v>
      </c>
      <c r="I233" s="534">
        <f>'FR-16(7)(v)-6 DISTR Cust Alloc'!J233</f>
        <v>0</v>
      </c>
      <c r="J233" s="345">
        <f>SUM(G233:I233)</f>
        <v>0</v>
      </c>
      <c r="K233" s="345">
        <f>F233-J233</f>
        <v>0</v>
      </c>
    </row>
    <row r="234" spans="1:11" ht="13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3">
        <f>'FR-16(7)(v)-8 TOT CLASS Alloc'!J234</f>
        <v>0</v>
      </c>
      <c r="G234" s="542">
        <f>'FR-16(7)(v)-5 DISTR Dem Alloc'!J234</f>
        <v>0</v>
      </c>
      <c r="H234" s="533">
        <f>'FR-16(7)(v)-3 PROD Comm Alloc'!J234</f>
        <v>0</v>
      </c>
      <c r="I234" s="534">
        <f>'FR-16(7)(v)-6 DISTR Cust Alloc'!J234</f>
        <v>0</v>
      </c>
      <c r="J234" s="345">
        <f>SUM(G234:I234)</f>
        <v>0</v>
      </c>
      <c r="K234" s="345">
        <f>F234-J234</f>
        <v>0</v>
      </c>
    </row>
    <row r="235" spans="1:11" ht="13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3">
        <f>'FR-16(7)(v)-8 TOT CLASS Alloc'!J235</f>
        <v>809252</v>
      </c>
      <c r="G235" s="542">
        <f>'FR-16(7)(v)-5 DISTR Dem Alloc'!J235</f>
        <v>774299</v>
      </c>
      <c r="H235" s="533">
        <f>'FR-16(7)(v)-3 PROD Comm Alloc'!J235</f>
        <v>250</v>
      </c>
      <c r="I235" s="534">
        <f>'FR-16(7)(v)-6 DISTR Cust Alloc'!J235</f>
        <v>34703</v>
      </c>
      <c r="J235" s="345">
        <f>SUM(G235:I235)</f>
        <v>809252</v>
      </c>
      <c r="K235" s="345">
        <f>F235-J235</f>
        <v>0</v>
      </c>
    </row>
    <row r="236" spans="1:11" ht="13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K236" si="46">SUM(F231:F235)</f>
        <v>855315</v>
      </c>
      <c r="G236" s="543">
        <f t="shared" si="46"/>
        <v>818370</v>
      </c>
      <c r="H236" s="535">
        <f t="shared" si="46"/>
        <v>250</v>
      </c>
      <c r="I236" s="536">
        <f t="shared" si="46"/>
        <v>36695</v>
      </c>
      <c r="J236" s="346">
        <f t="shared" si="46"/>
        <v>855315</v>
      </c>
      <c r="K236" s="346">
        <f t="shared" si="46"/>
        <v>0</v>
      </c>
    </row>
    <row r="237" spans="1:11" ht="13">
      <c r="A237" s="331">
        <v>35</v>
      </c>
      <c r="D237" s="342"/>
      <c r="E237" s="195"/>
      <c r="G237" s="541"/>
      <c r="H237" s="531"/>
      <c r="I237" s="532"/>
    </row>
    <row r="238" spans="1:11" ht="13">
      <c r="A238" s="331">
        <v>36</v>
      </c>
      <c r="B238" s="330" t="s">
        <v>821</v>
      </c>
      <c r="D238" s="342"/>
      <c r="E238" s="195"/>
      <c r="F238" s="345">
        <f t="shared" ref="F238:K238" si="47">F236+F229+F215</f>
        <v>2799987</v>
      </c>
      <c r="G238" s="544">
        <f t="shared" si="47"/>
        <v>2679121</v>
      </c>
      <c r="H238" s="537">
        <f t="shared" si="47"/>
        <v>656</v>
      </c>
      <c r="I238" s="538">
        <f t="shared" si="47"/>
        <v>120210</v>
      </c>
      <c r="J238" s="345">
        <f t="shared" si="47"/>
        <v>2799987</v>
      </c>
      <c r="K238" s="345">
        <f t="shared" si="47"/>
        <v>0</v>
      </c>
    </row>
    <row r="239" spans="1:11" ht="13">
      <c r="B239" s="341"/>
      <c r="C239" s="195"/>
      <c r="D239" s="342"/>
      <c r="E239" s="195"/>
      <c r="F239" s="195"/>
      <c r="G239" s="195"/>
      <c r="H239" s="195"/>
      <c r="I239" s="195"/>
      <c r="J239" s="195"/>
      <c r="K239" s="195"/>
    </row>
    <row r="240" spans="1:11" ht="13">
      <c r="A240" s="341" t="str">
        <f>co_name</f>
        <v>DUKE ENERGY KENTUCKY, INC.</v>
      </c>
      <c r="C240" s="195"/>
      <c r="D240" s="342"/>
      <c r="E240" s="195"/>
      <c r="F240" s="195"/>
      <c r="G240" s="195"/>
      <c r="H240" s="195"/>
      <c r="I240" s="195"/>
      <c r="J240" s="195" t="str">
        <f>$J$1</f>
        <v>FR-16(7)(v)-12</v>
      </c>
      <c r="K240" s="195"/>
    </row>
    <row r="241" spans="1:11" ht="13">
      <c r="A241" s="341" t="str">
        <f>$A$2</f>
        <v>INTERRUPTIBLE TRANSPORTATION CLASSIFIED - GAS COST OF SERVICE</v>
      </c>
      <c r="C241" s="195"/>
      <c r="D241" s="342"/>
      <c r="E241" s="195"/>
      <c r="F241" s="195"/>
      <c r="G241" s="195"/>
      <c r="H241" s="195"/>
      <c r="I241" s="195"/>
      <c r="J241" s="195" t="str">
        <f>$J$2</f>
        <v>WITNESS RESPONSIBLE:</v>
      </c>
      <c r="K241" s="195"/>
    </row>
    <row r="242" spans="1:11" ht="13">
      <c r="A242" s="341" t="str">
        <f>case_name</f>
        <v>CASE NO: 2021-00190</v>
      </c>
      <c r="C242" s="195"/>
      <c r="D242" s="342"/>
      <c r="E242" s="195"/>
      <c r="F242" s="195"/>
      <c r="G242" s="195"/>
      <c r="H242" s="195"/>
      <c r="I242" s="195"/>
      <c r="J242" s="195" t="str">
        <f>Witness</f>
        <v>JAMES E. ZIOLKOWSKI</v>
      </c>
      <c r="K242" s="195"/>
    </row>
    <row r="243" spans="1:11" ht="13">
      <c r="A243" s="341" t="str">
        <f>data_filing</f>
        <v>DATA: 12 MONTH FORECASTED PERIOD</v>
      </c>
      <c r="C243" s="195"/>
      <c r="D243" s="342"/>
      <c r="E243" s="195"/>
      <c r="F243" s="195"/>
      <c r="G243" s="195"/>
      <c r="H243" s="195"/>
      <c r="I243" s="195"/>
      <c r="J243" s="195" t="str">
        <f>"PAGE "&amp;Pages2-9&amp;" OF "&amp;Pages2</f>
        <v>PAGE 6 OF 15</v>
      </c>
      <c r="K243" s="195"/>
    </row>
    <row r="244" spans="1:11" ht="13">
      <c r="A244" s="341" t="str">
        <f>type</f>
        <v xml:space="preserve">TYPE OF FILING: "X" ORIGINAL   UPDATED    REVISED  </v>
      </c>
      <c r="C244" s="195"/>
      <c r="D244" s="342"/>
      <c r="E244" s="195"/>
      <c r="F244" s="195"/>
      <c r="G244" s="195"/>
      <c r="H244" s="195"/>
      <c r="I244" s="195"/>
      <c r="J244" s="195"/>
      <c r="K244" s="195"/>
    </row>
    <row r="245" spans="1:11" ht="13">
      <c r="B245" s="341"/>
      <c r="C245" s="195"/>
      <c r="D245" s="342"/>
      <c r="E245" s="195"/>
      <c r="F245" s="195"/>
      <c r="G245" s="195"/>
      <c r="H245" s="195"/>
      <c r="I245" s="195"/>
      <c r="J245" s="195"/>
      <c r="K245" s="195"/>
    </row>
    <row r="246" spans="1:11" ht="13">
      <c r="B246" s="341"/>
      <c r="C246" s="195"/>
      <c r="D246" s="342"/>
      <c r="E246" s="195"/>
      <c r="F246" s="195"/>
      <c r="G246" s="195"/>
      <c r="H246" s="195"/>
      <c r="I246" s="195"/>
      <c r="J246" s="195"/>
      <c r="K246" s="195"/>
    </row>
    <row r="247" spans="1:11" ht="13">
      <c r="A247" s="342" t="s">
        <v>907</v>
      </c>
      <c r="B247" s="195"/>
      <c r="C247" s="195"/>
      <c r="D247" s="342"/>
      <c r="E247" s="195"/>
      <c r="F247" s="342" t="s">
        <v>229</v>
      </c>
      <c r="G247" s="539" t="s">
        <v>995</v>
      </c>
      <c r="H247" s="527"/>
      <c r="I247" s="528"/>
      <c r="J247" s="342" t="s">
        <v>229</v>
      </c>
      <c r="K247" s="342" t="s">
        <v>342</v>
      </c>
    </row>
    <row r="248" spans="1:11" ht="13">
      <c r="A248" s="344" t="s">
        <v>908</v>
      </c>
      <c r="B248" s="343" t="s">
        <v>947</v>
      </c>
      <c r="C248" s="343"/>
      <c r="D248" s="344" t="s">
        <v>337</v>
      </c>
      <c r="E248" s="343"/>
      <c r="F248" s="344" t="str">
        <f>$F$9</f>
        <v>INTERRUPTIBLE</v>
      </c>
      <c r="G248" s="540" t="s">
        <v>840</v>
      </c>
      <c r="H248" s="529" t="s">
        <v>841</v>
      </c>
      <c r="I248" s="530" t="s">
        <v>842</v>
      </c>
      <c r="J248" s="344" t="s">
        <v>341</v>
      </c>
      <c r="K248" s="344" t="s">
        <v>340</v>
      </c>
    </row>
    <row r="249" spans="1:11" ht="13">
      <c r="C249" s="572" t="s">
        <v>555</v>
      </c>
      <c r="D249" s="342"/>
      <c r="E249" s="195"/>
      <c r="G249" s="793">
        <f>$G$10</f>
        <v>3</v>
      </c>
      <c r="H249" s="794">
        <f>$H$10</f>
        <v>4</v>
      </c>
      <c r="I249" s="795">
        <f>$I$10</f>
        <v>5</v>
      </c>
    </row>
    <row r="250" spans="1:11" ht="13">
      <c r="A250" s="331">
        <v>1</v>
      </c>
      <c r="B250" s="330" t="s">
        <v>819</v>
      </c>
      <c r="D250" s="342"/>
      <c r="E250" s="195"/>
      <c r="G250" s="545"/>
      <c r="H250" s="546"/>
      <c r="I250" s="547"/>
    </row>
    <row r="251" spans="1:11" ht="13">
      <c r="A251" s="331">
        <v>2</v>
      </c>
      <c r="B251" s="330" t="s">
        <v>29</v>
      </c>
      <c r="D251" s="342"/>
      <c r="E251" s="195"/>
      <c r="G251" s="541"/>
      <c r="H251" s="531"/>
      <c r="I251" s="532"/>
    </row>
    <row r="252" spans="1:11" ht="13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3">
        <f>'FR-16(7)(v)-8 TOT CLASS Alloc'!J252</f>
        <v>0</v>
      </c>
      <c r="G252" s="542">
        <f>'FR-16(7)(v)-5 DISTR Dem Alloc'!J252</f>
        <v>0</v>
      </c>
      <c r="H252" s="533">
        <f>'FR-16(7)(v)-3 PROD Comm Alloc'!J252</f>
        <v>0</v>
      </c>
      <c r="I252" s="534">
        <f>'FR-16(7)(v)-6 DISTR Cust Alloc'!J252</f>
        <v>0</v>
      </c>
      <c r="J252" s="345">
        <f t="shared" ref="J252:J274" si="48">SUM(G252:I252)</f>
        <v>0</v>
      </c>
      <c r="K252" s="345">
        <f t="shared" ref="K252:K274" si="49">F252-J252</f>
        <v>0</v>
      </c>
    </row>
    <row r="253" spans="1:11" ht="13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3">
        <f>'FR-16(7)(v)-8 TOT CLASS Alloc'!J253</f>
        <v>0</v>
      </c>
      <c r="G253" s="542">
        <f>'FR-16(7)(v)-5 DISTR Dem Alloc'!J253</f>
        <v>0</v>
      </c>
      <c r="H253" s="533">
        <f>'FR-16(7)(v)-3 PROD Comm Alloc'!J253</f>
        <v>0</v>
      </c>
      <c r="I253" s="534">
        <f>'FR-16(7)(v)-6 DISTR Cust Alloc'!J253</f>
        <v>0</v>
      </c>
      <c r="J253" s="345">
        <f t="shared" si="48"/>
        <v>0</v>
      </c>
      <c r="K253" s="345">
        <f t="shared" si="49"/>
        <v>0</v>
      </c>
    </row>
    <row r="254" spans="1:11" ht="13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3">
        <f>'FR-16(7)(v)-8 TOT CLASS Alloc'!J254</f>
        <v>0</v>
      </c>
      <c r="G254" s="542">
        <f>'FR-16(7)(v)-5 DISTR Dem Alloc'!J254</f>
        <v>0</v>
      </c>
      <c r="H254" s="533">
        <f>'FR-16(7)(v)-3 PROD Comm Alloc'!J254</f>
        <v>0</v>
      </c>
      <c r="I254" s="534">
        <f>'FR-16(7)(v)-6 DISTR Cust Alloc'!J254</f>
        <v>0</v>
      </c>
      <c r="J254" s="345">
        <f t="shared" si="48"/>
        <v>0</v>
      </c>
      <c r="K254" s="345">
        <f t="shared" si="49"/>
        <v>0</v>
      </c>
    </row>
    <row r="255" spans="1:11" ht="13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3">
        <f>'FR-16(7)(v)-8 TOT CLASS Alloc'!J255</f>
        <v>0</v>
      </c>
      <c r="G255" s="542">
        <f>'FR-16(7)(v)-5 DISTR Dem Alloc'!J255</f>
        <v>0</v>
      </c>
      <c r="H255" s="533">
        <f>'FR-16(7)(v)-3 PROD Comm Alloc'!J255</f>
        <v>0</v>
      </c>
      <c r="I255" s="534">
        <f>'FR-16(7)(v)-6 DISTR Cust Alloc'!J255</f>
        <v>0</v>
      </c>
      <c r="J255" s="345">
        <f t="shared" si="48"/>
        <v>0</v>
      </c>
      <c r="K255" s="345">
        <f t="shared" si="49"/>
        <v>0</v>
      </c>
    </row>
    <row r="256" spans="1:11" ht="13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3">
        <f>'FR-16(7)(v)-8 TOT CLASS Alloc'!J256</f>
        <v>0</v>
      </c>
      <c r="G256" s="542">
        <f>'FR-16(7)(v)-5 DISTR Dem Alloc'!J256</f>
        <v>0</v>
      </c>
      <c r="H256" s="533">
        <f>'FR-16(7)(v)-3 PROD Comm Alloc'!J256</f>
        <v>0</v>
      </c>
      <c r="I256" s="534">
        <f>'FR-16(7)(v)-6 DISTR Cust Alloc'!J256</f>
        <v>0</v>
      </c>
      <c r="J256" s="345">
        <f t="shared" si="48"/>
        <v>0</v>
      </c>
      <c r="K256" s="345">
        <f t="shared" si="49"/>
        <v>0</v>
      </c>
    </row>
    <row r="257" spans="1:11" ht="13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3">
        <f>'FR-16(7)(v)-8 TOT CLASS Alloc'!J257</f>
        <v>0</v>
      </c>
      <c r="G257" s="542">
        <f>'FR-16(7)(v)-5 DISTR Dem Alloc'!J257</f>
        <v>0</v>
      </c>
      <c r="H257" s="533">
        <f>'FR-16(7)(v)-3 PROD Comm Alloc'!J257</f>
        <v>0</v>
      </c>
      <c r="I257" s="534">
        <f>'FR-16(7)(v)-6 DISTR Cust Alloc'!J257</f>
        <v>0</v>
      </c>
      <c r="J257" s="345">
        <f t="shared" si="48"/>
        <v>0</v>
      </c>
      <c r="K257" s="345">
        <f t="shared" si="49"/>
        <v>0</v>
      </c>
    </row>
    <row r="258" spans="1:11" ht="13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3">
        <f>'FR-16(7)(v)-8 TOT CLASS Alloc'!J258</f>
        <v>0</v>
      </c>
      <c r="G258" s="542">
        <f>'FR-16(7)(v)-5 DISTR Dem Alloc'!J258</f>
        <v>0</v>
      </c>
      <c r="H258" s="533">
        <f>'FR-16(7)(v)-3 PROD Comm Alloc'!J258</f>
        <v>0</v>
      </c>
      <c r="I258" s="534">
        <f>'FR-16(7)(v)-6 DISTR Cust Alloc'!J258</f>
        <v>0</v>
      </c>
      <c r="J258" s="345">
        <f t="shared" si="48"/>
        <v>0</v>
      </c>
      <c r="K258" s="345">
        <f t="shared" si="49"/>
        <v>0</v>
      </c>
    </row>
    <row r="259" spans="1:11" ht="13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3">
        <f>'FR-16(7)(v)-8 TOT CLASS Alloc'!J259</f>
        <v>0</v>
      </c>
      <c r="G259" s="542">
        <f>'FR-16(7)(v)-5 DISTR Dem Alloc'!J259</f>
        <v>0</v>
      </c>
      <c r="H259" s="533">
        <f>'FR-16(7)(v)-3 PROD Comm Alloc'!J259</f>
        <v>0</v>
      </c>
      <c r="I259" s="534">
        <f>'FR-16(7)(v)-6 DISTR Cust Alloc'!J259</f>
        <v>0</v>
      </c>
      <c r="J259" s="345">
        <f t="shared" si="48"/>
        <v>0</v>
      </c>
      <c r="K259" s="345">
        <f t="shared" si="49"/>
        <v>0</v>
      </c>
    </row>
    <row r="260" spans="1:11" ht="13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3">
        <f>'FR-16(7)(v)-8 TOT CLASS Alloc'!J260</f>
        <v>0</v>
      </c>
      <c r="G260" s="542">
        <f>'FR-16(7)(v)-5 DISTR Dem Alloc'!J260</f>
        <v>0</v>
      </c>
      <c r="H260" s="533">
        <f>'FR-16(7)(v)-3 PROD Comm Alloc'!J260</f>
        <v>0</v>
      </c>
      <c r="I260" s="534">
        <f>'FR-16(7)(v)-6 DISTR Cust Alloc'!J260</f>
        <v>0</v>
      </c>
      <c r="J260" s="345">
        <f t="shared" si="48"/>
        <v>0</v>
      </c>
      <c r="K260" s="345">
        <f t="shared" si="49"/>
        <v>0</v>
      </c>
    </row>
    <row r="261" spans="1:11" ht="13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3">
        <f>'FR-16(7)(v)-8 TOT CLASS Alloc'!J261</f>
        <v>0</v>
      </c>
      <c r="G261" s="542">
        <f>'FR-16(7)(v)-5 DISTR Dem Alloc'!J261</f>
        <v>0</v>
      </c>
      <c r="H261" s="533">
        <f>'FR-16(7)(v)-3 PROD Comm Alloc'!J261</f>
        <v>0</v>
      </c>
      <c r="I261" s="534">
        <f>'FR-16(7)(v)-6 DISTR Cust Alloc'!J261</f>
        <v>0</v>
      </c>
      <c r="J261" s="345">
        <f t="shared" si="48"/>
        <v>0</v>
      </c>
      <c r="K261" s="345">
        <f t="shared" si="49"/>
        <v>0</v>
      </c>
    </row>
    <row r="262" spans="1:11" ht="13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3">
        <f>'FR-16(7)(v)-8 TOT CLASS Alloc'!J262</f>
        <v>0</v>
      </c>
      <c r="G262" s="542">
        <f>'FR-16(7)(v)-5 DISTR Dem Alloc'!J262</f>
        <v>0</v>
      </c>
      <c r="H262" s="533">
        <f>'FR-16(7)(v)-3 PROD Comm Alloc'!J262</f>
        <v>0</v>
      </c>
      <c r="I262" s="534">
        <f>'FR-16(7)(v)-6 DISTR Cust Alloc'!J262</f>
        <v>0</v>
      </c>
      <c r="J262" s="345">
        <f t="shared" si="48"/>
        <v>0</v>
      </c>
      <c r="K262" s="345">
        <f t="shared" si="49"/>
        <v>0</v>
      </c>
    </row>
    <row r="263" spans="1:11" ht="13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3">
        <f>'FR-16(7)(v)-8 TOT CLASS Alloc'!J263</f>
        <v>0</v>
      </c>
      <c r="G263" s="542">
        <f>'FR-16(7)(v)-5 DISTR Dem Alloc'!J263</f>
        <v>0</v>
      </c>
      <c r="H263" s="533">
        <f>'FR-16(7)(v)-3 PROD Comm Alloc'!J263</f>
        <v>0</v>
      </c>
      <c r="I263" s="534">
        <f>'FR-16(7)(v)-6 DISTR Cust Alloc'!J263</f>
        <v>0</v>
      </c>
      <c r="J263" s="345">
        <f t="shared" si="48"/>
        <v>0</v>
      </c>
      <c r="K263" s="345">
        <f t="shared" si="49"/>
        <v>0</v>
      </c>
    </row>
    <row r="264" spans="1:11" ht="13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3">
        <f>'FR-16(7)(v)-8 TOT CLASS Alloc'!J264</f>
        <v>0</v>
      </c>
      <c r="G264" s="542">
        <f>'FR-16(7)(v)-5 DISTR Dem Alloc'!J264</f>
        <v>0</v>
      </c>
      <c r="H264" s="533">
        <f>'FR-16(7)(v)-3 PROD Comm Alloc'!J264</f>
        <v>0</v>
      </c>
      <c r="I264" s="534">
        <f>'FR-16(7)(v)-6 DISTR Cust Alloc'!J264</f>
        <v>0</v>
      </c>
      <c r="J264" s="345">
        <f t="shared" si="48"/>
        <v>0</v>
      </c>
      <c r="K264" s="345">
        <f t="shared" si="49"/>
        <v>0</v>
      </c>
    </row>
    <row r="265" spans="1:11" ht="13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3">
        <f>'FR-16(7)(v)-8 TOT CLASS Alloc'!J265</f>
        <v>0</v>
      </c>
      <c r="G265" s="542">
        <f>'FR-16(7)(v)-5 DISTR Dem Alloc'!J265</f>
        <v>0</v>
      </c>
      <c r="H265" s="533">
        <f>'FR-16(7)(v)-3 PROD Comm Alloc'!J265</f>
        <v>0</v>
      </c>
      <c r="I265" s="534">
        <f>'FR-16(7)(v)-6 DISTR Cust Alloc'!J265</f>
        <v>0</v>
      </c>
      <c r="J265" s="345">
        <f t="shared" si="48"/>
        <v>0</v>
      </c>
      <c r="K265" s="345">
        <f t="shared" si="49"/>
        <v>0</v>
      </c>
    </row>
    <row r="266" spans="1:11" ht="13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3">
        <f>'FR-16(7)(v)-8 TOT CLASS Alloc'!J266</f>
        <v>0</v>
      </c>
      <c r="G266" s="542">
        <f>'FR-16(7)(v)-5 DISTR Dem Alloc'!J266</f>
        <v>0</v>
      </c>
      <c r="H266" s="533">
        <f>'FR-16(7)(v)-3 PROD Comm Alloc'!J266</f>
        <v>0</v>
      </c>
      <c r="I266" s="534">
        <f>'FR-16(7)(v)-6 DISTR Cust Alloc'!J266</f>
        <v>0</v>
      </c>
      <c r="J266" s="345">
        <f t="shared" si="48"/>
        <v>0</v>
      </c>
      <c r="K266" s="345">
        <f t="shared" si="49"/>
        <v>0</v>
      </c>
    </row>
    <row r="267" spans="1:11" ht="13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3">
        <f>'FR-16(7)(v)-8 TOT CLASS Alloc'!J267</f>
        <v>0</v>
      </c>
      <c r="G267" s="542">
        <f>'FR-16(7)(v)-5 DISTR Dem Alloc'!J267</f>
        <v>0</v>
      </c>
      <c r="H267" s="533">
        <f>'FR-16(7)(v)-3 PROD Comm Alloc'!J267</f>
        <v>0</v>
      </c>
      <c r="I267" s="534">
        <f>'FR-16(7)(v)-6 DISTR Cust Alloc'!J267</f>
        <v>0</v>
      </c>
      <c r="J267" s="345">
        <f t="shared" si="48"/>
        <v>0</v>
      </c>
      <c r="K267" s="345">
        <f t="shared" si="49"/>
        <v>0</v>
      </c>
    </row>
    <row r="268" spans="1:11" ht="13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3">
        <f>'FR-16(7)(v)-8 TOT CLASS Alloc'!J268</f>
        <v>0</v>
      </c>
      <c r="G268" s="542">
        <f>'FR-16(7)(v)-5 DISTR Dem Alloc'!J268</f>
        <v>0</v>
      </c>
      <c r="H268" s="533">
        <f>'FR-16(7)(v)-3 PROD Comm Alloc'!J268</f>
        <v>0</v>
      </c>
      <c r="I268" s="534">
        <f>'FR-16(7)(v)-6 DISTR Cust Alloc'!J268</f>
        <v>0</v>
      </c>
      <c r="J268" s="345">
        <f t="shared" si="48"/>
        <v>0</v>
      </c>
      <c r="K268" s="345">
        <f t="shared" si="49"/>
        <v>0</v>
      </c>
    </row>
    <row r="269" spans="1:11" ht="13">
      <c r="A269" s="331">
        <v>20</v>
      </c>
      <c r="C269" s="483" t="str">
        <f>'FR-16(7)(v)-1 Functional'!C269</f>
        <v>401K INCENTIVE PLAN</v>
      </c>
      <c r="D269" s="342" t="str">
        <f>'FR-16(7)(v)-1 Functional'!D269</f>
        <v>AG39</v>
      </c>
      <c r="F269" s="473">
        <f>'FR-16(7)(v)-8 TOT CLASS Alloc'!J269</f>
        <v>0</v>
      </c>
      <c r="G269" s="542">
        <f>'FR-16(7)(v)-5 DISTR Dem Alloc'!J269</f>
        <v>0</v>
      </c>
      <c r="H269" s="533">
        <f>'FR-16(7)(v)-3 PROD Comm Alloc'!J269</f>
        <v>0</v>
      </c>
      <c r="I269" s="534">
        <f>'FR-16(7)(v)-6 DISTR Cust Alloc'!J269</f>
        <v>0</v>
      </c>
      <c r="J269" s="345">
        <f t="shared" si="48"/>
        <v>0</v>
      </c>
      <c r="K269" s="345">
        <f t="shared" si="49"/>
        <v>0</v>
      </c>
    </row>
    <row r="270" spans="1:11" ht="13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3">
        <f>'FR-16(7)(v)-8 TOT CLASS Alloc'!J270</f>
        <v>0</v>
      </c>
      <c r="G270" s="542">
        <f>'FR-16(7)(v)-5 DISTR Dem Alloc'!J270</f>
        <v>0</v>
      </c>
      <c r="H270" s="533">
        <f>'FR-16(7)(v)-3 PROD Comm Alloc'!J270</f>
        <v>0</v>
      </c>
      <c r="I270" s="534">
        <f>'FR-16(7)(v)-6 DISTR Cust Alloc'!J270</f>
        <v>0</v>
      </c>
      <c r="J270" s="345">
        <f t="shared" si="48"/>
        <v>0</v>
      </c>
      <c r="K270" s="345">
        <f t="shared" si="49"/>
        <v>0</v>
      </c>
    </row>
    <row r="271" spans="1:11" ht="13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3">
        <f>'FR-16(7)(v)-8 TOT CLASS Alloc'!J271</f>
        <v>0</v>
      </c>
      <c r="G271" s="542">
        <f>'FR-16(7)(v)-5 DISTR Dem Alloc'!J271</f>
        <v>0</v>
      </c>
      <c r="H271" s="533">
        <f>'FR-16(7)(v)-3 PROD Comm Alloc'!J271</f>
        <v>0</v>
      </c>
      <c r="I271" s="534">
        <f>'FR-16(7)(v)-6 DISTR Cust Alloc'!J271</f>
        <v>0</v>
      </c>
      <c r="J271" s="345">
        <f t="shared" si="48"/>
        <v>0</v>
      </c>
      <c r="K271" s="345">
        <f t="shared" si="49"/>
        <v>0</v>
      </c>
    </row>
    <row r="272" spans="1:11" ht="13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3">
        <f>'FR-16(7)(v)-8 TOT CLASS Alloc'!J272</f>
        <v>0</v>
      </c>
      <c r="G272" s="542">
        <f>'FR-16(7)(v)-5 DISTR Dem Alloc'!J272</f>
        <v>0</v>
      </c>
      <c r="H272" s="533">
        <f>'FR-16(7)(v)-3 PROD Comm Alloc'!J272</f>
        <v>0</v>
      </c>
      <c r="I272" s="534">
        <f>'FR-16(7)(v)-6 DISTR Cust Alloc'!J272</f>
        <v>0</v>
      </c>
      <c r="J272" s="345">
        <f t="shared" si="48"/>
        <v>0</v>
      </c>
      <c r="K272" s="345">
        <f t="shared" si="49"/>
        <v>0</v>
      </c>
    </row>
    <row r="273" spans="1:11" ht="13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3">
        <f>'FR-16(7)(v)-8 TOT CLASS Alloc'!J273</f>
        <v>0</v>
      </c>
      <c r="G273" s="542">
        <f>'FR-16(7)(v)-5 DISTR Dem Alloc'!J273</f>
        <v>0</v>
      </c>
      <c r="H273" s="533">
        <f>'FR-16(7)(v)-3 PROD Comm Alloc'!J273</f>
        <v>0</v>
      </c>
      <c r="I273" s="534">
        <f>'FR-16(7)(v)-6 DISTR Cust Alloc'!J273</f>
        <v>0</v>
      </c>
      <c r="J273" s="345">
        <f t="shared" si="48"/>
        <v>0</v>
      </c>
      <c r="K273" s="345">
        <f t="shared" si="49"/>
        <v>0</v>
      </c>
    </row>
    <row r="274" spans="1:11" ht="13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3">
        <f>'FR-16(7)(v)-8 TOT CLASS Alloc'!J274</f>
        <v>9977</v>
      </c>
      <c r="G274" s="542">
        <f>'FR-16(7)(v)-5 DISTR Dem Alloc'!J274</f>
        <v>9488</v>
      </c>
      <c r="H274" s="533">
        <f>'FR-16(7)(v)-3 PROD Comm Alloc'!J274</f>
        <v>172</v>
      </c>
      <c r="I274" s="534">
        <f>'FR-16(7)(v)-6 DISTR Cust Alloc'!J274</f>
        <v>317</v>
      </c>
      <c r="J274" s="345">
        <f t="shared" si="48"/>
        <v>9977</v>
      </c>
      <c r="K274" s="345">
        <f t="shared" si="49"/>
        <v>0</v>
      </c>
    </row>
    <row r="275" spans="1:11" ht="13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K275" si="50">SUM(F251:F274)</f>
        <v>9977</v>
      </c>
      <c r="G275" s="543">
        <f t="shared" si="50"/>
        <v>9488</v>
      </c>
      <c r="H275" s="535">
        <f t="shared" si="50"/>
        <v>172</v>
      </c>
      <c r="I275" s="536">
        <f t="shared" si="50"/>
        <v>317</v>
      </c>
      <c r="J275" s="346">
        <f t="shared" si="50"/>
        <v>9977</v>
      </c>
      <c r="K275" s="346">
        <f t="shared" si="50"/>
        <v>0</v>
      </c>
    </row>
    <row r="276" spans="1:11" ht="13">
      <c r="A276" s="331">
        <v>27</v>
      </c>
      <c r="D276" s="342"/>
      <c r="E276" s="195"/>
      <c r="G276" s="541"/>
      <c r="H276" s="531"/>
      <c r="I276" s="532"/>
    </row>
    <row r="277" spans="1:11" ht="13">
      <c r="A277" s="331">
        <v>28</v>
      </c>
      <c r="B277" s="330" t="s">
        <v>30</v>
      </c>
      <c r="D277" s="342"/>
      <c r="E277" s="195"/>
      <c r="G277" s="541"/>
      <c r="H277" s="531"/>
      <c r="I277" s="532"/>
    </row>
    <row r="278" spans="1:11" ht="13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3">
        <f>'FR-16(7)(v)-8 TOT CLASS Alloc'!J278</f>
        <v>0</v>
      </c>
      <c r="G278" s="542">
        <f>'FR-16(7)(v)-5 DISTR Dem Alloc'!J278</f>
        <v>0</v>
      </c>
      <c r="H278" s="533">
        <f>'FR-16(7)(v)-3 PROD Comm Alloc'!J278</f>
        <v>0</v>
      </c>
      <c r="I278" s="534">
        <f>'FR-16(7)(v)-6 DISTR Cust Alloc'!J278</f>
        <v>0</v>
      </c>
      <c r="J278" s="345">
        <f>SUM(G278:I278)</f>
        <v>0</v>
      </c>
      <c r="K278" s="345">
        <f>F278-J278</f>
        <v>0</v>
      </c>
    </row>
    <row r="279" spans="1:11" ht="13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3">
        <f>'FR-16(7)(v)-8 TOT CLASS Alloc'!J279</f>
        <v>0</v>
      </c>
      <c r="G279" s="542">
        <f>'FR-16(7)(v)-5 DISTR Dem Alloc'!J279</f>
        <v>0</v>
      </c>
      <c r="H279" s="533">
        <f>'FR-16(7)(v)-3 PROD Comm Alloc'!J279</f>
        <v>0</v>
      </c>
      <c r="I279" s="534">
        <f>'FR-16(7)(v)-6 DISTR Cust Alloc'!J279</f>
        <v>0</v>
      </c>
      <c r="J279" s="345">
        <f>SUM(G279:I279)</f>
        <v>0</v>
      </c>
      <c r="K279" s="345">
        <f>F279-J279</f>
        <v>0</v>
      </c>
    </row>
    <row r="280" spans="1:11" ht="13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3">
        <f>'FR-16(7)(v)-8 TOT CLASS Alloc'!J280</f>
        <v>0</v>
      </c>
      <c r="G280" s="542">
        <f>'FR-16(7)(v)-5 DISTR Dem Alloc'!J280</f>
        <v>0</v>
      </c>
      <c r="H280" s="533">
        <f>'FR-16(7)(v)-3 PROD Comm Alloc'!J280</f>
        <v>0</v>
      </c>
      <c r="I280" s="534">
        <f>'FR-16(7)(v)-6 DISTR Cust Alloc'!J280</f>
        <v>0</v>
      </c>
      <c r="J280" s="345">
        <f>SUM(G280:I280)</f>
        <v>0</v>
      </c>
      <c r="K280" s="345">
        <f>F280-J280</f>
        <v>0</v>
      </c>
    </row>
    <row r="281" spans="1:11" ht="13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543">
        <f>SUM(G277:G280)</f>
        <v>0</v>
      </c>
      <c r="H281" s="535">
        <f>SUM(H277:H280)</f>
        <v>0</v>
      </c>
      <c r="I281" s="536">
        <f>SUM(I277:I280)</f>
        <v>0</v>
      </c>
      <c r="J281" s="346">
        <f>SUM(J277:J280)</f>
        <v>0</v>
      </c>
      <c r="K281" s="346">
        <f>SUM(K277:K280)</f>
        <v>0</v>
      </c>
    </row>
    <row r="282" spans="1:11" ht="13">
      <c r="A282" s="331">
        <v>33</v>
      </c>
      <c r="D282" s="342"/>
      <c r="F282" s="333" t="s">
        <v>343</v>
      </c>
      <c r="G282" s="541"/>
      <c r="H282" s="531"/>
      <c r="I282" s="532"/>
    </row>
    <row r="283" spans="1:11" ht="13">
      <c r="A283" s="331">
        <v>34</v>
      </c>
      <c r="B283" s="330" t="s">
        <v>818</v>
      </c>
      <c r="D283" s="342"/>
      <c r="F283" s="345">
        <f t="shared" ref="F283:K283" si="51">F275+F281</f>
        <v>9977</v>
      </c>
      <c r="G283" s="544">
        <f t="shared" si="51"/>
        <v>9488</v>
      </c>
      <c r="H283" s="537">
        <f t="shared" si="51"/>
        <v>172</v>
      </c>
      <c r="I283" s="538">
        <f t="shared" si="51"/>
        <v>317</v>
      </c>
      <c r="J283" s="345">
        <f t="shared" si="51"/>
        <v>9977</v>
      </c>
      <c r="K283" s="345">
        <f t="shared" si="51"/>
        <v>0</v>
      </c>
    </row>
    <row r="284" spans="1:11" ht="13">
      <c r="B284" s="341"/>
      <c r="C284" s="195"/>
      <c r="D284" s="342"/>
      <c r="E284" s="195"/>
      <c r="F284" s="195"/>
      <c r="G284" s="195"/>
      <c r="H284" s="195"/>
      <c r="I284" s="195"/>
      <c r="J284" s="195"/>
      <c r="K284" s="195"/>
    </row>
    <row r="285" spans="1:11" ht="13">
      <c r="A285" s="341" t="str">
        <f>co_name</f>
        <v>DUKE ENERGY KENTUCKY, INC.</v>
      </c>
      <c r="C285" s="195"/>
      <c r="D285" s="342"/>
      <c r="E285" s="195"/>
      <c r="F285" s="195"/>
      <c r="G285" s="195"/>
      <c r="H285" s="195"/>
      <c r="I285" s="195"/>
      <c r="J285" s="195" t="str">
        <f>$J$1</f>
        <v>FR-16(7)(v)-12</v>
      </c>
      <c r="K285" s="195"/>
    </row>
    <row r="286" spans="1:11" ht="13">
      <c r="A286" s="341" t="str">
        <f>$A$2</f>
        <v>INTERRUPTIBLE TRANSPORTATION CLASSIFIED - GAS COST OF SERVICE</v>
      </c>
      <c r="C286" s="195"/>
      <c r="D286" s="342"/>
      <c r="E286" s="195"/>
      <c r="F286" s="195"/>
      <c r="G286" s="195"/>
      <c r="H286" s="195"/>
      <c r="I286" s="195"/>
      <c r="J286" s="195" t="str">
        <f>$J$2</f>
        <v>WITNESS RESPONSIBLE:</v>
      </c>
      <c r="K286" s="195"/>
    </row>
    <row r="287" spans="1:11" ht="13">
      <c r="A287" s="341" t="str">
        <f>case_name</f>
        <v>CASE NO: 2021-00190</v>
      </c>
      <c r="C287" s="195"/>
      <c r="D287" s="342"/>
      <c r="E287" s="195"/>
      <c r="F287" s="195"/>
      <c r="G287" s="195"/>
      <c r="H287" s="195"/>
      <c r="I287" s="195"/>
      <c r="J287" s="195" t="str">
        <f>Witness</f>
        <v>JAMES E. ZIOLKOWSKI</v>
      </c>
      <c r="K287" s="195"/>
    </row>
    <row r="288" spans="1:11" ht="13">
      <c r="A288" s="341" t="str">
        <f>data_filing</f>
        <v>DATA: 12 MONTH FORECASTED PERIOD</v>
      </c>
      <c r="C288" s="195"/>
      <c r="D288" s="342"/>
      <c r="E288" s="195"/>
      <c r="F288" s="195"/>
      <c r="G288" s="195"/>
      <c r="H288" s="195"/>
      <c r="I288" s="195"/>
      <c r="J288" s="195" t="str">
        <f>"PAGE "&amp;Pages2-8&amp;" OF "&amp;Pages2</f>
        <v>PAGE 7 OF 15</v>
      </c>
      <c r="K288" s="195"/>
    </row>
    <row r="289" spans="1:13" ht="13">
      <c r="A289" s="341" t="str">
        <f>type</f>
        <v xml:space="preserve">TYPE OF FILING: "X" ORIGINAL   UPDATED    REVISED  </v>
      </c>
      <c r="C289" s="195"/>
      <c r="D289" s="342"/>
      <c r="E289" s="195"/>
      <c r="F289" s="195"/>
      <c r="G289" s="195"/>
      <c r="H289" s="195"/>
      <c r="I289" s="195"/>
      <c r="J289" s="195"/>
      <c r="K289" s="195"/>
    </row>
    <row r="290" spans="1:13" ht="13">
      <c r="B290" s="341"/>
      <c r="C290" s="195"/>
      <c r="D290" s="342"/>
      <c r="E290" s="195"/>
      <c r="F290" s="195"/>
      <c r="G290" s="195"/>
      <c r="H290" s="195"/>
      <c r="I290" s="195"/>
      <c r="J290" s="195"/>
      <c r="K290" s="195"/>
    </row>
    <row r="291" spans="1:13" ht="13">
      <c r="B291" s="341"/>
      <c r="C291" s="195"/>
      <c r="D291" s="342"/>
      <c r="E291" s="195"/>
      <c r="F291" s="195"/>
      <c r="G291" s="195"/>
      <c r="H291" s="195"/>
      <c r="I291" s="195"/>
      <c r="J291" s="195"/>
      <c r="K291" s="195"/>
    </row>
    <row r="292" spans="1:13" ht="13">
      <c r="A292" s="342" t="s">
        <v>907</v>
      </c>
      <c r="B292" s="195"/>
      <c r="C292" s="195"/>
      <c r="D292" s="342"/>
      <c r="E292" s="195"/>
      <c r="F292" s="342" t="s">
        <v>229</v>
      </c>
      <c r="G292" s="539" t="s">
        <v>995</v>
      </c>
      <c r="H292" s="527"/>
      <c r="I292" s="528"/>
      <c r="J292" s="342" t="s">
        <v>229</v>
      </c>
      <c r="K292" s="342" t="s">
        <v>342</v>
      </c>
    </row>
    <row r="293" spans="1:13" ht="13">
      <c r="A293" s="344" t="s">
        <v>908</v>
      </c>
      <c r="B293" s="343" t="s">
        <v>32</v>
      </c>
      <c r="C293" s="343"/>
      <c r="D293" s="344" t="s">
        <v>337</v>
      </c>
      <c r="E293" s="343"/>
      <c r="F293" s="344" t="str">
        <f>$F$9</f>
        <v>INTERRUPTIBLE</v>
      </c>
      <c r="G293" s="540" t="s">
        <v>840</v>
      </c>
      <c r="H293" s="529" t="s">
        <v>841</v>
      </c>
      <c r="I293" s="530" t="s">
        <v>842</v>
      </c>
      <c r="J293" s="344" t="s">
        <v>341</v>
      </c>
      <c r="K293" s="344" t="s">
        <v>340</v>
      </c>
    </row>
    <row r="294" spans="1:13" ht="13">
      <c r="C294" s="572" t="s">
        <v>556</v>
      </c>
      <c r="D294" s="342"/>
      <c r="E294" s="484"/>
      <c r="F294" s="485"/>
      <c r="G294" s="793">
        <f>$G$10</f>
        <v>3</v>
      </c>
      <c r="H294" s="794">
        <f>$H$10</f>
        <v>4</v>
      </c>
      <c r="I294" s="795">
        <f>$I$10</f>
        <v>5</v>
      </c>
      <c r="J294" s="484"/>
      <c r="K294" s="484"/>
    </row>
    <row r="295" spans="1:13" ht="13">
      <c r="C295" s="572"/>
      <c r="D295" s="342"/>
      <c r="E295" s="484"/>
      <c r="F295" s="485"/>
      <c r="G295" s="793"/>
      <c r="H295" s="794"/>
      <c r="I295" s="795"/>
      <c r="J295" s="484"/>
      <c r="K295" s="484"/>
    </row>
    <row r="296" spans="1:13" ht="13">
      <c r="A296" s="331">
        <v>1</v>
      </c>
      <c r="B296" s="330" t="s">
        <v>31</v>
      </c>
      <c r="D296" s="342"/>
      <c r="E296" s="195"/>
      <c r="F296" s="345">
        <f t="shared" ref="F296:K296" si="52">F191-F238+F283</f>
        <v>12827552</v>
      </c>
      <c r="G296" s="542">
        <f t="shared" si="52"/>
        <v>12272363</v>
      </c>
      <c r="H296" s="533">
        <f t="shared" si="52"/>
        <v>4331</v>
      </c>
      <c r="I296" s="534">
        <f t="shared" si="52"/>
        <v>550858</v>
      </c>
      <c r="J296" s="345">
        <f t="shared" si="52"/>
        <v>12827552</v>
      </c>
      <c r="K296" s="345">
        <f t="shared" si="52"/>
        <v>0</v>
      </c>
    </row>
    <row r="297" spans="1:13" ht="13">
      <c r="A297" s="331">
        <v>2</v>
      </c>
      <c r="D297" s="342"/>
      <c r="E297" s="195"/>
      <c r="G297" s="541"/>
      <c r="H297" s="531"/>
      <c r="I297" s="532"/>
    </row>
    <row r="298" spans="1:13" ht="13">
      <c r="A298" s="331">
        <v>3</v>
      </c>
      <c r="B298" s="330" t="s">
        <v>32</v>
      </c>
      <c r="D298" s="342"/>
      <c r="E298" s="195"/>
      <c r="G298" s="541"/>
      <c r="H298" s="531"/>
      <c r="I298" s="532"/>
    </row>
    <row r="299" spans="1:13" ht="13">
      <c r="A299" s="331">
        <v>4</v>
      </c>
      <c r="D299" s="342"/>
      <c r="E299" s="195"/>
      <c r="G299" s="541"/>
      <c r="H299" s="531"/>
      <c r="I299" s="532"/>
    </row>
    <row r="300" spans="1:13" ht="13">
      <c r="A300" s="331">
        <v>5</v>
      </c>
      <c r="B300" s="330" t="s">
        <v>33</v>
      </c>
      <c r="D300" s="342"/>
      <c r="E300" s="195"/>
      <c r="G300" s="541"/>
      <c r="H300" s="531"/>
      <c r="I300" s="532"/>
    </row>
    <row r="301" spans="1:13" ht="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3">
        <f>'FR-16(7)(v)-8 TOT CLASS Alloc'!J301</f>
        <v>0</v>
      </c>
      <c r="G301" s="542">
        <f>'FR-16(7)(v)-5 DISTR Dem Alloc'!J301</f>
        <v>0</v>
      </c>
      <c r="H301" s="533">
        <f>'FR-16(7)(v)-3 PROD Comm Alloc'!J301</f>
        <v>0</v>
      </c>
      <c r="I301" s="534">
        <f>'FR-16(7)(v)-6 DISTR Cust Alloc'!J301</f>
        <v>0</v>
      </c>
      <c r="J301" s="345">
        <f>SUM(G301:I301)</f>
        <v>0</v>
      </c>
      <c r="K301" s="345">
        <f>F301-J301</f>
        <v>0</v>
      </c>
      <c r="M301" s="333"/>
    </row>
    <row r="302" spans="1:13" ht="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3">
        <f>'FR-16(7)(v)-8 TOT CLASS Alloc'!J302</f>
        <v>11673</v>
      </c>
      <c r="G302" s="542">
        <f>'FR-16(7)(v)-5 DISTR Dem Alloc'!J302</f>
        <v>11168</v>
      </c>
      <c r="H302" s="533">
        <f>'FR-16(7)(v)-3 PROD Comm Alloc'!J302</f>
        <v>4</v>
      </c>
      <c r="I302" s="534">
        <f>'FR-16(7)(v)-6 DISTR Cust Alloc'!J302</f>
        <v>501</v>
      </c>
      <c r="J302" s="345">
        <f>SUM(G302:I302)</f>
        <v>11673</v>
      </c>
      <c r="K302" s="345">
        <f>F302-J302</f>
        <v>0</v>
      </c>
      <c r="M302" s="333"/>
    </row>
    <row r="303" spans="1:13" ht="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K303" si="53">SUM(F300:F302)</f>
        <v>11673</v>
      </c>
      <c r="G303" s="543">
        <f t="shared" si="53"/>
        <v>11168</v>
      </c>
      <c r="H303" s="535">
        <f t="shared" si="53"/>
        <v>4</v>
      </c>
      <c r="I303" s="536">
        <f t="shared" si="53"/>
        <v>501</v>
      </c>
      <c r="J303" s="346">
        <f t="shared" si="53"/>
        <v>11673</v>
      </c>
      <c r="K303" s="346">
        <f t="shared" si="53"/>
        <v>0</v>
      </c>
    </row>
    <row r="304" spans="1:13" ht="13">
      <c r="A304" s="331">
        <v>9</v>
      </c>
      <c r="B304" s="330" t="s">
        <v>34</v>
      </c>
      <c r="D304" s="342"/>
      <c r="E304" s="195"/>
      <c r="F304" s="345">
        <f t="shared" ref="F304:K304" si="54">F303</f>
        <v>11673</v>
      </c>
      <c r="G304" s="542">
        <f t="shared" si="54"/>
        <v>11168</v>
      </c>
      <c r="H304" s="533">
        <f t="shared" si="54"/>
        <v>4</v>
      </c>
      <c r="I304" s="534">
        <f t="shared" si="54"/>
        <v>501</v>
      </c>
      <c r="J304" s="345">
        <f t="shared" si="54"/>
        <v>11673</v>
      </c>
      <c r="K304" s="345">
        <f t="shared" si="54"/>
        <v>0</v>
      </c>
    </row>
    <row r="305" spans="1:13" ht="13">
      <c r="A305" s="331">
        <v>10</v>
      </c>
      <c r="D305" s="342"/>
      <c r="E305" s="195"/>
      <c r="G305" s="541"/>
      <c r="H305" s="531"/>
      <c r="I305" s="532"/>
    </row>
    <row r="306" spans="1:13" ht="13">
      <c r="A306" s="331">
        <v>11</v>
      </c>
      <c r="B306" s="330" t="s">
        <v>35</v>
      </c>
      <c r="D306" s="342"/>
      <c r="E306" s="195"/>
      <c r="G306" s="541"/>
      <c r="H306" s="531"/>
      <c r="I306" s="532"/>
    </row>
    <row r="307" spans="1:13" ht="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3">
        <f>'FR-16(7)(v)-8 TOT CLASS Alloc'!J307</f>
        <v>922</v>
      </c>
      <c r="G307" s="542">
        <f>'FR-16(7)(v)-5 DISTR Dem Alloc'!J307</f>
        <v>639</v>
      </c>
      <c r="H307" s="533">
        <f>'FR-16(7)(v)-3 PROD Comm Alloc'!J307</f>
        <v>261</v>
      </c>
      <c r="I307" s="534">
        <f>'FR-16(7)(v)-6 DISTR Cust Alloc'!J307</f>
        <v>22</v>
      </c>
      <c r="J307" s="345">
        <f>SUM(G307:I307)</f>
        <v>922</v>
      </c>
      <c r="K307" s="345">
        <f>F307-J307</f>
        <v>0</v>
      </c>
      <c r="M307" s="333"/>
    </row>
    <row r="308" spans="1:13" ht="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3">
        <f>'FR-16(7)(v)-8 TOT CLASS Alloc'!J308</f>
        <v>0</v>
      </c>
      <c r="G308" s="542">
        <f>'FR-16(7)(v)-5 DISTR Dem Alloc'!J308</f>
        <v>0</v>
      </c>
      <c r="H308" s="533">
        <f>'FR-16(7)(v)-3 PROD Comm Alloc'!J308</f>
        <v>0</v>
      </c>
      <c r="I308" s="534">
        <f>'FR-16(7)(v)-6 DISTR Cust Alloc'!J308</f>
        <v>0</v>
      </c>
      <c r="J308" s="345">
        <f>SUM(G308:I308)</f>
        <v>0</v>
      </c>
      <c r="K308" s="345">
        <f>F308-J308</f>
        <v>0</v>
      </c>
      <c r="M308" s="333"/>
    </row>
    <row r="309" spans="1:13" ht="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3">
        <f>'FR-16(7)(v)-8 TOT CLASS Alloc'!J309</f>
        <v>0</v>
      </c>
      <c r="G309" s="542">
        <f>'FR-16(7)(v)-5 DISTR Dem Alloc'!J309</f>
        <v>0</v>
      </c>
      <c r="H309" s="533">
        <f>'FR-16(7)(v)-3 PROD Comm Alloc'!J309</f>
        <v>0</v>
      </c>
      <c r="I309" s="534">
        <f>'FR-16(7)(v)-6 DISTR Cust Alloc'!J309</f>
        <v>0</v>
      </c>
      <c r="J309" s="345">
        <f>SUM(G309:I309)</f>
        <v>0</v>
      </c>
      <c r="K309" s="345">
        <f>F309-J309</f>
        <v>0</v>
      </c>
      <c r="M309" s="333"/>
    </row>
    <row r="310" spans="1:13" ht="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3">
        <f t="shared" ref="F310:K310" si="55">SUM(F306:F309)</f>
        <v>922</v>
      </c>
      <c r="G310" s="574">
        <f t="shared" si="55"/>
        <v>639</v>
      </c>
      <c r="H310" s="575">
        <f t="shared" si="55"/>
        <v>261</v>
      </c>
      <c r="I310" s="576">
        <f t="shared" si="55"/>
        <v>22</v>
      </c>
      <c r="J310" s="573">
        <f t="shared" si="55"/>
        <v>922</v>
      </c>
      <c r="K310" s="573">
        <f t="shared" si="55"/>
        <v>0</v>
      </c>
    </row>
    <row r="311" spans="1:13" ht="13">
      <c r="A311" s="331">
        <v>16</v>
      </c>
      <c r="D311" s="342"/>
      <c r="E311" s="195"/>
      <c r="G311" s="541"/>
      <c r="H311" s="531"/>
      <c r="I311" s="532"/>
    </row>
    <row r="312" spans="1:13" ht="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542">
        <f>IF(WorkingCap="No",0,ROUND((G433-G348-G353)/8,0))</f>
        <v>0</v>
      </c>
      <c r="H312" s="533">
        <f>IF(WorkingCap="No",0,ROUND((H433-H348-H353)/8,0))</f>
        <v>0</v>
      </c>
      <c r="I312" s="534">
        <f>IF(WorkingCap="No",0,ROUND((I433-I348-I353)/8,0))</f>
        <v>0</v>
      </c>
      <c r="J312" s="345">
        <f>SUM(G312:I312)</f>
        <v>0</v>
      </c>
      <c r="K312" s="345">
        <f>F312-J312</f>
        <v>0</v>
      </c>
    </row>
    <row r="313" spans="1:13" ht="13">
      <c r="A313" s="331">
        <v>18</v>
      </c>
      <c r="B313" s="330" t="s">
        <v>37</v>
      </c>
      <c r="D313" s="342"/>
      <c r="E313" s="195"/>
      <c r="F313" s="345">
        <f t="shared" ref="F313:K313" si="56">F312</f>
        <v>0</v>
      </c>
      <c r="G313" s="542">
        <f t="shared" si="56"/>
        <v>0</v>
      </c>
      <c r="H313" s="533">
        <f t="shared" si="56"/>
        <v>0</v>
      </c>
      <c r="I313" s="534">
        <f t="shared" si="56"/>
        <v>0</v>
      </c>
      <c r="J313" s="345">
        <f t="shared" si="56"/>
        <v>0</v>
      </c>
      <c r="K313" s="345">
        <f t="shared" si="56"/>
        <v>0</v>
      </c>
    </row>
    <row r="314" spans="1:13" ht="13">
      <c r="A314" s="331">
        <v>19</v>
      </c>
      <c r="D314" s="342"/>
      <c r="E314" s="195"/>
      <c r="G314" s="541"/>
      <c r="H314" s="531"/>
      <c r="I314" s="532"/>
    </row>
    <row r="315" spans="1:13" ht="13">
      <c r="A315" s="331">
        <v>20</v>
      </c>
      <c r="B315" s="330" t="s">
        <v>38</v>
      </c>
      <c r="D315" s="342"/>
      <c r="E315" s="195"/>
      <c r="G315" s="541"/>
      <c r="H315" s="531"/>
      <c r="I315" s="532"/>
    </row>
    <row r="316" spans="1:13" ht="13">
      <c r="A316" s="331">
        <v>21</v>
      </c>
      <c r="C316" s="612" t="str">
        <f>'FR-16(7)(v)-1 Functional'!C316</f>
        <v>GAS STORED UNDERGROUND</v>
      </c>
      <c r="D316" s="342" t="str">
        <f>'FR-16(7)(v)-1 Functional'!D316</f>
        <v>K301</v>
      </c>
      <c r="E316" s="195"/>
      <c r="F316" s="473">
        <f>'FR-16(7)(v)-8 TOT CLASS Alloc'!J316</f>
        <v>0</v>
      </c>
      <c r="G316" s="542">
        <f>'FR-16(7)(v)-5 DISTR Dem Alloc'!J316</f>
        <v>0</v>
      </c>
      <c r="H316" s="533">
        <f>'FR-16(7)(v)-3 PROD Comm Alloc'!J316</f>
        <v>0</v>
      </c>
      <c r="I316" s="534">
        <f>'FR-16(7)(v)-6 DISTR Cust Alloc'!J316</f>
        <v>0</v>
      </c>
      <c r="J316" s="345">
        <f>SUM(G316:I316)</f>
        <v>0</v>
      </c>
      <c r="K316" s="345">
        <f>F316-J316</f>
        <v>0</v>
      </c>
      <c r="M316" s="333"/>
    </row>
    <row r="317" spans="1:13" ht="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3">
        <f>'FR-16(7)(v)-8 TOT CLASS Alloc'!J317</f>
        <v>0</v>
      </c>
      <c r="G317" s="542">
        <f>'FR-16(7)(v)-5 DISTR Dem Alloc'!J317</f>
        <v>0</v>
      </c>
      <c r="H317" s="533">
        <f>'FR-16(7)(v)-3 PROD Comm Alloc'!J317</f>
        <v>0</v>
      </c>
      <c r="I317" s="534">
        <f>'FR-16(7)(v)-6 DISTR Cust Alloc'!J317</f>
        <v>0</v>
      </c>
      <c r="J317" s="345">
        <f>SUM(G317:I317)</f>
        <v>0</v>
      </c>
      <c r="K317" s="345">
        <f>F317-J317</f>
        <v>0</v>
      </c>
      <c r="M317" s="333"/>
    </row>
    <row r="318" spans="1:13" ht="13">
      <c r="A318" s="331">
        <v>23</v>
      </c>
      <c r="C318" s="505" t="str">
        <f>'FR-16(7)(v)-1 Functional'!C318</f>
        <v>RESERVED FOR FUTURE USE</v>
      </c>
      <c r="D318" s="342" t="str">
        <f>'FR-16(7)(v)-1 Functional'!D318</f>
        <v>D249</v>
      </c>
      <c r="E318" s="195"/>
      <c r="F318" s="473">
        <f>'FR-16(7)(v)-8 TOT CLASS Alloc'!J318</f>
        <v>0</v>
      </c>
      <c r="G318" s="542">
        <f>'FR-16(7)(v)-5 DISTR Dem Alloc'!J318</f>
        <v>0</v>
      </c>
      <c r="H318" s="533">
        <f>'FR-16(7)(v)-3 PROD Comm Alloc'!J318</f>
        <v>0</v>
      </c>
      <c r="I318" s="534">
        <f>'FR-16(7)(v)-6 DISTR Cust Alloc'!J318</f>
        <v>0</v>
      </c>
      <c r="J318" s="345">
        <f>SUM(G318:I318)</f>
        <v>0</v>
      </c>
      <c r="K318" s="345">
        <f>F318-J318</f>
        <v>0</v>
      </c>
      <c r="M318" s="333"/>
    </row>
    <row r="319" spans="1:13" ht="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K319" si="57">SUM(F315:F318)</f>
        <v>0</v>
      </c>
      <c r="G319" s="543">
        <f t="shared" si="57"/>
        <v>0</v>
      </c>
      <c r="H319" s="535">
        <f t="shared" si="57"/>
        <v>0</v>
      </c>
      <c r="I319" s="536">
        <f t="shared" si="57"/>
        <v>0</v>
      </c>
      <c r="J319" s="346">
        <f t="shared" si="57"/>
        <v>0</v>
      </c>
      <c r="K319" s="346">
        <f t="shared" si="57"/>
        <v>0</v>
      </c>
    </row>
    <row r="320" spans="1:13" ht="13">
      <c r="A320" s="331">
        <v>25</v>
      </c>
      <c r="D320" s="342"/>
      <c r="E320" s="195"/>
      <c r="G320" s="541"/>
      <c r="H320" s="531"/>
      <c r="I320" s="532"/>
    </row>
    <row r="321" spans="1:13" ht="13">
      <c r="A321" s="331">
        <v>26</v>
      </c>
      <c r="B321" s="330" t="s">
        <v>39</v>
      </c>
      <c r="D321" s="342"/>
      <c r="E321" s="195"/>
      <c r="F321" s="345">
        <f t="shared" ref="F321:K321" si="58">F304+F310+F313+F319</f>
        <v>12595</v>
      </c>
      <c r="G321" s="542">
        <f t="shared" si="58"/>
        <v>11807</v>
      </c>
      <c r="H321" s="533">
        <f t="shared" si="58"/>
        <v>265</v>
      </c>
      <c r="I321" s="534">
        <f t="shared" si="58"/>
        <v>523</v>
      </c>
      <c r="J321" s="345">
        <f t="shared" si="58"/>
        <v>12595</v>
      </c>
      <c r="K321" s="345">
        <f t="shared" si="58"/>
        <v>0</v>
      </c>
    </row>
    <row r="322" spans="1:13" ht="13">
      <c r="A322" s="331">
        <v>27</v>
      </c>
      <c r="B322" s="330" t="s">
        <v>40</v>
      </c>
      <c r="D322" s="342"/>
      <c r="E322" s="195"/>
      <c r="G322" s="541"/>
      <c r="H322" s="531"/>
      <c r="I322" s="532"/>
    </row>
    <row r="323" spans="1:13" ht="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K323" si="59">-F238</f>
        <v>-2799987</v>
      </c>
      <c r="G323" s="542">
        <f t="shared" si="59"/>
        <v>-2679121</v>
      </c>
      <c r="H323" s="533">
        <f t="shared" si="59"/>
        <v>-656</v>
      </c>
      <c r="I323" s="534">
        <f t="shared" si="59"/>
        <v>-120210</v>
      </c>
      <c r="J323" s="345">
        <f t="shared" si="59"/>
        <v>-2799987</v>
      </c>
      <c r="K323" s="345">
        <f t="shared" si="59"/>
        <v>0</v>
      </c>
      <c r="M323" s="333"/>
    </row>
    <row r="324" spans="1:13" ht="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K324" si="60">F283</f>
        <v>9977</v>
      </c>
      <c r="G324" s="542">
        <f t="shared" si="60"/>
        <v>9488</v>
      </c>
      <c r="H324" s="533">
        <f t="shared" si="60"/>
        <v>172</v>
      </c>
      <c r="I324" s="534">
        <f t="shared" si="60"/>
        <v>317</v>
      </c>
      <c r="J324" s="345">
        <f t="shared" si="60"/>
        <v>9977</v>
      </c>
      <c r="K324" s="345">
        <f t="shared" si="60"/>
        <v>0</v>
      </c>
      <c r="M324" s="333"/>
    </row>
    <row r="325" spans="1:13" ht="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K325" si="61">F321</f>
        <v>12595</v>
      </c>
      <c r="G325" s="542">
        <f t="shared" si="61"/>
        <v>11807</v>
      </c>
      <c r="H325" s="533">
        <f t="shared" si="61"/>
        <v>265</v>
      </c>
      <c r="I325" s="534">
        <f t="shared" si="61"/>
        <v>523</v>
      </c>
      <c r="J325" s="345">
        <f t="shared" si="61"/>
        <v>12595</v>
      </c>
      <c r="K325" s="345">
        <f t="shared" si="61"/>
        <v>0</v>
      </c>
      <c r="M325" s="333"/>
    </row>
    <row r="326" spans="1:13" ht="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K326" si="62">SUM(F322:F325)</f>
        <v>-2777415</v>
      </c>
      <c r="G326" s="543">
        <f t="shared" si="62"/>
        <v>-2657826</v>
      </c>
      <c r="H326" s="535">
        <f t="shared" si="62"/>
        <v>-219</v>
      </c>
      <c r="I326" s="536">
        <f t="shared" si="62"/>
        <v>-119370</v>
      </c>
      <c r="J326" s="346">
        <f>SUM(J322:J325)</f>
        <v>-2777415</v>
      </c>
      <c r="K326" s="346">
        <f t="shared" si="62"/>
        <v>0</v>
      </c>
    </row>
    <row r="327" spans="1:13" ht="13">
      <c r="A327" s="331">
        <v>32</v>
      </c>
      <c r="D327" s="342"/>
      <c r="E327" s="195"/>
      <c r="G327" s="541"/>
      <c r="H327" s="531"/>
      <c r="I327" s="532"/>
    </row>
    <row r="328" spans="1:13" ht="13">
      <c r="A328" s="331">
        <v>33</v>
      </c>
      <c r="B328" s="330" t="s">
        <v>41</v>
      </c>
      <c r="D328" s="342"/>
      <c r="E328" s="195"/>
      <c r="G328" s="541"/>
      <c r="H328" s="531"/>
      <c r="I328" s="532"/>
    </row>
    <row r="329" spans="1:13" ht="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K329" si="63">F191</f>
        <v>15617562</v>
      </c>
      <c r="G329" s="542">
        <f t="shared" si="63"/>
        <v>14941996</v>
      </c>
      <c r="H329" s="533">
        <f t="shared" si="63"/>
        <v>4815</v>
      </c>
      <c r="I329" s="534">
        <f t="shared" si="63"/>
        <v>670751</v>
      </c>
      <c r="J329" s="345">
        <f t="shared" si="63"/>
        <v>15617562</v>
      </c>
      <c r="K329" s="345">
        <f t="shared" si="63"/>
        <v>0</v>
      </c>
    </row>
    <row r="330" spans="1:13" ht="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K330" si="64">F326</f>
        <v>-2777415</v>
      </c>
      <c r="G330" s="542">
        <f t="shared" si="64"/>
        <v>-2657826</v>
      </c>
      <c r="H330" s="533">
        <f t="shared" si="64"/>
        <v>-219</v>
      </c>
      <c r="I330" s="534">
        <f t="shared" si="64"/>
        <v>-119370</v>
      </c>
      <c r="J330" s="345">
        <f t="shared" si="64"/>
        <v>-2777415</v>
      </c>
      <c r="K330" s="345">
        <f t="shared" si="64"/>
        <v>0</v>
      </c>
    </row>
    <row r="331" spans="1:13" ht="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K331" si="65">SUM(F328:F330)</f>
        <v>12840147</v>
      </c>
      <c r="G331" s="543">
        <f t="shared" si="65"/>
        <v>12284170</v>
      </c>
      <c r="H331" s="535">
        <f t="shared" si="65"/>
        <v>4596</v>
      </c>
      <c r="I331" s="536">
        <f t="shared" si="65"/>
        <v>551381</v>
      </c>
      <c r="J331" s="346">
        <f t="shared" si="65"/>
        <v>12840147</v>
      </c>
      <c r="K331" s="346">
        <f t="shared" si="65"/>
        <v>0</v>
      </c>
    </row>
    <row r="332" spans="1:13" ht="13">
      <c r="A332" s="331">
        <v>37</v>
      </c>
      <c r="D332" s="342"/>
      <c r="E332" s="195"/>
      <c r="G332" s="541"/>
      <c r="H332" s="531"/>
      <c r="I332" s="532"/>
    </row>
    <row r="333" spans="1:13" ht="13">
      <c r="A333" s="331">
        <v>38</v>
      </c>
      <c r="B333" s="330" t="s">
        <v>42</v>
      </c>
      <c r="D333" s="342"/>
      <c r="E333" s="195"/>
      <c r="F333" s="348">
        <f>$F$688</f>
        <v>7.060000000000001E-2</v>
      </c>
      <c r="G333" s="1267">
        <f>F688</f>
        <v>7.060000000000001E-2</v>
      </c>
      <c r="H333" s="1268">
        <f>F688</f>
        <v>7.060000000000001E-2</v>
      </c>
      <c r="I333" s="1269">
        <f>F688</f>
        <v>7.060000000000001E-2</v>
      </c>
      <c r="J333" s="348">
        <f>F688</f>
        <v>7.060000000000001E-2</v>
      </c>
      <c r="K333" s="348">
        <f>'FR-16(7)(v)-1 Functional'!F688</f>
        <v>7.060000000000001E-2</v>
      </c>
    </row>
    <row r="334" spans="1:13" ht="13">
      <c r="A334" s="331">
        <v>39</v>
      </c>
      <c r="B334" s="330" t="s">
        <v>43</v>
      </c>
      <c r="D334" s="342"/>
      <c r="E334" s="195"/>
      <c r="F334" s="345">
        <f>ROUND(F333*F331,0)</f>
        <v>906514</v>
      </c>
      <c r="G334" s="548">
        <f>ROUND(G331*G333,0)</f>
        <v>867262</v>
      </c>
      <c r="H334" s="549">
        <f>ROUND(H331*H333,0)</f>
        <v>324</v>
      </c>
      <c r="I334" s="550">
        <f>ROUND(I331*I333,0)</f>
        <v>38927</v>
      </c>
      <c r="J334" s="345">
        <f>SUM(G334:I334)</f>
        <v>906513</v>
      </c>
      <c r="K334" s="345">
        <f>ROUND(K331*K333,0)</f>
        <v>0</v>
      </c>
    </row>
    <row r="335" spans="1:13" ht="13">
      <c r="B335" s="341"/>
      <c r="C335" s="195"/>
      <c r="D335" s="342"/>
      <c r="E335" s="195"/>
      <c r="F335" s="195"/>
      <c r="G335" s="195"/>
      <c r="H335" s="195"/>
      <c r="I335" s="195"/>
      <c r="J335" s="195"/>
      <c r="K335" s="195"/>
    </row>
    <row r="336" spans="1:13" ht="13">
      <c r="A336" s="341" t="str">
        <f>co_name</f>
        <v>DUKE ENERGY KENTUCKY, INC.</v>
      </c>
      <c r="C336" s="195"/>
      <c r="D336" s="342"/>
      <c r="E336" s="195"/>
      <c r="F336" s="195"/>
      <c r="G336" s="195"/>
      <c r="H336" s="195"/>
      <c r="I336" s="195"/>
      <c r="J336" s="195" t="str">
        <f>$J$1</f>
        <v>FR-16(7)(v)-12</v>
      </c>
      <c r="K336" s="195"/>
    </row>
    <row r="337" spans="1:11" ht="13">
      <c r="A337" s="341" t="str">
        <f>$A$2</f>
        <v>INTERRUPTIBLE TRANSPORTATION CLASSIFIED - GAS COST OF SERVICE</v>
      </c>
      <c r="C337" s="195"/>
      <c r="D337" s="342"/>
      <c r="E337" s="195"/>
      <c r="F337" s="195"/>
      <c r="G337" s="195"/>
      <c r="H337" s="195"/>
      <c r="I337" s="195"/>
      <c r="J337" s="195" t="str">
        <f>$J$2</f>
        <v>WITNESS RESPONSIBLE:</v>
      </c>
      <c r="K337" s="195"/>
    </row>
    <row r="338" spans="1:11" ht="13">
      <c r="A338" s="341" t="str">
        <f>case_name</f>
        <v>CASE NO: 2021-00190</v>
      </c>
      <c r="C338" s="195"/>
      <c r="D338" s="342"/>
      <c r="E338" s="195"/>
      <c r="F338" s="195"/>
      <c r="G338" s="195"/>
      <c r="H338" s="195"/>
      <c r="I338" s="195"/>
      <c r="J338" s="195" t="str">
        <f>Witness</f>
        <v>JAMES E. ZIOLKOWSKI</v>
      </c>
      <c r="K338" s="195"/>
    </row>
    <row r="339" spans="1:11" ht="13">
      <c r="A339" s="341" t="str">
        <f>data_filing</f>
        <v>DATA: 12 MONTH FORECASTED PERIOD</v>
      </c>
      <c r="C339" s="195"/>
      <c r="D339" s="342"/>
      <c r="E339" s="195"/>
      <c r="F339" s="195"/>
      <c r="G339" s="195"/>
      <c r="H339" s="195"/>
      <c r="I339" s="195"/>
      <c r="J339" s="195" t="str">
        <f>"PAGE "&amp;Pages2-7&amp;" OF "&amp;Pages2</f>
        <v>PAGE 8 OF 15</v>
      </c>
      <c r="K339" s="195"/>
    </row>
    <row r="340" spans="1:11" ht="13">
      <c r="A340" s="341" t="str">
        <f>type</f>
        <v xml:space="preserve">TYPE OF FILING: "X" ORIGINAL   UPDATED    REVISED  </v>
      </c>
      <c r="C340" s="195"/>
      <c r="D340" s="342"/>
      <c r="E340" s="195"/>
      <c r="F340" s="195"/>
      <c r="G340" s="195"/>
      <c r="H340" s="195"/>
      <c r="I340" s="195"/>
      <c r="J340" s="195"/>
      <c r="K340" s="195"/>
    </row>
    <row r="341" spans="1:11" ht="13">
      <c r="B341" s="341"/>
      <c r="C341" s="195"/>
      <c r="D341" s="342"/>
      <c r="E341" s="195"/>
      <c r="F341" s="195"/>
      <c r="G341" s="195"/>
      <c r="H341" s="195"/>
      <c r="I341" s="195"/>
      <c r="J341" s="195"/>
      <c r="K341" s="195"/>
    </row>
    <row r="342" spans="1:11" ht="13">
      <c r="B342" s="341"/>
      <c r="C342" s="195"/>
      <c r="D342" s="342"/>
      <c r="E342" s="195"/>
      <c r="F342" s="195"/>
      <c r="G342" s="195"/>
      <c r="H342" s="195"/>
      <c r="I342" s="195"/>
      <c r="J342" s="195"/>
      <c r="K342" s="195"/>
    </row>
    <row r="343" spans="1:11" ht="13">
      <c r="A343" s="342" t="s">
        <v>907</v>
      </c>
      <c r="B343" s="195"/>
      <c r="C343" s="195"/>
      <c r="D343" s="342"/>
      <c r="E343" s="195"/>
      <c r="F343" s="342" t="s">
        <v>229</v>
      </c>
      <c r="G343" s="539" t="s">
        <v>995</v>
      </c>
      <c r="H343" s="527"/>
      <c r="I343" s="528"/>
      <c r="J343" s="342" t="s">
        <v>229</v>
      </c>
      <c r="K343" s="342" t="s">
        <v>342</v>
      </c>
    </row>
    <row r="344" spans="1:11" ht="13">
      <c r="A344" s="344" t="s">
        <v>908</v>
      </c>
      <c r="B344" s="343" t="s">
        <v>44</v>
      </c>
      <c r="C344" s="343"/>
      <c r="D344" s="344" t="s">
        <v>337</v>
      </c>
      <c r="E344" s="343"/>
      <c r="F344" s="344" t="str">
        <f>$F$9</f>
        <v>INTERRUPTIBLE</v>
      </c>
      <c r="G344" s="540" t="s">
        <v>840</v>
      </c>
      <c r="H344" s="529" t="s">
        <v>841</v>
      </c>
      <c r="I344" s="530" t="s">
        <v>842</v>
      </c>
      <c r="J344" s="344" t="s">
        <v>341</v>
      </c>
      <c r="K344" s="344" t="s">
        <v>340</v>
      </c>
    </row>
    <row r="345" spans="1:11" ht="13">
      <c r="C345" s="572" t="s">
        <v>348</v>
      </c>
      <c r="D345" s="342"/>
      <c r="E345" s="195"/>
      <c r="G345" s="793">
        <f>$G$10</f>
        <v>3</v>
      </c>
      <c r="H345" s="794">
        <f>$H$10</f>
        <v>4</v>
      </c>
      <c r="I345" s="795">
        <f>$I$10</f>
        <v>5</v>
      </c>
    </row>
    <row r="346" spans="1:11" ht="13">
      <c r="A346" s="331">
        <v>1</v>
      </c>
      <c r="B346" s="330" t="s">
        <v>45</v>
      </c>
      <c r="D346" s="342"/>
      <c r="E346" s="195"/>
      <c r="G346" s="541"/>
      <c r="H346" s="531"/>
      <c r="I346" s="532"/>
    </row>
    <row r="347" spans="1:11" ht="13">
      <c r="A347" s="331">
        <v>2</v>
      </c>
      <c r="B347" s="330" t="s">
        <v>46</v>
      </c>
      <c r="D347" s="342"/>
      <c r="E347" s="195"/>
      <c r="G347" s="541"/>
      <c r="H347" s="531"/>
      <c r="I347" s="532"/>
    </row>
    <row r="348" spans="1:11" ht="13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3">
        <f>'FR-16(7)(v)-8 TOT CLASS Alloc'!J348</f>
        <v>0</v>
      </c>
      <c r="G348" s="542">
        <f>'FR-16(7)(v)-5 DISTR Dem Alloc'!J348</f>
        <v>0</v>
      </c>
      <c r="H348" s="533">
        <f>'FR-16(7)(v)-3 PROD Comm Alloc'!J348</f>
        <v>0</v>
      </c>
      <c r="I348" s="534">
        <f>'FR-16(7)(v)-6 DISTR Cust Alloc'!J348</f>
        <v>0</v>
      </c>
      <c r="J348" s="345">
        <f>SUM(G348:I348)</f>
        <v>0</v>
      </c>
      <c r="K348" s="345">
        <f>F348-J348</f>
        <v>0</v>
      </c>
    </row>
    <row r="349" spans="1:11" ht="13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3">
        <f>'FR-16(7)(v)-8 TOT CLASS Alloc'!J349</f>
        <v>160018</v>
      </c>
      <c r="G349" s="542">
        <f>'FR-16(7)(v)-5 DISTR Dem Alloc'!J349</f>
        <v>0</v>
      </c>
      <c r="H349" s="533">
        <f>'FR-16(7)(v)-3 PROD Comm Alloc'!J349</f>
        <v>160018</v>
      </c>
      <c r="I349" s="534">
        <f>'FR-16(7)(v)-6 DISTR Cust Alloc'!J349</f>
        <v>0</v>
      </c>
      <c r="J349" s="345">
        <f>SUM(G349:I349)</f>
        <v>160018</v>
      </c>
      <c r="K349" s="345">
        <f>F349-J349</f>
        <v>0</v>
      </c>
    </row>
    <row r="350" spans="1:11" ht="13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K350" si="66">SUM(F348:F349)</f>
        <v>160018</v>
      </c>
      <c r="G350" s="543">
        <f t="shared" si="66"/>
        <v>0</v>
      </c>
      <c r="H350" s="535">
        <f t="shared" si="66"/>
        <v>160018</v>
      </c>
      <c r="I350" s="536">
        <f t="shared" si="66"/>
        <v>0</v>
      </c>
      <c r="J350" s="346">
        <f t="shared" si="66"/>
        <v>160018</v>
      </c>
      <c r="K350" s="346">
        <f t="shared" si="66"/>
        <v>0</v>
      </c>
    </row>
    <row r="351" spans="1:11" ht="13">
      <c r="A351" s="331">
        <v>6</v>
      </c>
      <c r="D351" s="342"/>
      <c r="E351" s="195"/>
      <c r="G351" s="541"/>
      <c r="H351" s="531"/>
      <c r="I351" s="532"/>
    </row>
    <row r="352" spans="1:11" ht="13">
      <c r="A352" s="331">
        <v>7</v>
      </c>
      <c r="B352" s="357" t="s">
        <v>47</v>
      </c>
      <c r="C352" s="357"/>
      <c r="D352" s="342"/>
      <c r="E352" s="195"/>
      <c r="F352" s="345"/>
      <c r="G352" s="542"/>
      <c r="H352" s="533"/>
      <c r="I352" s="534"/>
      <c r="J352" s="345"/>
      <c r="K352" s="345"/>
    </row>
    <row r="353" spans="1:11" ht="13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3">
        <f>'FR-16(7)(v)-8 TOT CLASS Alloc'!J353</f>
        <v>0</v>
      </c>
      <c r="G353" s="542">
        <f>'FR-16(7)(v)-5 DISTR Dem Alloc'!J353</f>
        <v>0</v>
      </c>
      <c r="H353" s="533">
        <f>'FR-16(7)(v)-3 PROD Comm Alloc'!J353</f>
        <v>0</v>
      </c>
      <c r="I353" s="534">
        <f>'FR-16(7)(v)-6 DISTR Cust Alloc'!J353</f>
        <v>0</v>
      </c>
      <c r="J353" s="345">
        <f>SUM(G353:I353)</f>
        <v>0</v>
      </c>
      <c r="K353" s="345">
        <f>F353-J353</f>
        <v>0</v>
      </c>
    </row>
    <row r="354" spans="1:11" ht="13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K354" si="67">SUM(F352:F353)</f>
        <v>0</v>
      </c>
      <c r="G354" s="543">
        <f t="shared" si="67"/>
        <v>0</v>
      </c>
      <c r="H354" s="535">
        <f t="shared" si="67"/>
        <v>0</v>
      </c>
      <c r="I354" s="536">
        <f t="shared" si="67"/>
        <v>0</v>
      </c>
      <c r="J354" s="346">
        <f t="shared" si="67"/>
        <v>0</v>
      </c>
      <c r="K354" s="346">
        <f t="shared" si="67"/>
        <v>0</v>
      </c>
    </row>
    <row r="355" spans="1:11" ht="13">
      <c r="A355" s="331">
        <v>10</v>
      </c>
      <c r="D355" s="342"/>
      <c r="E355" s="195"/>
      <c r="G355" s="541"/>
      <c r="H355" s="531"/>
      <c r="I355" s="532"/>
    </row>
    <row r="356" spans="1:11" ht="13">
      <c r="A356" s="331">
        <v>11</v>
      </c>
      <c r="B356" s="330" t="s">
        <v>1000</v>
      </c>
      <c r="D356" s="342"/>
      <c r="E356" s="195"/>
      <c r="G356" s="541"/>
      <c r="H356" s="531"/>
      <c r="I356" s="532"/>
    </row>
    <row r="357" spans="1:11" ht="13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3">
        <f>'FR-16(7)(v)-8 TOT CLASS Alloc'!J357</f>
        <v>0</v>
      </c>
      <c r="G357" s="542">
        <f>'FR-16(7)(v)-5 DISTR Dem Alloc'!J357</f>
        <v>0</v>
      </c>
      <c r="H357" s="533">
        <f>'FR-16(7)(v)-3 PROD Comm Alloc'!J357</f>
        <v>0</v>
      </c>
      <c r="I357" s="534">
        <f>'FR-16(7)(v)-6 DISTR Cust Alloc'!J357</f>
        <v>0</v>
      </c>
      <c r="J357" s="345">
        <f>SUM(G357:I357)</f>
        <v>0</v>
      </c>
      <c r="K357" s="345">
        <f>F357-J357</f>
        <v>0</v>
      </c>
    </row>
    <row r="358" spans="1:11" ht="13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K358" si="68">SUM(F356:F357)</f>
        <v>0</v>
      </c>
      <c r="G358" s="543">
        <f t="shared" si="68"/>
        <v>0</v>
      </c>
      <c r="H358" s="535">
        <f t="shared" si="68"/>
        <v>0</v>
      </c>
      <c r="I358" s="536">
        <f t="shared" si="68"/>
        <v>0</v>
      </c>
      <c r="J358" s="346">
        <f t="shared" si="68"/>
        <v>0</v>
      </c>
      <c r="K358" s="346">
        <f t="shared" si="68"/>
        <v>0</v>
      </c>
    </row>
    <row r="359" spans="1:11" ht="13">
      <c r="A359" s="331">
        <v>14</v>
      </c>
      <c r="D359" s="342"/>
      <c r="E359" s="195"/>
      <c r="F359" s="345"/>
      <c r="G359" s="542"/>
      <c r="H359" s="533"/>
      <c r="I359" s="534"/>
      <c r="J359" s="345"/>
      <c r="K359" s="345"/>
    </row>
    <row r="360" spans="1:11" ht="13">
      <c r="A360" s="331">
        <v>15</v>
      </c>
      <c r="B360" s="330" t="s">
        <v>48</v>
      </c>
      <c r="D360" s="342"/>
      <c r="E360" s="195" t="s">
        <v>343</v>
      </c>
      <c r="F360" s="345">
        <f t="shared" ref="F360:K360" si="69">F358+F354+F350</f>
        <v>160018</v>
      </c>
      <c r="G360" s="542">
        <f t="shared" si="69"/>
        <v>0</v>
      </c>
      <c r="H360" s="533">
        <f t="shared" si="69"/>
        <v>160018</v>
      </c>
      <c r="I360" s="534">
        <f t="shared" si="69"/>
        <v>0</v>
      </c>
      <c r="J360" s="345">
        <f t="shared" si="69"/>
        <v>160018</v>
      </c>
      <c r="K360" s="345">
        <f t="shared" si="69"/>
        <v>0</v>
      </c>
    </row>
    <row r="361" spans="1:11" ht="13">
      <c r="A361" s="331">
        <v>16</v>
      </c>
      <c r="D361" s="342"/>
      <c r="E361" s="195"/>
      <c r="G361" s="541"/>
      <c r="H361" s="531"/>
      <c r="I361" s="532"/>
    </row>
    <row r="362" spans="1:11" ht="13">
      <c r="A362" s="331">
        <v>17</v>
      </c>
      <c r="B362" s="330" t="s">
        <v>49</v>
      </c>
      <c r="D362" s="342"/>
      <c r="E362" s="195"/>
      <c r="G362" s="541"/>
      <c r="H362" s="531"/>
      <c r="I362" s="532"/>
    </row>
    <row r="363" spans="1:11" ht="13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1"/>
      <c r="G363" s="542"/>
      <c r="H363" s="533"/>
      <c r="I363" s="534"/>
      <c r="J363" s="345"/>
      <c r="K363" s="345"/>
    </row>
    <row r="364" spans="1:11" ht="13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K364" si="70">SUM(F363)</f>
        <v>0</v>
      </c>
      <c r="G364" s="543">
        <f t="shared" si="70"/>
        <v>0</v>
      </c>
      <c r="H364" s="535">
        <f t="shared" si="70"/>
        <v>0</v>
      </c>
      <c r="I364" s="536">
        <f t="shared" si="70"/>
        <v>0</v>
      </c>
      <c r="J364" s="346">
        <f t="shared" si="70"/>
        <v>0</v>
      </c>
      <c r="K364" s="346">
        <f t="shared" si="70"/>
        <v>0</v>
      </c>
    </row>
    <row r="365" spans="1:11" ht="13">
      <c r="A365" s="331">
        <v>20</v>
      </c>
      <c r="D365" s="342"/>
      <c r="E365" s="195"/>
      <c r="G365" s="541"/>
      <c r="H365" s="531"/>
      <c r="I365" s="532"/>
    </row>
    <row r="366" spans="1:11" ht="13">
      <c r="A366" s="331">
        <v>21</v>
      </c>
      <c r="B366" s="330" t="s">
        <v>50</v>
      </c>
      <c r="D366" s="342"/>
      <c r="E366" s="195"/>
      <c r="G366" s="541"/>
      <c r="H366" s="531"/>
      <c r="I366" s="532"/>
    </row>
    <row r="367" spans="1:11" ht="13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3">
        <f>'FR-16(7)(v)-8 TOT CLASS Alloc'!J367</f>
        <v>11238</v>
      </c>
      <c r="G367" s="542">
        <f>'FR-16(7)(v)-5 DISTR Dem Alloc'!J367</f>
        <v>11238</v>
      </c>
      <c r="H367" s="533">
        <f>'FR-16(7)(v)-3 PROD Comm Alloc'!J367</f>
        <v>0</v>
      </c>
      <c r="I367" s="534">
        <f>'FR-16(7)(v)-6 DISTR Cust Alloc'!J367</f>
        <v>0</v>
      </c>
      <c r="J367" s="345">
        <f t="shared" ref="J367:J377" si="71">SUM(G367:I367)</f>
        <v>11238</v>
      </c>
      <c r="K367" s="345">
        <f t="shared" ref="K367:K377" si="72">F367-J367</f>
        <v>0</v>
      </c>
    </row>
    <row r="368" spans="1:11" ht="13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3">
        <f>'FR-16(7)(v)-8 TOT CLASS Alloc'!J368</f>
        <v>37437</v>
      </c>
      <c r="G368" s="542">
        <f>'FR-16(7)(v)-5 DISTR Dem Alloc'!J368</f>
        <v>36644</v>
      </c>
      <c r="H368" s="533">
        <f>'FR-16(7)(v)-3 PROD Comm Alloc'!J368</f>
        <v>0</v>
      </c>
      <c r="I368" s="534">
        <f>'FR-16(7)(v)-6 DISTR Cust Alloc'!J368</f>
        <v>793</v>
      </c>
      <c r="J368" s="345">
        <f t="shared" si="71"/>
        <v>37437</v>
      </c>
      <c r="K368" s="345">
        <f t="shared" si="72"/>
        <v>0</v>
      </c>
    </row>
    <row r="369" spans="1:11" ht="13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3">
        <f>'FR-16(7)(v)-8 TOT CLASS Alloc'!J369</f>
        <v>8656</v>
      </c>
      <c r="G369" s="542">
        <f>'FR-16(7)(v)-5 DISTR Dem Alloc'!J369</f>
        <v>8656</v>
      </c>
      <c r="H369" s="533">
        <f>'FR-16(7)(v)-3 PROD Comm Alloc'!J369</f>
        <v>0</v>
      </c>
      <c r="I369" s="534">
        <f>'FR-16(7)(v)-6 DISTR Cust Alloc'!J369</f>
        <v>0</v>
      </c>
      <c r="J369" s="345">
        <f t="shared" si="71"/>
        <v>8656</v>
      </c>
      <c r="K369" s="345">
        <f t="shared" si="72"/>
        <v>0</v>
      </c>
    </row>
    <row r="370" spans="1:11" ht="13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3">
        <f>'FR-16(7)(v)-8 TOT CLASS Alloc'!J370</f>
        <v>56299</v>
      </c>
      <c r="G370" s="542">
        <f>'FR-16(7)(v)-5 DISTR Dem Alloc'!J370</f>
        <v>56299</v>
      </c>
      <c r="H370" s="533">
        <f>'FR-16(7)(v)-3 PROD Comm Alloc'!J370</f>
        <v>0</v>
      </c>
      <c r="I370" s="534">
        <f>'FR-16(7)(v)-6 DISTR Cust Alloc'!J370</f>
        <v>0</v>
      </c>
      <c r="J370" s="345">
        <f t="shared" si="71"/>
        <v>56299</v>
      </c>
      <c r="K370" s="345">
        <f t="shared" si="72"/>
        <v>0</v>
      </c>
    </row>
    <row r="371" spans="1:11" ht="13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3">
        <f>'FR-16(7)(v)-8 TOT CLASS Alloc'!J371</f>
        <v>6174</v>
      </c>
      <c r="G371" s="542">
        <f>'FR-16(7)(v)-5 DISTR Dem Alloc'!J371</f>
        <v>0</v>
      </c>
      <c r="H371" s="533">
        <f>'FR-16(7)(v)-3 PROD Comm Alloc'!J371</f>
        <v>0</v>
      </c>
      <c r="I371" s="534">
        <f>'FR-16(7)(v)-6 DISTR Cust Alloc'!J371</f>
        <v>6174</v>
      </c>
      <c r="J371" s="345">
        <f t="shared" si="71"/>
        <v>6174</v>
      </c>
      <c r="K371" s="345">
        <f t="shared" si="72"/>
        <v>0</v>
      </c>
    </row>
    <row r="372" spans="1:11" ht="13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3">
        <f>'FR-16(7)(v)-8 TOT CLASS Alloc'!J372</f>
        <v>49094</v>
      </c>
      <c r="G372" s="542">
        <f>'FR-16(7)(v)-5 DISTR Dem Alloc'!J372</f>
        <v>49094</v>
      </c>
      <c r="H372" s="533">
        <f>'FR-16(7)(v)-3 PROD Comm Alloc'!J372</f>
        <v>0</v>
      </c>
      <c r="I372" s="534">
        <f>'FR-16(7)(v)-6 DISTR Cust Alloc'!J372</f>
        <v>0</v>
      </c>
      <c r="J372" s="345">
        <f t="shared" si="71"/>
        <v>49094</v>
      </c>
      <c r="K372" s="345">
        <f t="shared" si="72"/>
        <v>0</v>
      </c>
    </row>
    <row r="373" spans="1:11" ht="13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3">
        <f>'FR-16(7)(v)-8 TOT CLASS Alloc'!J373</f>
        <v>1049</v>
      </c>
      <c r="G373" s="542">
        <f>'FR-16(7)(v)-5 DISTR Dem Alloc'!J373</f>
        <v>0</v>
      </c>
      <c r="H373" s="533">
        <f>'FR-16(7)(v)-3 PROD Comm Alloc'!J373</f>
        <v>0</v>
      </c>
      <c r="I373" s="534">
        <f>'FR-16(7)(v)-6 DISTR Cust Alloc'!J373</f>
        <v>1049</v>
      </c>
      <c r="J373" s="345">
        <f t="shared" si="71"/>
        <v>1049</v>
      </c>
      <c r="K373" s="345">
        <f t="shared" si="72"/>
        <v>0</v>
      </c>
    </row>
    <row r="374" spans="1:11" ht="13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3">
        <f>'FR-16(7)(v)-8 TOT CLASS Alloc'!J374</f>
        <v>0</v>
      </c>
      <c r="G374" s="542">
        <f>'FR-16(7)(v)-5 DISTR Dem Alloc'!J374</f>
        <v>0</v>
      </c>
      <c r="H374" s="533">
        <f>'FR-16(7)(v)-3 PROD Comm Alloc'!J374</f>
        <v>0</v>
      </c>
      <c r="I374" s="534">
        <f>'FR-16(7)(v)-6 DISTR Cust Alloc'!J374</f>
        <v>0</v>
      </c>
      <c r="J374" s="345">
        <f t="shared" si="71"/>
        <v>0</v>
      </c>
      <c r="K374" s="345">
        <f t="shared" si="72"/>
        <v>0</v>
      </c>
    </row>
    <row r="375" spans="1:11" ht="13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3">
        <f>'FR-16(7)(v)-8 TOT CLASS Alloc'!J375</f>
        <v>-22432</v>
      </c>
      <c r="G375" s="542">
        <f>'FR-16(7)(v)-5 DISTR Dem Alloc'!J375</f>
        <v>-22432</v>
      </c>
      <c r="H375" s="533">
        <f>'FR-16(7)(v)-3 PROD Comm Alloc'!J375</f>
        <v>0</v>
      </c>
      <c r="I375" s="534">
        <f>'FR-16(7)(v)-6 DISTR Cust Alloc'!J375</f>
        <v>0</v>
      </c>
      <c r="J375" s="345">
        <f t="shared" si="71"/>
        <v>-22432</v>
      </c>
      <c r="K375" s="345">
        <f t="shared" si="72"/>
        <v>0</v>
      </c>
    </row>
    <row r="376" spans="1:11" ht="13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3">
        <f>'FR-16(7)(v)-8 TOT CLASS Alloc'!J376</f>
        <v>0</v>
      </c>
      <c r="G376" s="542">
        <f>'FR-16(7)(v)-5 DISTR Dem Alloc'!J376</f>
        <v>0</v>
      </c>
      <c r="H376" s="533">
        <f>'FR-16(7)(v)-3 PROD Comm Alloc'!J376</f>
        <v>0</v>
      </c>
      <c r="I376" s="534">
        <f>'FR-16(7)(v)-6 DISTR Cust Alloc'!J376</f>
        <v>0</v>
      </c>
      <c r="J376" s="345">
        <f t="shared" si="71"/>
        <v>0</v>
      </c>
      <c r="K376" s="345">
        <f t="shared" si="72"/>
        <v>0</v>
      </c>
    </row>
    <row r="377" spans="1:11" ht="13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3">
        <f>'FR-16(7)(v)-8 TOT CLASS Alloc'!J377</f>
        <v>124855</v>
      </c>
      <c r="G377" s="542">
        <f>'FR-16(7)(v)-5 DISTR Dem Alloc'!J377</f>
        <v>124855</v>
      </c>
      <c r="H377" s="533">
        <f>'FR-16(7)(v)-3 PROD Comm Alloc'!J377</f>
        <v>0</v>
      </c>
      <c r="I377" s="534">
        <f>'FR-16(7)(v)-6 DISTR Cust Alloc'!J377</f>
        <v>0</v>
      </c>
      <c r="J377" s="345">
        <f t="shared" si="71"/>
        <v>124855</v>
      </c>
      <c r="K377" s="345">
        <f t="shared" si="72"/>
        <v>0</v>
      </c>
    </row>
    <row r="378" spans="1:11" ht="13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K378" si="73">SUM(F366:F377)</f>
        <v>272370</v>
      </c>
      <c r="G378" s="543">
        <f t="shared" si="73"/>
        <v>264354</v>
      </c>
      <c r="H378" s="535">
        <f t="shared" si="73"/>
        <v>0</v>
      </c>
      <c r="I378" s="536">
        <f t="shared" si="73"/>
        <v>8016</v>
      </c>
      <c r="J378" s="346">
        <f t="shared" si="73"/>
        <v>272370</v>
      </c>
      <c r="K378" s="346">
        <f t="shared" si="73"/>
        <v>0</v>
      </c>
    </row>
    <row r="379" spans="1:11" ht="13">
      <c r="A379" s="331">
        <v>34</v>
      </c>
      <c r="C379" s="330" t="s">
        <v>343</v>
      </c>
      <c r="D379" s="342"/>
      <c r="E379" s="195"/>
      <c r="G379" s="541"/>
      <c r="H379" s="531"/>
      <c r="I379" s="532"/>
    </row>
    <row r="380" spans="1:11" ht="13">
      <c r="A380" s="331">
        <v>35</v>
      </c>
      <c r="B380" s="330" t="s">
        <v>51</v>
      </c>
      <c r="D380" s="342"/>
      <c r="E380" s="195"/>
      <c r="F380" s="330" t="s">
        <v>343</v>
      </c>
      <c r="G380" s="541"/>
      <c r="H380" s="531"/>
      <c r="I380" s="532"/>
    </row>
    <row r="381" spans="1:11" ht="13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3">
        <f>'FR-16(7)(v)-8 TOT CLASS Alloc'!J381</f>
        <v>41</v>
      </c>
      <c r="G381" s="542">
        <f>'FR-16(7)(v)-5 DISTR Dem Alloc'!J381</f>
        <v>0</v>
      </c>
      <c r="H381" s="533">
        <f>'FR-16(7)(v)-3 PROD Comm Alloc'!J381</f>
        <v>0</v>
      </c>
      <c r="I381" s="534">
        <f>'FR-16(7)(v)-6 DISTR Cust Alloc'!J381</f>
        <v>41</v>
      </c>
      <c r="J381" s="345">
        <f t="shared" ref="J381:J388" si="74">SUM(G381:I381)</f>
        <v>41</v>
      </c>
      <c r="K381" s="345">
        <f t="shared" ref="K381:K388" si="75">F381-J381</f>
        <v>0</v>
      </c>
    </row>
    <row r="382" spans="1:11" ht="13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3">
        <f>'FR-16(7)(v)-8 TOT CLASS Alloc'!J382</f>
        <v>0</v>
      </c>
      <c r="G382" s="542">
        <f>'FR-16(7)(v)-5 DISTR Dem Alloc'!J382</f>
        <v>0</v>
      </c>
      <c r="H382" s="533">
        <f>'FR-16(7)(v)-3 PROD Comm Alloc'!J382</f>
        <v>0</v>
      </c>
      <c r="I382" s="534">
        <f>'FR-16(7)(v)-6 DISTR Cust Alloc'!J382</f>
        <v>0</v>
      </c>
      <c r="J382" s="345">
        <f t="shared" si="74"/>
        <v>0</v>
      </c>
      <c r="K382" s="345">
        <f t="shared" si="75"/>
        <v>0</v>
      </c>
    </row>
    <row r="383" spans="1:11" ht="13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3">
        <f>'FR-16(7)(v)-8 TOT CLASS Alloc'!J383</f>
        <v>935</v>
      </c>
      <c r="G383" s="542">
        <f>'FR-16(7)(v)-5 DISTR Dem Alloc'!J383</f>
        <v>0</v>
      </c>
      <c r="H383" s="533">
        <f>'FR-16(7)(v)-3 PROD Comm Alloc'!J383</f>
        <v>0</v>
      </c>
      <c r="I383" s="534">
        <f>'FR-16(7)(v)-6 DISTR Cust Alloc'!J383</f>
        <v>935</v>
      </c>
      <c r="J383" s="345">
        <f t="shared" si="74"/>
        <v>935</v>
      </c>
      <c r="K383" s="345">
        <f t="shared" si="75"/>
        <v>0</v>
      </c>
    </row>
    <row r="384" spans="1:11" ht="13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3">
        <f>'FR-16(7)(v)-8 TOT CLASS Alloc'!J384</f>
        <v>-270</v>
      </c>
      <c r="G384" s="542">
        <f>'FR-16(7)(v)-5 DISTR Dem Alloc'!J384</f>
        <v>0</v>
      </c>
      <c r="H384" s="533">
        <f>'FR-16(7)(v)-3 PROD Comm Alloc'!J384</f>
        <v>0</v>
      </c>
      <c r="I384" s="534">
        <f>'FR-16(7)(v)-6 DISTR Cust Alloc'!J384</f>
        <v>-270</v>
      </c>
      <c r="J384" s="345">
        <f t="shared" si="74"/>
        <v>-270</v>
      </c>
      <c r="K384" s="345">
        <f t="shared" si="75"/>
        <v>0</v>
      </c>
    </row>
    <row r="385" spans="1:11" ht="13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3">
        <f>'FR-16(7)(v)-8 TOT CLASS Alloc'!J385</f>
        <v>-6</v>
      </c>
      <c r="G385" s="542">
        <f>'FR-16(7)(v)-5 DISTR Dem Alloc'!J385</f>
        <v>0</v>
      </c>
      <c r="H385" s="533">
        <f>'FR-16(7)(v)-3 PROD Comm Alloc'!J385</f>
        <v>0</v>
      </c>
      <c r="I385" s="534">
        <f>'FR-16(7)(v)-6 DISTR Cust Alloc'!J385</f>
        <v>-6</v>
      </c>
      <c r="J385" s="345">
        <f t="shared" si="74"/>
        <v>-6</v>
      </c>
      <c r="K385" s="345">
        <f t="shared" si="75"/>
        <v>0</v>
      </c>
    </row>
    <row r="386" spans="1:11" ht="13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3">
        <f>'FR-16(7)(v)-8 TOT CLASS Alloc'!J386</f>
        <v>258</v>
      </c>
      <c r="G386" s="542">
        <f>'FR-16(7)(v)-5 DISTR Dem Alloc'!J386</f>
        <v>0</v>
      </c>
      <c r="H386" s="533">
        <f>'FR-16(7)(v)-3 PROD Comm Alloc'!J386</f>
        <v>0</v>
      </c>
      <c r="I386" s="534">
        <f>'FR-16(7)(v)-6 DISTR Cust Alloc'!J386</f>
        <v>258</v>
      </c>
      <c r="J386" s="345">
        <f t="shared" si="74"/>
        <v>258</v>
      </c>
      <c r="K386" s="345">
        <f t="shared" si="75"/>
        <v>0</v>
      </c>
    </row>
    <row r="387" spans="1:11" ht="13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3">
        <f>'FR-16(7)(v)-8 TOT CLASS Alloc'!J387</f>
        <v>0</v>
      </c>
      <c r="G387" s="542">
        <f>'FR-16(7)(v)-5 DISTR Dem Alloc'!J387</f>
        <v>0</v>
      </c>
      <c r="H387" s="533">
        <f>'FR-16(7)(v)-3 PROD Comm Alloc'!J387</f>
        <v>0</v>
      </c>
      <c r="I387" s="534">
        <f>'FR-16(7)(v)-6 DISTR Cust Alloc'!J387</f>
        <v>0</v>
      </c>
      <c r="J387" s="345">
        <f t="shared" si="74"/>
        <v>0</v>
      </c>
      <c r="K387" s="345">
        <f t="shared" si="75"/>
        <v>0</v>
      </c>
    </row>
    <row r="388" spans="1:11" ht="13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3">
        <f>'FR-16(7)(v)-8 TOT CLASS Alloc'!J388</f>
        <v>0</v>
      </c>
      <c r="G388" s="542">
        <f>'FR-16(7)(v)-5 DISTR Dem Alloc'!J388</f>
        <v>0</v>
      </c>
      <c r="H388" s="533">
        <f>'FR-16(7)(v)-3 PROD Comm Alloc'!J388</f>
        <v>0</v>
      </c>
      <c r="I388" s="534">
        <f>'FR-16(7)(v)-6 DISTR Cust Alloc'!J388</f>
        <v>0</v>
      </c>
      <c r="J388" s="345">
        <f t="shared" si="74"/>
        <v>0</v>
      </c>
      <c r="K388" s="345">
        <f t="shared" si="75"/>
        <v>0</v>
      </c>
    </row>
    <row r="389" spans="1:11" ht="13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K389" si="76">SUM(F380:F388)</f>
        <v>958</v>
      </c>
      <c r="G389" s="551">
        <f t="shared" si="76"/>
        <v>0</v>
      </c>
      <c r="H389" s="552">
        <f t="shared" si="76"/>
        <v>0</v>
      </c>
      <c r="I389" s="553">
        <f t="shared" si="76"/>
        <v>958</v>
      </c>
      <c r="J389" s="346">
        <f t="shared" si="76"/>
        <v>958</v>
      </c>
      <c r="K389" s="346">
        <f t="shared" si="76"/>
        <v>0</v>
      </c>
    </row>
    <row r="390" spans="1:11" ht="13">
      <c r="B390" s="341"/>
      <c r="C390" s="195"/>
      <c r="D390" s="342"/>
      <c r="E390" s="195"/>
      <c r="F390" s="195"/>
      <c r="G390" s="195"/>
      <c r="H390" s="195"/>
      <c r="I390" s="195"/>
      <c r="J390" s="195"/>
      <c r="K390" s="195"/>
    </row>
    <row r="391" spans="1:11" ht="13">
      <c r="A391" s="341" t="str">
        <f>co_name</f>
        <v>DUKE ENERGY KENTUCKY, INC.</v>
      </c>
      <c r="C391" s="195"/>
      <c r="D391" s="342"/>
      <c r="E391" s="195"/>
      <c r="F391" s="195"/>
      <c r="G391" s="195"/>
      <c r="H391" s="195"/>
      <c r="I391" s="195"/>
      <c r="J391" s="195" t="str">
        <f>$J$1</f>
        <v>FR-16(7)(v)-12</v>
      </c>
      <c r="K391" s="195"/>
    </row>
    <row r="392" spans="1:11" ht="13">
      <c r="A392" s="341" t="str">
        <f>$A$2</f>
        <v>INTERRUPTIBLE TRANSPORTATION CLASSIFIED - GAS COST OF SERVICE</v>
      </c>
      <c r="C392" s="195"/>
      <c r="D392" s="342"/>
      <c r="E392" s="195"/>
      <c r="F392" s="195"/>
      <c r="G392" s="195"/>
      <c r="H392" s="195"/>
      <c r="I392" s="195"/>
      <c r="J392" s="195" t="str">
        <f>$J$2</f>
        <v>WITNESS RESPONSIBLE:</v>
      </c>
      <c r="K392" s="195"/>
    </row>
    <row r="393" spans="1:11" ht="13">
      <c r="A393" s="341" t="str">
        <f>case_name</f>
        <v>CASE NO: 2021-00190</v>
      </c>
      <c r="C393" s="195"/>
      <c r="D393" s="342"/>
      <c r="E393" s="195"/>
      <c r="F393" s="195"/>
      <c r="G393" s="195"/>
      <c r="H393" s="195"/>
      <c r="I393" s="195"/>
      <c r="J393" s="195" t="str">
        <f>Witness</f>
        <v>JAMES E. ZIOLKOWSKI</v>
      </c>
      <c r="K393" s="195"/>
    </row>
    <row r="394" spans="1:11" ht="13">
      <c r="A394" s="341" t="str">
        <f>data_filing</f>
        <v>DATA: 12 MONTH FORECASTED PERIOD</v>
      </c>
      <c r="C394" s="195"/>
      <c r="D394" s="342"/>
      <c r="E394" s="195"/>
      <c r="F394" s="195"/>
      <c r="G394" s="195"/>
      <c r="H394" s="195"/>
      <c r="I394" s="195"/>
      <c r="J394" s="195" t="str">
        <f>"PAGE "&amp;Pages2-6&amp;" OF "&amp;Pages2</f>
        <v>PAGE 9 OF 15</v>
      </c>
      <c r="K394" s="195"/>
    </row>
    <row r="395" spans="1:11" ht="13">
      <c r="A395" s="341" t="str">
        <f>type</f>
        <v xml:space="preserve">TYPE OF FILING: "X" ORIGINAL   UPDATED    REVISED  </v>
      </c>
      <c r="C395" s="195"/>
      <c r="D395" s="342"/>
      <c r="E395" s="195"/>
      <c r="F395" s="195"/>
      <c r="G395" s="195"/>
      <c r="H395" s="195"/>
      <c r="I395" s="195"/>
      <c r="J395" s="195"/>
      <c r="K395" s="195"/>
    </row>
    <row r="396" spans="1:11" ht="13">
      <c r="B396" s="341"/>
      <c r="C396" s="195"/>
      <c r="D396" s="342"/>
      <c r="E396" s="195"/>
      <c r="F396" s="195"/>
      <c r="G396" s="195"/>
      <c r="H396" s="195"/>
      <c r="I396" s="195"/>
      <c r="J396" s="195"/>
      <c r="K396" s="195"/>
    </row>
    <row r="397" spans="1:11" ht="13">
      <c r="B397" s="341"/>
      <c r="C397" s="195"/>
      <c r="D397" s="342"/>
      <c r="E397" s="195"/>
      <c r="F397" s="195"/>
      <c r="G397" s="195"/>
      <c r="H397" s="195"/>
      <c r="I397" s="195"/>
      <c r="J397" s="195"/>
      <c r="K397" s="195"/>
    </row>
    <row r="398" spans="1:11" ht="13">
      <c r="A398" s="342" t="s">
        <v>907</v>
      </c>
      <c r="B398" s="195"/>
      <c r="C398" s="195"/>
      <c r="D398" s="342"/>
      <c r="E398" s="195"/>
      <c r="F398" s="342" t="s">
        <v>229</v>
      </c>
      <c r="G398" s="539" t="s">
        <v>995</v>
      </c>
      <c r="H398" s="527"/>
      <c r="I398" s="528"/>
      <c r="J398" s="342" t="s">
        <v>229</v>
      </c>
      <c r="K398" s="342" t="s">
        <v>342</v>
      </c>
    </row>
    <row r="399" spans="1:11" ht="13">
      <c r="A399" s="344" t="s">
        <v>908</v>
      </c>
      <c r="B399" s="343" t="s">
        <v>44</v>
      </c>
      <c r="C399" s="343"/>
      <c r="D399" s="344" t="s">
        <v>337</v>
      </c>
      <c r="E399" s="343"/>
      <c r="F399" s="344" t="str">
        <f>$F$9</f>
        <v>INTERRUPTIBLE</v>
      </c>
      <c r="G399" s="540" t="s">
        <v>840</v>
      </c>
      <c r="H399" s="529" t="s">
        <v>841</v>
      </c>
      <c r="I399" s="530" t="s">
        <v>842</v>
      </c>
      <c r="J399" s="344" t="s">
        <v>341</v>
      </c>
      <c r="K399" s="344" t="s">
        <v>340</v>
      </c>
    </row>
    <row r="400" spans="1:11" ht="13">
      <c r="C400" s="572" t="s">
        <v>557</v>
      </c>
      <c r="D400" s="342"/>
      <c r="E400" s="195"/>
      <c r="G400" s="793">
        <f>$G$10</f>
        <v>3</v>
      </c>
      <c r="H400" s="794">
        <f>$H$10</f>
        <v>4</v>
      </c>
      <c r="I400" s="795">
        <f>$I$10</f>
        <v>5</v>
      </c>
    </row>
    <row r="401" spans="1:11" ht="13">
      <c r="A401" s="331">
        <v>1</v>
      </c>
      <c r="B401" s="330" t="s">
        <v>52</v>
      </c>
      <c r="D401" s="342"/>
      <c r="E401" s="195"/>
      <c r="G401" s="541"/>
      <c r="H401" s="531"/>
      <c r="I401" s="532"/>
    </row>
    <row r="402" spans="1:11" ht="13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3">
        <f>'FR-16(7)(v)-8 TOT CLASS Alloc'!J402</f>
        <v>86</v>
      </c>
      <c r="G402" s="542">
        <f>'FR-16(7)(v)-5 DISTR Dem Alloc'!J402</f>
        <v>0</v>
      </c>
      <c r="H402" s="533">
        <f>'FR-16(7)(v)-3 PROD Comm Alloc'!J402</f>
        <v>0</v>
      </c>
      <c r="I402" s="534">
        <f>'FR-16(7)(v)-6 DISTR Cust Alloc'!J402</f>
        <v>86</v>
      </c>
      <c r="J402" s="345">
        <f>SUM(G402:I402)</f>
        <v>86</v>
      </c>
      <c r="K402" s="345">
        <f>F402-J402</f>
        <v>0</v>
      </c>
    </row>
    <row r="403" spans="1:11" ht="13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K403" si="77">SUM(F402:F402)</f>
        <v>86</v>
      </c>
      <c r="G403" s="543">
        <f t="shared" si="77"/>
        <v>0</v>
      </c>
      <c r="H403" s="535">
        <f t="shared" si="77"/>
        <v>0</v>
      </c>
      <c r="I403" s="536">
        <f t="shared" si="77"/>
        <v>86</v>
      </c>
      <c r="J403" s="346">
        <f t="shared" si="77"/>
        <v>86</v>
      </c>
      <c r="K403" s="346">
        <f t="shared" si="77"/>
        <v>0</v>
      </c>
    </row>
    <row r="404" spans="1:11" ht="13">
      <c r="A404" s="331">
        <v>4</v>
      </c>
      <c r="D404" s="342"/>
      <c r="E404" s="195"/>
      <c r="F404" s="345"/>
      <c r="G404" s="542"/>
      <c r="H404" s="533"/>
      <c r="I404" s="534"/>
      <c r="J404" s="345"/>
      <c r="K404" s="345"/>
    </row>
    <row r="405" spans="1:11" ht="13">
      <c r="A405" s="331">
        <v>5</v>
      </c>
      <c r="B405" s="330" t="s">
        <v>53</v>
      </c>
      <c r="D405" s="342"/>
      <c r="E405" s="195"/>
      <c r="F405" s="345"/>
      <c r="G405" s="542"/>
      <c r="H405" s="533"/>
      <c r="I405" s="534"/>
      <c r="J405" s="345"/>
      <c r="K405" s="345"/>
    </row>
    <row r="406" spans="1:11" ht="13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3">
        <f>'FR-16(7)(v)-8 TOT CLASS Alloc'!J406</f>
        <v>152</v>
      </c>
      <c r="G406" s="542">
        <f>'FR-16(7)(v)-5 DISTR Dem Alloc'!J406</f>
        <v>0</v>
      </c>
      <c r="H406" s="533">
        <f>'FR-16(7)(v)-3 PROD Comm Alloc'!J406</f>
        <v>0</v>
      </c>
      <c r="I406" s="534">
        <f>'FR-16(7)(v)-6 DISTR Cust Alloc'!J406</f>
        <v>152</v>
      </c>
      <c r="J406" s="345">
        <f>SUM(G406:I406)</f>
        <v>152</v>
      </c>
      <c r="K406" s="345">
        <f>F406-J406</f>
        <v>0</v>
      </c>
    </row>
    <row r="407" spans="1:11" ht="13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K407" si="78">SUM(F405:F406)</f>
        <v>152</v>
      </c>
      <c r="G407" s="543">
        <f t="shared" si="78"/>
        <v>0</v>
      </c>
      <c r="H407" s="535">
        <f t="shared" si="78"/>
        <v>0</v>
      </c>
      <c r="I407" s="536">
        <f t="shared" si="78"/>
        <v>152</v>
      </c>
      <c r="J407" s="346">
        <f t="shared" si="78"/>
        <v>152</v>
      </c>
      <c r="K407" s="346">
        <f t="shared" si="78"/>
        <v>0</v>
      </c>
    </row>
    <row r="408" spans="1:11" ht="13">
      <c r="A408" s="331">
        <v>8</v>
      </c>
      <c r="D408" s="342"/>
      <c r="E408" s="195"/>
      <c r="G408" s="541"/>
      <c r="H408" s="531"/>
      <c r="I408" s="532"/>
    </row>
    <row r="409" spans="1:11" ht="13">
      <c r="A409" s="331">
        <v>9</v>
      </c>
      <c r="B409" s="330" t="s">
        <v>54</v>
      </c>
      <c r="D409" s="342"/>
      <c r="E409" s="195"/>
      <c r="G409" s="541"/>
      <c r="H409" s="531"/>
      <c r="I409" s="532"/>
    </row>
    <row r="410" spans="1:11" ht="13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3">
        <f>'FR-16(7)(v)-8 TOT CLASS Alloc'!J410</f>
        <v>2489</v>
      </c>
      <c r="G410" s="542">
        <f>'FR-16(7)(v)-5 DISTR Dem Alloc'!J410</f>
        <v>0</v>
      </c>
      <c r="H410" s="533">
        <f>'FR-16(7)(v)-3 PROD Comm Alloc'!J410</f>
        <v>2489</v>
      </c>
      <c r="I410" s="534">
        <f>'FR-16(7)(v)-6 DISTR Cust Alloc'!J410</f>
        <v>0</v>
      </c>
      <c r="J410" s="345">
        <f t="shared" ref="J410:J415" si="79">SUM(G410:I410)</f>
        <v>2489</v>
      </c>
      <c r="K410" s="345">
        <f t="shared" ref="K410:K415" si="80">F410-J410</f>
        <v>0</v>
      </c>
    </row>
    <row r="411" spans="1:11" ht="13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3">
        <f>'FR-16(7)(v)-8 TOT CLASS Alloc'!J411</f>
        <v>0</v>
      </c>
      <c r="G411" s="542">
        <f>'FR-16(7)(v)-5 DISTR Dem Alloc'!J411</f>
        <v>0</v>
      </c>
      <c r="H411" s="533">
        <f>'FR-16(7)(v)-3 PROD Comm Alloc'!J411</f>
        <v>0</v>
      </c>
      <c r="I411" s="534">
        <f>'FR-16(7)(v)-6 DISTR Cust Alloc'!J411</f>
        <v>0</v>
      </c>
      <c r="J411" s="345">
        <f t="shared" si="79"/>
        <v>0</v>
      </c>
      <c r="K411" s="345">
        <f t="shared" si="80"/>
        <v>0</v>
      </c>
    </row>
    <row r="412" spans="1:11" ht="13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3">
        <f>'FR-16(7)(v)-8 TOT CLASS Alloc'!J412</f>
        <v>142126</v>
      </c>
      <c r="G412" s="542">
        <f>'FR-16(7)(v)-5 DISTR Dem Alloc'!J412</f>
        <v>137940</v>
      </c>
      <c r="H412" s="533">
        <f>'FR-16(7)(v)-3 PROD Comm Alloc'!J412</f>
        <v>0</v>
      </c>
      <c r="I412" s="534">
        <f>'FR-16(7)(v)-6 DISTR Cust Alloc'!J412</f>
        <v>4186</v>
      </c>
      <c r="J412" s="345">
        <f t="shared" si="79"/>
        <v>142126</v>
      </c>
      <c r="K412" s="345">
        <f t="shared" si="80"/>
        <v>0</v>
      </c>
    </row>
    <row r="413" spans="1:11" ht="13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3">
        <f>'FR-16(7)(v)-8 TOT CLASS Alloc'!J413</f>
        <v>378</v>
      </c>
      <c r="G413" s="542">
        <f>'FR-16(7)(v)-5 DISTR Dem Alloc'!J413</f>
        <v>0</v>
      </c>
      <c r="H413" s="533">
        <f>'FR-16(7)(v)-3 PROD Comm Alloc'!J413</f>
        <v>0</v>
      </c>
      <c r="I413" s="534">
        <f>'FR-16(7)(v)-6 DISTR Cust Alloc'!J413</f>
        <v>378</v>
      </c>
      <c r="J413" s="345">
        <f t="shared" si="79"/>
        <v>378</v>
      </c>
      <c r="K413" s="345">
        <f t="shared" si="80"/>
        <v>0</v>
      </c>
    </row>
    <row r="414" spans="1:11" ht="13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3">
        <f>'FR-16(7)(v)-8 TOT CLASS Alloc'!J414</f>
        <v>37</v>
      </c>
      <c r="G414" s="542">
        <f>'FR-16(7)(v)-5 DISTR Dem Alloc'!J414</f>
        <v>0</v>
      </c>
      <c r="H414" s="533">
        <f>'FR-16(7)(v)-3 PROD Comm Alloc'!J414</f>
        <v>0</v>
      </c>
      <c r="I414" s="534">
        <f>'FR-16(7)(v)-6 DISTR Cust Alloc'!J414</f>
        <v>37</v>
      </c>
      <c r="J414" s="345">
        <f t="shared" si="79"/>
        <v>37</v>
      </c>
      <c r="K414" s="345">
        <f t="shared" si="80"/>
        <v>0</v>
      </c>
    </row>
    <row r="415" spans="1:11" ht="13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3">
        <f>'FR-16(7)(v)-8 TOT CLASS Alloc'!J415</f>
        <v>0</v>
      </c>
      <c r="G415" s="542">
        <f>'FR-16(7)(v)-5 DISTR Dem Alloc'!J415</f>
        <v>0</v>
      </c>
      <c r="H415" s="533">
        <f>'FR-16(7)(v)-3 PROD Comm Alloc'!J415</f>
        <v>0</v>
      </c>
      <c r="I415" s="534">
        <f>'FR-16(7)(v)-6 DISTR Cust Alloc'!J415</f>
        <v>0</v>
      </c>
      <c r="J415" s="345">
        <f t="shared" si="79"/>
        <v>0</v>
      </c>
      <c r="K415" s="496">
        <f t="shared" si="80"/>
        <v>0</v>
      </c>
    </row>
    <row r="416" spans="1:11" ht="13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7">
        <f t="shared" ref="F416:K416" si="81">SUM(F410:F415)</f>
        <v>145030</v>
      </c>
      <c r="G416" s="557">
        <f t="shared" si="81"/>
        <v>137940</v>
      </c>
      <c r="H416" s="558">
        <f t="shared" si="81"/>
        <v>2489</v>
      </c>
      <c r="I416" s="559">
        <f t="shared" si="81"/>
        <v>4601</v>
      </c>
      <c r="J416" s="1018">
        <f t="shared" si="81"/>
        <v>145030</v>
      </c>
      <c r="K416" s="471">
        <f t="shared" si="81"/>
        <v>0</v>
      </c>
    </row>
    <row r="417" spans="1:11" ht="13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3">
        <f>'FR-16(7)(v)-8 TOT CLASS Alloc'!J417</f>
        <v>1392</v>
      </c>
      <c r="G417" s="542">
        <f>'FR-16(7)(v)-5 DISTR Dem Alloc'!J417</f>
        <v>1324</v>
      </c>
      <c r="H417" s="533">
        <f>'FR-16(7)(v)-3 PROD Comm Alloc'!J417</f>
        <v>24</v>
      </c>
      <c r="I417" s="534">
        <f>'FR-16(7)(v)-6 DISTR Cust Alloc'!J417</f>
        <v>44</v>
      </c>
      <c r="J417" s="345">
        <f t="shared" ref="J417:J430" si="82">SUM(G417:I417)</f>
        <v>1392</v>
      </c>
      <c r="K417" s="345">
        <f t="shared" ref="K417:K430" si="83">F417-J417</f>
        <v>0</v>
      </c>
    </row>
    <row r="418" spans="1:11" ht="13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3">
        <f>'FR-16(7)(v)-8 TOT CLASS Alloc'!J418</f>
        <v>-11489</v>
      </c>
      <c r="G418" s="542">
        <f>'FR-16(7)(v)-5 DISTR Dem Alloc'!J418</f>
        <v>-10926</v>
      </c>
      <c r="H418" s="533">
        <f>'FR-16(7)(v)-3 PROD Comm Alloc'!J418</f>
        <v>-198</v>
      </c>
      <c r="I418" s="534">
        <f>'FR-16(7)(v)-6 DISTR Cust Alloc'!J418</f>
        <v>-365</v>
      </c>
      <c r="J418" s="345">
        <f t="shared" si="82"/>
        <v>-11489</v>
      </c>
      <c r="K418" s="345">
        <f t="shared" si="83"/>
        <v>0</v>
      </c>
    </row>
    <row r="419" spans="1:11" ht="13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3">
        <f>'FR-16(7)(v)-8 TOT CLASS Alloc'!J419</f>
        <v>-3979</v>
      </c>
      <c r="G419" s="542">
        <f>'FR-16(7)(v)-5 DISTR Dem Alloc'!J419</f>
        <v>-3785</v>
      </c>
      <c r="H419" s="533">
        <f>'FR-16(7)(v)-3 PROD Comm Alloc'!J419</f>
        <v>-68</v>
      </c>
      <c r="I419" s="534">
        <f>'FR-16(7)(v)-6 DISTR Cust Alloc'!J419</f>
        <v>-126</v>
      </c>
      <c r="J419" s="345">
        <f t="shared" si="82"/>
        <v>-3979</v>
      </c>
      <c r="K419" s="345">
        <f t="shared" si="83"/>
        <v>0</v>
      </c>
    </row>
    <row r="420" spans="1:11" ht="13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3">
        <f>'FR-16(7)(v)-8 TOT CLASS Alloc'!J420</f>
        <v>0</v>
      </c>
      <c r="G420" s="542">
        <f>'FR-16(7)(v)-5 DISTR Dem Alloc'!J420</f>
        <v>0</v>
      </c>
      <c r="H420" s="533">
        <f>'FR-16(7)(v)-3 PROD Comm Alloc'!J420</f>
        <v>0</v>
      </c>
      <c r="I420" s="534">
        <f>'FR-16(7)(v)-6 DISTR Cust Alloc'!J420</f>
        <v>0</v>
      </c>
      <c r="J420" s="345">
        <f t="shared" si="82"/>
        <v>0</v>
      </c>
      <c r="K420" s="345">
        <f t="shared" si="83"/>
        <v>0</v>
      </c>
    </row>
    <row r="421" spans="1:11" ht="13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3">
        <f>'FR-16(7)(v)-8 TOT CLASS Alloc'!J421</f>
        <v>8030</v>
      </c>
      <c r="G421" s="542">
        <f>'FR-16(7)(v)-5 DISTR Dem Alloc'!J421</f>
        <v>7637</v>
      </c>
      <c r="H421" s="533">
        <f>'FR-16(7)(v)-3 PROD Comm Alloc'!J421</f>
        <v>138</v>
      </c>
      <c r="I421" s="534">
        <f>'FR-16(7)(v)-6 DISTR Cust Alloc'!J421</f>
        <v>255</v>
      </c>
      <c r="J421" s="345">
        <f t="shared" si="82"/>
        <v>8030</v>
      </c>
      <c r="K421" s="345">
        <f t="shared" si="83"/>
        <v>0</v>
      </c>
    </row>
    <row r="422" spans="1:11" ht="13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3">
        <f>'FR-16(7)(v)-8 TOT CLASS Alloc'!J422</f>
        <v>0</v>
      </c>
      <c r="G422" s="542">
        <f>'FR-16(7)(v)-5 DISTR Dem Alloc'!J422</f>
        <v>0</v>
      </c>
      <c r="H422" s="533">
        <f>'FR-16(7)(v)-3 PROD Comm Alloc'!J422</f>
        <v>0</v>
      </c>
      <c r="I422" s="534">
        <f>'FR-16(7)(v)-6 DISTR Cust Alloc'!J422</f>
        <v>0</v>
      </c>
      <c r="J422" s="345">
        <f t="shared" si="82"/>
        <v>0</v>
      </c>
      <c r="K422" s="345">
        <f t="shared" si="83"/>
        <v>0</v>
      </c>
    </row>
    <row r="423" spans="1:11" ht="13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3">
        <f>'FR-16(7)(v)-8 TOT CLASS Alloc'!J423</f>
        <v>0</v>
      </c>
      <c r="G423" s="542">
        <f>'FR-16(7)(v)-5 DISTR Dem Alloc'!J423</f>
        <v>0</v>
      </c>
      <c r="H423" s="533">
        <f>'FR-16(7)(v)-3 PROD Comm Alloc'!J423</f>
        <v>0</v>
      </c>
      <c r="I423" s="534">
        <f>'FR-16(7)(v)-6 DISTR Cust Alloc'!J423</f>
        <v>0</v>
      </c>
      <c r="J423" s="345">
        <f t="shared" si="82"/>
        <v>0</v>
      </c>
      <c r="K423" s="345">
        <f t="shared" si="83"/>
        <v>0</v>
      </c>
    </row>
    <row r="424" spans="1:11" ht="13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3">
        <f>'FR-16(7)(v)-8 TOT CLASS Alloc'!J424</f>
        <v>0</v>
      </c>
      <c r="G424" s="542">
        <f>'FR-16(7)(v)-5 DISTR Dem Alloc'!J424</f>
        <v>0</v>
      </c>
      <c r="H424" s="533">
        <f>'FR-16(7)(v)-3 PROD Comm Alloc'!J424</f>
        <v>0</v>
      </c>
      <c r="I424" s="534">
        <f>'FR-16(7)(v)-6 DISTR Cust Alloc'!J424</f>
        <v>0</v>
      </c>
      <c r="J424" s="345">
        <f t="shared" ref="J424:J429" si="84">SUM(G424:I424)</f>
        <v>0</v>
      </c>
      <c r="K424" s="345">
        <f t="shared" ref="K424:K429" si="85">F424-J424</f>
        <v>0</v>
      </c>
    </row>
    <row r="425" spans="1:11" ht="13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3">
        <f>'FR-16(7)(v)-8 TOT CLASS Alloc'!J425</f>
        <v>0</v>
      </c>
      <c r="G425" s="542">
        <f>'FR-16(7)(v)-5 DISTR Dem Alloc'!J425</f>
        <v>0</v>
      </c>
      <c r="H425" s="533">
        <f>'FR-16(7)(v)-3 PROD Comm Alloc'!J425</f>
        <v>0</v>
      </c>
      <c r="I425" s="534">
        <f>'FR-16(7)(v)-6 DISTR Cust Alloc'!J425</f>
        <v>0</v>
      </c>
      <c r="J425" s="345">
        <f t="shared" si="84"/>
        <v>0</v>
      </c>
      <c r="K425" s="345">
        <f t="shared" si="85"/>
        <v>0</v>
      </c>
    </row>
    <row r="426" spans="1:11" ht="13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3">
        <f>'FR-16(7)(v)-8 TOT CLASS Alloc'!J426</f>
        <v>0</v>
      </c>
      <c r="G426" s="542">
        <f>'FR-16(7)(v)-5 DISTR Dem Alloc'!J426</f>
        <v>0</v>
      </c>
      <c r="H426" s="533">
        <f>'FR-16(7)(v)-3 PROD Comm Alloc'!J426</f>
        <v>0</v>
      </c>
      <c r="I426" s="534">
        <f>'FR-16(7)(v)-6 DISTR Cust Alloc'!J426</f>
        <v>0</v>
      </c>
      <c r="J426" s="345">
        <f t="shared" si="84"/>
        <v>0</v>
      </c>
      <c r="K426" s="345">
        <f t="shared" si="85"/>
        <v>0</v>
      </c>
    </row>
    <row r="427" spans="1:11" ht="13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3">
        <f>'FR-16(7)(v)-8 TOT CLASS Alloc'!J427</f>
        <v>0</v>
      </c>
      <c r="G427" s="542">
        <f>'FR-16(7)(v)-5 DISTR Dem Alloc'!J427</f>
        <v>0</v>
      </c>
      <c r="H427" s="533">
        <f>'FR-16(7)(v)-3 PROD Comm Alloc'!J427</f>
        <v>0</v>
      </c>
      <c r="I427" s="534">
        <f>'FR-16(7)(v)-6 DISTR Cust Alloc'!J427</f>
        <v>0</v>
      </c>
      <c r="J427" s="345">
        <f t="shared" si="84"/>
        <v>0</v>
      </c>
      <c r="K427" s="345">
        <f t="shared" si="85"/>
        <v>0</v>
      </c>
    </row>
    <row r="428" spans="1:11" ht="13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3">
        <f>'FR-16(7)(v)-8 TOT CLASS Alloc'!J428</f>
        <v>0</v>
      </c>
      <c r="G428" s="542">
        <f>'FR-16(7)(v)-5 DISTR Dem Alloc'!J428</f>
        <v>0</v>
      </c>
      <c r="H428" s="533">
        <f>'FR-16(7)(v)-3 PROD Comm Alloc'!J428</f>
        <v>0</v>
      </c>
      <c r="I428" s="534">
        <f>'FR-16(7)(v)-6 DISTR Cust Alloc'!J428</f>
        <v>0</v>
      </c>
      <c r="J428" s="345">
        <f t="shared" si="84"/>
        <v>0</v>
      </c>
      <c r="K428" s="345">
        <f t="shared" si="85"/>
        <v>0</v>
      </c>
    </row>
    <row r="429" spans="1:11" ht="13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3">
        <f>'FR-16(7)(v)-8 TOT CLASS Alloc'!J429</f>
        <v>0</v>
      </c>
      <c r="G429" s="542">
        <f>'FR-16(7)(v)-5 DISTR Dem Alloc'!J429</f>
        <v>0</v>
      </c>
      <c r="H429" s="533">
        <f>'FR-16(7)(v)-3 PROD Comm Alloc'!J429</f>
        <v>0</v>
      </c>
      <c r="I429" s="534">
        <f>'FR-16(7)(v)-6 DISTR Cust Alloc'!J429</f>
        <v>0</v>
      </c>
      <c r="J429" s="345">
        <f t="shared" si="84"/>
        <v>0</v>
      </c>
      <c r="K429" s="345">
        <f t="shared" si="85"/>
        <v>0</v>
      </c>
    </row>
    <row r="430" spans="1:11" ht="13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3">
        <f>'FR-16(7)(v)-8 TOT CLASS Alloc'!J430</f>
        <v>0</v>
      </c>
      <c r="G430" s="542">
        <f>'FR-16(7)(v)-5 DISTR Dem Alloc'!J430</f>
        <v>0</v>
      </c>
      <c r="H430" s="533">
        <f>'FR-16(7)(v)-3 PROD Comm Alloc'!J430</f>
        <v>0</v>
      </c>
      <c r="I430" s="534">
        <f>'FR-16(7)(v)-6 DISTR Cust Alloc'!J430</f>
        <v>0</v>
      </c>
      <c r="J430" s="345">
        <f t="shared" si="82"/>
        <v>0</v>
      </c>
      <c r="K430" s="345">
        <f t="shared" si="83"/>
        <v>0</v>
      </c>
    </row>
    <row r="431" spans="1:11" ht="13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K431" si="86">SUM(F416:F430)</f>
        <v>138984</v>
      </c>
      <c r="G431" s="543">
        <f t="shared" si="86"/>
        <v>132190</v>
      </c>
      <c r="H431" s="535">
        <f t="shared" si="86"/>
        <v>2385</v>
      </c>
      <c r="I431" s="536">
        <f t="shared" si="86"/>
        <v>4409</v>
      </c>
      <c r="J431" s="346">
        <f t="shared" si="86"/>
        <v>138984</v>
      </c>
      <c r="K431" s="346">
        <f t="shared" si="86"/>
        <v>0</v>
      </c>
    </row>
    <row r="432" spans="1:11" ht="13">
      <c r="A432" s="331">
        <v>32</v>
      </c>
      <c r="D432" s="342"/>
      <c r="E432" s="195"/>
      <c r="F432" s="333"/>
      <c r="G432" s="542"/>
      <c r="H432" s="533"/>
      <c r="I432" s="534"/>
      <c r="J432" s="345"/>
      <c r="K432" s="345"/>
    </row>
    <row r="433" spans="1:11" ht="13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K433" si="87">F431+F407+F403+F389+F378+F364+F360</f>
        <v>572568</v>
      </c>
      <c r="G433" s="544">
        <f t="shared" si="87"/>
        <v>396544</v>
      </c>
      <c r="H433" s="537">
        <f t="shared" si="87"/>
        <v>162403</v>
      </c>
      <c r="I433" s="538">
        <f t="shared" si="87"/>
        <v>13621</v>
      </c>
      <c r="J433" s="345">
        <f t="shared" si="87"/>
        <v>572568</v>
      </c>
      <c r="K433" s="345">
        <f t="shared" si="87"/>
        <v>0</v>
      </c>
    </row>
    <row r="434" spans="1:11" ht="13">
      <c r="B434" s="341"/>
      <c r="C434" s="195"/>
      <c r="D434" s="342"/>
      <c r="E434" s="195"/>
      <c r="F434" s="195"/>
      <c r="G434" s="195"/>
      <c r="H434" s="195"/>
      <c r="I434" s="195"/>
      <c r="J434" s="195"/>
      <c r="K434" s="195"/>
    </row>
    <row r="435" spans="1:11" ht="13">
      <c r="A435" s="341" t="str">
        <f>co_name</f>
        <v>DUKE ENERGY KENTUCKY, INC.</v>
      </c>
      <c r="C435" s="195"/>
      <c r="D435" s="342"/>
      <c r="E435" s="195"/>
      <c r="F435" s="195"/>
      <c r="G435" s="195"/>
      <c r="H435" s="195"/>
      <c r="I435" s="195"/>
      <c r="J435" s="195" t="str">
        <f>$J$1</f>
        <v>FR-16(7)(v)-12</v>
      </c>
      <c r="K435" s="195"/>
    </row>
    <row r="436" spans="1:11" ht="13">
      <c r="A436" s="341" t="str">
        <f>$A$2</f>
        <v>INTERRUPTIBLE TRANSPORTATION CLASSIFIED - GAS COST OF SERVICE</v>
      </c>
      <c r="C436" s="195"/>
      <c r="D436" s="342"/>
      <c r="E436" s="195"/>
      <c r="F436" s="195"/>
      <c r="G436" s="195"/>
      <c r="H436" s="195"/>
      <c r="I436" s="195"/>
      <c r="J436" s="195" t="str">
        <f>$J$2</f>
        <v>WITNESS RESPONSIBLE:</v>
      </c>
      <c r="K436" s="195"/>
    </row>
    <row r="437" spans="1:11" ht="13">
      <c r="A437" s="341" t="str">
        <f>case_name</f>
        <v>CASE NO: 2021-00190</v>
      </c>
      <c r="C437" s="195"/>
      <c r="D437" s="342"/>
      <c r="E437" s="195"/>
      <c r="F437" s="195"/>
      <c r="G437" s="195"/>
      <c r="H437" s="195"/>
      <c r="I437" s="195"/>
      <c r="J437" s="195" t="str">
        <f>Witness</f>
        <v>JAMES E. ZIOLKOWSKI</v>
      </c>
      <c r="K437" s="195"/>
    </row>
    <row r="438" spans="1:11" ht="13">
      <c r="A438" s="341" t="str">
        <f>data_filing</f>
        <v>DATA: 12 MONTH FORECASTED PERIOD</v>
      </c>
      <c r="C438" s="195"/>
      <c r="D438" s="342"/>
      <c r="E438" s="195"/>
      <c r="F438" s="195"/>
      <c r="G438" s="195"/>
      <c r="H438" s="195"/>
      <c r="I438" s="195"/>
      <c r="J438" s="195" t="str">
        <f>"PAGE "&amp;Pages2-5&amp;" OF "&amp;Pages2</f>
        <v>PAGE 10 OF 15</v>
      </c>
      <c r="K438" s="195"/>
    </row>
    <row r="439" spans="1:11" ht="13">
      <c r="A439" s="341" t="str">
        <f>type</f>
        <v xml:space="preserve">TYPE OF FILING: "X" ORIGINAL   UPDATED    REVISED  </v>
      </c>
      <c r="C439" s="195"/>
      <c r="D439" s="342"/>
      <c r="E439" s="195"/>
      <c r="F439" s="195"/>
      <c r="G439" s="195"/>
      <c r="H439" s="195"/>
      <c r="I439" s="195"/>
      <c r="J439" s="195"/>
      <c r="K439" s="195"/>
    </row>
    <row r="440" spans="1:11" ht="13">
      <c r="B440" s="341"/>
      <c r="C440" s="195"/>
      <c r="D440" s="342"/>
      <c r="E440" s="195"/>
      <c r="F440" s="195"/>
      <c r="G440" s="195"/>
      <c r="H440" s="195"/>
      <c r="I440" s="195"/>
      <c r="J440" s="195"/>
      <c r="K440" s="195"/>
    </row>
    <row r="441" spans="1:11" ht="13">
      <c r="B441" s="341"/>
      <c r="C441" s="195"/>
      <c r="D441" s="342"/>
      <c r="E441" s="195"/>
      <c r="F441" s="195"/>
      <c r="G441" s="195"/>
      <c r="H441" s="195"/>
      <c r="I441" s="195"/>
      <c r="J441" s="195"/>
      <c r="K441" s="195"/>
    </row>
    <row r="442" spans="1:11" ht="13">
      <c r="A442" s="342" t="s">
        <v>907</v>
      </c>
      <c r="B442" s="195"/>
      <c r="C442" s="195"/>
      <c r="D442" s="342"/>
      <c r="E442" s="195"/>
      <c r="F442" s="342" t="s">
        <v>229</v>
      </c>
      <c r="G442" s="539" t="s">
        <v>995</v>
      </c>
      <c r="H442" s="527"/>
      <c r="I442" s="528"/>
      <c r="J442" s="342" t="s">
        <v>229</v>
      </c>
      <c r="K442" s="342" t="s">
        <v>342</v>
      </c>
    </row>
    <row r="443" spans="1:11" ht="13">
      <c r="A443" s="344" t="s">
        <v>908</v>
      </c>
      <c r="B443" s="343" t="s">
        <v>55</v>
      </c>
      <c r="C443" s="343"/>
      <c r="D443" s="344" t="s">
        <v>337</v>
      </c>
      <c r="E443" s="343"/>
      <c r="F443" s="344" t="str">
        <f>$F$9</f>
        <v>INTERRUPTIBLE</v>
      </c>
      <c r="G443" s="540" t="s">
        <v>840</v>
      </c>
      <c r="H443" s="529" t="s">
        <v>841</v>
      </c>
      <c r="I443" s="530" t="s">
        <v>842</v>
      </c>
      <c r="J443" s="344" t="s">
        <v>341</v>
      </c>
      <c r="K443" s="344" t="s">
        <v>340</v>
      </c>
    </row>
    <row r="444" spans="1:11" ht="13">
      <c r="C444" s="572" t="s">
        <v>349</v>
      </c>
      <c r="D444" s="342"/>
      <c r="E444" s="195"/>
      <c r="F444" s="504"/>
      <c r="G444" s="793">
        <f>$G$10</f>
        <v>3</v>
      </c>
      <c r="H444" s="794">
        <f>$H$10</f>
        <v>4</v>
      </c>
      <c r="I444" s="795">
        <f>$I$10</f>
        <v>5</v>
      </c>
      <c r="J444" s="504"/>
      <c r="K444" s="504"/>
    </row>
    <row r="445" spans="1:11" ht="13">
      <c r="A445" s="331">
        <v>1</v>
      </c>
      <c r="B445" s="351" t="s">
        <v>56</v>
      </c>
      <c r="C445" s="351"/>
      <c r="D445" s="342"/>
      <c r="E445" s="195"/>
      <c r="G445" s="541"/>
      <c r="H445" s="531"/>
      <c r="I445" s="532"/>
    </row>
    <row r="446" spans="1:11" ht="13">
      <c r="A446" s="331">
        <v>2</v>
      </c>
      <c r="B446" s="351"/>
      <c r="C446" s="505" t="str">
        <f>'FR-16(7)(v)-1 Functional'!C446</f>
        <v>PRODUCTION DEPRECIATION</v>
      </c>
      <c r="D446" s="342" t="str">
        <f>'FR-16(7)(v)-1 Functional'!D446</f>
        <v>P229</v>
      </c>
      <c r="E446" s="195"/>
      <c r="F446" s="473">
        <f>'FR-16(7)(v)-8 TOT CLASS Alloc'!J446</f>
        <v>0</v>
      </c>
      <c r="G446" s="542">
        <f>'FR-16(7)(v)-5 DISTR Dem Alloc'!J446</f>
        <v>0</v>
      </c>
      <c r="H446" s="533">
        <f>'FR-16(7)(v)-3 PROD Comm Alloc'!J446</f>
        <v>0</v>
      </c>
      <c r="I446" s="534">
        <f>'FR-16(7)(v)-6 DISTR Cust Alloc'!J446</f>
        <v>0</v>
      </c>
      <c r="J446" s="345">
        <f>SUM(G446:I446)</f>
        <v>0</v>
      </c>
      <c r="K446" s="345">
        <f>F446-J446</f>
        <v>0</v>
      </c>
    </row>
    <row r="447" spans="1:11" ht="13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K447" si="88">SUM(F446:F446)</f>
        <v>0</v>
      </c>
      <c r="G447" s="543">
        <f t="shared" si="88"/>
        <v>0</v>
      </c>
      <c r="H447" s="535">
        <f t="shared" si="88"/>
        <v>0</v>
      </c>
      <c r="I447" s="536">
        <f t="shared" si="88"/>
        <v>0</v>
      </c>
      <c r="J447" s="346">
        <f t="shared" si="88"/>
        <v>0</v>
      </c>
      <c r="K447" s="346">
        <f t="shared" si="88"/>
        <v>0</v>
      </c>
    </row>
    <row r="448" spans="1:11" ht="13">
      <c r="A448" s="331">
        <v>4</v>
      </c>
      <c r="B448" s="351"/>
      <c r="C448" s="351"/>
      <c r="D448" s="342"/>
      <c r="E448" s="195"/>
      <c r="F448" s="351"/>
      <c r="G448" s="541"/>
      <c r="H448" s="531"/>
      <c r="I448" s="532"/>
    </row>
    <row r="449" spans="1:11" ht="13">
      <c r="A449" s="331">
        <v>5</v>
      </c>
      <c r="B449" s="505" t="s">
        <v>57</v>
      </c>
      <c r="C449" s="505"/>
      <c r="D449" s="342"/>
      <c r="E449" s="195"/>
      <c r="F449" s="347"/>
      <c r="G449" s="542"/>
      <c r="H449" s="533"/>
      <c r="I449" s="534"/>
      <c r="J449" s="345"/>
      <c r="K449" s="345"/>
    </row>
    <row r="450" spans="1:11" ht="13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K450" si="89">SUM(F449)</f>
        <v>0</v>
      </c>
      <c r="G450" s="543">
        <f t="shared" si="89"/>
        <v>0</v>
      </c>
      <c r="H450" s="535">
        <f t="shared" si="89"/>
        <v>0</v>
      </c>
      <c r="I450" s="536">
        <f t="shared" si="89"/>
        <v>0</v>
      </c>
      <c r="J450" s="346">
        <f t="shared" si="89"/>
        <v>0</v>
      </c>
      <c r="K450" s="346">
        <f t="shared" si="89"/>
        <v>0</v>
      </c>
    </row>
    <row r="451" spans="1:11" ht="13">
      <c r="A451" s="331">
        <v>7</v>
      </c>
      <c r="B451" s="351"/>
      <c r="C451" s="351"/>
      <c r="D451" s="342"/>
      <c r="E451" s="195"/>
      <c r="F451" s="351"/>
      <c r="G451" s="541"/>
      <c r="H451" s="531"/>
      <c r="I451" s="532"/>
    </row>
    <row r="452" spans="1:11" ht="13">
      <c r="A452" s="331">
        <v>8</v>
      </c>
      <c r="B452" s="351" t="s">
        <v>58</v>
      </c>
      <c r="C452" s="351"/>
      <c r="D452" s="342"/>
      <c r="E452" s="195"/>
      <c r="F452" s="351"/>
      <c r="G452" s="541"/>
      <c r="H452" s="531"/>
      <c r="I452" s="532"/>
    </row>
    <row r="453" spans="1:11" ht="13">
      <c r="A453" s="331">
        <v>9</v>
      </c>
      <c r="B453" s="351"/>
      <c r="C453" s="505" t="str">
        <f>'FR-16(7)(v)-1 Functional'!C453</f>
        <v>DISTRIBUTION DEPRECIATION</v>
      </c>
      <c r="D453" s="342" t="str">
        <f>'FR-16(7)(v)-1 Functional'!D453</f>
        <v>D249</v>
      </c>
      <c r="E453" s="195"/>
      <c r="F453" s="473">
        <f>'FR-16(7)(v)-8 TOT CLASS Alloc'!J453</f>
        <v>425926</v>
      </c>
      <c r="G453" s="542">
        <f>'FR-16(7)(v)-5 DISTR Dem Alloc'!J453</f>
        <v>407509</v>
      </c>
      <c r="H453" s="533">
        <f>'FR-16(7)(v)-3 PROD Comm Alloc'!J453</f>
        <v>0</v>
      </c>
      <c r="I453" s="534">
        <f>'FR-16(7)(v)-6 DISTR Cust Alloc'!J453</f>
        <v>18417</v>
      </c>
      <c r="J453" s="345">
        <f>SUM(G453:I453)</f>
        <v>425926</v>
      </c>
      <c r="K453" s="345">
        <f>F453-J453</f>
        <v>0</v>
      </c>
    </row>
    <row r="454" spans="1:11" ht="13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K454" si="90">SUM(F453:F453)</f>
        <v>425926</v>
      </c>
      <c r="G454" s="543">
        <f t="shared" si="90"/>
        <v>407509</v>
      </c>
      <c r="H454" s="535">
        <f t="shared" si="90"/>
        <v>0</v>
      </c>
      <c r="I454" s="536">
        <f t="shared" si="90"/>
        <v>18417</v>
      </c>
      <c r="J454" s="346">
        <f t="shared" si="90"/>
        <v>425926</v>
      </c>
      <c r="K454" s="346">
        <f t="shared" si="90"/>
        <v>0</v>
      </c>
    </row>
    <row r="455" spans="1:11" ht="13">
      <c r="A455" s="331">
        <v>11</v>
      </c>
      <c r="B455" s="351"/>
      <c r="C455" s="351"/>
      <c r="D455" s="342"/>
      <c r="E455" s="195"/>
      <c r="F455" s="351" t="s">
        <v>343</v>
      </c>
      <c r="G455" s="541"/>
      <c r="H455" s="531"/>
      <c r="I455" s="532"/>
    </row>
    <row r="456" spans="1:11" ht="13">
      <c r="A456" s="331">
        <v>12</v>
      </c>
      <c r="B456" s="351" t="s">
        <v>59</v>
      </c>
      <c r="C456" s="351"/>
      <c r="D456" s="342"/>
      <c r="E456" s="195"/>
      <c r="F456" s="351"/>
      <c r="G456" s="541"/>
      <c r="H456" s="531"/>
      <c r="I456" s="532"/>
    </row>
    <row r="457" spans="1:11" ht="13">
      <c r="A457" s="331">
        <v>13</v>
      </c>
      <c r="B457" s="351"/>
      <c r="C457" s="505" t="str">
        <f>'FR-16(7)(v)-1 Functional'!C457</f>
        <v>GENERAL DEPRECIATION</v>
      </c>
      <c r="D457" s="342" t="str">
        <f>'FR-16(7)(v)-1 Functional'!D457</f>
        <v>G229</v>
      </c>
      <c r="E457" s="195"/>
      <c r="F457" s="473">
        <f>'FR-16(7)(v)-8 TOT CLASS Alloc'!J457</f>
        <v>69106</v>
      </c>
      <c r="G457" s="542">
        <f>'FR-16(7)(v)-5 DISTR Dem Alloc'!J457</f>
        <v>66025</v>
      </c>
      <c r="H457" s="533">
        <f>'FR-16(7)(v)-3 PROD Comm Alloc'!J457</f>
        <v>876</v>
      </c>
      <c r="I457" s="534">
        <f>'FR-16(7)(v)-6 DISTR Cust Alloc'!J457</f>
        <v>2205</v>
      </c>
      <c r="J457" s="345">
        <f>SUM(G457:I457)</f>
        <v>69106</v>
      </c>
      <c r="K457" s="345">
        <f>F457-J457</f>
        <v>0</v>
      </c>
    </row>
    <row r="458" spans="1:11" ht="13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K458" si="91">SUM(F457:F457)</f>
        <v>69106</v>
      </c>
      <c r="G458" s="543">
        <f t="shared" si="91"/>
        <v>66025</v>
      </c>
      <c r="H458" s="535">
        <f t="shared" si="91"/>
        <v>876</v>
      </c>
      <c r="I458" s="536">
        <f t="shared" si="91"/>
        <v>2205</v>
      </c>
      <c r="J458" s="346">
        <f t="shared" si="91"/>
        <v>69106</v>
      </c>
      <c r="K458" s="346">
        <f t="shared" si="91"/>
        <v>0</v>
      </c>
    </row>
    <row r="459" spans="1:11" ht="13">
      <c r="A459" s="331">
        <v>15</v>
      </c>
      <c r="B459" s="351"/>
      <c r="C459" s="351"/>
      <c r="D459" s="342"/>
      <c r="E459" s="195"/>
      <c r="F459" s="351"/>
      <c r="G459" s="541"/>
      <c r="H459" s="531"/>
      <c r="I459" s="532"/>
    </row>
    <row r="460" spans="1:11" ht="13">
      <c r="A460" s="331">
        <v>16</v>
      </c>
      <c r="B460" s="351" t="s">
        <v>60</v>
      </c>
      <c r="C460" s="351"/>
      <c r="D460" s="342"/>
      <c r="E460" s="195"/>
      <c r="F460" s="470"/>
      <c r="G460" s="542"/>
      <c r="H460" s="533"/>
      <c r="I460" s="534"/>
      <c r="J460" s="345"/>
      <c r="K460" s="345"/>
    </row>
    <row r="461" spans="1:11" ht="13">
      <c r="A461" s="331">
        <v>17</v>
      </c>
      <c r="B461" s="351"/>
      <c r="C461" s="505" t="str">
        <f>'FR-16(7)(v)-1 Functional'!C461</f>
        <v>COMMON DEPRECIATION</v>
      </c>
      <c r="D461" s="342" t="str">
        <f>'FR-16(7)(v)-1 Functional'!D461</f>
        <v>C229</v>
      </c>
      <c r="E461" s="195"/>
      <c r="F461" s="473">
        <f>'FR-16(7)(v)-8 TOT CLASS Alloc'!J461</f>
        <v>-921</v>
      </c>
      <c r="G461" s="542">
        <f>'FR-16(7)(v)-5 DISTR Dem Alloc'!J461</f>
        <v>-880</v>
      </c>
      <c r="H461" s="533">
        <f>'FR-16(7)(v)-3 PROD Comm Alloc'!J461</f>
        <v>-12</v>
      </c>
      <c r="I461" s="534">
        <f>'FR-16(7)(v)-6 DISTR Cust Alloc'!J461</f>
        <v>-29</v>
      </c>
      <c r="J461" s="345">
        <f>SUM(G461:I461)</f>
        <v>-921</v>
      </c>
      <c r="K461" s="345">
        <f>F461-J461</f>
        <v>0</v>
      </c>
    </row>
    <row r="462" spans="1:11" ht="13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K462" si="92">SUM(F461:F461)</f>
        <v>-921</v>
      </c>
      <c r="G462" s="543">
        <f t="shared" si="92"/>
        <v>-880</v>
      </c>
      <c r="H462" s="535">
        <f t="shared" si="92"/>
        <v>-12</v>
      </c>
      <c r="I462" s="536">
        <f t="shared" si="92"/>
        <v>-29</v>
      </c>
      <c r="J462" s="346">
        <f t="shared" si="92"/>
        <v>-921</v>
      </c>
      <c r="K462" s="346">
        <f t="shared" si="92"/>
        <v>0</v>
      </c>
    </row>
    <row r="463" spans="1:11" ht="13">
      <c r="A463" s="331">
        <v>19</v>
      </c>
      <c r="B463" s="351"/>
      <c r="C463" s="351"/>
      <c r="D463" s="342"/>
      <c r="E463" s="195"/>
      <c r="G463" s="541"/>
      <c r="H463" s="531"/>
      <c r="I463" s="532"/>
    </row>
    <row r="464" spans="1:11" ht="13">
      <c r="A464" s="331">
        <v>20</v>
      </c>
      <c r="B464" s="351"/>
      <c r="C464" s="351"/>
      <c r="D464" s="342"/>
      <c r="E464" s="195"/>
      <c r="G464" s="541"/>
      <c r="H464" s="531"/>
      <c r="I464" s="532"/>
    </row>
    <row r="465" spans="1:12" ht="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K465" si="93">F462+F458+F454+F450+F447</f>
        <v>494111</v>
      </c>
      <c r="G465" s="544">
        <f t="shared" si="93"/>
        <v>472654</v>
      </c>
      <c r="H465" s="537">
        <f t="shared" si="93"/>
        <v>864</v>
      </c>
      <c r="I465" s="538">
        <f t="shared" si="93"/>
        <v>20593</v>
      </c>
      <c r="J465" s="345">
        <f t="shared" si="93"/>
        <v>494111</v>
      </c>
      <c r="K465" s="345">
        <f t="shared" si="93"/>
        <v>0</v>
      </c>
    </row>
    <row r="466" spans="1:12" ht="13">
      <c r="B466" s="341"/>
      <c r="C466" s="195"/>
      <c r="D466" s="342"/>
      <c r="E466" s="195"/>
      <c r="F466" s="195"/>
      <c r="G466" s="195"/>
      <c r="H466" s="195"/>
      <c r="I466" s="195"/>
      <c r="J466" s="195"/>
      <c r="K466" s="195"/>
    </row>
    <row r="467" spans="1:12" ht="13">
      <c r="A467" s="341" t="str">
        <f>co_name</f>
        <v>DUKE ENERGY KENTUCKY, INC.</v>
      </c>
      <c r="C467" s="195"/>
      <c r="D467" s="342"/>
      <c r="E467" s="195"/>
      <c r="F467" s="195"/>
      <c r="G467" s="195"/>
      <c r="H467" s="195"/>
      <c r="I467" s="195"/>
      <c r="J467" s="195" t="str">
        <f>$J$1</f>
        <v>FR-16(7)(v)-12</v>
      </c>
      <c r="K467" s="195"/>
    </row>
    <row r="468" spans="1:12" ht="13">
      <c r="A468" s="341" t="str">
        <f>$A$2</f>
        <v>INTERRUPTIBLE TRANSPORTATION CLASSIFIED - GAS COST OF SERVICE</v>
      </c>
      <c r="C468" s="195"/>
      <c r="D468" s="342"/>
      <c r="E468" s="195"/>
      <c r="F468" s="195"/>
      <c r="G468" s="195"/>
      <c r="H468" s="195"/>
      <c r="I468" s="195"/>
      <c r="J468" s="195" t="str">
        <f>$J$2</f>
        <v>WITNESS RESPONSIBLE:</v>
      </c>
      <c r="K468" s="195"/>
    </row>
    <row r="469" spans="1:12" ht="13">
      <c r="A469" s="341" t="str">
        <f>case_name</f>
        <v>CASE NO: 2021-00190</v>
      </c>
      <c r="C469" s="195"/>
      <c r="D469" s="342"/>
      <c r="E469" s="195"/>
      <c r="F469" s="195"/>
      <c r="G469" s="195"/>
      <c r="H469" s="195"/>
      <c r="I469" s="195"/>
      <c r="J469" s="195" t="str">
        <f>Witness</f>
        <v>JAMES E. ZIOLKOWSKI</v>
      </c>
      <c r="K469" s="195"/>
    </row>
    <row r="470" spans="1:12" ht="13">
      <c r="A470" s="341" t="str">
        <f>data_filing</f>
        <v>DATA: 12 MONTH FORECASTED PERIOD</v>
      </c>
      <c r="C470" s="195"/>
      <c r="D470" s="342"/>
      <c r="E470" s="195"/>
      <c r="F470" s="195"/>
      <c r="G470" s="195"/>
      <c r="H470" s="195"/>
      <c r="I470" s="195"/>
      <c r="J470" s="195" t="str">
        <f>"PAGE "&amp;Pages2-4&amp;" OF "&amp;Pages2</f>
        <v>PAGE 11 OF 15</v>
      </c>
      <c r="K470" s="195"/>
    </row>
    <row r="471" spans="1:12" ht="13">
      <c r="A471" s="341" t="str">
        <f>type</f>
        <v xml:space="preserve">TYPE OF FILING: "X" ORIGINAL   UPDATED    REVISED  </v>
      </c>
      <c r="C471" s="195"/>
      <c r="D471" s="342"/>
      <c r="E471" s="195"/>
      <c r="F471" s="195"/>
      <c r="G471" s="195"/>
      <c r="H471" s="195"/>
      <c r="I471" s="195"/>
      <c r="J471" s="195"/>
      <c r="K471" s="195"/>
    </row>
    <row r="472" spans="1:12" ht="13">
      <c r="B472" s="341"/>
      <c r="C472" s="195"/>
      <c r="D472" s="342"/>
      <c r="E472" s="195"/>
      <c r="F472" s="195"/>
      <c r="G472" s="195"/>
      <c r="H472" s="195"/>
      <c r="I472" s="195"/>
      <c r="J472" s="195"/>
      <c r="K472" s="195"/>
    </row>
    <row r="473" spans="1:12" ht="13">
      <c r="B473" s="341"/>
      <c r="C473" s="195"/>
      <c r="D473" s="342"/>
      <c r="E473" s="195"/>
      <c r="F473" s="195"/>
      <c r="G473" s="195"/>
      <c r="H473" s="195"/>
      <c r="I473" s="195"/>
      <c r="J473" s="195"/>
      <c r="K473" s="195"/>
    </row>
    <row r="474" spans="1:12" ht="13">
      <c r="A474" s="342" t="s">
        <v>907</v>
      </c>
      <c r="B474" s="195"/>
      <c r="C474" s="195"/>
      <c r="D474" s="342"/>
      <c r="E474" s="195"/>
      <c r="F474" s="342" t="s">
        <v>229</v>
      </c>
      <c r="G474" s="539" t="s">
        <v>995</v>
      </c>
      <c r="H474" s="527"/>
      <c r="I474" s="528"/>
      <c r="J474" s="342" t="s">
        <v>229</v>
      </c>
      <c r="K474" s="342" t="s">
        <v>342</v>
      </c>
    </row>
    <row r="475" spans="1:12" ht="13">
      <c r="A475" s="344" t="s">
        <v>908</v>
      </c>
      <c r="B475" s="343" t="s">
        <v>62</v>
      </c>
      <c r="C475" s="343"/>
      <c r="D475" s="344" t="s">
        <v>337</v>
      </c>
      <c r="E475" s="343"/>
      <c r="F475" s="344" t="str">
        <f>$F$9</f>
        <v>INTERRUPTIBLE</v>
      </c>
      <c r="G475" s="540" t="s">
        <v>840</v>
      </c>
      <c r="H475" s="529" t="s">
        <v>841</v>
      </c>
      <c r="I475" s="530" t="s">
        <v>842</v>
      </c>
      <c r="J475" s="344" t="s">
        <v>341</v>
      </c>
      <c r="K475" s="344" t="s">
        <v>340</v>
      </c>
      <c r="L475" s="363"/>
    </row>
    <row r="476" spans="1:12" ht="13">
      <c r="C476" s="572" t="s">
        <v>350</v>
      </c>
      <c r="D476" s="342"/>
      <c r="E476" s="195"/>
      <c r="F476" s="504"/>
      <c r="G476" s="793">
        <f>$G$10</f>
        <v>3</v>
      </c>
      <c r="H476" s="794">
        <f>$H$10</f>
        <v>4</v>
      </c>
      <c r="I476" s="795">
        <f>$I$10</f>
        <v>5</v>
      </c>
      <c r="J476" s="504"/>
      <c r="K476" s="504"/>
    </row>
    <row r="477" spans="1:12" ht="13">
      <c r="A477" s="331">
        <v>1</v>
      </c>
      <c r="B477" s="330" t="s">
        <v>63</v>
      </c>
      <c r="D477" s="342"/>
      <c r="E477" s="195"/>
      <c r="G477" s="541"/>
      <c r="H477" s="531"/>
      <c r="I477" s="532"/>
    </row>
    <row r="478" spans="1:12" ht="13">
      <c r="A478" s="331">
        <v>2</v>
      </c>
      <c r="B478" s="330" t="s">
        <v>64</v>
      </c>
      <c r="D478" s="342"/>
      <c r="E478" s="195"/>
      <c r="G478" s="541"/>
      <c r="H478" s="531"/>
      <c r="I478" s="532"/>
    </row>
    <row r="479" spans="1:12" ht="13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3">
        <f>'FR-16(7)(v)-8 TOT CLASS Alloc'!J479</f>
        <v>112418</v>
      </c>
      <c r="G479" s="542">
        <f>'FR-16(7)(v)-5 DISTR Dem Alloc'!$J$479</f>
        <v>107562</v>
      </c>
      <c r="H479" s="533">
        <f>'FR-16(7)(v)-3 PROD Comm Alloc'!$J$479</f>
        <v>35</v>
      </c>
      <c r="I479" s="534">
        <f>'FR-16(7)(v)-6 DISTR Cust Alloc'!$J$479</f>
        <v>4821</v>
      </c>
      <c r="J479" s="345">
        <f>SUM($G$479:$I$479)</f>
        <v>112418</v>
      </c>
      <c r="K479" s="345">
        <f>F479-$J$479</f>
        <v>0</v>
      </c>
    </row>
    <row r="480" spans="1:12" ht="13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3">
        <f>'FR-16(7)(v)-8 TOT CLASS Alloc'!J480</f>
        <v>0</v>
      </c>
      <c r="G480" s="542">
        <f>'FR-16(7)(v)-5 DISTR Dem Alloc'!$J$480</f>
        <v>0</v>
      </c>
      <c r="H480" s="533">
        <f>'FR-16(7)(v)-3 PROD Comm Alloc'!$J$480</f>
        <v>0</v>
      </c>
      <c r="I480" s="534">
        <f>'FR-16(7)(v)-6 DISTR Cust Alloc'!$J$480</f>
        <v>0</v>
      </c>
      <c r="J480" s="345">
        <f>SUM($G$480:$I$480)</f>
        <v>0</v>
      </c>
      <c r="K480" s="345">
        <f>F480-$J$480</f>
        <v>0</v>
      </c>
    </row>
    <row r="481" spans="1:11" ht="13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112418</v>
      </c>
      <c r="G481" s="543">
        <f>SUM($G$479:$G$480)</f>
        <v>107562</v>
      </c>
      <c r="H481" s="535">
        <f>SUM($H$479:$H$480)</f>
        <v>35</v>
      </c>
      <c r="I481" s="536">
        <f>SUM($I$479:$I$480)</f>
        <v>4821</v>
      </c>
      <c r="J481" s="346">
        <f>SUM($J$479:$J$480)</f>
        <v>112418</v>
      </c>
      <c r="K481" s="346">
        <f>SUM($K$479:$K$480)</f>
        <v>0</v>
      </c>
    </row>
    <row r="482" spans="1:11" ht="13">
      <c r="A482" s="331">
        <v>6</v>
      </c>
      <c r="D482" s="342"/>
      <c r="E482" s="195"/>
      <c r="F482" s="351"/>
      <c r="G482" s="541"/>
      <c r="H482" s="531"/>
      <c r="I482" s="532"/>
    </row>
    <row r="483" spans="1:11" ht="13">
      <c r="A483" s="331">
        <v>7</v>
      </c>
      <c r="B483" s="330" t="s">
        <v>65</v>
      </c>
      <c r="D483" s="342"/>
      <c r="E483" s="195"/>
      <c r="F483" s="351"/>
      <c r="G483" s="541"/>
      <c r="H483" s="531"/>
      <c r="I483" s="532"/>
    </row>
    <row r="484" spans="1:11" ht="13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3">
        <f>'FR-16(7)(v)-8 TOT CLASS Alloc'!J484</f>
        <v>12216</v>
      </c>
      <c r="G484" s="542">
        <f>'FR-16(7)(v)-5 DISTR Dem Alloc'!$J$484</f>
        <v>11618</v>
      </c>
      <c r="H484" s="533">
        <f>'FR-16(7)(v)-3 PROD Comm Alloc'!$J$484</f>
        <v>210</v>
      </c>
      <c r="I484" s="534">
        <f>'FR-16(7)(v)-6 DISTR Cust Alloc'!$J$484</f>
        <v>388</v>
      </c>
      <c r="J484" s="345">
        <f>SUM($G$484:$I$484)</f>
        <v>12216</v>
      </c>
      <c r="K484" s="345">
        <f>F484-$J$484</f>
        <v>0</v>
      </c>
    </row>
    <row r="485" spans="1:11" ht="13">
      <c r="A485" s="331">
        <v>9</v>
      </c>
      <c r="C485" s="330" t="str">
        <f>'FR-16(7)(v)-1 Functional'!C485</f>
        <v>UNEMPLOYMENT COMPENSATION</v>
      </c>
      <c r="D485" s="352" t="str">
        <f>'FR-16(7)(v)-1 Functional'!D485</f>
        <v>AG39</v>
      </c>
      <c r="E485" s="195"/>
      <c r="F485" s="473">
        <f>'FR-16(7)(v)-8 TOT CLASS Alloc'!J485</f>
        <v>0</v>
      </c>
      <c r="G485" s="542">
        <f>'FR-16(7)(v)-5 DISTR Dem Alloc'!$J$485</f>
        <v>0</v>
      </c>
      <c r="H485" s="533">
        <f>'FR-16(7)(v)-3 PROD Comm Alloc'!$J$485</f>
        <v>0</v>
      </c>
      <c r="I485" s="534">
        <f>'FR-16(7)(v)-6 DISTR Cust Alloc'!$J$485</f>
        <v>0</v>
      </c>
      <c r="J485" s="345">
        <f>SUM($G$485:$I$485)</f>
        <v>0</v>
      </c>
      <c r="K485" s="345">
        <f>F485-$J$485</f>
        <v>0</v>
      </c>
    </row>
    <row r="486" spans="1:11" ht="13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3">
        <f>'FR-16(7)(v)-8 TOT CLASS Alloc'!J486</f>
        <v>0</v>
      </c>
      <c r="G486" s="542">
        <f>'FR-16(7)(v)-5 DISTR Dem Alloc'!$J$486</f>
        <v>0</v>
      </c>
      <c r="H486" s="533">
        <f>'FR-16(7)(v)-3 PROD Comm Alloc'!$J$486</f>
        <v>0</v>
      </c>
      <c r="I486" s="534">
        <f>'FR-16(7)(v)-6 DISTR Cust Alloc'!$J$486</f>
        <v>0</v>
      </c>
      <c r="J486" s="345">
        <f>SUM($G$486:$I$486)</f>
        <v>0</v>
      </c>
      <c r="K486" s="345">
        <f>F486-$J$486</f>
        <v>0</v>
      </c>
    </row>
    <row r="487" spans="1:11" ht="13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3">
        <f>'FR-16(7)(v)-8 TOT CLASS Alloc'!J487</f>
        <v>0</v>
      </c>
      <c r="G487" s="542">
        <f>'FR-16(7)(v)-5 DISTR Dem Alloc'!$J$487</f>
        <v>0</v>
      </c>
      <c r="H487" s="533">
        <f>'FR-16(7)(v)-3 PROD Comm Alloc'!$J$487</f>
        <v>0</v>
      </c>
      <c r="I487" s="534">
        <f>'FR-16(7)(v)-6 DISTR Cust Alloc'!$J$487</f>
        <v>0</v>
      </c>
      <c r="J487" s="345">
        <f>SUM($G$487:$I$487)</f>
        <v>0</v>
      </c>
      <c r="K487" s="345">
        <f>F487-$J$487</f>
        <v>0</v>
      </c>
    </row>
    <row r="488" spans="1:11" ht="13">
      <c r="A488" s="331">
        <v>12</v>
      </c>
      <c r="C488" s="330" t="str">
        <f>'FR-16(7)(v)-1 Functional'!C488</f>
        <v xml:space="preserve">  TOTAL MISCELLANEOUS TAXES</v>
      </c>
      <c r="D488" s="342"/>
      <c r="E488" s="195"/>
      <c r="F488" s="346">
        <f>SUM(F484:F487)</f>
        <v>12216</v>
      </c>
      <c r="G488" s="543">
        <f>SUM($G$484:$G$487)</f>
        <v>11618</v>
      </c>
      <c r="H488" s="535">
        <f>SUM($H$484:$H$487)</f>
        <v>210</v>
      </c>
      <c r="I488" s="536">
        <f>SUM($I$484:$I$487)</f>
        <v>388</v>
      </c>
      <c r="J488" s="346">
        <f>SUM($J$484:$J$487)</f>
        <v>12216</v>
      </c>
      <c r="K488" s="346">
        <f>SUM($K$484:$K$487)</f>
        <v>0</v>
      </c>
    </row>
    <row r="489" spans="1:11" ht="13">
      <c r="A489" s="331">
        <v>13</v>
      </c>
      <c r="D489" s="342"/>
      <c r="E489" s="195"/>
      <c r="F489" s="351"/>
      <c r="G489" s="541"/>
      <c r="H489" s="531"/>
      <c r="I489" s="532"/>
    </row>
    <row r="490" spans="1:11" ht="13">
      <c r="A490" s="331">
        <v>14</v>
      </c>
      <c r="B490" s="330" t="s">
        <v>66</v>
      </c>
      <c r="D490" s="342"/>
      <c r="E490" s="195"/>
      <c r="F490" s="351"/>
      <c r="G490" s="541"/>
      <c r="H490" s="531"/>
      <c r="I490" s="532"/>
    </row>
    <row r="491" spans="1:11" ht="13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3">
        <f>'FR-16(7)(v)-8 TOT CLASS Alloc'!J491</f>
        <v>599</v>
      </c>
      <c r="G491" s="542">
        <f>'FR-16(7)(v)-5 DISTR Dem Alloc'!$J$491</f>
        <v>570</v>
      </c>
      <c r="H491" s="533">
        <f>'FR-16(7)(v)-3 PROD Comm Alloc'!$J$491</f>
        <v>10</v>
      </c>
      <c r="I491" s="534">
        <f>'FR-16(7)(v)-6 DISTR Cust Alloc'!$J$491</f>
        <v>19</v>
      </c>
      <c r="J491" s="345">
        <f>SUM($G$491:$I$491)</f>
        <v>599</v>
      </c>
      <c r="K491" s="345">
        <f>F491-$J$491</f>
        <v>0</v>
      </c>
    </row>
    <row r="492" spans="1:11" ht="13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3">
        <f>'FR-16(7)(v)-8 TOT CLASS Alloc'!J492</f>
        <v>0</v>
      </c>
      <c r="G492" s="542">
        <f>'FR-16(7)(v)-5 DISTR Dem Alloc'!$J$492</f>
        <v>0</v>
      </c>
      <c r="H492" s="533">
        <f>'FR-16(7)(v)-3 PROD Comm Alloc'!$J$492</f>
        <v>0</v>
      </c>
      <c r="I492" s="534">
        <f>'FR-16(7)(v)-6 DISTR Cust Alloc'!$J$492</f>
        <v>0</v>
      </c>
      <c r="J492" s="345">
        <f>SUM($G$492:$I$492)</f>
        <v>0</v>
      </c>
      <c r="K492" s="345">
        <f>F492-$J$492</f>
        <v>0</v>
      </c>
    </row>
    <row r="493" spans="1:11" ht="13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4">
        <f>SUM(F491:F492)</f>
        <v>599</v>
      </c>
      <c r="G493" s="543">
        <f>SUM($G$491:$G$492)</f>
        <v>570</v>
      </c>
      <c r="H493" s="535">
        <f>SUM($H$491:$H$492)</f>
        <v>10</v>
      </c>
      <c r="I493" s="536">
        <f>SUM($I$491:$I$492)</f>
        <v>19</v>
      </c>
      <c r="J493" s="346">
        <f>SUM($J$491:$J$492)</f>
        <v>599</v>
      </c>
      <c r="K493" s="346">
        <f>SUM($K$491:$K$492)</f>
        <v>0</v>
      </c>
    </row>
    <row r="494" spans="1:11" ht="13">
      <c r="A494" s="331">
        <v>18</v>
      </c>
      <c r="D494" s="342"/>
      <c r="E494" s="195"/>
      <c r="G494" s="541"/>
      <c r="H494" s="531"/>
      <c r="I494" s="532"/>
    </row>
    <row r="495" spans="1:11" ht="13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125233</v>
      </c>
      <c r="G495" s="542">
        <f>$G$488+$G$481+$G$493</f>
        <v>119750</v>
      </c>
      <c r="H495" s="533">
        <f>$H$488+$H$481+$H$493</f>
        <v>255</v>
      </c>
      <c r="I495" s="534">
        <f>$I$488+$I$481+$I$493</f>
        <v>5228</v>
      </c>
      <c r="J495" s="345">
        <f>$J$488+$J$481+$J$493</f>
        <v>125233</v>
      </c>
      <c r="K495" s="345">
        <f>$K$488+$K$481+$K$493</f>
        <v>0</v>
      </c>
    </row>
    <row r="496" spans="1:11" ht="13">
      <c r="A496" s="331">
        <v>20</v>
      </c>
      <c r="D496" s="342"/>
      <c r="E496" s="195"/>
      <c r="G496" s="541"/>
      <c r="H496" s="531"/>
      <c r="I496" s="532"/>
    </row>
    <row r="497" spans="1:11" ht="13">
      <c r="A497" s="331">
        <v>21</v>
      </c>
      <c r="B497" s="330" t="s">
        <v>40</v>
      </c>
      <c r="D497" s="342"/>
      <c r="E497" s="195"/>
      <c r="G497" s="541"/>
      <c r="H497" s="531"/>
      <c r="I497" s="532"/>
    </row>
    <row r="498" spans="1:11" ht="13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K498" si="94">F433</f>
        <v>572568</v>
      </c>
      <c r="G498" s="542">
        <f t="shared" si="94"/>
        <v>396544</v>
      </c>
      <c r="H498" s="533">
        <f t="shared" si="94"/>
        <v>162403</v>
      </c>
      <c r="I498" s="534">
        <f t="shared" si="94"/>
        <v>13621</v>
      </c>
      <c r="J498" s="345">
        <f t="shared" si="94"/>
        <v>572568</v>
      </c>
      <c r="K498" s="345">
        <f t="shared" si="94"/>
        <v>0</v>
      </c>
    </row>
    <row r="499" spans="1:11" ht="13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K499" si="95">F465</f>
        <v>494111</v>
      </c>
      <c r="G499" s="542">
        <f t="shared" si="95"/>
        <v>472654</v>
      </c>
      <c r="H499" s="533">
        <f t="shared" si="95"/>
        <v>864</v>
      </c>
      <c r="I499" s="534">
        <f t="shared" si="95"/>
        <v>20593</v>
      </c>
      <c r="J499" s="345">
        <f t="shared" si="95"/>
        <v>494111</v>
      </c>
      <c r="K499" s="345">
        <f t="shared" si="95"/>
        <v>0</v>
      </c>
    </row>
    <row r="500" spans="1:11" ht="13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125233</v>
      </c>
      <c r="G500" s="542">
        <f>$G$495</f>
        <v>119750</v>
      </c>
      <c r="H500" s="533">
        <f>$H$495</f>
        <v>255</v>
      </c>
      <c r="I500" s="534">
        <f>$I$495</f>
        <v>5228</v>
      </c>
      <c r="J500" s="345">
        <f>$J$495</f>
        <v>125233</v>
      </c>
      <c r="K500" s="345">
        <f>$K$495</f>
        <v>0</v>
      </c>
    </row>
    <row r="501" spans="1:11" ht="13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1191912</v>
      </c>
      <c r="G501" s="551">
        <f>SUM($G$498:$G$500)</f>
        <v>988948</v>
      </c>
      <c r="H501" s="552">
        <f>SUM($H$498:$H$500)</f>
        <v>163522</v>
      </c>
      <c r="I501" s="553">
        <f>SUM($I$498:$I$500)</f>
        <v>39442</v>
      </c>
      <c r="J501" s="346">
        <f>SUM($J$498:$J$500)</f>
        <v>1191912</v>
      </c>
      <c r="K501" s="346">
        <f>SUM($K$498:$K$500)</f>
        <v>0</v>
      </c>
    </row>
    <row r="502" spans="1:11" ht="13">
      <c r="B502" s="341"/>
      <c r="C502" s="195"/>
      <c r="D502" s="342"/>
      <c r="E502" s="195"/>
      <c r="F502" s="195"/>
      <c r="G502" s="195"/>
      <c r="H502" s="195"/>
      <c r="I502" s="195"/>
      <c r="J502" s="195"/>
      <c r="K502" s="195"/>
    </row>
    <row r="503" spans="1:11" ht="13">
      <c r="A503" s="341" t="str">
        <f>co_name</f>
        <v>DUKE ENERGY KENTUCKY, INC.</v>
      </c>
      <c r="C503" s="195"/>
      <c r="D503" s="342"/>
      <c r="E503" s="195"/>
      <c r="F503" s="195"/>
      <c r="G503" s="195"/>
      <c r="H503" s="195"/>
      <c r="I503" s="195"/>
      <c r="J503" s="195" t="str">
        <f>$J$1</f>
        <v>FR-16(7)(v)-12</v>
      </c>
      <c r="K503" s="195"/>
    </row>
    <row r="504" spans="1:11" ht="13">
      <c r="A504" s="341" t="str">
        <f>$A$2</f>
        <v>INTERRUPTIBLE TRANSPORTATION CLASSIFIED - GAS COST OF SERVICE</v>
      </c>
      <c r="C504" s="195"/>
      <c r="D504" s="342"/>
      <c r="E504" s="195"/>
      <c r="F504" s="195"/>
      <c r="G504" s="195"/>
      <c r="H504" s="195"/>
      <c r="I504" s="195"/>
      <c r="J504" s="195" t="str">
        <f>$J$2</f>
        <v>WITNESS RESPONSIBLE:</v>
      </c>
      <c r="K504" s="195"/>
    </row>
    <row r="505" spans="1:11" ht="13">
      <c r="A505" s="341" t="str">
        <f>case_name</f>
        <v>CASE NO: 2021-00190</v>
      </c>
      <c r="C505" s="195"/>
      <c r="D505" s="342"/>
      <c r="E505" s="195"/>
      <c r="F505" s="195"/>
      <c r="G505" s="195"/>
      <c r="H505" s="195"/>
      <c r="I505" s="195"/>
      <c r="J505" s="195" t="str">
        <f>Witness</f>
        <v>JAMES E. ZIOLKOWSKI</v>
      </c>
      <c r="K505" s="195"/>
    </row>
    <row r="506" spans="1:11" ht="13">
      <c r="A506" s="341" t="str">
        <f>data_filing</f>
        <v>DATA: 12 MONTH FORECASTED PERIOD</v>
      </c>
      <c r="C506" s="195"/>
      <c r="D506" s="342"/>
      <c r="E506" s="195"/>
      <c r="F506" s="195"/>
      <c r="G506" s="195"/>
      <c r="H506" s="195"/>
      <c r="I506" s="195"/>
      <c r="J506" s="195" t="str">
        <f>"PAGE "&amp;Pages2-3&amp;" OF "&amp;Pages2</f>
        <v>PAGE 12 OF 15</v>
      </c>
      <c r="K506" s="195"/>
    </row>
    <row r="507" spans="1:11" ht="13">
      <c r="A507" s="341" t="str">
        <f>type</f>
        <v xml:space="preserve">TYPE OF FILING: "X" ORIGINAL   UPDATED    REVISED  </v>
      </c>
      <c r="C507" s="195"/>
      <c r="D507" s="342"/>
      <c r="E507" s="195"/>
      <c r="F507" s="195"/>
      <c r="G507" s="195"/>
      <c r="H507" s="195"/>
      <c r="I507" s="195"/>
      <c r="J507" s="195"/>
      <c r="K507" s="195"/>
    </row>
    <row r="508" spans="1:11" ht="13">
      <c r="B508" s="341"/>
      <c r="C508" s="195"/>
      <c r="D508" s="342"/>
      <c r="E508" s="195"/>
      <c r="F508" s="195"/>
      <c r="G508" s="195"/>
      <c r="H508" s="195"/>
      <c r="I508" s="195"/>
      <c r="J508" s="195"/>
      <c r="K508" s="195"/>
    </row>
    <row r="509" spans="1:11" ht="13">
      <c r="B509" s="341"/>
      <c r="C509" s="195"/>
      <c r="D509" s="342"/>
      <c r="E509" s="195"/>
      <c r="F509" s="195"/>
      <c r="G509" s="195"/>
      <c r="H509" s="195"/>
      <c r="I509" s="195"/>
      <c r="J509" s="195"/>
      <c r="K509" s="195"/>
    </row>
    <row r="510" spans="1:11" ht="13">
      <c r="A510" s="342" t="s">
        <v>907</v>
      </c>
      <c r="B510" s="195"/>
      <c r="C510" s="195"/>
      <c r="D510" s="342"/>
      <c r="E510" s="195"/>
      <c r="F510" s="342" t="s">
        <v>229</v>
      </c>
      <c r="G510" s="539" t="s">
        <v>995</v>
      </c>
      <c r="H510" s="527"/>
      <c r="I510" s="528"/>
      <c r="J510" s="342" t="s">
        <v>229</v>
      </c>
      <c r="K510" s="342" t="s">
        <v>342</v>
      </c>
    </row>
    <row r="511" spans="1:11" ht="13">
      <c r="A511" s="344" t="s">
        <v>908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4" t="str">
        <f>$F$9</f>
        <v>INTERRUPTIBLE</v>
      </c>
      <c r="G511" s="540" t="s">
        <v>840</v>
      </c>
      <c r="H511" s="529" t="s">
        <v>841</v>
      </c>
      <c r="I511" s="530" t="s">
        <v>842</v>
      </c>
      <c r="J511" s="344" t="s">
        <v>341</v>
      </c>
      <c r="K511" s="344" t="s">
        <v>340</v>
      </c>
    </row>
    <row r="512" spans="1:11" ht="13">
      <c r="C512" s="572" t="s">
        <v>351</v>
      </c>
      <c r="D512" s="342"/>
      <c r="E512" s="195"/>
      <c r="G512" s="793">
        <f>$G$10</f>
        <v>3</v>
      </c>
      <c r="H512" s="794">
        <f>$H$10</f>
        <v>4</v>
      </c>
      <c r="I512" s="795">
        <f>$I$10</f>
        <v>5</v>
      </c>
    </row>
    <row r="513" spans="1:11" ht="13">
      <c r="A513" s="331">
        <v>1</v>
      </c>
      <c r="B513" s="330" t="s">
        <v>69</v>
      </c>
      <c r="D513" s="342"/>
      <c r="E513" s="195"/>
      <c r="G513" s="541"/>
      <c r="H513" s="531"/>
      <c r="I513" s="532"/>
    </row>
    <row r="514" spans="1:11" ht="13">
      <c r="A514" s="331">
        <v>2</v>
      </c>
      <c r="B514" s="330" t="s">
        <v>70</v>
      </c>
      <c r="D514" s="342"/>
      <c r="E514" s="195"/>
      <c r="F514" s="330" t="s">
        <v>343</v>
      </c>
      <c r="G514" s="541"/>
      <c r="H514" s="531"/>
      <c r="I514" s="532"/>
    </row>
    <row r="515" spans="1:11" ht="13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3">
        <f>'FR-16(7)(v)-8 TOT CLASS Alloc'!J515</f>
        <v>236073</v>
      </c>
      <c r="G515" s="542">
        <f>'FR-16(7)(v)-5 DISTR Dem Alloc'!$J$515</f>
        <v>225857</v>
      </c>
      <c r="H515" s="533">
        <f>'FR-16(7)(v)-3 PROD Comm Alloc'!$J$515</f>
        <v>84</v>
      </c>
      <c r="I515" s="534">
        <f>'FR-16(7)(v)-6 DISTR Cust Alloc'!$J$515</f>
        <v>10132</v>
      </c>
      <c r="J515" s="345">
        <f>SUM($G$515:$I$515)</f>
        <v>236073</v>
      </c>
      <c r="K515" s="345">
        <f>F515-$J$515</f>
        <v>0</v>
      </c>
    </row>
    <row r="516" spans="1:11" ht="13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236073</v>
      </c>
      <c r="G516" s="543">
        <f>$G$515</f>
        <v>225857</v>
      </c>
      <c r="H516" s="535">
        <f>$H$515</f>
        <v>84</v>
      </c>
      <c r="I516" s="536">
        <f>$I$515</f>
        <v>10132</v>
      </c>
      <c r="J516" s="346">
        <f>$J$515</f>
        <v>236073</v>
      </c>
      <c r="K516" s="346">
        <f>$K$515</f>
        <v>0</v>
      </c>
    </row>
    <row r="517" spans="1:11" ht="13">
      <c r="A517" s="331">
        <v>5</v>
      </c>
      <c r="D517" s="342"/>
      <c r="E517" s="195"/>
      <c r="F517" s="351"/>
      <c r="G517" s="541"/>
      <c r="H517" s="531"/>
      <c r="I517" s="532"/>
    </row>
    <row r="518" spans="1:11" ht="13">
      <c r="A518" s="331">
        <v>6</v>
      </c>
      <c r="B518" s="330" t="s">
        <v>71</v>
      </c>
      <c r="D518" s="342"/>
      <c r="E518" s="195"/>
      <c r="F518" s="351"/>
      <c r="G518" s="541"/>
      <c r="H518" s="531"/>
      <c r="I518" s="532"/>
    </row>
    <row r="519" spans="1:11" ht="13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3">
        <f>'FR-16(7)(v)-8 TOT CLASS Alloc'!J519</f>
        <v>247107</v>
      </c>
      <c r="G519" s="542">
        <f>'FR-16(7)(v)-5 DISTR Dem Alloc'!$J$519</f>
        <v>236359</v>
      </c>
      <c r="H519" s="533">
        <f>'FR-16(7)(v)-3 PROD Comm Alloc'!$J$519</f>
        <v>433</v>
      </c>
      <c r="I519" s="534">
        <f>'FR-16(7)(v)-6 DISTR Cust Alloc'!$J$519</f>
        <v>10315</v>
      </c>
      <c r="J519" s="345">
        <f>SUM($G$519:$I$519)</f>
        <v>247107</v>
      </c>
      <c r="K519" s="345">
        <f>F519-$J$519</f>
        <v>0</v>
      </c>
    </row>
    <row r="520" spans="1:11" ht="13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3">
        <f>'FR-16(7)(v)-8 TOT CLASS Alloc'!J520</f>
        <v>-4620</v>
      </c>
      <c r="G520" s="542">
        <f>'FR-16(7)(v)-5 DISTR Dem Alloc'!$J$520</f>
        <v>-4394</v>
      </c>
      <c r="H520" s="533">
        <f>'FR-16(7)(v)-3 PROD Comm Alloc'!$J$520</f>
        <v>-79</v>
      </c>
      <c r="I520" s="534">
        <f>'FR-16(7)(v)-6 DISTR Cust Alloc'!$J$520</f>
        <v>-147</v>
      </c>
      <c r="J520" s="345">
        <f>SUM($G$520:$I$520)</f>
        <v>-4620</v>
      </c>
      <c r="K520" s="345">
        <f>F520-$J$520</f>
        <v>0</v>
      </c>
    </row>
    <row r="521" spans="1:11" ht="13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3">
        <f>'FR-16(7)(v)-8 TOT CLASS Alloc'!J521</f>
        <v>-53188</v>
      </c>
      <c r="G521" s="542">
        <f>'FR-16(7)(v)-5 DISTR Dem Alloc'!$J$521</f>
        <v>-50875</v>
      </c>
      <c r="H521" s="533">
        <f>'FR-16(7)(v)-3 PROD Comm Alloc'!$J$521</f>
        <v>-93</v>
      </c>
      <c r="I521" s="534">
        <f>'FR-16(7)(v)-6 DISTR Cust Alloc'!$J$521</f>
        <v>-2220</v>
      </c>
      <c r="J521" s="345">
        <f>SUM($G$521:$I$521)</f>
        <v>-53188</v>
      </c>
      <c r="K521" s="345">
        <f>F521-$J$521</f>
        <v>0</v>
      </c>
    </row>
    <row r="522" spans="1:11" ht="13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189299</v>
      </c>
      <c r="G522" s="543">
        <f>SUM($G$519:$G$521)</f>
        <v>181090</v>
      </c>
      <c r="H522" s="535">
        <f>SUM($H$519:$H$521)</f>
        <v>261</v>
      </c>
      <c r="I522" s="536">
        <f>SUM($I$519:$I$521)</f>
        <v>7948</v>
      </c>
      <c r="J522" s="346">
        <f>SUM($J$519:$J$521)</f>
        <v>189299</v>
      </c>
      <c r="K522" s="346">
        <f>SUM($K$519:$K$521)</f>
        <v>0</v>
      </c>
    </row>
    <row r="523" spans="1:11" ht="13">
      <c r="A523" s="331">
        <v>11</v>
      </c>
      <c r="D523" s="342"/>
      <c r="E523" s="195"/>
      <c r="F523" s="351"/>
      <c r="G523" s="541"/>
      <c r="H523" s="531"/>
      <c r="I523" s="532"/>
    </row>
    <row r="524" spans="1:11" ht="13">
      <c r="A524" s="331">
        <v>12</v>
      </c>
      <c r="B524" s="330" t="s">
        <v>72</v>
      </c>
      <c r="D524" s="342"/>
      <c r="E524" s="195"/>
      <c r="F524" s="347">
        <f>F522+F516</f>
        <v>425372</v>
      </c>
      <c r="G524" s="542">
        <f>$G$522+$G$516</f>
        <v>406947</v>
      </c>
      <c r="H524" s="533">
        <f>$H$522+$H$516</f>
        <v>345</v>
      </c>
      <c r="I524" s="534">
        <f>$I$522+$I$516</f>
        <v>18080</v>
      </c>
      <c r="J524" s="345">
        <f>$J$522+$J$516</f>
        <v>425372</v>
      </c>
      <c r="K524" s="345">
        <f>$K$522+$K$516</f>
        <v>0</v>
      </c>
    </row>
    <row r="525" spans="1:11" ht="13">
      <c r="A525" s="331">
        <v>13</v>
      </c>
      <c r="D525" s="342"/>
      <c r="E525" s="195"/>
      <c r="F525" s="351"/>
      <c r="G525" s="541"/>
      <c r="H525" s="531"/>
      <c r="I525" s="532"/>
    </row>
    <row r="526" spans="1:11" ht="13">
      <c r="A526" s="331">
        <v>14</v>
      </c>
      <c r="B526" s="338" t="s">
        <v>541</v>
      </c>
      <c r="D526" s="342"/>
      <c r="E526" s="195"/>
      <c r="F526" s="351"/>
      <c r="G526" s="541"/>
      <c r="H526" s="531"/>
      <c r="I526" s="532"/>
    </row>
    <row r="527" spans="1:11" ht="13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3">
        <f>'FR-16(7)(v)-8 TOT CLASS Alloc'!J527</f>
        <v>12925</v>
      </c>
      <c r="G527" s="542">
        <f>'FR-16(7)(v)-5 DISTR Dem Alloc'!$J$527</f>
        <v>8954</v>
      </c>
      <c r="H527" s="533">
        <f>'FR-16(7)(v)-3 PROD Comm Alloc'!$J$527</f>
        <v>3663</v>
      </c>
      <c r="I527" s="534">
        <f>'FR-16(7)(v)-6 DISTR Cust Alloc'!$J$527</f>
        <v>308</v>
      </c>
      <c r="J527" s="345">
        <f>SUM($G$527:$I$527)</f>
        <v>12925</v>
      </c>
      <c r="K527" s="345">
        <f>F527-$J$527</f>
        <v>0</v>
      </c>
    </row>
    <row r="528" spans="1:11" ht="13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3">
        <f>'FR-16(7)(v)-8 TOT CLASS Alloc'!J528</f>
        <v>308</v>
      </c>
      <c r="G528" s="542">
        <f>'FR-16(7)(v)-5 DISTR Dem Alloc'!$J$528</f>
        <v>293</v>
      </c>
      <c r="H528" s="533">
        <f>'FR-16(7)(v)-3 PROD Comm Alloc'!$J$528</f>
        <v>5</v>
      </c>
      <c r="I528" s="534">
        <f>'FR-16(7)(v)-6 DISTR Cust Alloc'!$J$528</f>
        <v>10</v>
      </c>
      <c r="J528" s="345">
        <f>SUM($G$528:$I$528)</f>
        <v>308</v>
      </c>
      <c r="K528" s="345">
        <f>F528-$J$528</f>
        <v>0</v>
      </c>
    </row>
    <row r="529" spans="1:11" ht="13">
      <c r="A529" s="331">
        <v>17</v>
      </c>
      <c r="C529" s="612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3">
        <f>'FR-16(7)(v)-8 TOT CLASS Alloc'!J529</f>
        <v>0</v>
      </c>
      <c r="G529" s="542">
        <f>'FR-16(7)(v)-5 DISTR Dem Alloc'!$J$529</f>
        <v>0</v>
      </c>
      <c r="H529" s="533">
        <f>'FR-16(7)(v)-3 PROD Comm Alloc'!$J$529</f>
        <v>0</v>
      </c>
      <c r="I529" s="534">
        <f>'FR-16(7)(v)-6 DISTR Cust Alloc'!$J$529</f>
        <v>0</v>
      </c>
      <c r="J529" s="345">
        <f>SUM($G$529:$I$529)</f>
        <v>0</v>
      </c>
      <c r="K529" s="345">
        <f>F529-$J$529</f>
        <v>0</v>
      </c>
    </row>
    <row r="530" spans="1:11" ht="13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3">
        <f>'FR-16(7)(v)-8 TOT CLASS Alloc'!J530</f>
        <v>0</v>
      </c>
      <c r="G530" s="542">
        <f>'FR-16(7)(v)-5 DISTR Dem Alloc'!$J$530</f>
        <v>0</v>
      </c>
      <c r="H530" s="533">
        <f>'FR-16(7)(v)-3 PROD Comm Alloc'!$J$530</f>
        <v>0</v>
      </c>
      <c r="I530" s="534">
        <f>'FR-16(7)(v)-6 DISTR Cust Alloc'!$J$530</f>
        <v>0</v>
      </c>
      <c r="J530" s="345">
        <f>SUM($G$530:$I$530)</f>
        <v>0</v>
      </c>
      <c r="K530" s="345">
        <f>F530-$J$530</f>
        <v>0</v>
      </c>
    </row>
    <row r="531" spans="1:11" ht="13">
      <c r="A531" s="331">
        <v>19</v>
      </c>
      <c r="C531" s="357" t="s">
        <v>1418</v>
      </c>
      <c r="D531" s="342" t="str">
        <f>'FR-16(7)(v)-1 Functional'!D531</f>
        <v>AG39</v>
      </c>
      <c r="E531" s="195"/>
      <c r="F531" s="473">
        <f>'FR-16(7)(v)-8 TOT CLASS Alloc'!J531</f>
        <v>-12415</v>
      </c>
      <c r="G531" s="542">
        <f>'FR-16(7)(v)-5 DISTR Dem Alloc'!$J$531</f>
        <v>-11808</v>
      </c>
      <c r="H531" s="533">
        <f>'FR-16(7)(v)-3 PROD Comm Alloc'!$J$531</f>
        <v>-213</v>
      </c>
      <c r="I531" s="534">
        <f>'FR-16(7)(v)-6 DISTR Cust Alloc'!$J$531</f>
        <v>-394</v>
      </c>
      <c r="J531" s="345">
        <f>SUM($G$531:$I$531)</f>
        <v>-12415</v>
      </c>
      <c r="K531" s="345">
        <f>F531-$J$531</f>
        <v>0</v>
      </c>
    </row>
    <row r="532" spans="1:11" ht="13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818</v>
      </c>
      <c r="G532" s="543">
        <f>SUM($G$527:$G$531)</f>
        <v>-2561</v>
      </c>
      <c r="H532" s="535">
        <f>SUM($H$527:$H$531)</f>
        <v>3455</v>
      </c>
      <c r="I532" s="536">
        <f>SUM($I$527:$I$531)</f>
        <v>-76</v>
      </c>
      <c r="J532" s="346">
        <f>SUM($J$527:$J$531)</f>
        <v>818</v>
      </c>
      <c r="K532" s="346">
        <f>SUM($K$527:$K$531)</f>
        <v>0</v>
      </c>
    </row>
    <row r="533" spans="1:11" ht="13">
      <c r="A533" s="331">
        <v>21</v>
      </c>
      <c r="D533" s="342"/>
      <c r="E533" s="195"/>
      <c r="F533" s="351"/>
      <c r="G533" s="541"/>
      <c r="H533" s="531"/>
      <c r="I533" s="532"/>
    </row>
    <row r="534" spans="1:11" ht="13">
      <c r="A534" s="331">
        <v>22</v>
      </c>
      <c r="B534" s="330" t="s">
        <v>418</v>
      </c>
      <c r="D534" s="342"/>
      <c r="E534" s="195"/>
      <c r="F534" s="351"/>
      <c r="G534" s="541"/>
      <c r="H534" s="531"/>
      <c r="I534" s="532"/>
    </row>
    <row r="535" spans="1:11" ht="13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3">
        <f>'FR-16(7)(v)-8 TOT CLASS Alloc'!J535</f>
        <v>1680</v>
      </c>
      <c r="G535" s="542">
        <f>'FR-16(7)(v)-5 DISTR Dem Alloc'!$J$535</f>
        <v>1607</v>
      </c>
      <c r="H535" s="533">
        <f>'FR-16(7)(v)-3 PROD Comm Alloc'!$J$535</f>
        <v>1</v>
      </c>
      <c r="I535" s="534">
        <f>'FR-16(7)(v)-6 DISTR Cust Alloc'!$J$535</f>
        <v>72</v>
      </c>
      <c r="J535" s="345">
        <f>SUM($G$535:$I$535)</f>
        <v>1680</v>
      </c>
      <c r="K535" s="506">
        <f>F535-$J$535</f>
        <v>0</v>
      </c>
    </row>
    <row r="536" spans="1:11" ht="13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1680</v>
      </c>
      <c r="G536" s="543">
        <f>SUM($G$535:$G$535)</f>
        <v>1607</v>
      </c>
      <c r="H536" s="535">
        <f>SUM($H$535:$H$535)</f>
        <v>1</v>
      </c>
      <c r="I536" s="536">
        <f>SUM($I$535:$I$535)</f>
        <v>72</v>
      </c>
      <c r="J536" s="346">
        <f>SUM($J$535:$J$535)</f>
        <v>1680</v>
      </c>
      <c r="K536" s="346">
        <f>SUM($K$535:$K$535)</f>
        <v>0</v>
      </c>
    </row>
    <row r="537" spans="1:11" ht="13">
      <c r="A537" s="331">
        <v>25</v>
      </c>
      <c r="D537" s="342"/>
      <c r="E537" s="195"/>
      <c r="F537" s="504"/>
      <c r="G537" s="566"/>
      <c r="H537" s="567"/>
      <c r="I537" s="568"/>
      <c r="J537" s="504"/>
      <c r="K537" s="504"/>
    </row>
    <row r="538" spans="1:11" ht="15.5">
      <c r="A538" s="331">
        <v>26</v>
      </c>
      <c r="B538" s="330" t="s">
        <v>73</v>
      </c>
      <c r="D538" s="729"/>
      <c r="E538" s="1"/>
      <c r="F538" s="504"/>
      <c r="G538" s="566"/>
      <c r="H538" s="567"/>
      <c r="I538" s="568"/>
      <c r="J538" s="504"/>
      <c r="K538" s="504"/>
    </row>
    <row r="539" spans="1:11" ht="13">
      <c r="A539" s="331">
        <v>27</v>
      </c>
      <c r="C539" s="330" t="str">
        <f>'FR-16(7)(v)-1 Functional'!C539</f>
        <v>PROV INVEST TAX CREDIT</v>
      </c>
      <c r="D539" s="342" t="s">
        <v>315</v>
      </c>
      <c r="F539" s="473">
        <f>'FR-16(7)(v)-8 TOT CLASS Alloc'!J539</f>
        <v>0</v>
      </c>
      <c r="G539" s="542">
        <f>'FR-16(7)(v)-5 DISTR Dem Alloc'!$J$539</f>
        <v>0</v>
      </c>
      <c r="H539" s="533">
        <f>'FR-16(7)(v)-3 PROD Comm Alloc'!$J$539</f>
        <v>0</v>
      </c>
      <c r="I539" s="534">
        <f>'FR-16(7)(v)-6 DISTR Cust Alloc'!$J$539</f>
        <v>0</v>
      </c>
      <c r="J539" s="345">
        <f>SUM($G$539:$I$539)</f>
        <v>0</v>
      </c>
      <c r="K539" s="345">
        <f>F539-$J$539</f>
        <v>0</v>
      </c>
    </row>
    <row r="540" spans="1:11" ht="15.5">
      <c r="A540" s="331">
        <v>28</v>
      </c>
      <c r="C540" s="337" t="str">
        <f>'FR-16(7)(v)-1 Functional'!C540</f>
        <v xml:space="preserve">  TEST YEAR INV TAX CREDIT</v>
      </c>
      <c r="D540" s="729"/>
      <c r="E540" s="1"/>
      <c r="F540" s="346">
        <f>SUM(F539:F539)</f>
        <v>0</v>
      </c>
      <c r="G540" s="543">
        <f>SUM($G$539:$G$539)</f>
        <v>0</v>
      </c>
      <c r="H540" s="535">
        <f>SUM($H$539:$H$539)</f>
        <v>0</v>
      </c>
      <c r="I540" s="536">
        <f>SUM($I$539:$I$539)</f>
        <v>0</v>
      </c>
      <c r="J540" s="346">
        <f>SUM($J$539:$J$539)</f>
        <v>0</v>
      </c>
      <c r="K540" s="346">
        <f>SUM($K$539:$K$539)</f>
        <v>0</v>
      </c>
    </row>
    <row r="541" spans="1:11" ht="15.5">
      <c r="A541" s="331">
        <v>29</v>
      </c>
      <c r="B541" s="192"/>
      <c r="C541" s="192"/>
      <c r="D541" s="729"/>
      <c r="E541" s="1"/>
      <c r="F541" s="504"/>
      <c r="G541" s="566"/>
      <c r="H541" s="567"/>
      <c r="I541" s="568"/>
      <c r="J541" s="504"/>
      <c r="K541" s="504"/>
    </row>
    <row r="542" spans="1:11" ht="15.5">
      <c r="A542" s="331">
        <v>30</v>
      </c>
      <c r="B542" s="330" t="s">
        <v>40</v>
      </c>
      <c r="C542" s="192"/>
      <c r="D542" s="729"/>
      <c r="E542" s="1"/>
      <c r="F542" s="504"/>
      <c r="G542" s="566"/>
      <c r="H542" s="567"/>
      <c r="I542" s="568"/>
      <c r="J542" s="504"/>
      <c r="K542" s="504"/>
    </row>
    <row r="543" spans="1:11" ht="13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818</v>
      </c>
      <c r="G543" s="542">
        <f>$G$532</f>
        <v>-2561</v>
      </c>
      <c r="H543" s="533">
        <f>$H$532</f>
        <v>3455</v>
      </c>
      <c r="I543" s="534">
        <f>$I$532</f>
        <v>-76</v>
      </c>
      <c r="J543" s="345">
        <f>$J$532</f>
        <v>818</v>
      </c>
      <c r="K543" s="345">
        <f>$K$532</f>
        <v>0</v>
      </c>
    </row>
    <row r="544" spans="1:11" ht="13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-1680</v>
      </c>
      <c r="G544" s="542">
        <f>-$G$536</f>
        <v>-1607</v>
      </c>
      <c r="H544" s="533">
        <f>-$H$536</f>
        <v>-1</v>
      </c>
      <c r="I544" s="534">
        <f>-$I$536</f>
        <v>-72</v>
      </c>
      <c r="J544" s="345">
        <f>-$J$536</f>
        <v>-1680</v>
      </c>
      <c r="K544" s="345">
        <f>-$K$536</f>
        <v>0</v>
      </c>
    </row>
    <row r="545" spans="1:11" ht="13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-862</v>
      </c>
      <c r="G545" s="543">
        <f>SUM($G$543:$G$544)</f>
        <v>-4168</v>
      </c>
      <c r="H545" s="535">
        <f>SUM($H$543:$H$544)</f>
        <v>3454</v>
      </c>
      <c r="I545" s="536">
        <f>SUM($I$543:$I$544)</f>
        <v>-148</v>
      </c>
      <c r="J545" s="346">
        <f>SUM($J$543:$J$544)</f>
        <v>-862</v>
      </c>
      <c r="K545" s="346">
        <f>SUM($K$543:$K$544)</f>
        <v>0</v>
      </c>
    </row>
    <row r="546" spans="1:11" ht="13">
      <c r="A546" s="331">
        <v>34</v>
      </c>
      <c r="D546" s="342"/>
      <c r="E546" s="195"/>
      <c r="F546" s="351"/>
      <c r="G546" s="541"/>
      <c r="H546" s="531"/>
      <c r="I546" s="532"/>
    </row>
    <row r="547" spans="1:11" ht="13">
      <c r="A547" s="331">
        <v>35</v>
      </c>
      <c r="B547" s="330" t="s">
        <v>74</v>
      </c>
      <c r="D547" s="342"/>
      <c r="E547" s="195"/>
      <c r="F547" s="351"/>
      <c r="G547" s="541"/>
      <c r="H547" s="531"/>
      <c r="I547" s="532"/>
    </row>
    <row r="548" spans="1:11" ht="13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K548" si="96">F334</f>
        <v>906514</v>
      </c>
      <c r="G548" s="542">
        <f t="shared" si="96"/>
        <v>867262</v>
      </c>
      <c r="H548" s="533">
        <f t="shared" si="96"/>
        <v>324</v>
      </c>
      <c r="I548" s="534">
        <f t="shared" si="96"/>
        <v>38927</v>
      </c>
      <c r="J548" s="345">
        <f t="shared" si="96"/>
        <v>906513</v>
      </c>
      <c r="K548" s="345">
        <f t="shared" si="96"/>
        <v>0</v>
      </c>
    </row>
    <row r="549" spans="1:11" ht="13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-425372</v>
      </c>
      <c r="G549" s="542">
        <f>-$G$524</f>
        <v>-406947</v>
      </c>
      <c r="H549" s="533">
        <f>-$H$524</f>
        <v>-345</v>
      </c>
      <c r="I549" s="534">
        <f>-$I$524</f>
        <v>-18080</v>
      </c>
      <c r="J549" s="345">
        <f>-$J$524</f>
        <v>-425372</v>
      </c>
      <c r="K549" s="345">
        <f>-$K$524</f>
        <v>0</v>
      </c>
    </row>
    <row r="550" spans="1:11" ht="13">
      <c r="A550" s="331">
        <v>38</v>
      </c>
      <c r="C550" s="330" t="s">
        <v>1419</v>
      </c>
      <c r="D550" s="342"/>
      <c r="E550" s="195"/>
      <c r="F550" s="347">
        <f t="shared" ref="F550:K550" si="97">F591</f>
        <v>18085</v>
      </c>
      <c r="G550" s="542">
        <f t="shared" si="97"/>
        <v>162</v>
      </c>
      <c r="H550" s="533">
        <f t="shared" si="97"/>
        <v>0</v>
      </c>
      <c r="I550" s="534">
        <f t="shared" si="97"/>
        <v>17923</v>
      </c>
      <c r="J550" s="345">
        <f t="shared" si="97"/>
        <v>18085</v>
      </c>
      <c r="K550" s="345">
        <f t="shared" si="97"/>
        <v>0</v>
      </c>
    </row>
    <row r="551" spans="1:11" ht="13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-862</v>
      </c>
      <c r="G551" s="542">
        <f>$G$545</f>
        <v>-4168</v>
      </c>
      <c r="H551" s="533">
        <f>$H$545</f>
        <v>3454</v>
      </c>
      <c r="I551" s="534">
        <f>$I$545</f>
        <v>-148</v>
      </c>
      <c r="J551" s="345">
        <f>$J$545</f>
        <v>-862</v>
      </c>
      <c r="K551" s="345">
        <f>$K$545</f>
        <v>0</v>
      </c>
    </row>
    <row r="552" spans="1:11" ht="13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>SUM(F548:F551)</f>
        <v>498365</v>
      </c>
      <c r="G552" s="543">
        <f>SUM($G$548:$G$551)</f>
        <v>456309</v>
      </c>
      <c r="H552" s="535">
        <f>SUM($H$548:$H$551)</f>
        <v>3433</v>
      </c>
      <c r="I552" s="536">
        <f>SUM($I$548:$I$551)</f>
        <v>38622</v>
      </c>
      <c r="J552" s="346">
        <f>SUM($J$548:$J$551)</f>
        <v>498364</v>
      </c>
      <c r="K552" s="346">
        <f>SUM($K$548:$K$551)</f>
        <v>0</v>
      </c>
    </row>
    <row r="553" spans="1:11" ht="13">
      <c r="A553" s="331">
        <v>41</v>
      </c>
      <c r="D553" s="342"/>
      <c r="E553" s="195"/>
      <c r="F553" s="351"/>
      <c r="G553" s="541"/>
      <c r="H553" s="531"/>
      <c r="I553" s="532"/>
    </row>
    <row r="554" spans="1:11" ht="13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560">
        <f>ROUND(G692/(1-G692),9)</f>
        <v>0.26582278500000001</v>
      </c>
      <c r="H554" s="561">
        <f>ROUND(H692/(1-H692),9)</f>
        <v>0.26582278500000001</v>
      </c>
      <c r="I554" s="562">
        <f>ROUND(I692/(1-I692),9)</f>
        <v>0.26582278500000001</v>
      </c>
      <c r="J554" s="348"/>
      <c r="K554" s="348">
        <f>ROUND(K692/(1-K692),9)</f>
        <v>0.26582278500000001</v>
      </c>
    </row>
    <row r="555" spans="1:11" ht="13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>ROUND(F554*F552,0)</f>
        <v>132477</v>
      </c>
      <c r="G555" s="554">
        <f>F555-SUM(H555:I555)</f>
        <v>121297</v>
      </c>
      <c r="H555" s="555">
        <f>ROUND($H$552*$H$554,0)</f>
        <v>913</v>
      </c>
      <c r="I555" s="556">
        <f>ROUND($I$552*$I$554,0)</f>
        <v>10267</v>
      </c>
      <c r="J555" s="345">
        <f>SUM($G$555:$I$555)</f>
        <v>132477</v>
      </c>
      <c r="K555" s="345">
        <f>F555-J555</f>
        <v>0</v>
      </c>
    </row>
    <row r="556" spans="1:11" ht="13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-862</v>
      </c>
      <c r="G556" s="542">
        <f>$G$545</f>
        <v>-4168</v>
      </c>
      <c r="H556" s="533">
        <f>$H$545</f>
        <v>3454</v>
      </c>
      <c r="I556" s="534">
        <f>$I$545</f>
        <v>-148</v>
      </c>
      <c r="J556" s="345">
        <f>$J$545</f>
        <v>-862</v>
      </c>
      <c r="K556" s="345">
        <f>F556-J556</f>
        <v>0</v>
      </c>
    </row>
    <row r="557" spans="1:11" ht="13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>SUM(F555:F556)</f>
        <v>131615</v>
      </c>
      <c r="G557" s="543">
        <f>SUM($G$555:$G$556)</f>
        <v>117129</v>
      </c>
      <c r="H557" s="535">
        <f>SUM($H$555:$H$556)</f>
        <v>4367</v>
      </c>
      <c r="I557" s="536">
        <f>SUM($I$555:$I$556)</f>
        <v>10119</v>
      </c>
      <c r="J557" s="346">
        <f>SUM($J$555:$J$556)</f>
        <v>131615</v>
      </c>
      <c r="K557" s="346">
        <f>SUM($K$555:$K$556)</f>
        <v>0</v>
      </c>
    </row>
    <row r="558" spans="1:11" ht="13">
      <c r="A558" s="331">
        <v>46</v>
      </c>
      <c r="D558" s="342"/>
      <c r="E558" s="195"/>
      <c r="F558" s="351"/>
      <c r="G558" s="541"/>
      <c r="H558" s="531"/>
      <c r="I558" s="532"/>
    </row>
    <row r="559" spans="1:11" ht="13">
      <c r="A559" s="331">
        <v>47</v>
      </c>
      <c r="B559" s="330" t="s">
        <v>68</v>
      </c>
      <c r="D559" s="342"/>
      <c r="E559" s="195"/>
      <c r="F559" s="351"/>
      <c r="G559" s="541"/>
      <c r="H559" s="531"/>
      <c r="I559" s="532"/>
    </row>
    <row r="560" spans="1:11" ht="13">
      <c r="A560" s="331">
        <v>48</v>
      </c>
      <c r="B560" s="330" t="s">
        <v>75</v>
      </c>
      <c r="D560" s="342"/>
      <c r="E560" s="195"/>
      <c r="F560" s="351"/>
      <c r="G560" s="541"/>
      <c r="H560" s="531"/>
      <c r="I560" s="532"/>
    </row>
    <row r="561" spans="1:11" ht="13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>F555</f>
        <v>132477</v>
      </c>
      <c r="G561" s="542">
        <f>$G$555</f>
        <v>121297</v>
      </c>
      <c r="H561" s="533">
        <f>$H$555</f>
        <v>913</v>
      </c>
      <c r="I561" s="534">
        <f>$I$555</f>
        <v>10267</v>
      </c>
      <c r="J561" s="345">
        <f>$J$555</f>
        <v>132477</v>
      </c>
      <c r="K561" s="345">
        <f>$K$555</f>
        <v>0</v>
      </c>
    </row>
    <row r="562" spans="1:11" ht="13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544">
        <f>-$G$540</f>
        <v>0</v>
      </c>
      <c r="H562" s="537">
        <f>-$H$540</f>
        <v>0</v>
      </c>
      <c r="I562" s="538">
        <f>-$I$540</f>
        <v>0</v>
      </c>
      <c r="J562" s="345">
        <f>-$J$540</f>
        <v>0</v>
      </c>
      <c r="K562" s="345">
        <f>-$K$540</f>
        <v>0</v>
      </c>
    </row>
    <row r="563" spans="1:11" ht="13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>SUM(F560:F562)</f>
        <v>132477</v>
      </c>
      <c r="G563" s="543">
        <f>SUM($G$560:$G$562)</f>
        <v>121297</v>
      </c>
      <c r="H563" s="535">
        <f>SUM($H$560:$H$562)</f>
        <v>913</v>
      </c>
      <c r="I563" s="536">
        <f>SUM($I$560:$I$562)</f>
        <v>10267</v>
      </c>
      <c r="J563" s="346">
        <f>SUM($J$560:$J$562)</f>
        <v>132477</v>
      </c>
      <c r="K563" s="346">
        <f>SUM($K$560:$K$562)</f>
        <v>0</v>
      </c>
    </row>
    <row r="564" spans="1:11" ht="13">
      <c r="A564" s="331">
        <v>52</v>
      </c>
      <c r="D564" s="342"/>
      <c r="E564" s="195"/>
      <c r="G564" s="541"/>
      <c r="H564" s="531"/>
      <c r="I564" s="532"/>
    </row>
    <row r="565" spans="1:11" ht="13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563">
        <f>ROUND((G693*(1-G692))+((1-G693)*(1-G692)*G694)+G692,5)</f>
        <v>0.24925</v>
      </c>
      <c r="H565" s="564">
        <f>ROUND((H693*(1-H692))+((1-H693)*(1-H692)*H694)+H692,5)</f>
        <v>0.24925</v>
      </c>
      <c r="I565" s="565">
        <f>ROUND((I693*(1-I692))+((1-I693)*(1-I692)*I694)+I692,5)</f>
        <v>0.24925</v>
      </c>
      <c r="K565" s="330">
        <f>ROUND((K693*(1-K692))+((1-K693)*(1-K692)*K694)+K692,5)</f>
        <v>0.24925</v>
      </c>
    </row>
    <row r="566" spans="1:11" ht="13">
      <c r="B566" s="341"/>
      <c r="C566" s="195"/>
      <c r="D566" s="342"/>
      <c r="E566" s="195"/>
      <c r="F566" s="195"/>
      <c r="G566" s="195"/>
      <c r="H566" s="195"/>
      <c r="I566" s="195"/>
      <c r="J566" s="195"/>
      <c r="K566" s="195"/>
    </row>
    <row r="567" spans="1:11" ht="13">
      <c r="A567" s="341" t="str">
        <f>co_name</f>
        <v>DUKE ENERGY KENTUCKY, INC.</v>
      </c>
      <c r="C567" s="195"/>
      <c r="D567" s="342"/>
      <c r="E567" s="195"/>
      <c r="F567" s="195"/>
      <c r="G567" s="195"/>
      <c r="H567" s="195"/>
      <c r="I567" s="195"/>
      <c r="J567" s="195" t="str">
        <f>$J$1</f>
        <v>FR-16(7)(v)-12</v>
      </c>
      <c r="K567" s="195"/>
    </row>
    <row r="568" spans="1:11" ht="13">
      <c r="A568" s="341" t="str">
        <f>$A$2</f>
        <v>INTERRUPTIBLE TRANSPORTATION CLASSIFIED - GAS COST OF SERVICE</v>
      </c>
      <c r="C568" s="195"/>
      <c r="D568" s="342"/>
      <c r="E568" s="195"/>
      <c r="F568" s="195"/>
      <c r="G568" s="195"/>
      <c r="H568" s="195"/>
      <c r="I568" s="195"/>
      <c r="J568" s="195" t="str">
        <f>$J$2</f>
        <v>WITNESS RESPONSIBLE:</v>
      </c>
      <c r="K568" s="195"/>
    </row>
    <row r="569" spans="1:11" ht="13">
      <c r="A569" s="341" t="str">
        <f>case_name</f>
        <v>CASE NO: 2021-00190</v>
      </c>
      <c r="C569" s="195"/>
      <c r="D569" s="342"/>
      <c r="E569" s="195"/>
      <c r="F569" s="195"/>
      <c r="G569" s="195"/>
      <c r="H569" s="195"/>
      <c r="I569" s="195"/>
      <c r="J569" s="195" t="str">
        <f>Witness</f>
        <v>JAMES E. ZIOLKOWSKI</v>
      </c>
      <c r="K569" s="195"/>
    </row>
    <row r="570" spans="1:11" ht="13">
      <c r="A570" s="341" t="str">
        <f>data_filing</f>
        <v>DATA: 12 MONTH FORECASTED PERIOD</v>
      </c>
      <c r="C570" s="195"/>
      <c r="D570" s="342"/>
      <c r="E570" s="195"/>
      <c r="F570" s="195"/>
      <c r="G570" s="195"/>
      <c r="H570" s="195"/>
      <c r="I570" s="195"/>
      <c r="J570" s="195" t="str">
        <f>"PAGE "&amp;Pages2-2&amp;" OF "&amp;Pages2</f>
        <v>PAGE 13 OF 15</v>
      </c>
      <c r="K570" s="195"/>
    </row>
    <row r="571" spans="1:11" ht="13">
      <c r="A571" s="341" t="str">
        <f>type</f>
        <v xml:space="preserve">TYPE OF FILING: "X" ORIGINAL   UPDATED    REVISED  </v>
      </c>
      <c r="C571" s="195"/>
      <c r="D571" s="342"/>
      <c r="E571" s="195"/>
      <c r="F571" s="195"/>
      <c r="G571" s="195"/>
      <c r="H571" s="195"/>
      <c r="I571" s="195"/>
      <c r="J571" s="195"/>
      <c r="K571" s="195"/>
    </row>
    <row r="574" spans="1:11" ht="13">
      <c r="A574" s="342" t="s">
        <v>907</v>
      </c>
      <c r="B574" s="1352"/>
      <c r="C574" s="1083"/>
      <c r="D574" s="1083"/>
      <c r="E574" s="340"/>
      <c r="F574" s="352" t="s">
        <v>229</v>
      </c>
      <c r="G574" s="539" t="s">
        <v>995</v>
      </c>
      <c r="H574" s="527"/>
      <c r="I574" s="528"/>
      <c r="J574" s="342" t="s">
        <v>229</v>
      </c>
      <c r="K574" s="342" t="s">
        <v>342</v>
      </c>
    </row>
    <row r="575" spans="1:11" ht="13">
      <c r="A575" s="344" t="s">
        <v>908</v>
      </c>
      <c r="B575" s="1354" t="s">
        <v>1376</v>
      </c>
      <c r="C575" s="1355"/>
      <c r="D575" s="1356" t="s">
        <v>1377</v>
      </c>
      <c r="E575" s="1357"/>
      <c r="F575" s="353" t="str">
        <f>$F$9</f>
        <v>INTERRUPTIBLE</v>
      </c>
      <c r="G575" s="540" t="s">
        <v>840</v>
      </c>
      <c r="H575" s="529" t="s">
        <v>841</v>
      </c>
      <c r="I575" s="530" t="s">
        <v>842</v>
      </c>
      <c r="J575" s="344" t="s">
        <v>341</v>
      </c>
      <c r="K575" s="344" t="s">
        <v>340</v>
      </c>
    </row>
    <row r="576" spans="1:11" ht="15.5">
      <c r="A576" s="1358"/>
      <c r="B576" s="1359"/>
      <c r="C576" s="1360" t="s">
        <v>1378</v>
      </c>
      <c r="D576" s="1361"/>
      <c r="E576" s="340"/>
      <c r="F576" s="351"/>
      <c r="G576" s="1407">
        <f>$G$10</f>
        <v>3</v>
      </c>
      <c r="H576" s="1408">
        <f>$H$10</f>
        <v>4</v>
      </c>
      <c r="I576" s="1409">
        <f>$I$10</f>
        <v>5</v>
      </c>
    </row>
    <row r="577" spans="1:11" ht="13">
      <c r="A577" s="961">
        <v>1</v>
      </c>
      <c r="B577" s="1365" t="s">
        <v>1379</v>
      </c>
      <c r="C577" s="1352"/>
      <c r="D577" s="1352"/>
      <c r="E577" s="340"/>
      <c r="F577" s="340"/>
      <c r="G577" s="1410"/>
      <c r="H577" s="1411"/>
      <c r="I577" s="1412"/>
      <c r="J577" s="195"/>
      <c r="K577" s="195"/>
    </row>
    <row r="578" spans="1:11" ht="13">
      <c r="A578" s="961">
        <v>2</v>
      </c>
      <c r="B578" s="1369" t="s">
        <v>1380</v>
      </c>
      <c r="C578" s="1352"/>
      <c r="D578" s="1370" t="s">
        <v>315</v>
      </c>
      <c r="E578" s="340"/>
      <c r="F578" s="473">
        <f>'FR-16(7)(v)-8 TOT CLASS Alloc'!J578</f>
        <v>193720</v>
      </c>
      <c r="G578" s="542">
        <f>ROUND(F578*VLOOKUP(D578,AllocTable_Functional,$G$10,FALSE),0)</f>
        <v>1740</v>
      </c>
      <c r="H578" s="533">
        <f>ROUND(F578*VLOOKUP(D578,AllocTable_Functional,$H$10,FALSE),0)</f>
        <v>0</v>
      </c>
      <c r="I578" s="534">
        <f>ROUND(F578*VLOOKUP(D578,AllocTable_Functional,$I$10,FALSE),0)</f>
        <v>191980</v>
      </c>
      <c r="J578" s="345">
        <f>SUM(G578:I578)</f>
        <v>193720</v>
      </c>
      <c r="K578" s="345">
        <f>F578-J578</f>
        <v>0</v>
      </c>
    </row>
    <row r="579" spans="1:11" ht="13">
      <c r="A579" s="961">
        <v>3</v>
      </c>
      <c r="B579" s="1369" t="s">
        <v>1152</v>
      </c>
      <c r="C579" s="1371"/>
      <c r="D579" s="1370" t="s">
        <v>315</v>
      </c>
      <c r="E579" s="340"/>
      <c r="F579" s="1372">
        <f>'FR-16(7)(v)-8 TOT CLASS Alloc'!J579</f>
        <v>0</v>
      </c>
      <c r="G579" s="544">
        <f>ROUND(F579*VLOOKUP(D579,AllocTable_Functional,$G$10,FALSE),0)</f>
        <v>0</v>
      </c>
      <c r="H579" s="537">
        <f>ROUND(F579*VLOOKUP(D579,AllocTable_Functional,$H$10,FALSE),0)</f>
        <v>0</v>
      </c>
      <c r="I579" s="538">
        <f>ROUND(F579*VLOOKUP(D579,AllocTable_Functional,$I$10,FALSE),0)</f>
        <v>0</v>
      </c>
      <c r="J579" s="496">
        <f>SUM(G579:I579)</f>
        <v>0</v>
      </c>
      <c r="K579" s="496">
        <f>F579-J579</f>
        <v>0</v>
      </c>
    </row>
    <row r="580" spans="1:11" ht="13">
      <c r="A580" s="961">
        <v>4</v>
      </c>
      <c r="B580" s="1373" t="s">
        <v>1381</v>
      </c>
      <c r="C580" s="1352"/>
      <c r="D580" s="1374"/>
      <c r="E580" s="340"/>
      <c r="F580" s="1280">
        <f t="shared" ref="F580:K580" si="98">SUM(F578:F579)</f>
        <v>193720</v>
      </c>
      <c r="G580" s="1413">
        <f t="shared" si="98"/>
        <v>1740</v>
      </c>
      <c r="H580" s="1414">
        <f t="shared" si="98"/>
        <v>0</v>
      </c>
      <c r="I580" s="1415">
        <f t="shared" si="98"/>
        <v>191980</v>
      </c>
      <c r="J580" s="333">
        <f t="shared" si="98"/>
        <v>193720</v>
      </c>
      <c r="K580" s="333">
        <f t="shared" si="98"/>
        <v>0</v>
      </c>
    </row>
    <row r="581" spans="1:11" ht="15.5">
      <c r="A581" s="961">
        <v>5</v>
      </c>
      <c r="B581" s="1358"/>
      <c r="C581" s="1361"/>
      <c r="D581" s="1375"/>
      <c r="E581" s="340"/>
      <c r="F581" s="351"/>
      <c r="G581" s="541"/>
      <c r="H581" s="531"/>
      <c r="I581" s="532"/>
    </row>
    <row r="582" spans="1:11" ht="13">
      <c r="A582" s="961">
        <v>6</v>
      </c>
      <c r="B582" s="1376" t="s">
        <v>1382</v>
      </c>
      <c r="C582" s="1352"/>
      <c r="D582" s="1374"/>
      <c r="E582" s="340"/>
      <c r="F582" s="351"/>
      <c r="G582" s="541"/>
      <c r="H582" s="531"/>
      <c r="I582" s="532"/>
    </row>
    <row r="583" spans="1:11" ht="13">
      <c r="A583" s="961">
        <v>7</v>
      </c>
      <c r="B583" s="1377" t="s">
        <v>1383</v>
      </c>
      <c r="C583" s="1352"/>
      <c r="D583" s="1374"/>
      <c r="E583" s="340"/>
      <c r="F583" s="351"/>
      <c r="G583" s="541"/>
      <c r="H583" s="531"/>
      <c r="I583" s="532"/>
    </row>
    <row r="584" spans="1:11" ht="13">
      <c r="A584" s="961">
        <v>8</v>
      </c>
      <c r="B584" s="1378" t="s">
        <v>1384</v>
      </c>
      <c r="C584" s="1371"/>
      <c r="D584" s="1370" t="s">
        <v>315</v>
      </c>
      <c r="E584" s="340"/>
      <c r="F584" s="1431">
        <f>'FR-16(7)(v)-8 TOT CLASS Alloc'!J584</f>
        <v>18085</v>
      </c>
      <c r="G584" s="544">
        <f>F584-SUM(H584:I584)</f>
        <v>162</v>
      </c>
      <c r="H584" s="537">
        <f>ROUND(F584*VLOOKUP(D584,AllocTable_Functional,$H$10,FALSE),0)</f>
        <v>0</v>
      </c>
      <c r="I584" s="538">
        <f>ROUND(F584*VLOOKUP(D584,AllocTable_Functional,$I$10,FALSE),0)</f>
        <v>17923</v>
      </c>
      <c r="J584" s="496">
        <f>SUM(G584:I584)</f>
        <v>18085</v>
      </c>
      <c r="K584" s="496">
        <f>F584-J584</f>
        <v>0</v>
      </c>
    </row>
    <row r="585" spans="1:11" ht="13">
      <c r="A585" s="961">
        <v>9</v>
      </c>
      <c r="B585" s="1373" t="s">
        <v>1386</v>
      </c>
      <c r="C585" s="1352"/>
      <c r="D585" s="1374"/>
      <c r="E585" s="340"/>
      <c r="F585" s="1280">
        <f t="shared" ref="F585:K585" si="99">SUM(F584)</f>
        <v>18085</v>
      </c>
      <c r="G585" s="1413">
        <f t="shared" si="99"/>
        <v>162</v>
      </c>
      <c r="H585" s="1414">
        <f t="shared" si="99"/>
        <v>0</v>
      </c>
      <c r="I585" s="1415">
        <f t="shared" si="99"/>
        <v>17923</v>
      </c>
      <c r="J585" s="333">
        <f t="shared" si="99"/>
        <v>18085</v>
      </c>
      <c r="K585" s="333">
        <f t="shared" si="99"/>
        <v>0</v>
      </c>
    </row>
    <row r="586" spans="1:11" ht="13">
      <c r="A586" s="961">
        <v>10</v>
      </c>
      <c r="B586" s="1082"/>
      <c r="C586" s="1352"/>
      <c r="D586" s="1374"/>
      <c r="E586" s="340"/>
      <c r="F586" s="351"/>
      <c r="G586" s="541"/>
      <c r="H586" s="531"/>
      <c r="I586" s="532"/>
    </row>
    <row r="587" spans="1:11" ht="13">
      <c r="A587" s="961">
        <v>11</v>
      </c>
      <c r="B587" s="1379" t="s">
        <v>1387</v>
      </c>
      <c r="C587" s="1380"/>
      <c r="D587" s="1381"/>
      <c r="E587" s="340"/>
      <c r="F587" s="351"/>
      <c r="G587" s="541"/>
      <c r="H587" s="531"/>
      <c r="I587" s="532"/>
    </row>
    <row r="588" spans="1:11" ht="13">
      <c r="A588" s="961">
        <v>12</v>
      </c>
      <c r="B588" s="1369" t="s">
        <v>1388</v>
      </c>
      <c r="C588" s="1371"/>
      <c r="D588" s="1370" t="s">
        <v>315</v>
      </c>
      <c r="E588" s="340"/>
      <c r="F588" s="1431">
        <f>'FR-16(7)(v)-8 TOT CLASS Alloc'!J588</f>
        <v>0</v>
      </c>
      <c r="G588" s="544">
        <f>ROUND(F588*VLOOKUP(D588,AllocTable_Functional,$G$10,FALSE),0)</f>
        <v>0</v>
      </c>
      <c r="H588" s="537">
        <f>ROUND(F588*VLOOKUP(D588,AllocTable_Functional,$H$10,FALSE),0)</f>
        <v>0</v>
      </c>
      <c r="I588" s="538">
        <f>ROUND(F588*VLOOKUP(D588,AllocTable_Functional,$I$10,FALSE),0)</f>
        <v>0</v>
      </c>
      <c r="J588" s="496">
        <f>SUM(G588:I588)</f>
        <v>0</v>
      </c>
      <c r="K588" s="496">
        <f>F588-J588</f>
        <v>0</v>
      </c>
    </row>
    <row r="589" spans="1:11" ht="13">
      <c r="A589" s="961">
        <v>13</v>
      </c>
      <c r="B589" s="1373" t="s">
        <v>1389</v>
      </c>
      <c r="C589" s="1352"/>
      <c r="D589" s="1374"/>
      <c r="E589" s="340"/>
      <c r="F589" s="1280">
        <f t="shared" ref="F589:K589" si="100">SUM(F588)</f>
        <v>0</v>
      </c>
      <c r="G589" s="1413">
        <f t="shared" si="100"/>
        <v>0</v>
      </c>
      <c r="H589" s="1414">
        <f t="shared" si="100"/>
        <v>0</v>
      </c>
      <c r="I589" s="1415">
        <f t="shared" si="100"/>
        <v>0</v>
      </c>
      <c r="J589" s="333">
        <f t="shared" si="100"/>
        <v>0</v>
      </c>
      <c r="K589" s="333">
        <f t="shared" si="100"/>
        <v>0</v>
      </c>
    </row>
    <row r="590" spans="1:11" ht="13">
      <c r="A590" s="961">
        <v>14</v>
      </c>
      <c r="B590" s="1352"/>
      <c r="C590" s="1352"/>
      <c r="D590" s="1374"/>
      <c r="E590" s="340"/>
      <c r="F590" s="351"/>
      <c r="G590" s="541"/>
      <c r="H590" s="531"/>
      <c r="I590" s="532"/>
    </row>
    <row r="591" spans="1:11" ht="13">
      <c r="A591" s="961">
        <v>15</v>
      </c>
      <c r="B591" s="1352" t="s">
        <v>1390</v>
      </c>
      <c r="C591" s="1352"/>
      <c r="D591" s="1374"/>
      <c r="E591" s="340"/>
      <c r="F591" s="1280">
        <f>F589+F585</f>
        <v>18085</v>
      </c>
      <c r="G591" s="1413">
        <f t="shared" ref="G591:K591" si="101">G589+G585</f>
        <v>162</v>
      </c>
      <c r="H591" s="1414">
        <f t="shared" si="101"/>
        <v>0</v>
      </c>
      <c r="I591" s="1415">
        <f t="shared" si="101"/>
        <v>17923</v>
      </c>
      <c r="J591" s="333">
        <f t="shared" si="101"/>
        <v>18085</v>
      </c>
      <c r="K591" s="333">
        <f t="shared" si="101"/>
        <v>0</v>
      </c>
    </row>
    <row r="592" spans="1:11" ht="13">
      <c r="A592" s="961">
        <v>16</v>
      </c>
      <c r="B592" s="1352"/>
      <c r="C592" s="1352"/>
      <c r="D592" s="1374"/>
      <c r="E592" s="340"/>
      <c r="F592" s="351"/>
      <c r="G592" s="541"/>
      <c r="H592" s="531"/>
      <c r="I592" s="532"/>
    </row>
    <row r="593" spans="1:11" ht="13">
      <c r="A593" s="961">
        <v>17</v>
      </c>
      <c r="B593" s="1382" t="s">
        <v>68</v>
      </c>
      <c r="C593" s="1383"/>
      <c r="D593" s="961"/>
      <c r="E593" s="340"/>
      <c r="F593" s="351"/>
      <c r="G593" s="541"/>
      <c r="H593" s="531"/>
      <c r="I593" s="532"/>
    </row>
    <row r="594" spans="1:11" ht="13">
      <c r="A594" s="961">
        <v>18</v>
      </c>
      <c r="B594" s="1377" t="s">
        <v>1391</v>
      </c>
      <c r="C594" s="1352"/>
      <c r="D594" s="1374"/>
      <c r="E594" s="340"/>
      <c r="F594" s="351"/>
      <c r="G594" s="541"/>
      <c r="H594" s="531"/>
      <c r="I594" s="532"/>
    </row>
    <row r="595" spans="1:11" ht="13">
      <c r="A595" s="961">
        <v>19</v>
      </c>
      <c r="B595" s="1352" t="s">
        <v>43</v>
      </c>
      <c r="C595" s="1352"/>
      <c r="D595" s="1374"/>
      <c r="E595" s="340"/>
      <c r="F595" s="1280">
        <f>F334</f>
        <v>906514</v>
      </c>
      <c r="G595" s="1413">
        <f>G334</f>
        <v>867262</v>
      </c>
      <c r="H595" s="1414">
        <f>H334</f>
        <v>324</v>
      </c>
      <c r="I595" s="1415">
        <f>I334</f>
        <v>38927</v>
      </c>
      <c r="J595" s="1280">
        <f>J334</f>
        <v>906513</v>
      </c>
      <c r="K595" s="1280">
        <f t="shared" ref="K595" si="102">K316</f>
        <v>0</v>
      </c>
    </row>
    <row r="596" spans="1:11" ht="13">
      <c r="A596" s="961">
        <v>20</v>
      </c>
      <c r="B596" s="1352" t="s">
        <v>199</v>
      </c>
      <c r="C596" s="1352"/>
      <c r="D596" s="1374"/>
      <c r="E596" s="340"/>
      <c r="F596" s="1280">
        <f t="shared" ref="F596:K596" si="103">F557</f>
        <v>131615</v>
      </c>
      <c r="G596" s="1413">
        <f t="shared" si="103"/>
        <v>117129</v>
      </c>
      <c r="H596" s="1414">
        <f t="shared" si="103"/>
        <v>4367</v>
      </c>
      <c r="I596" s="1415">
        <f t="shared" si="103"/>
        <v>10119</v>
      </c>
      <c r="J596" s="333">
        <f t="shared" si="103"/>
        <v>131615</v>
      </c>
      <c r="K596" s="333">
        <f t="shared" si="103"/>
        <v>0</v>
      </c>
    </row>
    <row r="597" spans="1:11" ht="13">
      <c r="A597" s="961">
        <v>21</v>
      </c>
      <c r="B597" s="1352" t="s">
        <v>1392</v>
      </c>
      <c r="C597" s="1352"/>
      <c r="D597" s="1374"/>
      <c r="E597" s="340"/>
      <c r="F597" s="1280">
        <f>-F524</f>
        <v>-425372</v>
      </c>
      <c r="G597" s="1413">
        <f t="shared" ref="G597:K597" si="104">-G524</f>
        <v>-406947</v>
      </c>
      <c r="H597" s="1414">
        <f t="shared" si="104"/>
        <v>-345</v>
      </c>
      <c r="I597" s="1415">
        <f t="shared" si="104"/>
        <v>-18080</v>
      </c>
      <c r="J597" s="333">
        <f t="shared" si="104"/>
        <v>-425372</v>
      </c>
      <c r="K597" s="333">
        <f t="shared" si="104"/>
        <v>0</v>
      </c>
    </row>
    <row r="598" spans="1:11" ht="13">
      <c r="A598" s="961">
        <v>22</v>
      </c>
      <c r="B598" s="1352" t="s">
        <v>1393</v>
      </c>
      <c r="C598" s="1352"/>
      <c r="D598" s="1374"/>
      <c r="E598" s="340"/>
      <c r="F598" s="1280">
        <f t="shared" ref="F598:K598" si="105">-F580</f>
        <v>-193720</v>
      </c>
      <c r="G598" s="1413">
        <f t="shared" si="105"/>
        <v>-1740</v>
      </c>
      <c r="H598" s="1414">
        <f t="shared" si="105"/>
        <v>0</v>
      </c>
      <c r="I598" s="1415">
        <f t="shared" si="105"/>
        <v>-191980</v>
      </c>
      <c r="J598" s="333">
        <f t="shared" si="105"/>
        <v>-193720</v>
      </c>
      <c r="K598" s="333">
        <f t="shared" si="105"/>
        <v>0</v>
      </c>
    </row>
    <row r="599" spans="1:11" ht="13">
      <c r="A599" s="961">
        <v>23</v>
      </c>
      <c r="B599" s="1371" t="s">
        <v>1394</v>
      </c>
      <c r="C599" s="1371"/>
      <c r="D599" s="1374"/>
      <c r="E599" s="340"/>
      <c r="F599" s="1384">
        <f t="shared" ref="F599:K599" si="106">F591</f>
        <v>18085</v>
      </c>
      <c r="G599" s="1416">
        <f t="shared" si="106"/>
        <v>162</v>
      </c>
      <c r="H599" s="1417">
        <f t="shared" si="106"/>
        <v>0</v>
      </c>
      <c r="I599" s="1418">
        <f t="shared" si="106"/>
        <v>17923</v>
      </c>
      <c r="J599" s="1388">
        <f t="shared" si="106"/>
        <v>18085</v>
      </c>
      <c r="K599" s="1388">
        <f t="shared" si="106"/>
        <v>0</v>
      </c>
    </row>
    <row r="600" spans="1:11" ht="13">
      <c r="A600" s="961">
        <v>24</v>
      </c>
      <c r="B600" s="1082" t="s">
        <v>1395</v>
      </c>
      <c r="C600" s="1352"/>
      <c r="D600" s="1374"/>
      <c r="E600" s="340"/>
      <c r="F600" s="1280">
        <f t="shared" ref="F600:K600" si="107">SUM(F595:F599)</f>
        <v>437122</v>
      </c>
      <c r="G600" s="1413">
        <f t="shared" si="107"/>
        <v>575866</v>
      </c>
      <c r="H600" s="1414">
        <f t="shared" si="107"/>
        <v>4346</v>
      </c>
      <c r="I600" s="1415">
        <f t="shared" si="107"/>
        <v>-143091</v>
      </c>
      <c r="J600" s="333">
        <f t="shared" si="107"/>
        <v>437121</v>
      </c>
      <c r="K600" s="333">
        <f t="shared" si="107"/>
        <v>0</v>
      </c>
    </row>
    <row r="601" spans="1:11" ht="13">
      <c r="A601" s="961">
        <v>25</v>
      </c>
      <c r="B601" s="1352"/>
      <c r="C601" s="1352"/>
      <c r="D601" s="1374"/>
      <c r="E601" s="340"/>
      <c r="F601" s="351"/>
      <c r="G601" s="541"/>
      <c r="H601" s="531"/>
      <c r="I601" s="532"/>
    </row>
    <row r="602" spans="1:11" ht="13">
      <c r="A602" s="961">
        <v>26</v>
      </c>
      <c r="B602" s="1352" t="s">
        <v>1396</v>
      </c>
      <c r="C602" s="1352"/>
      <c r="D602" s="1374"/>
      <c r="E602" s="340"/>
      <c r="F602" s="1389">
        <f>ROUND(SIT/(1-SIT),8)</f>
        <v>5.2282660000000002E-2</v>
      </c>
      <c r="G602" s="1419">
        <f t="shared" ref="G602:K602" si="108">ROUND(SIT/(1-SIT),8)</f>
        <v>5.2282660000000002E-2</v>
      </c>
      <c r="H602" s="1420">
        <f t="shared" si="108"/>
        <v>5.2282660000000002E-2</v>
      </c>
      <c r="I602" s="1421">
        <f t="shared" si="108"/>
        <v>5.2282660000000002E-2</v>
      </c>
      <c r="J602" s="1389">
        <f t="shared" si="108"/>
        <v>5.2282660000000002E-2</v>
      </c>
      <c r="K602" s="1389">
        <f t="shared" si="108"/>
        <v>5.2282660000000002E-2</v>
      </c>
    </row>
    <row r="603" spans="1:11" ht="13">
      <c r="A603" s="961">
        <v>27</v>
      </c>
      <c r="B603" s="1352" t="s">
        <v>1397</v>
      </c>
      <c r="C603" s="1352"/>
      <c r="D603" s="1393" t="s">
        <v>1398</v>
      </c>
      <c r="E603" s="340"/>
      <c r="F603" s="1394">
        <f>ROUND(F600*F602,0)</f>
        <v>22854</v>
      </c>
      <c r="G603" s="1414">
        <f>ROUND(G600*G602,0)</f>
        <v>30108</v>
      </c>
      <c r="H603" s="1414">
        <f>ROUND(H600*H602,0)</f>
        <v>227</v>
      </c>
      <c r="I603" s="1415">
        <f>ROUND(I600*I602,0)</f>
        <v>-7481</v>
      </c>
      <c r="J603" s="345">
        <f>SUM(G603:I603)</f>
        <v>22854</v>
      </c>
      <c r="K603" s="345">
        <f>F603-J603</f>
        <v>0</v>
      </c>
    </row>
    <row r="604" spans="1:11" ht="13">
      <c r="A604" s="961">
        <v>28</v>
      </c>
      <c r="B604" s="1371" t="s">
        <v>1399</v>
      </c>
      <c r="C604" s="1371"/>
      <c r="D604" s="1374"/>
      <c r="E604" s="1395"/>
      <c r="F604" s="1394">
        <f>F591</f>
        <v>18085</v>
      </c>
      <c r="G604" s="1422">
        <f>G591</f>
        <v>162</v>
      </c>
      <c r="H604" s="1423">
        <f>H591</f>
        <v>0</v>
      </c>
      <c r="I604" s="1424">
        <f>I591</f>
        <v>17923</v>
      </c>
      <c r="J604" s="345">
        <f>SUM(G604:I604)</f>
        <v>18085</v>
      </c>
      <c r="K604" s="345">
        <f>F604-J604</f>
        <v>0</v>
      </c>
    </row>
    <row r="605" spans="1:11" ht="13">
      <c r="A605" s="961">
        <v>29</v>
      </c>
      <c r="B605" s="1082" t="s">
        <v>1400</v>
      </c>
      <c r="C605" s="1352"/>
      <c r="D605" s="1374"/>
      <c r="E605" s="340"/>
      <c r="F605" s="1399">
        <f t="shared" ref="F605:K605" si="109">F604+F603</f>
        <v>40939</v>
      </c>
      <c r="G605" s="1425">
        <f t="shared" si="109"/>
        <v>30270</v>
      </c>
      <c r="H605" s="1426">
        <f t="shared" si="109"/>
        <v>227</v>
      </c>
      <c r="I605" s="1427">
        <f t="shared" si="109"/>
        <v>10442</v>
      </c>
      <c r="J605" s="1399">
        <f t="shared" si="109"/>
        <v>40939</v>
      </c>
      <c r="K605" s="1399">
        <f t="shared" si="109"/>
        <v>0</v>
      </c>
    </row>
    <row r="606" spans="1:11" ht="13">
      <c r="A606" s="961">
        <v>30</v>
      </c>
      <c r="B606" s="1352"/>
      <c r="C606" s="1352"/>
      <c r="D606" s="1374"/>
      <c r="E606" s="340"/>
      <c r="F606" s="351"/>
      <c r="G606" s="541"/>
      <c r="H606" s="531"/>
      <c r="I606" s="532"/>
    </row>
    <row r="607" spans="1:11" ht="13">
      <c r="A607" s="961">
        <v>31</v>
      </c>
      <c r="B607" s="1352" t="s">
        <v>1401</v>
      </c>
      <c r="C607" s="1352"/>
      <c r="D607" s="1374"/>
      <c r="E607" s="340"/>
      <c r="F607" s="351"/>
      <c r="G607" s="541"/>
      <c r="H607" s="531"/>
      <c r="I607" s="532"/>
    </row>
    <row r="608" spans="1:11" ht="13">
      <c r="A608" s="961">
        <v>32</v>
      </c>
      <c r="B608" s="1352" t="s">
        <v>1397</v>
      </c>
      <c r="C608" s="1352"/>
      <c r="D608" s="1374"/>
      <c r="E608" s="340"/>
      <c r="F608" s="1394">
        <f t="shared" ref="F608:K608" si="110">F603</f>
        <v>22854</v>
      </c>
      <c r="G608" s="1422">
        <f t="shared" si="110"/>
        <v>30108</v>
      </c>
      <c r="H608" s="1423">
        <f t="shared" si="110"/>
        <v>227</v>
      </c>
      <c r="I608" s="1424">
        <f t="shared" si="110"/>
        <v>-7481</v>
      </c>
      <c r="J608" s="1394">
        <f t="shared" si="110"/>
        <v>22854</v>
      </c>
      <c r="K608" s="1394">
        <f t="shared" si="110"/>
        <v>0</v>
      </c>
    </row>
    <row r="609" spans="1:11" ht="13">
      <c r="A609" s="961">
        <v>33</v>
      </c>
      <c r="B609" s="1371" t="s">
        <v>1387</v>
      </c>
      <c r="C609" s="1371"/>
      <c r="D609" s="1374"/>
      <c r="E609" s="340"/>
      <c r="F609" s="1394">
        <f t="shared" ref="F609:K609" si="111">F589</f>
        <v>0</v>
      </c>
      <c r="G609" s="1422">
        <f t="shared" si="111"/>
        <v>0</v>
      </c>
      <c r="H609" s="1423">
        <f t="shared" si="111"/>
        <v>0</v>
      </c>
      <c r="I609" s="1424">
        <f t="shared" si="111"/>
        <v>0</v>
      </c>
      <c r="J609" s="1394">
        <f t="shared" si="111"/>
        <v>0</v>
      </c>
      <c r="K609" s="1394">
        <f t="shared" si="111"/>
        <v>0</v>
      </c>
    </row>
    <row r="610" spans="1:11" ht="13">
      <c r="A610" s="961">
        <v>34</v>
      </c>
      <c r="B610" s="1082" t="s">
        <v>1402</v>
      </c>
      <c r="C610" s="1352"/>
      <c r="D610" s="1374"/>
      <c r="E610" s="340"/>
      <c r="F610" s="1399">
        <f t="shared" ref="F610:K610" si="112">F608+F609</f>
        <v>22854</v>
      </c>
      <c r="G610" s="1425">
        <f t="shared" si="112"/>
        <v>30108</v>
      </c>
      <c r="H610" s="1426">
        <f t="shared" si="112"/>
        <v>227</v>
      </c>
      <c r="I610" s="1427">
        <f t="shared" si="112"/>
        <v>-7481</v>
      </c>
      <c r="J610" s="1399">
        <f t="shared" si="112"/>
        <v>22854</v>
      </c>
      <c r="K610" s="1399">
        <f t="shared" si="112"/>
        <v>0</v>
      </c>
    </row>
    <row r="611" spans="1:11" ht="13">
      <c r="A611" s="961">
        <v>35</v>
      </c>
      <c r="B611" s="1352"/>
      <c r="C611" s="1352"/>
      <c r="D611" s="1352"/>
      <c r="E611" s="340"/>
      <c r="F611" s="1394"/>
      <c r="G611" s="1422"/>
      <c r="H611" s="1423"/>
      <c r="I611" s="1424"/>
      <c r="J611" s="1394"/>
      <c r="K611" s="1394"/>
    </row>
    <row r="612" spans="1:11" ht="13">
      <c r="A612" s="961">
        <v>36</v>
      </c>
      <c r="B612" s="1352" t="s">
        <v>76</v>
      </c>
      <c r="C612" s="1352"/>
      <c r="D612" s="1352"/>
      <c r="E612" s="340"/>
      <c r="F612" s="1403">
        <f t="shared" ref="F612:K612" si="113">(SIT*(1-FIT))+((1-SIT)*(1-FIT)*RevTax)+FIT</f>
        <v>0.24925115</v>
      </c>
      <c r="G612" s="1428">
        <f t="shared" si="113"/>
        <v>0.24925115</v>
      </c>
      <c r="H612" s="1429">
        <f t="shared" si="113"/>
        <v>0.24925115</v>
      </c>
      <c r="I612" s="1430">
        <f t="shared" si="113"/>
        <v>0.24925115</v>
      </c>
      <c r="J612" s="1403">
        <f t="shared" si="113"/>
        <v>0.24925115</v>
      </c>
      <c r="K612" s="1403">
        <f t="shared" si="113"/>
        <v>0.24925115</v>
      </c>
    </row>
    <row r="614" spans="1:11" ht="13">
      <c r="A614" s="341" t="str">
        <f>co_name</f>
        <v>DUKE ENERGY KENTUCKY, INC.</v>
      </c>
      <c r="C614" s="195"/>
      <c r="D614" s="342"/>
      <c r="E614" s="195"/>
      <c r="F614" s="195"/>
      <c r="G614" s="195"/>
      <c r="H614" s="195"/>
      <c r="I614" s="195"/>
      <c r="J614" s="195" t="str">
        <f>$J$1</f>
        <v>FR-16(7)(v)-12</v>
      </c>
      <c r="K614" s="195"/>
    </row>
    <row r="615" spans="1:11" ht="13">
      <c r="A615" s="341" t="str">
        <f>$A$2</f>
        <v>INTERRUPTIBLE TRANSPORTATION CLASSIFIED - GAS COST OF SERVICE</v>
      </c>
      <c r="C615" s="195"/>
      <c r="D615" s="342"/>
      <c r="E615" s="195"/>
      <c r="F615" s="195"/>
      <c r="G615" s="195"/>
      <c r="H615" s="195"/>
      <c r="I615" s="195"/>
      <c r="J615" s="195" t="str">
        <f>$J$2</f>
        <v>WITNESS RESPONSIBLE:</v>
      </c>
      <c r="K615" s="195"/>
    </row>
    <row r="616" spans="1:11" ht="13">
      <c r="A616" s="341" t="str">
        <f>case_name</f>
        <v>CASE NO: 2021-00190</v>
      </c>
      <c r="C616" s="195"/>
      <c r="D616" s="342"/>
      <c r="E616" s="195"/>
      <c r="F616" s="195"/>
      <c r="G616" s="195"/>
      <c r="H616" s="195"/>
      <c r="I616" s="195"/>
      <c r="J616" s="195" t="str">
        <f>Witness</f>
        <v>JAMES E. ZIOLKOWSKI</v>
      </c>
      <c r="K616" s="195"/>
    </row>
    <row r="617" spans="1:11" ht="13">
      <c r="A617" s="341" t="str">
        <f>data_filing</f>
        <v>DATA: 12 MONTH FORECASTED PERIOD</v>
      </c>
      <c r="C617" s="195"/>
      <c r="D617" s="342"/>
      <c r="E617" s="195"/>
      <c r="F617" s="195"/>
      <c r="G617" s="195"/>
      <c r="H617" s="195"/>
      <c r="I617" s="195"/>
      <c r="J617" s="195" t="str">
        <f>"PAGE "&amp;Pages2-1&amp;" OF "&amp;Pages2</f>
        <v>PAGE 14 OF 15</v>
      </c>
      <c r="K617" s="195"/>
    </row>
    <row r="618" spans="1:11" ht="13">
      <c r="A618" s="341" t="str">
        <f>type</f>
        <v xml:space="preserve">TYPE OF FILING: "X" ORIGINAL   UPDATED    REVISED  </v>
      </c>
      <c r="C618" s="195"/>
      <c r="D618" s="342"/>
      <c r="E618" s="195"/>
      <c r="F618" s="195"/>
      <c r="G618" s="195"/>
      <c r="H618" s="195"/>
      <c r="I618" s="195"/>
      <c r="J618" s="195"/>
      <c r="K618" s="195"/>
    </row>
    <row r="619" spans="1:11" ht="13">
      <c r="B619" s="341"/>
      <c r="C619" s="195"/>
      <c r="D619" s="342"/>
      <c r="E619" s="195"/>
      <c r="F619" s="195"/>
      <c r="G619" s="195"/>
      <c r="H619" s="195"/>
      <c r="I619" s="195"/>
      <c r="J619" s="195"/>
      <c r="K619" s="195"/>
    </row>
    <row r="620" spans="1:11" ht="13">
      <c r="B620" s="341"/>
      <c r="C620" s="195"/>
      <c r="D620" s="342"/>
      <c r="E620" s="195"/>
      <c r="F620" s="195"/>
      <c r="G620" s="195"/>
      <c r="H620" s="195"/>
      <c r="I620" s="195"/>
      <c r="J620" s="195"/>
      <c r="K620" s="195"/>
    </row>
    <row r="621" spans="1:11" ht="13">
      <c r="A621" s="342" t="s">
        <v>907</v>
      </c>
      <c r="B621" s="195"/>
      <c r="C621" s="195"/>
      <c r="D621" s="342"/>
      <c r="E621" s="195"/>
      <c r="F621" s="342" t="s">
        <v>229</v>
      </c>
      <c r="G621" s="539" t="s">
        <v>995</v>
      </c>
      <c r="H621" s="527"/>
      <c r="I621" s="528"/>
      <c r="J621" s="342" t="s">
        <v>229</v>
      </c>
      <c r="K621" s="342" t="s">
        <v>342</v>
      </c>
    </row>
    <row r="622" spans="1:11" ht="13">
      <c r="A622" s="344" t="s">
        <v>908</v>
      </c>
      <c r="B622" s="343" t="s">
        <v>77</v>
      </c>
      <c r="C622" s="343"/>
      <c r="D622" s="344" t="s">
        <v>337</v>
      </c>
      <c r="E622" s="343"/>
      <c r="F622" s="344" t="str">
        <f>$F$9</f>
        <v>INTERRUPTIBLE</v>
      </c>
      <c r="G622" s="540" t="s">
        <v>840</v>
      </c>
      <c r="H622" s="529" t="s">
        <v>841</v>
      </c>
      <c r="I622" s="530" t="s">
        <v>842</v>
      </c>
      <c r="J622" s="344" t="s">
        <v>341</v>
      </c>
      <c r="K622" s="344" t="s">
        <v>340</v>
      </c>
    </row>
    <row r="623" spans="1:11" ht="13">
      <c r="C623" s="572" t="s">
        <v>352</v>
      </c>
      <c r="D623" s="342"/>
      <c r="E623" s="195"/>
      <c r="G623" s="793">
        <f>$G$10</f>
        <v>3</v>
      </c>
      <c r="H623" s="794">
        <f>$H$10</f>
        <v>4</v>
      </c>
      <c r="I623" s="795">
        <f>$I$10</f>
        <v>5</v>
      </c>
    </row>
    <row r="624" spans="1:11" ht="13">
      <c r="A624" s="331">
        <v>1</v>
      </c>
      <c r="B624" s="330" t="s">
        <v>78</v>
      </c>
      <c r="D624" s="342"/>
      <c r="E624" s="195"/>
      <c r="G624" s="541"/>
      <c r="H624" s="531"/>
      <c r="I624" s="532"/>
    </row>
    <row r="625" spans="1:11" ht="13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3">
        <f>'FR-16(7)(v)-8 TOT CLASS Alloc'!J625</f>
        <v>11</v>
      </c>
      <c r="G625" s="542">
        <f>'FR-16(7)(v)-5 DISTR Dem Alloc'!$J$625</f>
        <v>0</v>
      </c>
      <c r="H625" s="533">
        <f>'FR-16(7)(v)-3 PROD Comm Alloc'!$J$625</f>
        <v>0</v>
      </c>
      <c r="I625" s="534">
        <f>'FR-16(7)(v)-6 DISTR Cust Alloc'!$J$625</f>
        <v>11</v>
      </c>
      <c r="J625" s="345">
        <f>SUM($G$625:$I$625)</f>
        <v>11</v>
      </c>
      <c r="K625" s="345">
        <f>F625-$J$625</f>
        <v>0</v>
      </c>
    </row>
    <row r="626" spans="1:11" ht="13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3">
        <f>'FR-16(7)(v)-8 TOT CLASS Alloc'!J626</f>
        <v>0</v>
      </c>
      <c r="G626" s="542">
        <f>'FR-16(7)(v)-5 DISTR Dem Alloc'!$J$626</f>
        <v>0</v>
      </c>
      <c r="H626" s="533">
        <f>'FR-16(7)(v)-3 PROD Comm Alloc'!$J$626</f>
        <v>0</v>
      </c>
      <c r="I626" s="534">
        <f>'FR-16(7)(v)-6 DISTR Cust Alloc'!$J$626</f>
        <v>0</v>
      </c>
      <c r="J626" s="345">
        <f>SUM($G$626:$I$626)</f>
        <v>0</v>
      </c>
      <c r="K626" s="345">
        <f>F626-$J$626</f>
        <v>0</v>
      </c>
    </row>
    <row r="627" spans="1:11" ht="13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3">
        <f>'FR-16(7)(v)-8 TOT CLASS Alloc'!J627</f>
        <v>0</v>
      </c>
      <c r="G627" s="542">
        <f>'FR-16(7)(v)-5 DISTR Dem Alloc'!$J$627</f>
        <v>0</v>
      </c>
      <c r="H627" s="533">
        <f>'FR-16(7)(v)-3 PROD Comm Alloc'!$J$627</f>
        <v>0</v>
      </c>
      <c r="I627" s="534">
        <f>'FR-16(7)(v)-6 DISTR Cust Alloc'!$J$627</f>
        <v>0</v>
      </c>
      <c r="J627" s="345">
        <f>SUM($G$627:$I$627)</f>
        <v>0</v>
      </c>
      <c r="K627" s="345">
        <f>F627-J627</f>
        <v>0</v>
      </c>
    </row>
    <row r="628" spans="1:11" ht="13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3">
        <f>'FR-16(7)(v)-8 TOT CLASS Alloc'!J628</f>
        <v>0</v>
      </c>
      <c r="G628" s="542">
        <f>'FR-16(7)(v)-5 DISTR Dem Alloc'!$J$628</f>
        <v>0</v>
      </c>
      <c r="H628" s="533">
        <f>'FR-16(7)(v)-3 PROD Comm Alloc'!$J$628</f>
        <v>0</v>
      </c>
      <c r="I628" s="534">
        <f>'FR-16(7)(v)-6 DISTR Cust Alloc'!$J$628</f>
        <v>0</v>
      </c>
      <c r="J628" s="345">
        <f>SUM($G$628:$I$628)</f>
        <v>0</v>
      </c>
      <c r="K628" s="345">
        <f>F628-$J$628</f>
        <v>0</v>
      </c>
    </row>
    <row r="629" spans="1:11" ht="13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3">
        <f>'FR-16(7)(v)-8 TOT CLASS Alloc'!J629</f>
        <v>5086</v>
      </c>
      <c r="G629" s="542">
        <f>'FR-16(7)(v)-5 DISTR Dem Alloc'!$J$629</f>
        <v>4837</v>
      </c>
      <c r="H629" s="533">
        <f>'FR-16(7)(v)-3 PROD Comm Alloc'!$J$629</f>
        <v>87</v>
      </c>
      <c r="I629" s="534">
        <f>'FR-16(7)(v)-6 DISTR Cust Alloc'!$J$629</f>
        <v>162</v>
      </c>
      <c r="J629" s="345">
        <f>SUM($G$629:$I$629)</f>
        <v>5086</v>
      </c>
      <c r="K629" s="345">
        <f>F629-$J$629</f>
        <v>0</v>
      </c>
    </row>
    <row r="630" spans="1:11" ht="13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5097</v>
      </c>
      <c r="G630" s="543">
        <f>SUM($G$625:$G$629)</f>
        <v>4837</v>
      </c>
      <c r="H630" s="535">
        <f>SUM($H$625:$H$629)</f>
        <v>87</v>
      </c>
      <c r="I630" s="536">
        <f>SUM($I$625:$I$629)</f>
        <v>173</v>
      </c>
      <c r="J630" s="346">
        <f>SUM($J$625:$J$629)</f>
        <v>5097</v>
      </c>
      <c r="K630" s="346">
        <f>SUM($K$625:$K$629)</f>
        <v>0</v>
      </c>
    </row>
    <row r="631" spans="1:11" ht="13">
      <c r="A631" s="331">
        <v>8</v>
      </c>
      <c r="D631" s="342"/>
      <c r="E631" s="195"/>
      <c r="G631" s="541"/>
      <c r="H631" s="531"/>
      <c r="I631" s="532"/>
    </row>
    <row r="632" spans="1:11" ht="13">
      <c r="A632" s="331">
        <v>9</v>
      </c>
      <c r="B632" s="330" t="s">
        <v>77</v>
      </c>
      <c r="D632" s="342"/>
      <c r="E632" s="195"/>
      <c r="G632" s="541"/>
      <c r="H632" s="531"/>
      <c r="I632" s="532"/>
    </row>
    <row r="633" spans="1:11" ht="13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1191912</v>
      </c>
      <c r="G633" s="542">
        <f>$G$501</f>
        <v>988948</v>
      </c>
      <c r="H633" s="533">
        <f>$H$501</f>
        <v>163522</v>
      </c>
      <c r="I633" s="534">
        <f>$I$501</f>
        <v>39442</v>
      </c>
      <c r="J633" s="345">
        <f>$J$501</f>
        <v>1191912</v>
      </c>
      <c r="K633" s="345">
        <f>F633-J633</f>
        <v>0</v>
      </c>
    </row>
    <row r="634" spans="1:11" ht="13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>F334</f>
        <v>906514</v>
      </c>
      <c r="G634" s="542">
        <f>G334</f>
        <v>867262</v>
      </c>
      <c r="H634" s="533">
        <f>H334</f>
        <v>324</v>
      </c>
      <c r="I634" s="534">
        <f>I334</f>
        <v>38927</v>
      </c>
      <c r="J634" s="345">
        <f>J334</f>
        <v>906513</v>
      </c>
      <c r="K634" s="345">
        <f>F634-J634</f>
        <v>1</v>
      </c>
    </row>
    <row r="635" spans="1:11" ht="13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>F557</f>
        <v>131615</v>
      </c>
      <c r="G635" s="542">
        <f>$G$557</f>
        <v>117129</v>
      </c>
      <c r="H635" s="533">
        <f>$H$557</f>
        <v>4367</v>
      </c>
      <c r="I635" s="534">
        <f>$I$557</f>
        <v>10119</v>
      </c>
      <c r="J635" s="345">
        <f>$J$557</f>
        <v>131615</v>
      </c>
      <c r="K635" s="345">
        <f>F635-J635</f>
        <v>0</v>
      </c>
    </row>
    <row r="636" spans="1:11" ht="13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-5097</v>
      </c>
      <c r="G636" s="542">
        <f>-$G$630</f>
        <v>-4837</v>
      </c>
      <c r="H636" s="533">
        <f>-$H$630</f>
        <v>-87</v>
      </c>
      <c r="I636" s="534">
        <f>-$I$630</f>
        <v>-173</v>
      </c>
      <c r="J636" s="345">
        <f>-$J$630</f>
        <v>-5097</v>
      </c>
      <c r="K636" s="345">
        <f>F636-J636</f>
        <v>0</v>
      </c>
    </row>
    <row r="637" spans="1:11" ht="13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>SUM(F632:F636)</f>
        <v>2224944</v>
      </c>
      <c r="G637" s="543">
        <f>SUM($G$632:$G$636)</f>
        <v>1968502</v>
      </c>
      <c r="H637" s="535">
        <f>SUM($H$632:$H$636)</f>
        <v>168126</v>
      </c>
      <c r="I637" s="536">
        <f>SUM($I$632:$I$636)</f>
        <v>88315</v>
      </c>
      <c r="J637" s="346">
        <f>SUM($J$632:$J$636)</f>
        <v>2224943</v>
      </c>
      <c r="K637" s="346">
        <f>$J$637-F637</f>
        <v>-1</v>
      </c>
    </row>
    <row r="638" spans="1:11" ht="13">
      <c r="A638" s="331">
        <v>15</v>
      </c>
      <c r="D638" s="342"/>
      <c r="E638" s="195"/>
      <c r="G638" s="541"/>
      <c r="H638" s="531"/>
      <c r="I638" s="532"/>
    </row>
    <row r="639" spans="1:11" ht="13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5097</v>
      </c>
      <c r="G639" s="542">
        <f>-$G$636</f>
        <v>4837</v>
      </c>
      <c r="H639" s="533">
        <f>-$H$636</f>
        <v>87</v>
      </c>
      <c r="I639" s="534">
        <f>-$I$636</f>
        <v>173</v>
      </c>
      <c r="J639" s="345">
        <f>-$J$636</f>
        <v>5097</v>
      </c>
      <c r="K639" s="345">
        <f>-$K$636</f>
        <v>0</v>
      </c>
    </row>
    <row r="640" spans="1:11" ht="13">
      <c r="A640" s="331">
        <v>17</v>
      </c>
      <c r="C640" s="357" t="str">
        <f>'FR-16(7)(v)-1 Functional'!C640</f>
        <v>LESS: REVS EXCL FROM REV TAX CALC</v>
      </c>
      <c r="D640" s="342"/>
      <c r="E640" s="195"/>
      <c r="F640" s="473">
        <f>'FR-16(7)(v)-8 TOT CLASS Alloc'!J640</f>
        <v>0</v>
      </c>
      <c r="G640" s="542">
        <f>'FR-16(7)(v)-5 DISTR Dem Alloc'!J640</f>
        <v>0</v>
      </c>
      <c r="H640" s="533">
        <f>'FR-16(7)(v)-3 PROD Comm Alloc'!J640</f>
        <v>0</v>
      </c>
      <c r="I640" s="534">
        <f>'FR-16(7)(v)-6 DISTR Cust Alloc'!J640</f>
        <v>0</v>
      </c>
      <c r="J640" s="345">
        <f>SUM(G640:I640)</f>
        <v>0</v>
      </c>
      <c r="K640" s="345">
        <f>'FR-16(7)(v)-3 PROD Comm Alloc'!L855</f>
        <v>0</v>
      </c>
    </row>
    <row r="641" spans="1:11" ht="13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5097</v>
      </c>
      <c r="G641" s="543">
        <f>$G$639-G640</f>
        <v>4837</v>
      </c>
      <c r="H641" s="535">
        <f>$H$639-H640</f>
        <v>87</v>
      </c>
      <c r="I641" s="536">
        <f>$I$639-I640</f>
        <v>173</v>
      </c>
      <c r="J641" s="346">
        <f>$J$639-J640</f>
        <v>5097</v>
      </c>
      <c r="K641" s="346">
        <f>$K$639-K640</f>
        <v>0</v>
      </c>
    </row>
    <row r="642" spans="1:11" ht="13">
      <c r="A642" s="331">
        <v>19</v>
      </c>
      <c r="D642" s="342"/>
      <c r="E642" s="195"/>
      <c r="G642" s="541"/>
      <c r="H642" s="531"/>
      <c r="I642" s="532"/>
    </row>
    <row r="643" spans="1:11" ht="13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K643" si="114">ROUND(F694/(1-F694),8)</f>
        <v>0</v>
      </c>
      <c r="G643" s="560">
        <f t="shared" si="114"/>
        <v>0</v>
      </c>
      <c r="H643" s="561">
        <f t="shared" si="114"/>
        <v>0</v>
      </c>
      <c r="I643" s="562">
        <f t="shared" si="114"/>
        <v>0</v>
      </c>
      <c r="J643" s="348">
        <f t="shared" si="114"/>
        <v>0</v>
      </c>
      <c r="K643" s="348">
        <f t="shared" si="114"/>
        <v>0</v>
      </c>
    </row>
    <row r="644" spans="1:11" ht="13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542">
        <f>ROUND(G643*G641,0)</f>
        <v>0</v>
      </c>
      <c r="H644" s="533">
        <f>ROUND(H643*H641,0)</f>
        <v>0</v>
      </c>
      <c r="I644" s="534">
        <f>ROUND(I643*I641,0)</f>
        <v>0</v>
      </c>
      <c r="J644" s="345">
        <f>SUM(G644:I644)</f>
        <v>0</v>
      </c>
      <c r="K644" s="345">
        <f>ROUND(K643*K641,0)</f>
        <v>0</v>
      </c>
    </row>
    <row r="645" spans="1:11" ht="13">
      <c r="A645" s="331">
        <v>22</v>
      </c>
      <c r="C645" s="330" t="str">
        <f>'FR-16(7)(v)-1 Functional'!C645</f>
        <v>REVENUE TAX ON COST OF SERVICE</v>
      </c>
      <c r="D645" s="342"/>
      <c r="E645" s="195"/>
      <c r="F645" s="506">
        <f>ROUND(F643*F637,0)</f>
        <v>0</v>
      </c>
      <c r="G645" s="542">
        <f>ROUND(G643*$G$637,0)</f>
        <v>0</v>
      </c>
      <c r="H645" s="533">
        <f>ROUND(H643*$H$637,0)</f>
        <v>0</v>
      </c>
      <c r="I645" s="534">
        <f>ROUND(I643*$I$637,0)</f>
        <v>0</v>
      </c>
      <c r="J645" s="506">
        <f>SUM(G645:I645)</f>
        <v>0</v>
      </c>
      <c r="K645" s="506">
        <f>ROUND(K643*$K$637,0)</f>
        <v>0</v>
      </c>
    </row>
    <row r="646" spans="1:11" ht="13">
      <c r="A646" s="331">
        <v>23</v>
      </c>
      <c r="C646" s="357" t="str">
        <f>'FR-16(7)(v)-1 Functional'!C646</f>
        <v>TOTAL REVENUE TAX</v>
      </c>
      <c r="D646" s="342"/>
      <c r="E646" s="195"/>
      <c r="F646" s="504">
        <f t="shared" ref="F646:K646" si="115">F645+F644</f>
        <v>0</v>
      </c>
      <c r="G646" s="566">
        <f t="shared" si="115"/>
        <v>0</v>
      </c>
      <c r="H646" s="567">
        <f t="shared" si="115"/>
        <v>0</v>
      </c>
      <c r="I646" s="568">
        <f t="shared" si="115"/>
        <v>0</v>
      </c>
      <c r="J646" s="504">
        <f t="shared" si="115"/>
        <v>0</v>
      </c>
      <c r="K646" s="504">
        <f t="shared" si="115"/>
        <v>0</v>
      </c>
    </row>
    <row r="647" spans="1:11" ht="13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>F646+F637</f>
        <v>2224944</v>
      </c>
      <c r="G647" s="543">
        <f>G646+$G$637</f>
        <v>1968502</v>
      </c>
      <c r="H647" s="535">
        <f>H646+$H$637</f>
        <v>168126</v>
      </c>
      <c r="I647" s="536">
        <f>I646+$I$637</f>
        <v>88315</v>
      </c>
      <c r="J647" s="346">
        <f>J646+$J$637</f>
        <v>2224943</v>
      </c>
      <c r="K647" s="346">
        <f>K646+$K$637</f>
        <v>-1</v>
      </c>
    </row>
    <row r="648" spans="1:11" ht="13">
      <c r="A648" s="331">
        <v>25</v>
      </c>
      <c r="D648" s="342"/>
      <c r="E648" s="195"/>
      <c r="G648" s="541"/>
      <c r="H648" s="531"/>
      <c r="I648" s="532"/>
    </row>
    <row r="649" spans="1:11" ht="13">
      <c r="A649" s="331">
        <v>26</v>
      </c>
      <c r="B649" s="330" t="s">
        <v>1172</v>
      </c>
      <c r="D649" s="342"/>
      <c r="E649" s="195"/>
      <c r="F649" s="473">
        <f>'FR-16(7)(v)-8 TOT CLASS Alloc'!J649</f>
        <v>2048757</v>
      </c>
      <c r="G649" s="542">
        <f>'FR-16(7)(v)-5 DISTR Dem Alloc'!J649</f>
        <v>763340</v>
      </c>
      <c r="H649" s="533">
        <f>'FR-16(7)(v)-3 PROD Comm Alloc'!J649</f>
        <v>754127</v>
      </c>
      <c r="I649" s="534">
        <f>'FR-16(7)(v)-6 DISTR Cust Alloc'!J649</f>
        <v>531290</v>
      </c>
      <c r="J649" s="345">
        <f>SUM(G649:I649)</f>
        <v>2048757</v>
      </c>
      <c r="K649" s="345">
        <f>F649-J649</f>
        <v>0</v>
      </c>
    </row>
    <row r="650" spans="1:11" ht="13">
      <c r="A650" s="331">
        <v>27</v>
      </c>
      <c r="B650" s="330" t="s">
        <v>79</v>
      </c>
      <c r="D650" s="342"/>
      <c r="E650" s="195"/>
      <c r="F650" s="345">
        <f t="shared" ref="F650:K650" si="116">-F647</f>
        <v>-2224944</v>
      </c>
      <c r="G650" s="542">
        <f t="shared" si="116"/>
        <v>-1968502</v>
      </c>
      <c r="H650" s="533">
        <f t="shared" si="116"/>
        <v>-168126</v>
      </c>
      <c r="I650" s="534">
        <f t="shared" si="116"/>
        <v>-88315</v>
      </c>
      <c r="J650" s="345">
        <f t="shared" si="116"/>
        <v>-2224943</v>
      </c>
      <c r="K650" s="345">
        <f t="shared" si="116"/>
        <v>1</v>
      </c>
    </row>
    <row r="651" spans="1:11" ht="13">
      <c r="A651" s="331">
        <v>28</v>
      </c>
      <c r="B651" s="330" t="s">
        <v>80</v>
      </c>
      <c r="D651" s="342"/>
      <c r="E651" s="195"/>
      <c r="F651" s="345">
        <f>F650+F649</f>
        <v>-176187</v>
      </c>
      <c r="G651" s="542">
        <f>G650+G649</f>
        <v>-1205162</v>
      </c>
      <c r="H651" s="533">
        <f>H650+H649</f>
        <v>586001</v>
      </c>
      <c r="I651" s="534">
        <f>I650+I649</f>
        <v>442975</v>
      </c>
      <c r="J651" s="345">
        <f>SUM(G651:I651)</f>
        <v>-176186</v>
      </c>
      <c r="K651" s="345">
        <f>K650+K649</f>
        <v>1</v>
      </c>
    </row>
    <row r="652" spans="1:11" ht="13">
      <c r="A652" s="331">
        <v>29</v>
      </c>
      <c r="B652" s="330" t="s">
        <v>76</v>
      </c>
      <c r="D652" s="342"/>
      <c r="E652" s="195"/>
      <c r="F652" s="348">
        <f>F565</f>
        <v>0.24925</v>
      </c>
      <c r="G652" s="560">
        <f>$G$565</f>
        <v>0.24925</v>
      </c>
      <c r="H652" s="561">
        <f>$H$565</f>
        <v>0.24925</v>
      </c>
      <c r="I652" s="562">
        <f>$I$565</f>
        <v>0.24925</v>
      </c>
      <c r="J652" s="348">
        <f>$K$565</f>
        <v>0.24925</v>
      </c>
      <c r="K652" s="348">
        <f>$K$565</f>
        <v>0.24925</v>
      </c>
    </row>
    <row r="653" spans="1:11" ht="13">
      <c r="A653" s="331">
        <v>30</v>
      </c>
      <c r="B653" s="330" t="s">
        <v>81</v>
      </c>
      <c r="D653" s="342"/>
      <c r="E653" s="195"/>
      <c r="F653" s="345">
        <f>ROUND(F652*F651,0)</f>
        <v>-43915</v>
      </c>
      <c r="G653" s="542">
        <f>ROUND(F652*F651,0)-H653-I653</f>
        <v>-300388</v>
      </c>
      <c r="H653" s="533">
        <f>ROUND(H652*H651,0)</f>
        <v>146061</v>
      </c>
      <c r="I653" s="534">
        <f>ROUND(I652*I651,0)</f>
        <v>110412</v>
      </c>
      <c r="J653" s="345">
        <f>SUM(G653:I653)</f>
        <v>-43915</v>
      </c>
      <c r="K653" s="506">
        <f t="shared" ref="K653:K654" si="117">F653-J653</f>
        <v>0</v>
      </c>
    </row>
    <row r="654" spans="1:11" ht="13">
      <c r="A654" s="331">
        <v>31</v>
      </c>
      <c r="B654" s="330" t="s">
        <v>82</v>
      </c>
      <c r="D654" s="342"/>
      <c r="E654" s="195"/>
      <c r="F654" s="345">
        <f>F651-F653</f>
        <v>-132272</v>
      </c>
      <c r="G654" s="544">
        <f>G651-G653</f>
        <v>-904774</v>
      </c>
      <c r="H654" s="537">
        <f>H651-H653</f>
        <v>439940</v>
      </c>
      <c r="I654" s="538">
        <f>I651-I653</f>
        <v>332563</v>
      </c>
      <c r="J654" s="345">
        <f>SUM(G654:I654)</f>
        <v>-132271</v>
      </c>
      <c r="K654" s="506">
        <f t="shared" si="117"/>
        <v>-1</v>
      </c>
    </row>
    <row r="655" spans="1:11" ht="13">
      <c r="A655" s="526"/>
      <c r="B655" s="578"/>
      <c r="C655" s="578"/>
      <c r="D655" s="730"/>
      <c r="E655" s="578"/>
      <c r="F655" s="526"/>
      <c r="G655" s="526"/>
      <c r="H655" s="526"/>
      <c r="I655" s="526"/>
      <c r="J655" s="526"/>
      <c r="K655" s="526"/>
    </row>
    <row r="656" spans="1:11" ht="13">
      <c r="A656" s="341" t="str">
        <f>co_name</f>
        <v>DUKE ENERGY KENTUCKY, INC.</v>
      </c>
      <c r="C656" s="195"/>
      <c r="D656" s="342"/>
      <c r="E656" s="195"/>
      <c r="F656" s="195"/>
      <c r="G656" s="195"/>
      <c r="H656" s="195"/>
      <c r="I656" s="195"/>
      <c r="J656" s="195" t="str">
        <f>$J$1</f>
        <v>FR-16(7)(v)-12</v>
      </c>
      <c r="K656" s="195"/>
    </row>
    <row r="657" spans="1:11" ht="13">
      <c r="A657" s="341" t="str">
        <f>$A$2</f>
        <v>INTERRUPTIBLE TRANSPORTATION CLASSIFIED - GAS COST OF SERVICE</v>
      </c>
      <c r="C657" s="195"/>
      <c r="D657" s="342"/>
      <c r="E657" s="195"/>
      <c r="F657" s="195"/>
      <c r="G657" s="195"/>
      <c r="H657" s="195"/>
      <c r="I657" s="195"/>
      <c r="J657" s="195" t="str">
        <f>$J$2</f>
        <v>WITNESS RESPONSIBLE:</v>
      </c>
      <c r="K657" s="195"/>
    </row>
    <row r="658" spans="1:11" ht="13">
      <c r="A658" s="341" t="str">
        <f>case_name</f>
        <v>CASE NO: 2021-00190</v>
      </c>
      <c r="C658" s="195"/>
      <c r="D658" s="342"/>
      <c r="E658" s="195"/>
      <c r="F658" s="195"/>
      <c r="G658" s="195"/>
      <c r="H658" s="195"/>
      <c r="I658" s="195"/>
      <c r="J658" s="195" t="str">
        <f>Witness</f>
        <v>JAMES E. ZIOLKOWSKI</v>
      </c>
      <c r="K658" s="195"/>
    </row>
    <row r="659" spans="1:11" ht="13">
      <c r="A659" s="341" t="str">
        <f>data_filing</f>
        <v>DATA: 12 MONTH FORECASTED PERIOD</v>
      </c>
      <c r="C659" s="195"/>
      <c r="D659" s="342"/>
      <c r="E659" s="195"/>
      <c r="F659" s="195"/>
      <c r="G659" s="195"/>
      <c r="H659" s="195"/>
      <c r="I659" s="195"/>
      <c r="J659" s="195" t="str">
        <f>"PAGE "&amp;Pages2&amp;" OF "&amp;Pages2</f>
        <v>PAGE 15 OF 15</v>
      </c>
      <c r="K659" s="195"/>
    </row>
    <row r="660" spans="1:11" ht="13">
      <c r="A660" s="341" t="str">
        <f>type</f>
        <v xml:space="preserve">TYPE OF FILING: "X" ORIGINAL   UPDATED    REVISED  </v>
      </c>
      <c r="C660" s="195"/>
      <c r="D660" s="342"/>
      <c r="E660" s="195"/>
      <c r="F660" s="195"/>
      <c r="G660" s="195"/>
      <c r="H660" s="195"/>
      <c r="I660" s="195"/>
      <c r="J660" s="195"/>
      <c r="K660" s="195"/>
    </row>
    <row r="661" spans="1:11" ht="13">
      <c r="B661" s="341"/>
      <c r="C661" s="195"/>
      <c r="D661" s="342"/>
      <c r="E661" s="195"/>
      <c r="F661" s="195"/>
      <c r="G661" s="195"/>
      <c r="H661" s="195"/>
      <c r="I661" s="195"/>
      <c r="J661" s="195"/>
      <c r="K661" s="195"/>
    </row>
    <row r="662" spans="1:11" ht="13">
      <c r="B662" s="341"/>
      <c r="C662" s="195"/>
      <c r="D662" s="342"/>
      <c r="E662" s="195"/>
      <c r="F662" s="195"/>
      <c r="G662" s="195"/>
      <c r="H662" s="195"/>
      <c r="I662" s="195"/>
      <c r="J662" s="195"/>
      <c r="K662" s="195"/>
    </row>
    <row r="663" spans="1:11" ht="13">
      <c r="A663" s="342" t="s">
        <v>907</v>
      </c>
      <c r="B663" s="195"/>
      <c r="C663" s="195"/>
      <c r="D663" s="342"/>
      <c r="E663" s="195"/>
      <c r="F663" s="342" t="s">
        <v>229</v>
      </c>
      <c r="G663" s="539" t="s">
        <v>995</v>
      </c>
      <c r="H663" s="527"/>
      <c r="I663" s="528"/>
      <c r="J663" s="342" t="s">
        <v>229</v>
      </c>
      <c r="K663" s="342" t="s">
        <v>342</v>
      </c>
    </row>
    <row r="664" spans="1:11" ht="13">
      <c r="A664" s="344" t="s">
        <v>908</v>
      </c>
      <c r="B664" s="343" t="s">
        <v>83</v>
      </c>
      <c r="C664" s="343"/>
      <c r="D664" s="344" t="s">
        <v>337</v>
      </c>
      <c r="E664" s="343"/>
      <c r="F664" s="344" t="str">
        <f>$F$9</f>
        <v>INTERRUPTIBLE</v>
      </c>
      <c r="G664" s="540" t="s">
        <v>840</v>
      </c>
      <c r="H664" s="529" t="s">
        <v>841</v>
      </c>
      <c r="I664" s="530" t="s">
        <v>842</v>
      </c>
      <c r="J664" s="344" t="s">
        <v>341</v>
      </c>
      <c r="K664" s="344" t="s">
        <v>340</v>
      </c>
    </row>
    <row r="665" spans="1:11" ht="13">
      <c r="C665" s="572" t="s">
        <v>353</v>
      </c>
      <c r="D665" s="342"/>
      <c r="E665" s="195"/>
      <c r="G665" s="817">
        <f>$G$10</f>
        <v>3</v>
      </c>
      <c r="H665" s="817">
        <f>$H$10</f>
        <v>4</v>
      </c>
      <c r="I665" s="817">
        <f>$I$10</f>
        <v>5</v>
      </c>
    </row>
    <row r="666" spans="1:11" ht="13">
      <c r="A666" s="331">
        <v>1</v>
      </c>
      <c r="B666" s="330" t="s">
        <v>84</v>
      </c>
      <c r="D666" s="342"/>
      <c r="E666" s="195"/>
    </row>
    <row r="667" spans="1:11" ht="13">
      <c r="A667" s="331">
        <v>2</v>
      </c>
      <c r="B667" s="330" t="s">
        <v>85</v>
      </c>
      <c r="D667" s="342"/>
      <c r="E667" s="195"/>
      <c r="G667" s="513" t="s">
        <v>339</v>
      </c>
    </row>
    <row r="668" spans="1:11" ht="13">
      <c r="A668" s="331">
        <v>3</v>
      </c>
      <c r="C668" s="330" t="str">
        <f>'FR-16(7)(v)-1 Functional'!C668</f>
        <v>LONG TERM DEBT</v>
      </c>
      <c r="D668" s="342"/>
      <c r="E668" s="195"/>
      <c r="F668" s="473">
        <f>'FR-16(7)(v)-1 Functional'!$F$668</f>
        <v>794320510</v>
      </c>
      <c r="G668" s="348">
        <f>IF($F$673=0,0,ROUND(F668/$F$673,5))</f>
        <v>0.46721000000000001</v>
      </c>
    </row>
    <row r="669" spans="1:11" ht="13">
      <c r="A669" s="331">
        <v>4</v>
      </c>
      <c r="C669" s="330" t="str">
        <f>'FR-16(7)(v)-1 Functional'!C669</f>
        <v>PREFERRED STOCK</v>
      </c>
      <c r="D669" s="342"/>
      <c r="E669" s="195"/>
      <c r="F669" s="473">
        <f>'FR-16(7)(v)-1 Functional'!$F$669</f>
        <v>0</v>
      </c>
      <c r="G669" s="348">
        <f>IF($F$673=0,0,ROUND(F669/$F$673,5))</f>
        <v>0</v>
      </c>
    </row>
    <row r="670" spans="1:11" ht="13">
      <c r="A670" s="331">
        <v>5</v>
      </c>
      <c r="C670" s="330" t="str">
        <f>'FR-16(7)(v)-1 Functional'!C670</f>
        <v>COMMON STOCK</v>
      </c>
      <c r="D670" s="342"/>
      <c r="E670" s="195"/>
      <c r="F670" s="473">
        <f>'FR-16(7)(v)-1 Functional'!$F$670</f>
        <v>861861344</v>
      </c>
      <c r="G670" s="348">
        <f>1-G668-G669-G671-G672</f>
        <v>0.50695000000000001</v>
      </c>
    </row>
    <row r="671" spans="1:11" ht="13">
      <c r="A671" s="331">
        <v>6</v>
      </c>
      <c r="C671" s="330" t="str">
        <f>'FR-16(7)(v)-1 Functional'!C671</f>
        <v>SHORT TERM DEBT</v>
      </c>
      <c r="D671" s="342"/>
      <c r="E671" s="195"/>
      <c r="F671" s="473">
        <f>'FR-16(7)(v)-1 Functional'!$F$671</f>
        <v>43936209</v>
      </c>
      <c r="G671" s="348">
        <f>IF($F$673=0,0,ROUND(F671/$F$673,5))</f>
        <v>2.5839999999999998E-2</v>
      </c>
    </row>
    <row r="672" spans="1:11" ht="13">
      <c r="A672" s="331">
        <v>7</v>
      </c>
      <c r="C672" s="330" t="str">
        <f>'FR-16(7)(v)-1 Functional'!C672</f>
        <v>UNAMORTIZED DISCOUNT</v>
      </c>
      <c r="D672" s="342"/>
      <c r="E672" s="195"/>
      <c r="F672" s="473">
        <f>'FR-16(7)(v)-1 Functional'!$F$672</f>
        <v>0</v>
      </c>
      <c r="G672" s="348">
        <f>IF($F$673=0,0,ROUND(F672/$F$673,5))</f>
        <v>0</v>
      </c>
    </row>
    <row r="673" spans="1:9" ht="13">
      <c r="A673" s="331">
        <v>8</v>
      </c>
      <c r="C673" s="330" t="str">
        <f>'FR-16(7)(v)-1 Functional'!C673</f>
        <v xml:space="preserve">  TOTAL</v>
      </c>
      <c r="D673" s="342"/>
      <c r="E673" s="195"/>
      <c r="F673" s="474">
        <f>SUM(F667:F672)</f>
        <v>1700118063</v>
      </c>
      <c r="G673" s="515">
        <f>SUM(G668:G672)</f>
        <v>1</v>
      </c>
    </row>
    <row r="674" spans="1:9" ht="13">
      <c r="A674" s="331">
        <v>9</v>
      </c>
      <c r="D674" s="342"/>
      <c r="E674" s="195"/>
    </row>
    <row r="675" spans="1:9" ht="13">
      <c r="A675" s="331">
        <v>10</v>
      </c>
      <c r="B675" s="330" t="s">
        <v>86</v>
      </c>
      <c r="D675" s="342"/>
      <c r="E675" s="195"/>
    </row>
    <row r="676" spans="1:9" ht="13">
      <c r="A676" s="331">
        <v>11</v>
      </c>
      <c r="C676" s="330" t="str">
        <f>'FR-16(7)(v)-1 Functional'!C676</f>
        <v>LONG TERM DEBT</v>
      </c>
      <c r="D676" s="342"/>
      <c r="E676" s="195"/>
      <c r="F676" s="580">
        <f>'FR-16(7)(v)-1 Functional'!$F$676</f>
        <v>3.8429999999999999E-2</v>
      </c>
      <c r="G676" s="516"/>
      <c r="H676" s="516"/>
      <c r="I676" s="516"/>
    </row>
    <row r="677" spans="1:9" ht="13">
      <c r="A677" s="331">
        <v>12</v>
      </c>
      <c r="C677" s="330" t="str">
        <f>'FR-16(7)(v)-1 Functional'!C677</f>
        <v>PREFERRED STOCK</v>
      </c>
      <c r="D677" s="342"/>
      <c r="E677" s="195"/>
      <c r="F677" s="580">
        <f>'FR-16(7)(v)-1 Functional'!$F$677</f>
        <v>0</v>
      </c>
      <c r="G677" s="516"/>
      <c r="H677" s="516"/>
      <c r="I677" s="516"/>
    </row>
    <row r="678" spans="1:9" ht="13">
      <c r="A678" s="331">
        <v>13</v>
      </c>
      <c r="C678" s="330" t="str">
        <f>'FR-16(7)(v)-1 Functional'!C678</f>
        <v>COMMON STOCK</v>
      </c>
      <c r="D678" s="342"/>
      <c r="E678" s="195"/>
      <c r="F678" s="580">
        <f>'FR-16(7)(v)-1 Functional'!$F$678</f>
        <v>0.10299999999999999</v>
      </c>
      <c r="G678" s="516"/>
      <c r="H678" s="516"/>
      <c r="I678" s="516"/>
    </row>
    <row r="679" spans="1:9" ht="13">
      <c r="A679" s="331">
        <v>14</v>
      </c>
      <c r="C679" s="330" t="str">
        <f>'FR-16(7)(v)-1 Functional'!C679</f>
        <v>SHORT TERM DEBT</v>
      </c>
      <c r="D679" s="342"/>
      <c r="E679" s="195"/>
      <c r="F679" s="580">
        <f>'FR-16(7)(v)-1 Functional'!$F$679</f>
        <v>1.6670000000000001E-2</v>
      </c>
      <c r="G679" s="516"/>
      <c r="H679" s="516"/>
      <c r="I679" s="516"/>
    </row>
    <row r="680" spans="1:9" ht="13">
      <c r="A680" s="331">
        <v>15</v>
      </c>
      <c r="C680" s="330" t="str">
        <f>'FR-16(7)(v)-1 Functional'!C680</f>
        <v>UNAMORTIZED DISCOUNT</v>
      </c>
      <c r="D680" s="342"/>
      <c r="E680" s="195"/>
      <c r="F680" s="580">
        <f>'FR-16(7)(v)-1 Functional'!$F$680</f>
        <v>0</v>
      </c>
      <c r="G680" s="516"/>
      <c r="H680" s="516"/>
      <c r="I680" s="516"/>
    </row>
    <row r="681" spans="1:9" ht="13">
      <c r="A681" s="331">
        <v>16</v>
      </c>
      <c r="D681" s="342"/>
      <c r="E681" s="195"/>
    </row>
    <row r="682" spans="1:9" ht="13">
      <c r="A682" s="331">
        <v>17</v>
      </c>
      <c r="B682" s="330" t="s">
        <v>87</v>
      </c>
      <c r="D682" s="342"/>
      <c r="E682" s="195"/>
    </row>
    <row r="683" spans="1:9" ht="13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G683" s="514"/>
      <c r="H683" s="514"/>
      <c r="I683" s="514"/>
    </row>
    <row r="684" spans="1:9" ht="13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G684" s="514"/>
      <c r="H684" s="514"/>
      <c r="I684" s="514"/>
    </row>
    <row r="685" spans="1:9" ht="13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G685" s="514"/>
      <c r="H685" s="514"/>
      <c r="I685" s="514"/>
    </row>
    <row r="686" spans="1:9" ht="13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G686" s="514"/>
      <c r="H686" s="514"/>
      <c r="I686" s="514"/>
    </row>
    <row r="687" spans="1:9" ht="13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G687" s="514"/>
      <c r="H687" s="514"/>
      <c r="I687" s="514"/>
    </row>
    <row r="688" spans="1:9" ht="13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7">
        <f>SUM(F683:F687)</f>
        <v>7.060000000000001E-2</v>
      </c>
      <c r="G688" s="518"/>
      <c r="H688" s="518"/>
      <c r="I688" s="518"/>
    </row>
    <row r="689" spans="1:11" ht="13">
      <c r="A689" s="331">
        <v>24</v>
      </c>
      <c r="D689" s="342"/>
      <c r="E689" s="195"/>
    </row>
    <row r="690" spans="1:11" ht="13">
      <c r="A690" s="331">
        <v>25</v>
      </c>
      <c r="B690" s="330" t="s">
        <v>88</v>
      </c>
      <c r="D690" s="342"/>
      <c r="E690" s="195"/>
      <c r="F690" s="363"/>
    </row>
    <row r="691" spans="1:11" ht="13">
      <c r="A691" s="331">
        <v>26</v>
      </c>
      <c r="C691" s="330" t="str">
        <f>'FR-16(7)(v)-1 Functional'!C691</f>
        <v>SHORT TERM DEBT COST</v>
      </c>
      <c r="D691" s="342"/>
      <c r="E691" s="195"/>
      <c r="F691" s="760">
        <v>0</v>
      </c>
      <c r="G691" s="519">
        <f>$F$691</f>
        <v>0</v>
      </c>
      <c r="H691" s="519">
        <f>$F$691</f>
        <v>0</v>
      </c>
      <c r="I691" s="519">
        <f>$F$691</f>
        <v>0</v>
      </c>
      <c r="J691" s="519">
        <f>$F$691</f>
        <v>0</v>
      </c>
      <c r="K691" s="519">
        <f>$F$691</f>
        <v>0</v>
      </c>
    </row>
    <row r="692" spans="1:11" ht="13">
      <c r="A692" s="331">
        <v>27</v>
      </c>
      <c r="C692" s="330" t="str">
        <f>'FR-16(7)(v)-1 Functional'!C692</f>
        <v>FEDERAL INCOME TAX RATE</v>
      </c>
      <c r="D692" s="342"/>
      <c r="E692" s="195"/>
      <c r="F692" s="519">
        <f t="shared" ref="F692:K692" si="118">FIT</f>
        <v>0.21</v>
      </c>
      <c r="G692" s="519">
        <f t="shared" si="118"/>
        <v>0.21</v>
      </c>
      <c r="H692" s="519">
        <f t="shared" si="118"/>
        <v>0.21</v>
      </c>
      <c r="I692" s="519">
        <f t="shared" si="118"/>
        <v>0.21</v>
      </c>
      <c r="J692" s="519">
        <f t="shared" si="118"/>
        <v>0.21</v>
      </c>
      <c r="K692" s="519">
        <f t="shared" si="118"/>
        <v>0.21</v>
      </c>
    </row>
    <row r="693" spans="1:11" ht="13">
      <c r="A693" s="331">
        <v>28</v>
      </c>
      <c r="C693" s="330" t="str">
        <f>'FR-16(7)(v)-1 Functional'!C693</f>
        <v>STATE INCOME TAX RATE</v>
      </c>
      <c r="D693" s="342"/>
      <c r="E693" s="195"/>
      <c r="F693" s="519">
        <f t="shared" ref="F693:K693" si="119">SIT</f>
        <v>4.9685000000000007E-2</v>
      </c>
      <c r="G693" s="519">
        <f t="shared" si="119"/>
        <v>4.9685000000000007E-2</v>
      </c>
      <c r="H693" s="519">
        <f t="shared" si="119"/>
        <v>4.9685000000000007E-2</v>
      </c>
      <c r="I693" s="519">
        <f t="shared" si="119"/>
        <v>4.9685000000000007E-2</v>
      </c>
      <c r="J693" s="519">
        <f t="shared" si="119"/>
        <v>4.9685000000000007E-2</v>
      </c>
      <c r="K693" s="519">
        <f t="shared" si="119"/>
        <v>4.9685000000000007E-2</v>
      </c>
    </row>
    <row r="694" spans="1:11" ht="13">
      <c r="A694" s="331">
        <v>29</v>
      </c>
      <c r="C694" s="330" t="str">
        <f>'FR-16(7)(v)-1 Functional'!C694</f>
        <v>REVENUE TAX RATE</v>
      </c>
      <c r="D694" s="342"/>
      <c r="E694" s="195"/>
      <c r="F694" s="516">
        <v>0</v>
      </c>
      <c r="G694" s="519">
        <f>RevTax</f>
        <v>0</v>
      </c>
      <c r="H694" s="519">
        <f>RevTax</f>
        <v>0</v>
      </c>
      <c r="I694" s="519">
        <f>RevTax</f>
        <v>0</v>
      </c>
      <c r="J694" s="519">
        <f>RevTax</f>
        <v>0</v>
      </c>
      <c r="K694" s="519">
        <f>RevTax</f>
        <v>0</v>
      </c>
    </row>
    <row r="696" spans="1:11" ht="13">
      <c r="A696" s="341"/>
      <c r="C696" s="195"/>
      <c r="D696" s="342"/>
      <c r="E696" s="195"/>
      <c r="F696" s="195"/>
      <c r="G696" s="195"/>
      <c r="H696" s="195"/>
      <c r="I696" s="195"/>
      <c r="J696" s="195"/>
      <c r="K696" s="195"/>
    </row>
    <row r="697" spans="1:11" ht="13">
      <c r="A697" s="341"/>
      <c r="C697" s="195"/>
      <c r="D697" s="342"/>
      <c r="E697" s="195"/>
      <c r="F697" s="195"/>
      <c r="G697" s="195"/>
      <c r="H697" s="195"/>
      <c r="I697" s="195"/>
      <c r="J697" s="195"/>
      <c r="K697" s="195"/>
    </row>
    <row r="698" spans="1:11" ht="13">
      <c r="A698" s="341"/>
      <c r="C698" s="195"/>
      <c r="D698" s="342"/>
      <c r="E698" s="195"/>
      <c r="F698" s="195"/>
      <c r="G698" s="195"/>
      <c r="H698" s="195"/>
      <c r="I698" s="195"/>
      <c r="J698" s="195"/>
      <c r="K698" s="195"/>
    </row>
    <row r="699" spans="1:11" ht="13">
      <c r="A699" s="341"/>
      <c r="C699" s="195"/>
      <c r="D699" s="342"/>
      <c r="E699" s="195"/>
      <c r="F699" s="195"/>
      <c r="G699" s="195"/>
      <c r="H699" s="195"/>
      <c r="I699" s="195"/>
      <c r="J699" s="195"/>
      <c r="K699" s="195"/>
    </row>
    <row r="700" spans="1:11" ht="13">
      <c r="A700" s="341"/>
      <c r="C700" s="195"/>
      <c r="D700" s="342"/>
      <c r="E700" s="195"/>
      <c r="F700" s="195"/>
      <c r="G700" s="195"/>
      <c r="H700" s="195"/>
      <c r="I700" s="195"/>
      <c r="J700" s="195"/>
      <c r="K700" s="195"/>
    </row>
    <row r="747" spans="1:11" ht="13">
      <c r="A747" s="341"/>
      <c r="C747" s="195"/>
      <c r="D747" s="342"/>
      <c r="E747" s="195"/>
      <c r="F747" s="195"/>
      <c r="G747" s="195"/>
      <c r="H747" s="195"/>
      <c r="I747" s="195"/>
      <c r="J747" s="195"/>
      <c r="K747" s="195"/>
    </row>
    <row r="748" spans="1:11" ht="13">
      <c r="A748" s="341"/>
      <c r="C748" s="195"/>
      <c r="D748" s="342"/>
      <c r="E748" s="195"/>
      <c r="F748" s="195"/>
      <c r="G748" s="195"/>
      <c r="H748" s="195"/>
      <c r="I748" s="195"/>
      <c r="J748" s="195"/>
      <c r="K748" s="195"/>
    </row>
    <row r="749" spans="1:11" ht="13">
      <c r="A749" s="341"/>
      <c r="C749" s="195"/>
      <c r="D749" s="342"/>
      <c r="E749" s="195"/>
      <c r="F749" s="195"/>
      <c r="G749" s="195"/>
      <c r="H749" s="195"/>
      <c r="I749" s="195"/>
      <c r="J749" s="195"/>
      <c r="K749" s="195"/>
    </row>
    <row r="750" spans="1:11" ht="13">
      <c r="A750" s="341"/>
      <c r="C750" s="195"/>
      <c r="D750" s="342"/>
      <c r="E750" s="195"/>
      <c r="F750" s="195"/>
      <c r="G750" s="195"/>
      <c r="H750" s="195"/>
      <c r="I750" s="195"/>
      <c r="J750" s="195"/>
      <c r="K750" s="195"/>
    </row>
    <row r="751" spans="1:11" ht="13">
      <c r="A751" s="341"/>
      <c r="C751" s="195"/>
      <c r="D751" s="342"/>
      <c r="E751" s="195"/>
      <c r="F751" s="195"/>
      <c r="G751" s="195"/>
      <c r="H751" s="195"/>
      <c r="I751" s="195"/>
      <c r="J751" s="195"/>
      <c r="K751" s="195"/>
    </row>
    <row r="805" spans="1:11" ht="13">
      <c r="A805" s="341"/>
      <c r="C805" s="195"/>
      <c r="D805" s="342"/>
      <c r="E805" s="195"/>
      <c r="F805" s="195"/>
      <c r="G805" s="195"/>
      <c r="H805" s="195"/>
      <c r="I805" s="195"/>
      <c r="J805" s="195"/>
      <c r="K805" s="195"/>
    </row>
    <row r="806" spans="1:11" ht="13">
      <c r="A806" s="341"/>
      <c r="C806" s="195"/>
      <c r="D806" s="342"/>
      <c r="E806" s="195"/>
      <c r="F806" s="195"/>
      <c r="G806" s="195"/>
      <c r="H806" s="195"/>
      <c r="I806" s="195"/>
      <c r="J806" s="195"/>
      <c r="K806" s="195"/>
    </row>
    <row r="807" spans="1:11" ht="13">
      <c r="A807" s="341"/>
      <c r="C807" s="195"/>
      <c r="D807" s="342"/>
      <c r="E807" s="195"/>
      <c r="F807" s="195"/>
      <c r="G807" s="195"/>
      <c r="H807" s="195"/>
      <c r="I807" s="195"/>
      <c r="J807" s="195"/>
      <c r="K807" s="195"/>
    </row>
    <row r="808" spans="1:11" ht="13">
      <c r="A808" s="341"/>
      <c r="C808" s="195"/>
      <c r="D808" s="342"/>
      <c r="E808" s="195"/>
      <c r="F808" s="195"/>
      <c r="G808" s="195"/>
      <c r="H808" s="195"/>
      <c r="I808" s="195"/>
      <c r="J808" s="195"/>
      <c r="K808" s="195"/>
    </row>
    <row r="809" spans="1:11" ht="13">
      <c r="A809" s="341"/>
      <c r="C809" s="195"/>
      <c r="D809" s="342"/>
      <c r="E809" s="195"/>
      <c r="F809" s="195"/>
      <c r="G809" s="195"/>
      <c r="H809" s="195"/>
      <c r="I809" s="195"/>
      <c r="J809" s="195"/>
      <c r="K809" s="195"/>
    </row>
    <row r="861" spans="1:11" ht="20">
      <c r="A861" s="1184" t="s">
        <v>1193</v>
      </c>
    </row>
    <row r="863" spans="1:11" ht="13">
      <c r="A863" s="342" t="s">
        <v>907</v>
      </c>
      <c r="B863" s="195"/>
      <c r="C863" s="195"/>
      <c r="D863" s="342"/>
      <c r="E863" s="195"/>
      <c r="F863" s="342" t="s">
        <v>229</v>
      </c>
      <c r="G863" s="539" t="s">
        <v>995</v>
      </c>
      <c r="H863" s="527"/>
      <c r="I863" s="528"/>
      <c r="J863" s="342" t="s">
        <v>229</v>
      </c>
      <c r="K863" s="342" t="s">
        <v>342</v>
      </c>
    </row>
    <row r="864" spans="1:11" ht="13">
      <c r="A864" s="344" t="s">
        <v>908</v>
      </c>
      <c r="B864" s="343" t="s">
        <v>99</v>
      </c>
      <c r="C864" s="343"/>
      <c r="D864" s="344" t="s">
        <v>337</v>
      </c>
      <c r="E864" s="343"/>
      <c r="F864" s="344" t="str">
        <f>$F$9</f>
        <v>INTERRUPTIBLE</v>
      </c>
      <c r="G864" s="540" t="s">
        <v>840</v>
      </c>
      <c r="H864" s="529" t="s">
        <v>841</v>
      </c>
      <c r="I864" s="530" t="s">
        <v>842</v>
      </c>
      <c r="J864" s="344" t="s">
        <v>341</v>
      </c>
      <c r="K864" s="344" t="s">
        <v>340</v>
      </c>
    </row>
    <row r="865" spans="1:11" ht="13">
      <c r="B865" s="195"/>
      <c r="C865" s="572" t="s">
        <v>4</v>
      </c>
      <c r="D865" s="342"/>
      <c r="E865" s="195"/>
      <c r="G865" s="793">
        <f>$G$10</f>
        <v>3</v>
      </c>
      <c r="H865" s="794">
        <f>$H$10</f>
        <v>4</v>
      </c>
      <c r="I865" s="795">
        <f>$I$10</f>
        <v>5</v>
      </c>
    </row>
    <row r="866" spans="1:11" ht="13">
      <c r="A866" s="331">
        <v>1</v>
      </c>
      <c r="B866" s="330" t="s">
        <v>100</v>
      </c>
      <c r="D866" s="342"/>
      <c r="E866" s="195"/>
      <c r="G866" s="541"/>
      <c r="H866" s="531"/>
      <c r="I866" s="532"/>
    </row>
    <row r="867" spans="1:11" ht="13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K867" si="120">F647</f>
        <v>2224944</v>
      </c>
      <c r="G867" s="542">
        <f t="shared" si="120"/>
        <v>1968502</v>
      </c>
      <c r="H867" s="533">
        <f t="shared" si="120"/>
        <v>168126</v>
      </c>
      <c r="I867" s="534">
        <f t="shared" si="120"/>
        <v>88315</v>
      </c>
      <c r="J867" s="345">
        <f t="shared" si="120"/>
        <v>2224943</v>
      </c>
      <c r="K867" s="345">
        <f t="shared" si="120"/>
        <v>-1</v>
      </c>
    </row>
    <row r="868" spans="1:11" ht="13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5097</v>
      </c>
      <c r="G868" s="542">
        <f>$G$630</f>
        <v>4837</v>
      </c>
      <c r="H868" s="533">
        <f>$H$630</f>
        <v>87</v>
      </c>
      <c r="I868" s="534">
        <f>$I$630</f>
        <v>173</v>
      </c>
      <c r="J868" s="345">
        <f>$J$630</f>
        <v>5097</v>
      </c>
      <c r="K868" s="345">
        <f>$K$630</f>
        <v>0</v>
      </c>
    </row>
    <row r="869" spans="1:11" ht="13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K869" si="121">SUM(F866:F868)</f>
        <v>2230041</v>
      </c>
      <c r="G869" s="543">
        <f t="shared" si="121"/>
        <v>1973339</v>
      </c>
      <c r="H869" s="535">
        <f t="shared" si="121"/>
        <v>168213</v>
      </c>
      <c r="I869" s="536">
        <f t="shared" si="121"/>
        <v>88488</v>
      </c>
      <c r="J869" s="346">
        <f t="shared" si="121"/>
        <v>2230040</v>
      </c>
      <c r="K869" s="346">
        <f t="shared" si="121"/>
        <v>-1</v>
      </c>
    </row>
    <row r="870" spans="1:11" ht="13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-1191912</v>
      </c>
      <c r="G870" s="542">
        <f>-$G$501</f>
        <v>-988948</v>
      </c>
      <c r="H870" s="533">
        <f>-$H$501</f>
        <v>-163522</v>
      </c>
      <c r="I870" s="534">
        <f>-$I$501</f>
        <v>-39442</v>
      </c>
      <c r="J870" s="506">
        <f>-$J$501</f>
        <v>-1191912</v>
      </c>
      <c r="K870" s="345">
        <f>-$K$501</f>
        <v>0</v>
      </c>
    </row>
    <row r="871" spans="1:11" ht="13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>-ROUND(F694*F867,0)</f>
        <v>0</v>
      </c>
      <c r="G871" s="542">
        <f>-ROUND(G694*G867,0)</f>
        <v>0</v>
      </c>
      <c r="H871" s="533">
        <f>-ROUND(H694*H867,0)</f>
        <v>0</v>
      </c>
      <c r="I871" s="534">
        <f>-ROUND(I694*I867,0)</f>
        <v>0</v>
      </c>
      <c r="J871" s="504">
        <f>SUM(G871:I871)</f>
        <v>0</v>
      </c>
      <c r="K871" s="345">
        <f>-ROUND('FR-16(7)(v)-1 Functional'!K694*K867,0)</f>
        <v>0</v>
      </c>
    </row>
    <row r="872" spans="1:11" ht="13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>SUM(F869:F871)</f>
        <v>1038129</v>
      </c>
      <c r="G872" s="543">
        <f>SUM(G869:G871)</f>
        <v>984391</v>
      </c>
      <c r="H872" s="535">
        <f>SUM(H869:H871)</f>
        <v>4691</v>
      </c>
      <c r="I872" s="536">
        <f>SUM(I869:I871)</f>
        <v>49046</v>
      </c>
      <c r="J872" s="346">
        <f>SUM(G872:I872)</f>
        <v>1038128</v>
      </c>
      <c r="K872" s="346">
        <f>SUM(K869:K871)</f>
        <v>-1</v>
      </c>
    </row>
    <row r="873" spans="1:11" ht="13">
      <c r="A873" s="331">
        <v>8</v>
      </c>
      <c r="D873" s="342"/>
      <c r="E873" s="195"/>
      <c r="G873" s="541"/>
      <c r="H873" s="531"/>
      <c r="I873" s="532"/>
    </row>
    <row r="874" spans="1:11" ht="13">
      <c r="A874" s="331">
        <v>9</v>
      </c>
      <c r="B874" s="330" t="s">
        <v>101</v>
      </c>
      <c r="D874" s="342"/>
      <c r="E874" s="195"/>
      <c r="G874" s="541"/>
      <c r="H874" s="531"/>
      <c r="I874" s="532"/>
    </row>
    <row r="875" spans="1:11" ht="13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-236073</v>
      </c>
      <c r="G875" s="542">
        <f>-$G$516</f>
        <v>-225857</v>
      </c>
      <c r="H875" s="533">
        <f>-$H$516</f>
        <v>-84</v>
      </c>
      <c r="I875" s="534">
        <f>-$I$516</f>
        <v>-10132</v>
      </c>
      <c r="J875" s="345">
        <f>-$J$516</f>
        <v>-236073</v>
      </c>
      <c r="K875" s="345">
        <f>-$K$516</f>
        <v>0</v>
      </c>
    </row>
    <row r="876" spans="1:11" ht="13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-189299</v>
      </c>
      <c r="G876" s="542">
        <f>-$G$522</f>
        <v>-181090</v>
      </c>
      <c r="H876" s="533">
        <f>-$H$522</f>
        <v>-261</v>
      </c>
      <c r="I876" s="534">
        <f>-$I$522</f>
        <v>-7948</v>
      </c>
      <c r="J876" s="345">
        <f>-$J$522</f>
        <v>-189299</v>
      </c>
      <c r="K876" s="345">
        <f>-$K$522</f>
        <v>0</v>
      </c>
    </row>
    <row r="877" spans="1:11" ht="13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>SUM(F874:F876)+F872</f>
        <v>612757</v>
      </c>
      <c r="G877" s="543">
        <f>SUM(G874:G876)+G872</f>
        <v>577444</v>
      </c>
      <c r="H877" s="535">
        <f>SUM(H874:H876)+H872</f>
        <v>4346</v>
      </c>
      <c r="I877" s="536">
        <f>SUM(I874:I876)+I872</f>
        <v>30966</v>
      </c>
      <c r="J877" s="346">
        <f>SUM(G877:I877)</f>
        <v>612756</v>
      </c>
      <c r="K877" s="346">
        <f>SUM(K874:K876)+K872</f>
        <v>-1</v>
      </c>
    </row>
    <row r="878" spans="1:11" ht="13">
      <c r="A878" s="331">
        <v>13</v>
      </c>
      <c r="D878" s="342"/>
      <c r="E878" s="195"/>
      <c r="G878" s="541"/>
      <c r="H878" s="531"/>
      <c r="I878" s="532"/>
    </row>
    <row r="879" spans="1:11" ht="13">
      <c r="A879" s="331">
        <v>14</v>
      </c>
      <c r="B879" s="330" t="s">
        <v>99</v>
      </c>
      <c r="D879" s="342"/>
      <c r="E879" s="195"/>
      <c r="G879" s="541"/>
      <c r="H879" s="531"/>
      <c r="I879" s="532"/>
    </row>
    <row r="880" spans="1:11" ht="13">
      <c r="A880" s="331">
        <v>15</v>
      </c>
      <c r="B880" s="330" t="s">
        <v>74</v>
      </c>
      <c r="D880" s="342"/>
      <c r="E880" s="195"/>
      <c r="G880" s="541"/>
      <c r="H880" s="531"/>
      <c r="I880" s="532"/>
    </row>
    <row r="881" spans="1:11" ht="13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K881" si="122">F877</f>
        <v>612757</v>
      </c>
      <c r="G881" s="542">
        <f t="shared" si="122"/>
        <v>577444</v>
      </c>
      <c r="H881" s="533">
        <f t="shared" si="122"/>
        <v>4346</v>
      </c>
      <c r="I881" s="534">
        <f t="shared" si="122"/>
        <v>30966</v>
      </c>
      <c r="J881" s="345">
        <f t="shared" si="122"/>
        <v>612756</v>
      </c>
      <c r="K881" s="345">
        <f t="shared" si="122"/>
        <v>-1</v>
      </c>
    </row>
    <row r="882" spans="1:11" ht="13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K882" si="123">SUM(F881:F881)</f>
        <v>612757</v>
      </c>
      <c r="G882" s="542">
        <f t="shared" si="123"/>
        <v>577444</v>
      </c>
      <c r="H882" s="533">
        <f t="shared" si="123"/>
        <v>4346</v>
      </c>
      <c r="I882" s="534">
        <f t="shared" si="123"/>
        <v>30966</v>
      </c>
      <c r="J882" s="345">
        <f t="shared" si="123"/>
        <v>612756</v>
      </c>
      <c r="K882" s="345">
        <f t="shared" si="123"/>
        <v>-1</v>
      </c>
    </row>
    <row r="883" spans="1:11" ht="13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560">
        <f>G692</f>
        <v>0.21</v>
      </c>
      <c r="H883" s="561">
        <f>H692</f>
        <v>0.21</v>
      </c>
      <c r="I883" s="562">
        <f>I692</f>
        <v>0.21</v>
      </c>
      <c r="J883" s="348"/>
      <c r="K883" s="348">
        <f>'FR-16(7)(v)-1 Functional'!K692</f>
        <v>0.21</v>
      </c>
    </row>
    <row r="884" spans="1:11" ht="13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>ROUND(F883*F882,0)</f>
        <v>128679</v>
      </c>
      <c r="G884" s="542">
        <f>ROUND(G883*G882,0)</f>
        <v>121263</v>
      </c>
      <c r="H884" s="533">
        <f>ROUND(H883*H882,0)</f>
        <v>913</v>
      </c>
      <c r="I884" s="534">
        <f>ROUND(I883*I882,0)</f>
        <v>6503</v>
      </c>
      <c r="J884" s="345">
        <f>SUM(G884:I884)</f>
        <v>128679</v>
      </c>
      <c r="K884" s="345">
        <f>ROUND(K883*K882,0)</f>
        <v>0</v>
      </c>
    </row>
    <row r="885" spans="1:11" ht="13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818</v>
      </c>
      <c r="G885" s="542">
        <f>$G$532</f>
        <v>-2561</v>
      </c>
      <c r="H885" s="533">
        <f>$H$532</f>
        <v>3455</v>
      </c>
      <c r="I885" s="534">
        <f>$I$532</f>
        <v>-76</v>
      </c>
      <c r="J885" s="345">
        <f>$J$532</f>
        <v>818</v>
      </c>
      <c r="K885" s="345">
        <f>$K$532</f>
        <v>0</v>
      </c>
    </row>
    <row r="886" spans="1:11" ht="13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-1680</v>
      </c>
      <c r="G886" s="542">
        <f>-$G$536</f>
        <v>-1607</v>
      </c>
      <c r="H886" s="533">
        <f>-$H$536</f>
        <v>-1</v>
      </c>
      <c r="I886" s="534">
        <f>-$I$536</f>
        <v>-72</v>
      </c>
      <c r="J886" s="345">
        <f>-$J$536</f>
        <v>-1680</v>
      </c>
      <c r="K886" s="345">
        <f>-$K$536</f>
        <v>0</v>
      </c>
    </row>
    <row r="887" spans="1:11" ht="13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K887" si="124">SUM(F884:F886)</f>
        <v>127817</v>
      </c>
      <c r="G887" s="543">
        <f t="shared" si="124"/>
        <v>117095</v>
      </c>
      <c r="H887" s="535">
        <f t="shared" si="124"/>
        <v>4367</v>
      </c>
      <c r="I887" s="536">
        <f t="shared" si="124"/>
        <v>6355</v>
      </c>
      <c r="J887" s="346">
        <f t="shared" si="124"/>
        <v>127817</v>
      </c>
      <c r="K887" s="346">
        <f t="shared" si="124"/>
        <v>0</v>
      </c>
    </row>
    <row r="888" spans="1:11" ht="13">
      <c r="A888" s="331">
        <v>23</v>
      </c>
      <c r="D888" s="342"/>
      <c r="E888" s="195"/>
      <c r="G888" s="541"/>
      <c r="H888" s="531"/>
      <c r="I888" s="532"/>
    </row>
    <row r="889" spans="1:11" ht="13">
      <c r="A889" s="331">
        <v>24</v>
      </c>
      <c r="B889" s="330" t="s">
        <v>75</v>
      </c>
      <c r="D889" s="342"/>
      <c r="E889" s="195"/>
      <c r="G889" s="541"/>
      <c r="H889" s="531"/>
      <c r="I889" s="532"/>
    </row>
    <row r="890" spans="1:11" ht="13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K890" si="125">F884</f>
        <v>128679</v>
      </c>
      <c r="G890" s="542">
        <f t="shared" si="125"/>
        <v>121263</v>
      </c>
      <c r="H890" s="533">
        <f t="shared" si="125"/>
        <v>913</v>
      </c>
      <c r="I890" s="534">
        <f t="shared" si="125"/>
        <v>6503</v>
      </c>
      <c r="J890" s="345">
        <f t="shared" si="125"/>
        <v>128679</v>
      </c>
      <c r="K890" s="345">
        <f t="shared" si="125"/>
        <v>0</v>
      </c>
    </row>
    <row r="891" spans="1:11" ht="13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544">
        <f>-$G$540</f>
        <v>0</v>
      </c>
      <c r="H891" s="537">
        <f>-$H$540</f>
        <v>0</v>
      </c>
      <c r="I891" s="538">
        <f>-$I$540</f>
        <v>0</v>
      </c>
      <c r="J891" s="345">
        <f>-$J$540</f>
        <v>0</v>
      </c>
      <c r="K891" s="345">
        <f>-$K$540</f>
        <v>0</v>
      </c>
    </row>
    <row r="892" spans="1:11" ht="13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K892" si="126">SUM(F889:F891)</f>
        <v>128679</v>
      </c>
      <c r="G892" s="543">
        <f t="shared" si="126"/>
        <v>121263</v>
      </c>
      <c r="H892" s="535">
        <f t="shared" si="126"/>
        <v>913</v>
      </c>
      <c r="I892" s="536">
        <f t="shared" si="126"/>
        <v>6503</v>
      </c>
      <c r="J892" s="346">
        <f t="shared" si="126"/>
        <v>128679</v>
      </c>
      <c r="K892" s="346">
        <f t="shared" si="126"/>
        <v>0</v>
      </c>
    </row>
    <row r="893" spans="1:11" ht="13">
      <c r="A893" s="331">
        <v>28</v>
      </c>
      <c r="D893" s="342"/>
      <c r="E893" s="195"/>
      <c r="G893" s="541"/>
      <c r="H893" s="531"/>
      <c r="I893" s="532"/>
    </row>
    <row r="894" spans="1:11" ht="13">
      <c r="A894" s="331">
        <v>29</v>
      </c>
      <c r="B894" s="330" t="s">
        <v>40</v>
      </c>
      <c r="D894" s="342"/>
      <c r="E894" s="195"/>
      <c r="G894" s="541"/>
      <c r="H894" s="531"/>
      <c r="I894" s="532"/>
    </row>
    <row r="895" spans="1:11" ht="13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K895" si="127">F872</f>
        <v>1038129</v>
      </c>
      <c r="G895" s="542">
        <f t="shared" si="127"/>
        <v>984391</v>
      </c>
      <c r="H895" s="533">
        <f t="shared" si="127"/>
        <v>4691</v>
      </c>
      <c r="I895" s="534">
        <f t="shared" si="127"/>
        <v>49046</v>
      </c>
      <c r="J895" s="345">
        <f t="shared" si="127"/>
        <v>1038128</v>
      </c>
      <c r="K895" s="345">
        <f t="shared" si="127"/>
        <v>-1</v>
      </c>
    </row>
    <row r="896" spans="1:11" ht="13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K896" si="128">-F887</f>
        <v>-127817</v>
      </c>
      <c r="G896" s="542">
        <f t="shared" si="128"/>
        <v>-117095</v>
      </c>
      <c r="H896" s="533">
        <f t="shared" si="128"/>
        <v>-4367</v>
      </c>
      <c r="I896" s="534">
        <f t="shared" si="128"/>
        <v>-6355</v>
      </c>
      <c r="J896" s="345">
        <f t="shared" si="128"/>
        <v>-127817</v>
      </c>
      <c r="K896" s="345">
        <f t="shared" si="128"/>
        <v>0</v>
      </c>
    </row>
    <row r="897" spans="1:11" ht="13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K897" si="129">SUM(F894:F896)</f>
        <v>910312</v>
      </c>
      <c r="G897" s="543">
        <f t="shared" si="129"/>
        <v>867296</v>
      </c>
      <c r="H897" s="535">
        <f t="shared" si="129"/>
        <v>324</v>
      </c>
      <c r="I897" s="536">
        <f t="shared" si="129"/>
        <v>42691</v>
      </c>
      <c r="J897" s="346">
        <f t="shared" si="129"/>
        <v>910311</v>
      </c>
      <c r="K897" s="346">
        <f t="shared" si="129"/>
        <v>-1</v>
      </c>
    </row>
    <row r="898" spans="1:11" ht="13">
      <c r="A898" s="331">
        <v>33</v>
      </c>
      <c r="D898" s="342"/>
      <c r="E898" s="195"/>
      <c r="G898" s="541"/>
      <c r="H898" s="531"/>
      <c r="I898" s="532"/>
    </row>
    <row r="899" spans="1:11" ht="13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K899" si="130">IF(F331=0,0,ROUND(F897/F331,5))</f>
        <v>7.0900000000000005E-2</v>
      </c>
      <c r="G899" s="569">
        <f t="shared" si="130"/>
        <v>7.0599999999999996E-2</v>
      </c>
      <c r="H899" s="570">
        <f t="shared" si="130"/>
        <v>7.0499999999999993E-2</v>
      </c>
      <c r="I899" s="571">
        <f t="shared" si="130"/>
        <v>7.7429999999999999E-2</v>
      </c>
      <c r="J899" s="348">
        <f t="shared" si="130"/>
        <v>7.0900000000000005E-2</v>
      </c>
      <c r="K899" s="348">
        <f t="shared" si="130"/>
        <v>0</v>
      </c>
    </row>
  </sheetData>
  <pageMargins left="1" right="1" top="1" bottom="1" header="1" footer="0.5"/>
  <pageSetup scale="67" orientation="landscape" blackAndWhite="1" r:id="rId1"/>
  <headerFooter alignWithMargins="0"/>
  <rowBreaks count="13" manualBreakCount="13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3">
    <tabColor rgb="FF92D050"/>
    <pageSetUpPr fitToPage="1"/>
  </sheetPr>
  <dimension ref="A1:AA177"/>
  <sheetViews>
    <sheetView zoomScale="80" zoomScaleNormal="80" zoomScaleSheetLayoutView="70" workbookViewId="0">
      <selection activeCell="G12" sqref="G12"/>
    </sheetView>
  </sheetViews>
  <sheetFormatPr defaultColWidth="6.07421875" defaultRowHeight="12.5"/>
  <cols>
    <col min="1" max="1" width="2" style="12" customWidth="1"/>
    <col min="2" max="2" width="2.23046875" style="12" customWidth="1"/>
    <col min="3" max="3" width="33.765625" style="12" bestFit="1" customWidth="1"/>
    <col min="4" max="4" width="13.765625" style="12" customWidth="1"/>
    <col min="5" max="5" width="9.23046875" style="12" customWidth="1"/>
    <col min="6" max="6" width="10.23046875" style="12" customWidth="1"/>
    <col min="7" max="7" width="8.765625" style="12" customWidth="1"/>
    <col min="8" max="8" width="13" style="23" customWidth="1"/>
    <col min="9" max="9" width="11" style="44" customWidth="1"/>
    <col min="10" max="10" width="22" style="12" customWidth="1"/>
    <col min="11" max="15" width="11.765625" style="12" customWidth="1"/>
    <col min="16" max="16" width="6.07421875" style="12"/>
    <col min="17" max="17" width="18.765625" style="12" customWidth="1"/>
    <col min="18" max="18" width="10.07421875" style="12" customWidth="1"/>
    <col min="19" max="19" width="10.07421875" style="215" customWidth="1"/>
    <col min="20" max="20" width="10.07421875" style="12" customWidth="1"/>
    <col min="21" max="21" width="10.07421875" style="215" customWidth="1"/>
    <col min="22" max="22" width="10.07421875" style="12" customWidth="1"/>
    <col min="23" max="23" width="10.07421875" style="215" customWidth="1"/>
    <col min="24" max="24" width="10.07421875" style="12" customWidth="1"/>
    <col min="25" max="25" width="10.07421875" style="215" customWidth="1"/>
    <col min="26" max="26" width="10.07421875" style="12" customWidth="1"/>
    <col min="27" max="27" width="7.53515625" style="12" customWidth="1"/>
    <col min="28" max="28" width="6.765625" style="12" bestFit="1" customWidth="1"/>
    <col min="29" max="16384" width="6.07421875" style="12"/>
  </cols>
  <sheetData>
    <row r="1" spans="1:26" ht="12.75" customHeight="1">
      <c r="A1" s="195" t="str">
        <f>co_name</f>
        <v>DUKE ENERGY KENTUCKY, INC.</v>
      </c>
      <c r="B1" s="11"/>
      <c r="C1" s="11"/>
      <c r="D1" s="11"/>
      <c r="E1" s="196"/>
      <c r="G1" s="10" t="s">
        <v>1464</v>
      </c>
      <c r="H1" s="13"/>
      <c r="I1" s="1030"/>
    </row>
    <row r="2" spans="1:26" ht="12.75" customHeight="1">
      <c r="A2" s="195" t="str">
        <f>coss_type</f>
        <v xml:space="preserve">GAS COST OF SERVICE STUDY </v>
      </c>
      <c r="B2" s="11"/>
      <c r="C2" s="11"/>
      <c r="D2" s="11"/>
      <c r="E2" s="196"/>
      <c r="G2" s="10" t="s">
        <v>919</v>
      </c>
      <c r="H2" s="13"/>
      <c r="I2" s="1030"/>
    </row>
    <row r="3" spans="1:26" ht="12.75" customHeight="1">
      <c r="A3" s="195" t="str">
        <f>case_name</f>
        <v>CASE NO: 2021-00190</v>
      </c>
      <c r="B3" s="11"/>
      <c r="C3" s="11"/>
      <c r="D3" s="11"/>
      <c r="E3" s="196"/>
      <c r="G3" s="25" t="str">
        <f>PROPER(Witness)</f>
        <v>James E. Ziolkowski</v>
      </c>
      <c r="H3" s="13"/>
      <c r="I3" s="1030"/>
      <c r="K3" s="215"/>
      <c r="L3" s="215"/>
    </row>
    <row r="4" spans="1:26" ht="12.75" customHeight="1">
      <c r="A4" s="10" t="str">
        <f>alloc_factors</f>
        <v>ALLOCATION FACTORS FOR COST OF SERVICE STUDY</v>
      </c>
      <c r="B4" s="11"/>
      <c r="C4" s="11"/>
      <c r="D4" s="11"/>
      <c r="E4" s="196"/>
      <c r="F4" s="11"/>
      <c r="G4" s="10" t="s">
        <v>434</v>
      </c>
      <c r="H4" s="13"/>
      <c r="I4" s="1030"/>
    </row>
    <row r="5" spans="1:26" ht="12.75" customHeight="1">
      <c r="A5" s="10" t="str">
        <f>time_period</f>
        <v>TWELVE MONTHS ENDING DECEMBER 31, 2020</v>
      </c>
      <c r="B5" s="11"/>
      <c r="C5" s="11"/>
      <c r="D5" s="11"/>
      <c r="E5" s="196"/>
      <c r="F5" s="11"/>
      <c r="G5" s="16">
        <f ca="1">TODAY()</f>
        <v>44420</v>
      </c>
      <c r="H5" s="13"/>
      <c r="I5" s="1030"/>
      <c r="J5" s="53"/>
      <c r="K5" s="284"/>
      <c r="L5" s="284"/>
      <c r="O5" s="215"/>
    </row>
    <row r="6" spans="1:26" ht="12.75" customHeight="1">
      <c r="A6" s="197" t="s">
        <v>837</v>
      </c>
      <c r="B6" s="11"/>
      <c r="C6" s="11"/>
      <c r="D6" s="11"/>
      <c r="E6" s="196"/>
      <c r="F6" s="11"/>
      <c r="G6" s="17"/>
      <c r="H6" s="13"/>
      <c r="I6" s="1030"/>
      <c r="J6" s="53"/>
      <c r="K6" s="284"/>
      <c r="L6" s="284"/>
      <c r="O6" s="215"/>
      <c r="Q6" s="1041"/>
      <c r="R6" s="1042"/>
      <c r="S6" s="1042"/>
      <c r="T6" s="1042"/>
      <c r="U6" s="1042"/>
      <c r="V6" s="1042"/>
      <c r="W6" s="1042"/>
      <c r="X6" s="1042"/>
      <c r="Y6" s="1042"/>
      <c r="Z6" s="1042"/>
    </row>
    <row r="7" spans="1:26" ht="12.75" customHeight="1">
      <c r="A7" s="10"/>
      <c r="B7" s="11"/>
      <c r="C7" s="11"/>
      <c r="D7" s="11"/>
      <c r="E7" s="196"/>
      <c r="F7" s="11"/>
      <c r="G7" s="17"/>
      <c r="H7" s="13"/>
      <c r="I7" s="1030"/>
      <c r="J7" s="53"/>
      <c r="K7" s="284"/>
      <c r="L7" s="284"/>
      <c r="O7" s="215"/>
      <c r="Q7" s="1043"/>
      <c r="R7" s="1044"/>
      <c r="S7" s="1044"/>
      <c r="T7" s="1044"/>
      <c r="U7" s="1044"/>
      <c r="V7" s="1044"/>
      <c r="W7" s="1044"/>
      <c r="X7" s="1044"/>
      <c r="Y7" s="1044"/>
      <c r="Z7" s="1044"/>
    </row>
    <row r="8" spans="1:26" ht="12.75" customHeight="1">
      <c r="A8" s="18"/>
      <c r="B8" s="11"/>
      <c r="C8" s="11"/>
      <c r="D8" s="11"/>
      <c r="E8" s="196"/>
      <c r="F8" s="11"/>
      <c r="G8" s="14"/>
      <c r="H8" s="13"/>
      <c r="I8" s="1030"/>
      <c r="J8" s="53"/>
      <c r="K8" s="284"/>
      <c r="L8" s="284"/>
      <c r="O8" s="215"/>
      <c r="Q8" s="1041"/>
      <c r="R8" s="1045"/>
      <c r="S8" s="1045"/>
      <c r="T8" s="1045"/>
      <c r="U8" s="1045"/>
      <c r="V8" s="1045"/>
      <c r="W8" s="1045"/>
      <c r="X8" s="1045"/>
      <c r="Y8" s="1045"/>
      <c r="Z8" s="1045"/>
    </row>
    <row r="9" spans="1:26" ht="12.75" customHeight="1">
      <c r="A9" s="19" t="s">
        <v>1219</v>
      </c>
      <c r="B9" s="11"/>
      <c r="D9" s="373" t="s">
        <v>1216</v>
      </c>
      <c r="F9" s="11"/>
      <c r="G9" s="11"/>
      <c r="H9" s="20"/>
      <c r="I9" s="98"/>
      <c r="J9" s="53"/>
      <c r="K9" s="284"/>
      <c r="L9" s="284"/>
      <c r="O9" s="215"/>
      <c r="Q9" s="1041"/>
      <c r="R9" s="1046"/>
      <c r="S9" s="1046"/>
      <c r="T9" s="1046"/>
      <c r="U9" s="1046"/>
      <c r="V9" s="1046"/>
      <c r="W9" s="1046"/>
      <c r="X9" s="1046"/>
      <c r="Y9" s="1046"/>
      <c r="Z9" s="1046"/>
    </row>
    <row r="10" spans="1:26" ht="12.75" customHeight="1">
      <c r="C10" s="21" t="s">
        <v>477</v>
      </c>
      <c r="D10" s="22" t="s">
        <v>561</v>
      </c>
      <c r="E10" s="22" t="s">
        <v>562</v>
      </c>
      <c r="J10" s="53"/>
      <c r="K10" s="284"/>
      <c r="L10" s="284"/>
      <c r="O10" s="215"/>
      <c r="Q10" s="1041"/>
      <c r="R10" s="1046"/>
      <c r="S10" s="1046"/>
      <c r="T10" s="1046"/>
      <c r="U10" s="1046"/>
      <c r="V10" s="1046"/>
      <c r="W10" s="1046"/>
      <c r="X10" s="1046"/>
      <c r="Y10" s="1046"/>
      <c r="Z10" s="1046"/>
    </row>
    <row r="11" spans="1:26" ht="12.75" customHeight="1">
      <c r="E11" s="208" t="s">
        <v>901</v>
      </c>
      <c r="G11" s="215"/>
      <c r="O11" s="215"/>
      <c r="Q11" s="1041"/>
      <c r="R11" s="1046"/>
      <c r="S11" s="1046"/>
      <c r="T11" s="1046"/>
      <c r="U11" s="1046"/>
      <c r="V11" s="1046"/>
      <c r="W11" s="1046"/>
      <c r="X11" s="1046"/>
      <c r="Y11" s="1046"/>
      <c r="Z11" s="1046"/>
    </row>
    <row r="12" spans="1:26" ht="12.75" customHeight="1">
      <c r="C12" s="372" t="s">
        <v>1260</v>
      </c>
      <c r="D12" s="1015">
        <v>5557382</v>
      </c>
      <c r="E12" s="319">
        <f>1-SUM(E13:E15)</f>
        <v>0.50032999999999994</v>
      </c>
      <c r="F12" s="1478" t="s">
        <v>1483</v>
      </c>
      <c r="G12" s="215"/>
      <c r="O12" s="215"/>
      <c r="Q12" s="1051"/>
      <c r="R12" s="1047"/>
      <c r="S12" s="1047"/>
      <c r="T12" s="1047"/>
      <c r="U12" s="1047"/>
      <c r="V12" s="1047"/>
      <c r="W12" s="1047"/>
      <c r="X12" s="1047"/>
      <c r="Y12" s="1047"/>
      <c r="Z12" s="1047"/>
    </row>
    <row r="13" spans="1:26" ht="12.75" customHeight="1">
      <c r="C13" s="372" t="s">
        <v>1256</v>
      </c>
      <c r="D13" s="1015">
        <v>3260228</v>
      </c>
      <c r="E13" s="319">
        <f>ROUND(D13/D$16,5)</f>
        <v>0.29350999999999999</v>
      </c>
      <c r="F13" s="1478" t="s">
        <v>1483</v>
      </c>
      <c r="G13" s="215"/>
      <c r="O13" s="215"/>
      <c r="Q13" s="1041"/>
      <c r="R13" s="1048"/>
      <c r="S13" s="1048"/>
      <c r="T13" s="1048"/>
      <c r="U13" s="1048"/>
      <c r="V13" s="1048"/>
      <c r="W13" s="1048"/>
      <c r="X13" s="1048"/>
      <c r="Y13" s="1048"/>
      <c r="Z13" s="1048"/>
    </row>
    <row r="14" spans="1:26" ht="12.75" customHeight="1">
      <c r="C14" s="372" t="s">
        <v>974</v>
      </c>
      <c r="D14" s="1015">
        <v>2289963</v>
      </c>
      <c r="E14" s="319">
        <f>ROUND(D14/D$16,5)</f>
        <v>0.20616000000000001</v>
      </c>
      <c r="F14" s="1478" t="s">
        <v>1483</v>
      </c>
      <c r="G14" s="215"/>
      <c r="O14" s="215"/>
      <c r="Q14" s="1042"/>
      <c r="R14" s="1048"/>
      <c r="S14" s="1048"/>
      <c r="T14" s="1048"/>
      <c r="U14" s="1048"/>
      <c r="V14" s="1048"/>
      <c r="W14" s="1048"/>
      <c r="X14" s="1048"/>
      <c r="Y14" s="1048"/>
      <c r="Z14" s="1048"/>
    </row>
    <row r="15" spans="1:26" ht="12.75" customHeight="1">
      <c r="C15" s="372" t="s">
        <v>563</v>
      </c>
      <c r="D15" s="1015">
        <v>0</v>
      </c>
      <c r="E15" s="319">
        <f>ROUND(D15/D$16,5)</f>
        <v>0</v>
      </c>
      <c r="F15" s="26"/>
      <c r="G15" s="215"/>
      <c r="O15" s="215"/>
      <c r="Q15" s="1041"/>
      <c r="R15" s="1046"/>
      <c r="S15" s="1046"/>
      <c r="T15" s="1046"/>
      <c r="U15" s="1046"/>
      <c r="V15" s="1046"/>
      <c r="W15" s="1046"/>
      <c r="X15" s="1046"/>
      <c r="Y15" s="1046"/>
      <c r="Z15" s="1046"/>
    </row>
    <row r="16" spans="1:26" ht="12.75" customHeight="1">
      <c r="C16" s="373" t="s">
        <v>564</v>
      </c>
      <c r="D16" s="374">
        <f>SUM(D12:D15)</f>
        <v>11107573</v>
      </c>
      <c r="E16" s="375">
        <f>SUM(E12:E15)</f>
        <v>0.99999999999999989</v>
      </c>
      <c r="F16" s="27"/>
      <c r="G16" s="215"/>
      <c r="O16" s="215"/>
      <c r="Q16" s="1041"/>
      <c r="R16" s="1046"/>
      <c r="S16" s="1046"/>
      <c r="T16" s="1046"/>
      <c r="U16" s="1046"/>
      <c r="V16" s="1046"/>
      <c r="W16" s="1046"/>
      <c r="X16" s="1046"/>
      <c r="Y16" s="1046"/>
      <c r="Z16" s="1046"/>
    </row>
    <row r="17" spans="1:27" ht="12.75" customHeight="1">
      <c r="A17" s="18"/>
      <c r="B17" s="11"/>
      <c r="C17" s="376"/>
      <c r="D17" s="376"/>
      <c r="E17" s="376"/>
      <c r="F17" s="11"/>
      <c r="G17" s="215"/>
      <c r="I17" s="98"/>
      <c r="O17" s="215"/>
      <c r="Q17" s="1041"/>
      <c r="R17" s="1046"/>
      <c r="S17" s="1046"/>
      <c r="T17" s="1046"/>
      <c r="U17" s="1046"/>
      <c r="V17" s="1046"/>
      <c r="W17" s="1046"/>
      <c r="X17" s="1046"/>
      <c r="Y17" s="1046"/>
      <c r="Z17" s="1046"/>
    </row>
    <row r="18" spans="1:27" ht="12.75" customHeight="1">
      <c r="A18" s="28" t="s">
        <v>854</v>
      </c>
      <c r="C18" s="210"/>
      <c r="D18" s="210"/>
      <c r="E18" s="210"/>
      <c r="F18" s="11"/>
      <c r="G18" s="215"/>
      <c r="O18" s="215"/>
      <c r="Q18" s="1051"/>
      <c r="R18" s="1047"/>
      <c r="S18" s="1047"/>
      <c r="T18" s="1047"/>
      <c r="U18" s="1047"/>
      <c r="V18" s="1047"/>
      <c r="W18" s="1047"/>
      <c r="X18" s="1047"/>
      <c r="Y18" s="1047"/>
      <c r="Z18" s="1047"/>
    </row>
    <row r="19" spans="1:27" ht="12.75" customHeight="1">
      <c r="C19" s="377" t="s">
        <v>477</v>
      </c>
      <c r="D19" s="378" t="s">
        <v>562</v>
      </c>
      <c r="E19" s="378" t="s">
        <v>562</v>
      </c>
      <c r="F19" s="11"/>
      <c r="G19" s="215"/>
      <c r="I19" s="21"/>
      <c r="O19" s="215"/>
      <c r="Q19" s="1041"/>
      <c r="R19" s="1048"/>
      <c r="S19" s="1048"/>
      <c r="T19" s="1048"/>
      <c r="U19" s="1048"/>
      <c r="V19" s="1048"/>
      <c r="W19" s="1048"/>
      <c r="X19" s="1048"/>
      <c r="Y19" s="1048"/>
      <c r="Z19" s="1048"/>
    </row>
    <row r="20" spans="1:27" ht="12.75" customHeight="1">
      <c r="C20" s="210"/>
      <c r="D20" s="373" t="s">
        <v>565</v>
      </c>
      <c r="E20" s="373" t="s">
        <v>566</v>
      </c>
      <c r="F20" s="11"/>
      <c r="G20" s="215"/>
      <c r="I20" s="31"/>
      <c r="O20" s="215"/>
      <c r="Q20" s="1041"/>
      <c r="R20" s="1048"/>
      <c r="S20" s="1048"/>
      <c r="T20" s="1048"/>
      <c r="U20" s="1048"/>
      <c r="V20" s="1048"/>
      <c r="W20" s="1048"/>
      <c r="X20" s="1048"/>
      <c r="Y20" s="1048"/>
      <c r="Z20" s="1048"/>
    </row>
    <row r="21" spans="1:27" ht="12.75" customHeight="1">
      <c r="C21" s="372" t="s">
        <v>1260</v>
      </c>
      <c r="D21" s="319">
        <f>1-SUM(D22:D24)</f>
        <v>0.51036000000000004</v>
      </c>
      <c r="E21" s="319">
        <f>1-SUM(E22:E24)</f>
        <v>0.53422000000000003</v>
      </c>
      <c r="F21" s="11"/>
      <c r="G21" s="215"/>
      <c r="I21" s="27"/>
      <c r="O21" s="215"/>
      <c r="Q21" s="1049"/>
      <c r="R21" s="1048"/>
      <c r="S21" s="1048"/>
      <c r="T21" s="1048"/>
      <c r="U21" s="1048"/>
      <c r="V21" s="1048"/>
      <c r="W21" s="1048"/>
      <c r="X21" s="1048"/>
      <c r="Y21" s="1048"/>
      <c r="Z21" s="1048"/>
    </row>
    <row r="22" spans="1:27" ht="12.75" customHeight="1">
      <c r="C22" s="372" t="s">
        <v>1256</v>
      </c>
      <c r="D22" s="319">
        <f>'WP FR-16(7)(v)-Peak &amp; Avg'!S20</f>
        <v>0.30990000000000001</v>
      </c>
      <c r="E22" s="319">
        <f>'WP FR-16(7)(v)-Peak &amp; Avg'!S39</f>
        <v>0.32457999999999998</v>
      </c>
      <c r="F22" s="11"/>
      <c r="G22" s="215"/>
      <c r="I22" s="27"/>
      <c r="O22" s="215"/>
      <c r="R22" s="216"/>
      <c r="S22" s="216"/>
      <c r="T22" s="216"/>
      <c r="U22" s="216"/>
      <c r="V22" s="216"/>
      <c r="W22" s="216"/>
      <c r="X22" s="216"/>
      <c r="Y22" s="216"/>
    </row>
    <row r="23" spans="1:27" ht="12.75" customHeight="1">
      <c r="C23" s="372" t="s">
        <v>974</v>
      </c>
      <c r="D23" s="319">
        <f>'WP FR-16(7)(v)-Peak &amp; Avg'!S21</f>
        <v>0.13624</v>
      </c>
      <c r="E23" s="319">
        <f>'WP FR-16(7)(v)-Peak &amp; Avg'!S40</f>
        <v>0.14119999999999999</v>
      </c>
      <c r="F23" s="11"/>
      <c r="G23" s="215"/>
      <c r="I23" s="27"/>
      <c r="O23" s="215"/>
      <c r="R23" s="1039"/>
      <c r="S23" s="176"/>
      <c r="T23" s="1039"/>
      <c r="U23" s="176"/>
      <c r="V23" s="1039"/>
      <c r="W23" s="176"/>
      <c r="X23" s="1039"/>
      <c r="Y23" s="176"/>
      <c r="Z23" s="1039"/>
      <c r="AA23" s="176"/>
    </row>
    <row r="24" spans="1:27" ht="12.75" customHeight="1">
      <c r="C24" s="372" t="s">
        <v>563</v>
      </c>
      <c r="D24" s="319">
        <f>'WP FR-16(7)(v)-Peak &amp; Avg'!S22</f>
        <v>4.3499999999999997E-2</v>
      </c>
      <c r="E24" s="319">
        <f>'WP FR-16(7)(v)-Peak &amp; Avg'!S41</f>
        <v>0</v>
      </c>
      <c r="F24" s="11"/>
      <c r="G24" s="215"/>
      <c r="I24" s="27"/>
      <c r="O24" s="215"/>
      <c r="R24" s="1039"/>
      <c r="S24" s="176"/>
      <c r="T24" s="1039"/>
      <c r="U24" s="176"/>
      <c r="V24" s="1039"/>
      <c r="W24" s="176"/>
      <c r="X24" s="1039"/>
      <c r="Y24" s="176"/>
      <c r="Z24" s="1039"/>
      <c r="AA24" s="176"/>
    </row>
    <row r="25" spans="1:27" ht="12.75" customHeight="1">
      <c r="C25" s="373" t="s">
        <v>564</v>
      </c>
      <c r="D25" s="375">
        <f>SUM(D21:D24)</f>
        <v>1</v>
      </c>
      <c r="E25" s="375">
        <f>SUM(E21:E24)</f>
        <v>1</v>
      </c>
      <c r="F25" s="11"/>
      <c r="G25" s="215"/>
      <c r="I25" s="26"/>
      <c r="O25" s="215"/>
      <c r="R25" s="1039"/>
      <c r="S25" s="176"/>
      <c r="T25" s="1039"/>
      <c r="U25" s="176"/>
      <c r="V25" s="1039"/>
      <c r="W25" s="176"/>
      <c r="X25" s="1039"/>
      <c r="Y25" s="176"/>
      <c r="Z25" s="1039"/>
      <c r="AA25" s="176"/>
    </row>
    <row r="26" spans="1:27" ht="12.75" customHeight="1">
      <c r="C26" s="210"/>
      <c r="D26" s="210"/>
      <c r="E26" s="210"/>
      <c r="F26" s="11"/>
      <c r="G26" s="215"/>
      <c r="O26" s="215"/>
      <c r="R26" s="1040"/>
      <c r="S26" s="176"/>
      <c r="T26" s="1040"/>
      <c r="U26" s="176"/>
      <c r="V26" s="1040"/>
      <c r="W26" s="176"/>
      <c r="X26" s="1040"/>
      <c r="Y26" s="176"/>
      <c r="Z26" s="1040"/>
      <c r="AA26" s="176"/>
    </row>
    <row r="27" spans="1:27" ht="12.75" customHeight="1">
      <c r="A27" s="19" t="s">
        <v>567</v>
      </c>
      <c r="C27" s="210"/>
      <c r="D27" s="373" t="s">
        <v>1217</v>
      </c>
      <c r="E27" s="210"/>
      <c r="F27" s="11"/>
      <c r="G27" s="215"/>
      <c r="O27" s="215"/>
      <c r="R27" s="1039"/>
      <c r="S27" s="176"/>
      <c r="T27" s="1039"/>
      <c r="U27" s="176"/>
      <c r="V27" s="1039"/>
      <c r="W27" s="176"/>
      <c r="X27" s="1039"/>
      <c r="Y27" s="176"/>
      <c r="Z27" s="1039"/>
      <c r="AA27" s="176"/>
    </row>
    <row r="28" spans="1:27" ht="12.75" customHeight="1">
      <c r="C28" s="377" t="s">
        <v>477</v>
      </c>
      <c r="D28" s="378" t="s">
        <v>561</v>
      </c>
      <c r="E28" s="378" t="s">
        <v>562</v>
      </c>
      <c r="F28" s="32"/>
      <c r="G28" s="215"/>
      <c r="O28" s="215"/>
    </row>
    <row r="29" spans="1:27" ht="12.75" customHeight="1">
      <c r="C29" s="210"/>
      <c r="D29" s="210"/>
      <c r="E29" s="373" t="s">
        <v>568</v>
      </c>
      <c r="O29" s="215"/>
    </row>
    <row r="30" spans="1:27" ht="12.75" customHeight="1">
      <c r="C30" s="372" t="s">
        <v>1260</v>
      </c>
      <c r="D30" s="1016">
        <f>D12</f>
        <v>5557382</v>
      </c>
      <c r="E30" s="319">
        <f>1-SUM(E31:E33)</f>
        <v>0.43601000000000001</v>
      </c>
      <c r="F30" s="1478" t="s">
        <v>1483</v>
      </c>
      <c r="O30" s="215"/>
      <c r="Q30" s="1041"/>
    </row>
    <row r="31" spans="1:27" ht="12.75" customHeight="1">
      <c r="C31" s="372" t="s">
        <v>1256</v>
      </c>
      <c r="D31" s="1016">
        <f>D13</f>
        <v>3260228</v>
      </c>
      <c r="E31" s="319">
        <f>ROUND(D31/D$34,5)</f>
        <v>0.25578000000000001</v>
      </c>
      <c r="F31" s="1478" t="s">
        <v>1483</v>
      </c>
      <c r="O31" s="215"/>
      <c r="Q31" s="1041"/>
    </row>
    <row r="32" spans="1:27" ht="12.75" customHeight="1">
      <c r="C32" s="372" t="s">
        <v>974</v>
      </c>
      <c r="D32" s="1016">
        <f>D14</f>
        <v>2289963</v>
      </c>
      <c r="E32" s="319">
        <f>ROUND(D32/D$34,5)</f>
        <v>0.17965999999999999</v>
      </c>
      <c r="F32" s="1478" t="s">
        <v>1483</v>
      </c>
      <c r="O32" s="215"/>
      <c r="Q32" s="1041"/>
    </row>
    <row r="33" spans="1:26" ht="12.75" customHeight="1">
      <c r="C33" s="372" t="s">
        <v>563</v>
      </c>
      <c r="D33" s="1025">
        <v>1638450</v>
      </c>
      <c r="E33" s="319">
        <f>ROUND(D33/D$34,5)</f>
        <v>0.12855</v>
      </c>
      <c r="F33" s="1478" t="s">
        <v>1483</v>
      </c>
      <c r="O33" s="215"/>
      <c r="Q33" s="1041"/>
      <c r="R33" s="1046"/>
      <c r="S33" s="1046"/>
      <c r="T33" s="1046"/>
      <c r="U33" s="1046"/>
      <c r="V33" s="1046"/>
      <c r="W33" s="1046"/>
      <c r="X33" s="1046"/>
      <c r="Y33" s="1046"/>
      <c r="Z33" s="1046"/>
    </row>
    <row r="34" spans="1:26" ht="12.75" customHeight="1">
      <c r="C34" s="373" t="s">
        <v>564</v>
      </c>
      <c r="D34" s="374">
        <f>SUM(D30:D33)</f>
        <v>12746023</v>
      </c>
      <c r="E34" s="375">
        <f>SUM(E30:E33)</f>
        <v>1</v>
      </c>
      <c r="F34" s="27"/>
      <c r="O34" s="215"/>
      <c r="Q34" s="1041"/>
      <c r="R34" s="1046"/>
      <c r="S34" s="1046"/>
      <c r="T34" s="1046"/>
      <c r="U34" s="1046"/>
      <c r="V34" s="1046"/>
      <c r="W34" s="1046"/>
      <c r="X34" s="1046"/>
      <c r="Y34" s="1046"/>
      <c r="Z34" s="1046"/>
    </row>
    <row r="35" spans="1:26" ht="12.75" customHeight="1">
      <c r="C35" s="328"/>
      <c r="D35" s="379"/>
      <c r="E35" s="380"/>
      <c r="F35" s="27"/>
      <c r="O35" s="215"/>
      <c r="Q35" s="1041"/>
      <c r="R35" s="1046"/>
      <c r="S35" s="1046"/>
      <c r="T35" s="1046"/>
      <c r="U35" s="1046"/>
      <c r="V35" s="1046"/>
      <c r="W35" s="1046"/>
      <c r="X35" s="1046"/>
      <c r="Y35" s="1046"/>
      <c r="Z35" s="1046"/>
    </row>
    <row r="36" spans="1:26" ht="12.75" customHeight="1">
      <c r="A36" s="1247" t="s">
        <v>1155</v>
      </c>
      <c r="B36" s="210"/>
      <c r="C36" s="210"/>
      <c r="D36" s="373" t="s">
        <v>1218</v>
      </c>
      <c r="E36" s="210"/>
      <c r="O36" s="215"/>
      <c r="Q36" s="1051"/>
      <c r="R36" s="1047"/>
      <c r="S36" s="1047"/>
      <c r="T36" s="1047"/>
      <c r="U36" s="1047"/>
      <c r="V36" s="1047"/>
      <c r="W36" s="1047"/>
      <c r="X36" s="1047"/>
      <c r="Y36" s="1047"/>
      <c r="Z36" s="1047"/>
    </row>
    <row r="37" spans="1:26" ht="12.75" customHeight="1">
      <c r="C37" s="377" t="s">
        <v>477</v>
      </c>
      <c r="D37" s="378" t="s">
        <v>561</v>
      </c>
      <c r="E37" s="378" t="s">
        <v>562</v>
      </c>
      <c r="O37" s="215"/>
      <c r="Q37" s="1041"/>
      <c r="R37" s="1050"/>
      <c r="S37" s="1050"/>
      <c r="T37" s="1050"/>
      <c r="U37" s="1050"/>
      <c r="V37" s="1050"/>
      <c r="W37" s="1050"/>
      <c r="X37" s="1050"/>
      <c r="Y37" s="1050"/>
      <c r="Z37" s="1050"/>
    </row>
    <row r="38" spans="1:26" ht="12.75" customHeight="1">
      <c r="C38" s="210"/>
      <c r="D38" s="210"/>
      <c r="E38" s="373" t="s">
        <v>569</v>
      </c>
      <c r="G38" s="215"/>
      <c r="O38" s="215"/>
      <c r="Q38" s="1041"/>
    </row>
    <row r="39" spans="1:26" ht="12.75" customHeight="1">
      <c r="C39" s="372" t="s">
        <v>1260</v>
      </c>
      <c r="D39" s="1015">
        <f>D12</f>
        <v>5557382</v>
      </c>
      <c r="E39" s="319">
        <f>ROUND(D39/D$43,5)</f>
        <v>0.63026000000000004</v>
      </c>
      <c r="F39" s="1478" t="s">
        <v>1483</v>
      </c>
      <c r="G39" s="215"/>
      <c r="O39" s="215"/>
      <c r="Q39" s="1041"/>
      <c r="R39" s="1046"/>
      <c r="S39" s="1046"/>
      <c r="T39" s="1046"/>
      <c r="U39" s="1046"/>
      <c r="V39" s="1046"/>
      <c r="W39" s="1046"/>
      <c r="X39" s="1046"/>
      <c r="Y39" s="1046"/>
      <c r="Z39" s="1046"/>
    </row>
    <row r="40" spans="1:26" ht="12.75" customHeight="1">
      <c r="C40" s="372" t="s">
        <v>1256</v>
      </c>
      <c r="D40" s="1015">
        <f t="shared" ref="D40" si="0">D13</f>
        <v>3260228</v>
      </c>
      <c r="E40" s="319">
        <f>ROUND(D40/D$43,5)</f>
        <v>0.36974000000000001</v>
      </c>
      <c r="F40" s="1478" t="s">
        <v>1483</v>
      </c>
      <c r="G40" s="215"/>
      <c r="O40" s="215"/>
      <c r="Q40" s="1041"/>
      <c r="R40" s="1046"/>
      <c r="S40" s="1046"/>
      <c r="T40" s="1046"/>
      <c r="U40" s="1046"/>
      <c r="V40" s="1046"/>
      <c r="W40" s="1046"/>
      <c r="X40" s="1046"/>
      <c r="Y40" s="1046"/>
      <c r="Z40" s="1046"/>
    </row>
    <row r="41" spans="1:26" ht="12.75" customHeight="1">
      <c r="C41" s="372" t="s">
        <v>974</v>
      </c>
      <c r="D41" s="1015">
        <v>0</v>
      </c>
      <c r="E41" s="319">
        <f>ROUND(D41/D$43,5)</f>
        <v>0</v>
      </c>
      <c r="G41" s="215"/>
      <c r="O41" s="215"/>
      <c r="Q41" s="1041"/>
      <c r="R41" s="1046"/>
      <c r="S41" s="1046"/>
      <c r="T41" s="1046"/>
      <c r="U41" s="1046"/>
      <c r="V41" s="1046"/>
      <c r="W41" s="1046"/>
      <c r="X41" s="1046"/>
      <c r="Y41" s="1046"/>
      <c r="Z41" s="1046"/>
    </row>
    <row r="42" spans="1:26" ht="12.75" customHeight="1">
      <c r="C42" s="372" t="s">
        <v>563</v>
      </c>
      <c r="D42" s="1015">
        <v>0</v>
      </c>
      <c r="E42" s="319">
        <f>ROUND(D42/D$43,5)</f>
        <v>0</v>
      </c>
      <c r="G42" s="215"/>
      <c r="O42" s="215"/>
      <c r="Q42" s="1051"/>
      <c r="R42" s="1047"/>
      <c r="S42" s="1047"/>
      <c r="T42" s="1047"/>
      <c r="U42" s="1047"/>
      <c r="V42" s="1047"/>
      <c r="W42" s="1047"/>
      <c r="X42" s="1047"/>
      <c r="Y42" s="1047"/>
      <c r="Z42" s="1047"/>
    </row>
    <row r="43" spans="1:26" ht="12.75" customHeight="1">
      <c r="C43" s="373" t="s">
        <v>564</v>
      </c>
      <c r="D43" s="374">
        <f>SUM(D39:D42)</f>
        <v>8817610</v>
      </c>
      <c r="E43" s="375">
        <f>SUM(E39:E42)</f>
        <v>1</v>
      </c>
      <c r="O43" s="215"/>
      <c r="Q43" s="1041"/>
      <c r="R43" s="1050"/>
      <c r="S43" s="1050"/>
      <c r="T43" s="1050"/>
      <c r="U43" s="1050"/>
      <c r="V43" s="1050"/>
      <c r="W43" s="1050"/>
      <c r="X43" s="1050"/>
      <c r="Y43" s="1050"/>
      <c r="Z43" s="1050"/>
    </row>
    <row r="44" spans="1:26" ht="12.75" customHeight="1">
      <c r="C44" s="24"/>
      <c r="D44" s="34"/>
      <c r="E44" s="26"/>
      <c r="O44" s="215"/>
      <c r="Q44" s="215"/>
      <c r="R44" s="1050"/>
      <c r="S44" s="1050"/>
      <c r="T44" s="1050"/>
      <c r="U44" s="1050"/>
      <c r="V44" s="1050"/>
      <c r="W44" s="1050"/>
      <c r="X44" s="1050"/>
      <c r="Y44" s="1050"/>
      <c r="Z44" s="1050"/>
    </row>
    <row r="45" spans="1:26" s="215" customFormat="1" ht="12.75" customHeight="1">
      <c r="B45" s="215" t="s">
        <v>1212</v>
      </c>
      <c r="C45" s="1186"/>
      <c r="D45" s="34"/>
      <c r="E45" s="26"/>
      <c r="H45" s="23"/>
      <c r="I45" s="44"/>
      <c r="R45" s="1050"/>
      <c r="S45" s="1050"/>
      <c r="T45" s="1050"/>
      <c r="U45" s="1050"/>
      <c r="V45" s="1050"/>
      <c r="W45" s="1050"/>
      <c r="X45" s="1050"/>
      <c r="Y45" s="1050"/>
      <c r="Z45" s="1050"/>
    </row>
    <row r="46" spans="1:26" ht="12.75" customHeight="1">
      <c r="B46" s="215" t="s">
        <v>1470</v>
      </c>
      <c r="C46" s="24"/>
      <c r="D46" s="34"/>
      <c r="E46" s="26"/>
      <c r="O46" s="215"/>
    </row>
    <row r="47" spans="1:26" ht="12.75" customHeight="1">
      <c r="B47" s="215" t="s">
        <v>1471</v>
      </c>
      <c r="C47" s="24"/>
      <c r="D47" s="34"/>
      <c r="E47" s="26"/>
      <c r="O47" s="215"/>
      <c r="Q47" s="215"/>
      <c r="R47" s="1039"/>
      <c r="S47" s="1039"/>
      <c r="T47" s="1039"/>
      <c r="U47" s="1039"/>
      <c r="V47" s="1039"/>
      <c r="W47" s="1039"/>
      <c r="X47" s="1039"/>
      <c r="Y47" s="1039"/>
      <c r="Z47" s="1039"/>
    </row>
    <row r="48" spans="1:26" ht="12.75" customHeight="1">
      <c r="A48" s="44"/>
      <c r="B48" s="44"/>
      <c r="C48" s="31"/>
      <c r="D48" s="34"/>
      <c r="E48" s="26"/>
      <c r="F48" s="44"/>
      <c r="G48" s="44"/>
      <c r="H48" s="27"/>
      <c r="O48" s="215"/>
      <c r="Q48" s="215"/>
      <c r="R48" s="1039"/>
      <c r="S48" s="1039"/>
      <c r="T48" s="1039"/>
      <c r="U48" s="1039"/>
      <c r="V48" s="1039"/>
      <c r="W48" s="1039"/>
      <c r="X48" s="1039"/>
      <c r="Y48" s="1039"/>
      <c r="Z48" s="1039"/>
    </row>
    <row r="49" spans="1:26" ht="12.75" customHeight="1">
      <c r="A49" s="10" t="str">
        <f>A1</f>
        <v>DUKE ENERGY KENTUCKY, INC.</v>
      </c>
      <c r="B49" s="11"/>
      <c r="C49" s="11"/>
      <c r="D49" s="11"/>
      <c r="E49" s="11"/>
      <c r="G49" s="10" t="str">
        <f>G1</f>
        <v>Allocation Factors Summary</v>
      </c>
      <c r="H49" s="13"/>
      <c r="I49" s="1030"/>
      <c r="O49" s="215"/>
      <c r="Q49" s="215"/>
      <c r="R49" s="1039"/>
      <c r="S49" s="1039"/>
      <c r="T49" s="1039"/>
      <c r="U49" s="1039"/>
      <c r="V49" s="1039"/>
      <c r="W49" s="1039"/>
      <c r="X49" s="1039"/>
      <c r="Y49" s="1039"/>
      <c r="Z49" s="1039"/>
    </row>
    <row r="50" spans="1:26" ht="12.75" customHeight="1">
      <c r="A50" s="10" t="str">
        <f>A2</f>
        <v xml:space="preserve">GAS COST OF SERVICE STUDY </v>
      </c>
      <c r="B50" s="11"/>
      <c r="C50" s="11"/>
      <c r="D50" s="11"/>
      <c r="E50" s="11"/>
      <c r="G50" s="10" t="str">
        <f>G2</f>
        <v>Witness Responsible:</v>
      </c>
      <c r="H50" s="13"/>
      <c r="I50" s="1030"/>
      <c r="O50" s="215"/>
      <c r="Q50" s="215"/>
      <c r="R50" s="1040"/>
      <c r="S50" s="1040"/>
      <c r="T50" s="1040"/>
      <c r="U50" s="1040"/>
      <c r="V50" s="1040"/>
      <c r="W50" s="1040"/>
      <c r="X50" s="1040"/>
      <c r="Y50" s="1040"/>
      <c r="Z50" s="1040"/>
    </row>
    <row r="51" spans="1:26" ht="12.75" customHeight="1">
      <c r="A51" s="10" t="str">
        <f>A3</f>
        <v>CASE NO: 2021-00190</v>
      </c>
      <c r="B51" s="11"/>
      <c r="C51" s="11"/>
      <c r="D51" s="11"/>
      <c r="E51" s="11"/>
      <c r="G51" s="10" t="str">
        <f>G3</f>
        <v>James E. Ziolkowski</v>
      </c>
      <c r="H51" s="13"/>
      <c r="I51" s="1030"/>
      <c r="O51" s="215"/>
      <c r="R51" s="1039"/>
      <c r="S51" s="1039"/>
      <c r="T51" s="1039"/>
      <c r="U51" s="1039"/>
      <c r="V51" s="1039"/>
      <c r="W51" s="1039"/>
      <c r="X51" s="1039"/>
      <c r="Y51" s="1039"/>
      <c r="Z51" s="1039"/>
    </row>
    <row r="52" spans="1:26" ht="12.75" customHeight="1">
      <c r="A52" s="10" t="str">
        <f>$A$4</f>
        <v>ALLOCATION FACTORS FOR COST OF SERVICE STUDY</v>
      </c>
      <c r="B52" s="11"/>
      <c r="C52" s="11"/>
      <c r="D52" s="11"/>
      <c r="E52" s="11"/>
      <c r="F52" s="11"/>
      <c r="G52" s="10" t="s">
        <v>571</v>
      </c>
      <c r="H52" s="13"/>
      <c r="I52" s="1030"/>
      <c r="O52" s="215"/>
    </row>
    <row r="53" spans="1:26" ht="12.75" customHeight="1">
      <c r="A53" s="10" t="str">
        <f>time_period</f>
        <v>TWELVE MONTHS ENDING DECEMBER 31, 2020</v>
      </c>
      <c r="B53" s="11"/>
      <c r="C53" s="11"/>
      <c r="D53" s="11"/>
      <c r="E53" s="11"/>
      <c r="F53" s="11"/>
      <c r="G53" s="16">
        <f ca="1">G5</f>
        <v>44420</v>
      </c>
      <c r="H53" s="13"/>
      <c r="I53" s="1030"/>
      <c r="O53" s="215"/>
    </row>
    <row r="54" spans="1:26" ht="12.75" customHeight="1">
      <c r="A54" s="197" t="s">
        <v>837</v>
      </c>
      <c r="B54" s="11"/>
      <c r="C54" s="11"/>
      <c r="D54" s="18"/>
      <c r="F54" s="24"/>
      <c r="O54" s="215"/>
      <c r="Q54" s="1041"/>
    </row>
    <row r="55" spans="1:26" s="215" customFormat="1" ht="12.75" customHeight="1">
      <c r="A55" s="197"/>
      <c r="B55" s="11"/>
      <c r="C55" s="11"/>
      <c r="D55" s="18"/>
      <c r="F55" s="208"/>
      <c r="H55" s="23"/>
      <c r="I55" s="44"/>
      <c r="Q55" s="1041"/>
      <c r="R55" s="12"/>
      <c r="T55" s="12"/>
      <c r="V55" s="12"/>
      <c r="X55" s="12"/>
      <c r="Z55" s="12"/>
    </row>
    <row r="56" spans="1:26" s="215" customFormat="1" ht="12.75" customHeight="1">
      <c r="A56" s="197"/>
      <c r="B56" s="11"/>
      <c r="C56" s="11"/>
      <c r="D56" s="18"/>
      <c r="F56" s="208"/>
      <c r="H56" s="23"/>
      <c r="I56" s="44"/>
      <c r="Q56" s="1041"/>
    </row>
    <row r="57" spans="1:26" ht="12.75" customHeight="1">
      <c r="A57" s="19" t="s">
        <v>1220</v>
      </c>
      <c r="E57" s="24" t="s">
        <v>343</v>
      </c>
      <c r="F57" s="22"/>
      <c r="O57" s="215"/>
      <c r="Q57" s="1041"/>
      <c r="R57" s="216"/>
      <c r="S57" s="216"/>
      <c r="T57" s="216"/>
      <c r="U57" s="216"/>
      <c r="V57" s="216"/>
      <c r="W57" s="216"/>
      <c r="X57" s="216"/>
      <c r="Y57" s="216"/>
      <c r="Z57" s="216"/>
    </row>
    <row r="58" spans="1:26" ht="12.75" customHeight="1">
      <c r="C58" s="21" t="s">
        <v>477</v>
      </c>
      <c r="D58" s="21" t="s">
        <v>572</v>
      </c>
      <c r="E58" s="21" t="s">
        <v>562</v>
      </c>
      <c r="K58" s="21"/>
      <c r="O58" s="215"/>
      <c r="Q58" s="1041"/>
      <c r="R58" s="216"/>
      <c r="S58" s="216"/>
      <c r="T58" s="216"/>
      <c r="U58" s="216"/>
      <c r="V58" s="216"/>
      <c r="W58" s="216"/>
      <c r="X58" s="216"/>
      <c r="Y58" s="216"/>
      <c r="Z58" s="216"/>
    </row>
    <row r="59" spans="1:26" ht="12.75" customHeight="1">
      <c r="D59" s="36"/>
      <c r="E59" s="24" t="s">
        <v>573</v>
      </c>
      <c r="O59" s="215"/>
      <c r="Q59" s="1041"/>
      <c r="R59" s="216"/>
      <c r="S59" s="216"/>
      <c r="T59" s="216"/>
      <c r="U59" s="216"/>
      <c r="V59" s="216"/>
      <c r="W59" s="216"/>
      <c r="X59" s="216"/>
      <c r="Y59" s="216"/>
      <c r="Z59" s="216"/>
    </row>
    <row r="60" spans="1:26" ht="12.75" customHeight="1">
      <c r="C60" s="372" t="s">
        <v>1260</v>
      </c>
      <c r="D60" s="1015">
        <v>93602</v>
      </c>
      <c r="E60" s="319">
        <f>1-SUM(E61:E63)</f>
        <v>0.92334000000000005</v>
      </c>
      <c r="F60" s="1478" t="s">
        <v>1483</v>
      </c>
      <c r="H60" s="319"/>
      <c r="K60" s="381"/>
      <c r="O60" s="215"/>
      <c r="Q60" s="1051"/>
      <c r="R60" s="1038"/>
      <c r="S60" s="1038"/>
      <c r="T60" s="1038"/>
      <c r="U60" s="1038"/>
      <c r="V60" s="1038"/>
      <c r="W60" s="1038"/>
      <c r="X60" s="1038"/>
      <c r="Y60" s="1038"/>
      <c r="Z60" s="1038"/>
    </row>
    <row r="61" spans="1:26" ht="12.75" customHeight="1">
      <c r="C61" s="372" t="s">
        <v>1256</v>
      </c>
      <c r="D61" s="1015">
        <v>7643</v>
      </c>
      <c r="E61" s="319">
        <f>ROUND(D61/D$64,5)</f>
        <v>7.5389999999999999E-2</v>
      </c>
      <c r="F61" s="1478" t="s">
        <v>1483</v>
      </c>
      <c r="G61" s="319">
        <f>ROUND(D61/($D$61+$D$62),4)</f>
        <v>0.98629999999999995</v>
      </c>
      <c r="H61" s="319"/>
      <c r="K61" s="381"/>
      <c r="O61" s="215"/>
      <c r="Q61" s="1041"/>
      <c r="R61" s="216"/>
      <c r="S61" s="216"/>
      <c r="T61" s="216"/>
      <c r="U61" s="216"/>
      <c r="V61" s="216"/>
      <c r="W61" s="216"/>
      <c r="X61" s="216"/>
      <c r="Y61" s="216"/>
      <c r="Z61" s="216"/>
    </row>
    <row r="62" spans="1:26" ht="12.75" customHeight="1">
      <c r="C62" s="372" t="s">
        <v>974</v>
      </c>
      <c r="D62" s="1015">
        <v>106</v>
      </c>
      <c r="E62" s="319">
        <f>ROUND(D62/D$64,5)</f>
        <v>1.0499999999999999E-3</v>
      </c>
      <c r="F62" s="1478" t="s">
        <v>1483</v>
      </c>
      <c r="G62" s="319">
        <f>ROUND(D62/($D$61+$D$62),4)</f>
        <v>1.37E-2</v>
      </c>
      <c r="H62" s="319"/>
      <c r="K62" s="381"/>
      <c r="O62" s="215"/>
      <c r="Q62" s="1041"/>
      <c r="R62" s="216"/>
      <c r="S62" s="216"/>
      <c r="T62" s="216"/>
      <c r="U62" s="216"/>
      <c r="V62" s="216"/>
      <c r="W62" s="216"/>
      <c r="X62" s="216"/>
      <c r="Y62" s="216"/>
      <c r="Z62" s="216"/>
    </row>
    <row r="63" spans="1:26" ht="12.75" customHeight="1">
      <c r="C63" s="372" t="s">
        <v>563</v>
      </c>
      <c r="D63" s="1015">
        <v>22</v>
      </c>
      <c r="E63" s="319">
        <f>ROUND(D63/D$64,5)</f>
        <v>2.2000000000000001E-4</v>
      </c>
      <c r="F63" s="1478" t="s">
        <v>1483</v>
      </c>
      <c r="H63" s="319"/>
      <c r="K63" s="381"/>
      <c r="O63" s="215"/>
      <c r="Q63" s="1041"/>
      <c r="R63" s="216"/>
      <c r="S63" s="216"/>
      <c r="T63" s="216"/>
      <c r="U63" s="216"/>
      <c r="V63" s="216"/>
      <c r="W63" s="216"/>
      <c r="X63" s="216"/>
      <c r="Y63" s="216"/>
      <c r="Z63" s="216"/>
    </row>
    <row r="64" spans="1:26" ht="12.75" customHeight="1">
      <c r="B64" s="12" t="s">
        <v>343</v>
      </c>
      <c r="C64" s="373" t="s">
        <v>564</v>
      </c>
      <c r="D64" s="374">
        <f>SUM(D60:D63)</f>
        <v>101373</v>
      </c>
      <c r="E64" s="375">
        <f>SUM(E60:E63)</f>
        <v>1</v>
      </c>
      <c r="F64" s="329"/>
      <c r="G64" s="210"/>
      <c r="H64" s="319"/>
      <c r="O64" s="215"/>
      <c r="Q64" s="1041"/>
      <c r="R64" s="216"/>
      <c r="S64" s="216"/>
      <c r="T64" s="216"/>
      <c r="U64" s="216"/>
      <c r="V64" s="216"/>
      <c r="W64" s="216"/>
      <c r="X64" s="216"/>
      <c r="Y64" s="216"/>
      <c r="Z64" s="216"/>
    </row>
    <row r="65" spans="1:26" ht="12.75" customHeight="1">
      <c r="C65" s="210"/>
      <c r="D65" s="383"/>
      <c r="E65" s="210"/>
      <c r="F65" s="210"/>
      <c r="G65" s="210"/>
      <c r="H65" s="319"/>
      <c r="O65" s="215"/>
      <c r="Q65" s="1041"/>
      <c r="R65" s="216"/>
      <c r="S65" s="216"/>
      <c r="T65" s="216"/>
      <c r="U65" s="216"/>
      <c r="V65" s="216"/>
      <c r="W65" s="216"/>
      <c r="X65" s="216"/>
      <c r="Y65" s="216"/>
      <c r="Z65" s="216"/>
    </row>
    <row r="66" spans="1:26" ht="12.75" customHeight="1">
      <c r="C66" s="210"/>
      <c r="D66" s="210"/>
      <c r="E66" s="210"/>
      <c r="F66" s="210"/>
      <c r="G66" s="210"/>
      <c r="H66" s="319"/>
      <c r="O66" s="215"/>
      <c r="Q66" s="1051"/>
      <c r="R66" s="1038"/>
      <c r="S66" s="1038"/>
      <c r="T66" s="1038"/>
      <c r="U66" s="1038"/>
      <c r="V66" s="1038"/>
      <c r="W66" s="1038"/>
      <c r="X66" s="1038"/>
      <c r="Y66" s="1038"/>
      <c r="Z66" s="1038"/>
    </row>
    <row r="67" spans="1:26" ht="12.75" customHeight="1">
      <c r="A67" s="19" t="s">
        <v>574</v>
      </c>
      <c r="C67" s="210"/>
      <c r="D67" s="210"/>
      <c r="E67" s="210"/>
      <c r="F67" s="210"/>
      <c r="G67" s="210"/>
      <c r="H67" s="319"/>
      <c r="O67" s="215"/>
      <c r="Q67" s="1041"/>
      <c r="R67" s="216"/>
      <c r="S67" s="216"/>
      <c r="T67" s="216"/>
      <c r="U67" s="216"/>
      <c r="V67" s="216"/>
      <c r="W67" s="216"/>
      <c r="X67" s="216"/>
      <c r="Y67" s="216"/>
      <c r="Z67" s="216"/>
    </row>
    <row r="68" spans="1:26" s="215" customFormat="1" ht="12.75" customHeight="1">
      <c r="A68" s="19"/>
      <c r="C68" s="210"/>
      <c r="D68" s="210"/>
      <c r="E68" s="210"/>
      <c r="F68" s="210"/>
      <c r="G68" s="210"/>
      <c r="H68" s="319"/>
      <c r="I68" s="44"/>
      <c r="R68" s="216"/>
      <c r="S68" s="216"/>
      <c r="T68" s="216"/>
      <c r="U68" s="216"/>
      <c r="V68" s="216"/>
      <c r="W68" s="216"/>
      <c r="X68" s="216"/>
      <c r="Y68" s="216"/>
      <c r="Z68" s="216"/>
    </row>
    <row r="69" spans="1:26" ht="12.75" customHeight="1">
      <c r="A69" s="19"/>
      <c r="C69" s="210"/>
      <c r="D69" s="384"/>
      <c r="E69" s="384" t="s">
        <v>756</v>
      </c>
      <c r="F69" s="384" t="s">
        <v>575</v>
      </c>
      <c r="G69" s="384" t="s">
        <v>343</v>
      </c>
      <c r="H69" s="385"/>
      <c r="O69" s="215"/>
      <c r="Q69" s="215"/>
      <c r="R69" s="216"/>
      <c r="S69" s="216"/>
      <c r="T69" s="216"/>
      <c r="U69" s="216"/>
      <c r="V69" s="216"/>
      <c r="W69" s="216"/>
      <c r="X69" s="216"/>
      <c r="Y69" s="216"/>
      <c r="Z69" s="216"/>
    </row>
    <row r="70" spans="1:26" ht="12.75" customHeight="1">
      <c r="A70" s="19"/>
      <c r="C70" s="377" t="s">
        <v>477</v>
      </c>
      <c r="D70" s="377" t="s">
        <v>572</v>
      </c>
      <c r="E70" s="377" t="s">
        <v>642</v>
      </c>
      <c r="F70" s="377" t="s">
        <v>572</v>
      </c>
      <c r="G70" s="377" t="s">
        <v>562</v>
      </c>
      <c r="H70" s="386"/>
      <c r="O70" s="215"/>
      <c r="Q70" s="215"/>
      <c r="R70" s="216"/>
      <c r="S70" s="216"/>
      <c r="T70" s="216"/>
      <c r="U70" s="216"/>
      <c r="V70" s="216"/>
      <c r="W70" s="216"/>
      <c r="X70" s="216"/>
      <c r="Y70" s="216"/>
      <c r="Z70" s="216"/>
    </row>
    <row r="71" spans="1:26" ht="12.75" customHeight="1">
      <c r="C71" s="210"/>
      <c r="D71" s="210"/>
      <c r="E71" s="210"/>
      <c r="F71" s="210"/>
      <c r="G71" s="373" t="s">
        <v>576</v>
      </c>
      <c r="H71" s="319"/>
      <c r="O71" s="215"/>
      <c r="Q71" s="215"/>
      <c r="R71" s="216"/>
      <c r="S71" s="216"/>
      <c r="T71" s="216"/>
      <c r="U71" s="216"/>
      <c r="V71" s="216"/>
      <c r="W71" s="216"/>
      <c r="X71" s="216"/>
      <c r="Y71" s="216"/>
      <c r="Z71" s="216"/>
    </row>
    <row r="72" spans="1:26" ht="12.75" customHeight="1">
      <c r="C72" s="372" t="s">
        <v>1260</v>
      </c>
      <c r="D72" s="307">
        <f>'WP FR-16(7)(v)-Services'!C94</f>
        <v>93602</v>
      </c>
      <c r="E72" s="387">
        <f>'WP FR-16(7)(v)-Services'!D94</f>
        <v>1</v>
      </c>
      <c r="F72" s="388">
        <f>ROUND(E72*D72,0)</f>
        <v>93602</v>
      </c>
      <c r="G72" s="319">
        <f>1-SUM(G73:G75)</f>
        <v>0.87602999999999998</v>
      </c>
      <c r="H72" s="381"/>
      <c r="O72" s="215"/>
      <c r="Q72" s="215"/>
      <c r="R72" s="216"/>
      <c r="S72" s="216"/>
      <c r="T72" s="216"/>
      <c r="U72" s="216"/>
      <c r="V72" s="216"/>
      <c r="W72" s="216"/>
      <c r="X72" s="216"/>
      <c r="Y72" s="216"/>
      <c r="Z72" s="216"/>
    </row>
    <row r="73" spans="1:26" ht="12.75" customHeight="1">
      <c r="C73" s="372" t="s">
        <v>1256</v>
      </c>
      <c r="D73" s="307">
        <f>'WP FR-16(7)(v)-Services'!C95</f>
        <v>7643</v>
      </c>
      <c r="E73" s="387">
        <f>'WP FR-16(7)(v)-Services'!D95</f>
        <v>1.6837593250317524</v>
      </c>
      <c r="F73" s="388">
        <f>ROUND(E73*D73,0)</f>
        <v>12869</v>
      </c>
      <c r="G73" s="319">
        <f>ROUND(F73/$F$76,5)</f>
        <v>0.12044000000000001</v>
      </c>
      <c r="H73" s="381"/>
      <c r="O73" s="215"/>
      <c r="Q73" s="215"/>
      <c r="R73" s="1038"/>
      <c r="S73" s="1038"/>
      <c r="T73" s="1038"/>
      <c r="U73" s="1038"/>
      <c r="V73" s="1038"/>
      <c r="W73" s="1038"/>
      <c r="X73" s="1038"/>
      <c r="Y73" s="1038"/>
      <c r="Z73" s="1038"/>
    </row>
    <row r="74" spans="1:26" ht="12.75" customHeight="1">
      <c r="C74" s="372" t="s">
        <v>974</v>
      </c>
      <c r="D74" s="307">
        <f>'WP FR-16(7)(v)-Services'!C96</f>
        <v>106</v>
      </c>
      <c r="E74" s="387">
        <f>'WP FR-16(7)(v)-Services'!D96</f>
        <v>1.921493798432355</v>
      </c>
      <c r="F74" s="388">
        <f>ROUND(E74*D74,0)</f>
        <v>204</v>
      </c>
      <c r="G74" s="319">
        <f>ROUND(F74/$F$76,5)</f>
        <v>1.91E-3</v>
      </c>
      <c r="H74" s="381"/>
      <c r="O74" s="215"/>
      <c r="Q74" s="316"/>
      <c r="R74" s="216"/>
      <c r="S74" s="216"/>
      <c r="T74" s="216"/>
      <c r="U74" s="216"/>
      <c r="V74" s="216"/>
      <c r="W74" s="216"/>
      <c r="X74" s="216"/>
      <c r="Y74" s="216"/>
      <c r="Z74" s="216"/>
    </row>
    <row r="75" spans="1:26" ht="12.75" customHeight="1">
      <c r="C75" s="372" t="s">
        <v>563</v>
      </c>
      <c r="D75" s="307">
        <f>'WP FR-16(7)(v)-Services'!C97</f>
        <v>22</v>
      </c>
      <c r="E75" s="387">
        <f>'WP FR-16(7)(v)-Services'!D97</f>
        <v>7.8806368293132856</v>
      </c>
      <c r="F75" s="389">
        <f>ROUND(E75*D75,0)</f>
        <v>173</v>
      </c>
      <c r="G75" s="319">
        <f>ROUND(F75/$F$76,5)</f>
        <v>1.6199999999999999E-3</v>
      </c>
      <c r="H75" s="380"/>
      <c r="O75" s="215"/>
    </row>
    <row r="76" spans="1:26" ht="12.75" customHeight="1">
      <c r="C76" s="373" t="s">
        <v>564</v>
      </c>
      <c r="D76" s="374">
        <f>SUM(D72:D75)</f>
        <v>101373</v>
      </c>
      <c r="E76" s="380"/>
      <c r="F76" s="390">
        <f>SUM(F72:F75)</f>
        <v>106848</v>
      </c>
      <c r="G76" s="391">
        <f>SUM(G72:G75)</f>
        <v>0.99999999999999989</v>
      </c>
      <c r="H76" s="329"/>
      <c r="O76" s="215"/>
    </row>
    <row r="77" spans="1:26" ht="12.75" customHeight="1">
      <c r="C77" s="373"/>
      <c r="D77" s="390"/>
      <c r="E77" s="380"/>
      <c r="F77" s="390"/>
      <c r="G77" s="329"/>
      <c r="H77" s="329"/>
      <c r="O77" s="215"/>
    </row>
    <row r="78" spans="1:26" ht="12.75" customHeight="1">
      <c r="C78" s="392"/>
      <c r="D78" s="390"/>
      <c r="E78" s="380"/>
      <c r="F78" s="390"/>
      <c r="G78" s="329"/>
      <c r="H78" s="329"/>
      <c r="O78" s="215"/>
    </row>
    <row r="79" spans="1:26" ht="12.75" customHeight="1">
      <c r="C79" s="210"/>
      <c r="D79" s="383"/>
      <c r="E79" s="383"/>
      <c r="F79" s="383"/>
      <c r="G79" s="210"/>
      <c r="H79" s="319"/>
      <c r="O79" s="215"/>
    </row>
    <row r="80" spans="1:26" ht="12.75" customHeight="1">
      <c r="A80" s="25" t="s">
        <v>1221</v>
      </c>
      <c r="B80" s="25"/>
      <c r="C80" s="372"/>
      <c r="D80" s="372"/>
      <c r="E80" s="372"/>
      <c r="F80" s="372"/>
      <c r="G80" s="210"/>
      <c r="H80" s="319"/>
      <c r="O80" s="215"/>
    </row>
    <row r="81" spans="1:26" ht="12.75" customHeight="1">
      <c r="C81" s="210"/>
      <c r="D81" s="210"/>
      <c r="E81" s="210"/>
      <c r="F81" s="210"/>
      <c r="G81" s="210"/>
      <c r="H81" s="319"/>
      <c r="O81" s="215"/>
    </row>
    <row r="82" spans="1:26" ht="12.75" customHeight="1">
      <c r="C82" s="210"/>
      <c r="D82" s="377" t="s">
        <v>1215</v>
      </c>
      <c r="E82" s="377" t="s">
        <v>577</v>
      </c>
      <c r="F82" s="377" t="s">
        <v>578</v>
      </c>
      <c r="G82" s="377" t="s">
        <v>579</v>
      </c>
      <c r="H82" s="393" t="s">
        <v>562</v>
      </c>
      <c r="O82" s="215"/>
    </row>
    <row r="83" spans="1:26" s="215" customFormat="1" ht="12.75" customHeight="1">
      <c r="C83" s="210"/>
      <c r="D83" s="377"/>
      <c r="E83" s="377"/>
      <c r="F83" s="377"/>
      <c r="G83" s="377"/>
      <c r="H83" s="1246" t="s">
        <v>1171</v>
      </c>
      <c r="I83" s="44"/>
      <c r="Q83" s="12"/>
      <c r="R83" s="12"/>
      <c r="T83" s="12"/>
      <c r="V83" s="12"/>
      <c r="X83" s="12"/>
      <c r="Z83" s="12"/>
    </row>
    <row r="84" spans="1:26" ht="12.75" customHeight="1">
      <c r="C84" s="372" t="s">
        <v>1260</v>
      </c>
      <c r="D84" s="211">
        <f>'WP FR-16(7)(v)-CustAcctg'!C11</f>
        <v>184534.61681118247</v>
      </c>
      <c r="E84" s="211">
        <f>'WP FR-16(7)(v)-CustAcctg'!C12</f>
        <v>17693.089126295956</v>
      </c>
      <c r="F84" s="211">
        <f>'WP FR-16(7)(v)-CustAcctg'!C13</f>
        <v>2498715.329782092</v>
      </c>
      <c r="G84" s="211">
        <f>SUM(D84:F84)</f>
        <v>2700943.0357195702</v>
      </c>
      <c r="H84" s="319">
        <f>1-SUM(H85:H87)</f>
        <v>0.92334000000000005</v>
      </c>
      <c r="O84" s="215"/>
      <c r="Q84" s="215"/>
      <c r="R84" s="215"/>
      <c r="T84" s="215"/>
      <c r="V84" s="215"/>
      <c r="X84" s="215"/>
      <c r="Z84" s="215"/>
    </row>
    <row r="85" spans="1:26" ht="12.75" customHeight="1">
      <c r="C85" s="372" t="s">
        <v>1256</v>
      </c>
      <c r="D85" s="211">
        <f>'WP FR-16(7)(v)-CustAcctg'!D11</f>
        <v>15068.033549367188</v>
      </c>
      <c r="E85" s="211">
        <f>'WP FR-16(7)(v)-CustAcctg'!D12</f>
        <v>1444.7157132569816</v>
      </c>
      <c r="F85" s="211">
        <f>'WP FR-16(7)(v)-CustAcctg'!D13</f>
        <v>204030.69662533415</v>
      </c>
      <c r="G85" s="211">
        <f>SUM(D85:F85)</f>
        <v>220543.44588795831</v>
      </c>
      <c r="H85" s="319">
        <f>ROUND(G85/$G$88,5)</f>
        <v>7.5389999999999999E-2</v>
      </c>
      <c r="O85" s="215"/>
    </row>
    <row r="86" spans="1:26" ht="12.75" customHeight="1">
      <c r="C86" s="372" t="s">
        <v>974</v>
      </c>
      <c r="D86" s="211">
        <f>+'WP FR-16(7)(v)-CustAcctg'!E11</f>
        <v>208.97704516981841</v>
      </c>
      <c r="E86" s="211">
        <f>+'WP FR-16(7)(v)-CustAcctg'!E12</f>
        <v>20.036617245223088</v>
      </c>
      <c r="F86" s="211">
        <f>+'WP FR-16(7)(v)-CustAcctg'!E13</f>
        <v>2829.6812563503104</v>
      </c>
      <c r="G86" s="211">
        <f>SUM(D86:F86)</f>
        <v>3058.6949187653518</v>
      </c>
      <c r="H86" s="319">
        <f>ROUND(G86/$G$88,5)</f>
        <v>1.0499999999999999E-3</v>
      </c>
      <c r="O86" s="215"/>
    </row>
    <row r="87" spans="1:26" ht="12.75" customHeight="1">
      <c r="C87" s="372" t="s">
        <v>563</v>
      </c>
      <c r="D87" s="211">
        <f>'WP FR-16(7)(v)-CustAcctg'!F11</f>
        <v>43.372594280528347</v>
      </c>
      <c r="E87" s="211">
        <f>'WP FR-16(7)(v)-CustAcctg'!F12</f>
        <v>4.1585432018387536</v>
      </c>
      <c r="F87" s="211">
        <f>'WP FR-16(7)(v)-CustAcctg'!F13</f>
        <v>587.29233622364927</v>
      </c>
      <c r="G87" s="211">
        <f>SUM(D87:F87)</f>
        <v>634.82347370601633</v>
      </c>
      <c r="H87" s="319">
        <f>ROUND(G87/$G$88,5)</f>
        <v>2.2000000000000001E-4</v>
      </c>
      <c r="O87" s="215"/>
    </row>
    <row r="88" spans="1:26" ht="12.75" customHeight="1" thickBot="1">
      <c r="C88" s="373" t="s">
        <v>564</v>
      </c>
      <c r="D88" s="394">
        <f>SUM(D84:D87)</f>
        <v>199855</v>
      </c>
      <c r="E88" s="394">
        <f>SUM(E84:E87)</f>
        <v>19162</v>
      </c>
      <c r="F88" s="394">
        <f>SUM(F84:F87)</f>
        <v>2706163</v>
      </c>
      <c r="G88" s="394">
        <f>SUM(G84:G87)</f>
        <v>2925179.9999999995</v>
      </c>
      <c r="H88" s="395">
        <f>SUM(H84:H87)</f>
        <v>1</v>
      </c>
      <c r="O88" s="215"/>
    </row>
    <row r="89" spans="1:26" ht="12.75" customHeight="1" thickTop="1">
      <c r="C89" s="210"/>
      <c r="D89" s="210"/>
      <c r="E89" s="210"/>
      <c r="F89" s="210"/>
      <c r="G89" s="210"/>
      <c r="H89" s="319"/>
      <c r="O89" s="215"/>
    </row>
    <row r="90" spans="1:26" ht="12.75" customHeight="1">
      <c r="A90" s="25" t="s">
        <v>1224</v>
      </c>
      <c r="C90" s="372"/>
      <c r="D90" s="372"/>
      <c r="E90" s="372"/>
      <c r="F90" s="372"/>
      <c r="G90" s="372"/>
      <c r="H90" s="319"/>
      <c r="O90" s="215"/>
    </row>
    <row r="91" spans="1:26" ht="12.75" customHeight="1">
      <c r="C91" s="210"/>
      <c r="D91" s="373"/>
      <c r="E91" s="396"/>
      <c r="F91" s="211"/>
      <c r="G91" s="211"/>
      <c r="H91" s="319"/>
      <c r="O91" s="215"/>
    </row>
    <row r="92" spans="1:26" ht="12.75" customHeight="1">
      <c r="C92" s="210"/>
      <c r="D92" s="377" t="s">
        <v>580</v>
      </c>
      <c r="E92" s="377" t="s">
        <v>562</v>
      </c>
      <c r="F92" s="211"/>
      <c r="G92" s="210"/>
      <c r="H92" s="319"/>
      <c r="O92" s="215"/>
    </row>
    <row r="93" spans="1:26" s="215" customFormat="1" ht="12.75" customHeight="1">
      <c r="C93" s="210"/>
      <c r="D93" s="377"/>
      <c r="E93" s="384" t="s">
        <v>1161</v>
      </c>
      <c r="F93" s="211"/>
      <c r="G93" s="210"/>
      <c r="H93" s="319"/>
      <c r="I93" s="44"/>
      <c r="Q93" s="12"/>
      <c r="R93" s="12"/>
      <c r="T93" s="12"/>
      <c r="V93" s="12"/>
      <c r="X93" s="12"/>
      <c r="Z93" s="12"/>
    </row>
    <row r="94" spans="1:26" ht="12.75" customHeight="1">
      <c r="B94" s="25"/>
      <c r="C94" s="372" t="s">
        <v>1260</v>
      </c>
      <c r="D94" s="211">
        <f>'WP FR-16(7)(v)-CustAcctg'!C14</f>
        <v>6330.4362305544873</v>
      </c>
      <c r="E94" s="319">
        <f>1-SUM(E95:E97)</f>
        <v>0.92334000000000005</v>
      </c>
      <c r="F94" s="211"/>
      <c r="G94" s="210"/>
      <c r="H94" s="319"/>
      <c r="O94" s="215"/>
      <c r="Q94" s="215"/>
      <c r="R94" s="215"/>
      <c r="T94" s="215"/>
      <c r="V94" s="215"/>
      <c r="X94" s="215"/>
      <c r="Z94" s="215"/>
    </row>
    <row r="95" spans="1:26" ht="12.75" customHeight="1">
      <c r="B95" s="25"/>
      <c r="C95" s="372" t="s">
        <v>1256</v>
      </c>
      <c r="D95" s="211">
        <f>'WP FR-16(7)(v)-CustAcctg'!D14</f>
        <v>516.90694760932399</v>
      </c>
      <c r="E95" s="319">
        <f>ROUND(D95/D$98,5)</f>
        <v>7.5389999999999999E-2</v>
      </c>
      <c r="F95" s="211"/>
      <c r="G95" s="210"/>
      <c r="H95" s="319"/>
      <c r="O95" s="215"/>
    </row>
    <row r="96" spans="1:26" ht="12.75" customHeight="1">
      <c r="B96" s="25"/>
      <c r="C96" s="372" t="s">
        <v>974</v>
      </c>
      <c r="D96" s="211">
        <f>+'WP FR-16(7)(v)-CustAcctg'!E14</f>
        <v>7.1689305830941175</v>
      </c>
      <c r="E96" s="319">
        <f>ROUND(D96/D$98,5)</f>
        <v>1.0499999999999999E-3</v>
      </c>
      <c r="F96" s="211"/>
      <c r="G96" s="210"/>
      <c r="H96" s="319"/>
      <c r="O96" s="215"/>
    </row>
    <row r="97" spans="1:26" ht="12.75" customHeight="1">
      <c r="B97" s="25"/>
      <c r="C97" s="372" t="s">
        <v>563</v>
      </c>
      <c r="D97" s="211">
        <f>'WP FR-16(7)(v)-CustAcctg'!F14</f>
        <v>1.4878912530950055</v>
      </c>
      <c r="E97" s="319">
        <f>ROUND(D97/D$98,5)</f>
        <v>2.2000000000000001E-4</v>
      </c>
      <c r="F97" s="210"/>
      <c r="G97" s="210"/>
      <c r="H97" s="319"/>
      <c r="O97" s="215"/>
    </row>
    <row r="98" spans="1:26" ht="12.75" customHeight="1" thickBot="1">
      <c r="B98" s="25"/>
      <c r="C98" s="373" t="s">
        <v>564</v>
      </c>
      <c r="D98" s="394">
        <f>SUM(D94:D97)</f>
        <v>6856</v>
      </c>
      <c r="E98" s="395">
        <f>SUM(E94:E97)</f>
        <v>1</v>
      </c>
      <c r="F98" s="210"/>
      <c r="G98" s="210"/>
      <c r="H98" s="319"/>
      <c r="O98" s="215"/>
    </row>
    <row r="99" spans="1:26" ht="12.75" customHeight="1" thickTop="1">
      <c r="C99" s="210"/>
      <c r="D99" s="210"/>
      <c r="E99" s="210"/>
      <c r="F99" s="210"/>
      <c r="G99" s="210"/>
      <c r="H99" s="319"/>
      <c r="O99" s="215"/>
    </row>
    <row r="100" spans="1:26" ht="12.75" customHeight="1">
      <c r="A100" s="25" t="s">
        <v>1222</v>
      </c>
      <c r="C100" s="372"/>
      <c r="D100" s="372"/>
      <c r="E100" s="372"/>
      <c r="F100" s="372"/>
      <c r="G100" s="372"/>
      <c r="H100" s="319"/>
      <c r="O100" s="215"/>
    </row>
    <row r="101" spans="1:26" ht="12.75" customHeight="1">
      <c r="C101" s="210"/>
      <c r="D101" s="210"/>
      <c r="E101" s="210"/>
      <c r="F101" s="210"/>
      <c r="G101" s="210"/>
      <c r="H101" s="319"/>
      <c r="O101" s="215"/>
    </row>
    <row r="102" spans="1:26" ht="12.75" customHeight="1">
      <c r="C102" s="210"/>
      <c r="D102" s="377" t="s">
        <v>1214</v>
      </c>
      <c r="E102" s="377" t="s">
        <v>581</v>
      </c>
      <c r="F102" s="377" t="s">
        <v>582</v>
      </c>
      <c r="G102" s="377" t="s">
        <v>579</v>
      </c>
      <c r="H102" s="393" t="s">
        <v>562</v>
      </c>
      <c r="O102" s="215"/>
    </row>
    <row r="103" spans="1:26" s="215" customFormat="1" ht="12.75" customHeight="1">
      <c r="C103" s="210"/>
      <c r="D103" s="377"/>
      <c r="E103" s="377"/>
      <c r="F103" s="377"/>
      <c r="G103" s="377"/>
      <c r="H103" s="1246" t="s">
        <v>1160</v>
      </c>
      <c r="I103" s="44"/>
      <c r="Q103" s="12"/>
      <c r="R103" s="12"/>
      <c r="T103" s="12"/>
      <c r="V103" s="12"/>
      <c r="X103" s="12"/>
      <c r="Z103" s="12"/>
    </row>
    <row r="104" spans="1:26" ht="12.75" customHeight="1">
      <c r="B104" s="25"/>
      <c r="C104" s="372" t="s">
        <v>1260</v>
      </c>
      <c r="D104" s="211">
        <f>'WP FR-16(7)(v)-CustAcctg'!C15</f>
        <v>0</v>
      </c>
      <c r="E104" s="211">
        <f>'WP FR-16(7)(v)-CustAcctg'!C16</f>
        <v>98289.809909936579</v>
      </c>
      <c r="F104" s="211">
        <f>'WP FR-16(7)(v)-CustAcctg'!C17</f>
        <v>1601.0759077860969</v>
      </c>
      <c r="G104" s="211">
        <f>SUM(D104:F104)</f>
        <v>99890.885817722679</v>
      </c>
      <c r="H104" s="319">
        <f>1-SUM(H105:H107)</f>
        <v>0.92334000000000005</v>
      </c>
      <c r="O104" s="215"/>
      <c r="Q104" s="215"/>
      <c r="R104" s="215"/>
      <c r="T104" s="215"/>
      <c r="V104" s="215"/>
      <c r="X104" s="215"/>
      <c r="Z104" s="215"/>
    </row>
    <row r="105" spans="1:26" ht="12.75" customHeight="1">
      <c r="B105" s="25"/>
      <c r="C105" s="372" t="s">
        <v>1256</v>
      </c>
      <c r="D105" s="211">
        <f>'WP FR-16(7)(v)-CustAcctg'!D15</f>
        <v>0</v>
      </c>
      <c r="E105" s="211">
        <f>'WP FR-16(7)(v)-CustAcctg'!D16</f>
        <v>8025.779546822132</v>
      </c>
      <c r="F105" s="211">
        <f>'WP FR-16(7)(v)-CustAcctg'!D17</f>
        <v>130.73463348228819</v>
      </c>
      <c r="G105" s="211">
        <f>SUM(D105:F105)</f>
        <v>8156.5141803044198</v>
      </c>
      <c r="H105" s="319">
        <f>ROUND(G105/$G$108,5)</f>
        <v>7.5389999999999999E-2</v>
      </c>
      <c r="O105" s="215"/>
    </row>
    <row r="106" spans="1:26" ht="12.75" customHeight="1">
      <c r="B106" s="25"/>
      <c r="C106" s="372" t="s">
        <v>974</v>
      </c>
      <c r="D106" s="211">
        <f>+'WP FR-16(7)(v)-CustAcctg'!E15</f>
        <v>0</v>
      </c>
      <c r="E106" s="211">
        <f>+'WP FR-16(7)(v)-CustAcctg'!E16</f>
        <v>111.30873112169907</v>
      </c>
      <c r="F106" s="211">
        <f>+'WP FR-16(7)(v)-CustAcctg'!E17</f>
        <v>1.8131455121186115</v>
      </c>
      <c r="G106" s="211">
        <f>SUM(D106:F106)</f>
        <v>113.12187663381768</v>
      </c>
      <c r="H106" s="319">
        <f>ROUND(G106/$G$108,5)</f>
        <v>1.0499999999999999E-3</v>
      </c>
      <c r="O106" s="215"/>
    </row>
    <row r="107" spans="1:26" ht="12.75" customHeight="1">
      <c r="B107" s="25"/>
      <c r="C107" s="372" t="s">
        <v>563</v>
      </c>
      <c r="D107" s="211">
        <v>0</v>
      </c>
      <c r="E107" s="211">
        <f>'WP FR-16(7)(v)-CustAcctg'!F16</f>
        <v>23.10181211959792</v>
      </c>
      <c r="F107" s="211">
        <f>'WP FR-16(7)(v)-CustAcctg'!F17</f>
        <v>0.37631321949631558</v>
      </c>
      <c r="G107" s="211">
        <f>SUM(D107:F107)</f>
        <v>23.478125339094234</v>
      </c>
      <c r="H107" s="319">
        <f>ROUND(G107/$G$108,5)</f>
        <v>2.2000000000000001E-4</v>
      </c>
      <c r="O107" s="215"/>
    </row>
    <row r="108" spans="1:26" ht="12.75" customHeight="1" thickBot="1">
      <c r="B108" s="25"/>
      <c r="C108" s="373" t="s">
        <v>564</v>
      </c>
      <c r="D108" s="394">
        <f>SUM(D104:D107)</f>
        <v>0</v>
      </c>
      <c r="E108" s="394">
        <f>SUM(E104:E107)</f>
        <v>106450</v>
      </c>
      <c r="F108" s="394">
        <f>SUM(F104:F107)</f>
        <v>1734</v>
      </c>
      <c r="G108" s="394">
        <f>SUM(G104:G107)</f>
        <v>108184.00000000001</v>
      </c>
      <c r="H108" s="395">
        <f>SUM(H104:H107)</f>
        <v>1</v>
      </c>
      <c r="O108" s="215"/>
    </row>
    <row r="109" spans="1:26" ht="12.75" customHeight="1" thickTop="1">
      <c r="C109" s="210"/>
      <c r="D109" s="210"/>
      <c r="E109" s="210"/>
      <c r="F109" s="210"/>
      <c r="G109" s="210"/>
      <c r="H109" s="319"/>
      <c r="O109" s="215"/>
    </row>
    <row r="110" spans="1:26" ht="12.75" customHeight="1">
      <c r="A110" s="25" t="s">
        <v>1223</v>
      </c>
      <c r="C110" s="372"/>
      <c r="D110" s="372"/>
      <c r="E110" s="372"/>
      <c r="F110" s="372"/>
      <c r="G110" s="372"/>
      <c r="H110" s="319"/>
      <c r="O110" s="215"/>
    </row>
    <row r="111" spans="1:26" ht="12.75" customHeight="1">
      <c r="C111" s="210"/>
      <c r="D111" s="210"/>
      <c r="E111" s="210"/>
      <c r="F111" s="210"/>
      <c r="G111" s="210"/>
      <c r="H111" s="319"/>
      <c r="O111" s="215"/>
    </row>
    <row r="112" spans="1:26" ht="12.75" customHeight="1">
      <c r="C112" s="210"/>
      <c r="D112" s="377" t="s">
        <v>1213</v>
      </c>
      <c r="E112" s="377" t="s">
        <v>583</v>
      </c>
      <c r="F112" s="377" t="s">
        <v>579</v>
      </c>
      <c r="G112" s="393" t="s">
        <v>562</v>
      </c>
      <c r="H112" s="319"/>
      <c r="O112" s="215"/>
    </row>
    <row r="113" spans="1:15" s="215" customFormat="1" ht="12.75" customHeight="1">
      <c r="C113" s="210"/>
      <c r="D113" s="377"/>
      <c r="E113" s="377"/>
      <c r="F113" s="377"/>
      <c r="G113" s="1246" t="s">
        <v>1159</v>
      </c>
      <c r="H113" s="319"/>
      <c r="I113" s="44"/>
    </row>
    <row r="114" spans="1:15" ht="12.75" customHeight="1">
      <c r="B114" s="25"/>
      <c r="C114" s="372" t="s">
        <v>1260</v>
      </c>
      <c r="D114" s="211">
        <f>ROUND('WP FR-16(7)(v)-CustAcctg'!C19,0)</f>
        <v>0</v>
      </c>
      <c r="E114" s="211">
        <f>ROUND('WP FR-16(7)(v)-CustAcctg'!C21,0)</f>
        <v>2402</v>
      </c>
      <c r="F114" s="211">
        <f>SUM(D114:E114)</f>
        <v>2402</v>
      </c>
      <c r="G114" s="319">
        <f>1-SUM(G115:G117)</f>
        <v>0.92313999999999996</v>
      </c>
      <c r="H114" s="319"/>
      <c r="O114" s="215"/>
    </row>
    <row r="115" spans="1:15" ht="12.75" customHeight="1">
      <c r="B115" s="25"/>
      <c r="C115" s="372" t="s">
        <v>1256</v>
      </c>
      <c r="D115" s="211">
        <f>ROUND('WP FR-16(7)(v)-CustAcctg'!D19,0)</f>
        <v>0</v>
      </c>
      <c r="E115" s="211">
        <f>ROUND('WP FR-16(7)(v)-CustAcctg'!D21,0)</f>
        <v>196</v>
      </c>
      <c r="F115" s="211">
        <f>SUM(D115:E115)</f>
        <v>196</v>
      </c>
      <c r="G115" s="319">
        <f>ROUND(F115/$F$118,5)</f>
        <v>7.5329999999999994E-2</v>
      </c>
      <c r="H115" s="319"/>
      <c r="O115" s="215"/>
    </row>
    <row r="116" spans="1:15" ht="12.75" customHeight="1">
      <c r="B116" s="25"/>
      <c r="C116" s="372" t="s">
        <v>974</v>
      </c>
      <c r="D116" s="211">
        <f>ROUND('WP FR-16(7)(v)-CustAcctg'!E19,0)</f>
        <v>0</v>
      </c>
      <c r="E116" s="211">
        <f>ROUND('WP FR-16(7)(v)-CustAcctg'!E21,0)</f>
        <v>3</v>
      </c>
      <c r="F116" s="211">
        <f>SUM(D116:E116)</f>
        <v>3</v>
      </c>
      <c r="G116" s="319">
        <f>ROUND(F116/$F$118,5)</f>
        <v>1.15E-3</v>
      </c>
      <c r="H116" s="319"/>
      <c r="O116" s="215"/>
    </row>
    <row r="117" spans="1:15" ht="12.75" customHeight="1">
      <c r="B117" s="25"/>
      <c r="C117" s="372" t="s">
        <v>563</v>
      </c>
      <c r="D117" s="211">
        <f>ROUND('WP FR-16(7)(v)-CustAcctg'!F19,0)</f>
        <v>0</v>
      </c>
      <c r="E117" s="211">
        <f>ROUND('WP FR-16(7)(v)-CustAcctg'!F21,0)</f>
        <v>1</v>
      </c>
      <c r="F117" s="211">
        <f>SUM(D117:E117)</f>
        <v>1</v>
      </c>
      <c r="G117" s="319">
        <f>ROUND(F117/$F$118,5)</f>
        <v>3.8000000000000002E-4</v>
      </c>
      <c r="H117" s="319"/>
      <c r="O117" s="215"/>
    </row>
    <row r="118" spans="1:15" ht="12.75" customHeight="1" thickBot="1">
      <c r="B118" s="25"/>
      <c r="C118" s="373" t="s">
        <v>564</v>
      </c>
      <c r="D118" s="394">
        <f>SUM(D114:D117)</f>
        <v>0</v>
      </c>
      <c r="E118" s="394">
        <f>SUM(E114:E117)</f>
        <v>2602</v>
      </c>
      <c r="F118" s="394">
        <f>SUM(F114:F117)</f>
        <v>2602</v>
      </c>
      <c r="G118" s="395">
        <f>SUM(G114:G117)</f>
        <v>1</v>
      </c>
      <c r="H118" s="319"/>
      <c r="O118" s="215"/>
    </row>
    <row r="119" spans="1:15" ht="12.75" customHeight="1" thickTop="1">
      <c r="B119" s="25"/>
      <c r="C119" s="373"/>
      <c r="D119" s="397"/>
      <c r="E119" s="397"/>
      <c r="F119" s="397"/>
      <c r="G119" s="329"/>
      <c r="H119" s="319"/>
      <c r="O119" s="215"/>
    </row>
    <row r="120" spans="1:15" ht="12.75" customHeight="1">
      <c r="B120" s="215" t="s">
        <v>1474</v>
      </c>
      <c r="C120" s="373"/>
      <c r="D120" s="397"/>
      <c r="E120" s="397"/>
      <c r="F120" s="397"/>
      <c r="G120" s="329"/>
      <c r="H120" s="319"/>
      <c r="O120" s="215"/>
    </row>
    <row r="121" spans="1:15" ht="12.75" customHeight="1">
      <c r="B121" s="35" t="s">
        <v>1473</v>
      </c>
      <c r="C121" s="373"/>
      <c r="D121" s="397"/>
      <c r="E121" s="397"/>
      <c r="F121" s="397"/>
      <c r="G121" s="329"/>
      <c r="H121" s="319"/>
    </row>
    <row r="122" spans="1:15" ht="12.75" customHeight="1">
      <c r="B122" s="35" t="s">
        <v>1472</v>
      </c>
      <c r="C122" s="210"/>
      <c r="D122" s="210"/>
      <c r="E122" s="210"/>
      <c r="F122" s="210"/>
      <c r="G122" s="210"/>
      <c r="H122" s="319"/>
    </row>
    <row r="123" spans="1:15" ht="12.75" customHeight="1">
      <c r="A123" s="44"/>
      <c r="B123" s="44"/>
      <c r="C123" s="233"/>
      <c r="D123" s="233"/>
      <c r="E123" s="233"/>
      <c r="F123" s="233"/>
      <c r="G123" s="233"/>
      <c r="H123" s="329"/>
    </row>
    <row r="124" spans="1:15" ht="12.75" customHeight="1">
      <c r="A124" s="10" t="str">
        <f>A1</f>
        <v>DUKE ENERGY KENTUCKY, INC.</v>
      </c>
      <c r="B124" s="11"/>
      <c r="C124" s="376"/>
      <c r="D124" s="376"/>
      <c r="E124" s="376"/>
      <c r="F124" s="210"/>
      <c r="G124" s="392" t="str">
        <f>G1</f>
        <v>Allocation Factors Summary</v>
      </c>
      <c r="H124" s="398"/>
      <c r="I124" s="1030"/>
    </row>
    <row r="125" spans="1:15" ht="12.75" customHeight="1">
      <c r="A125" s="10" t="str">
        <f>A2</f>
        <v xml:space="preserve">GAS COST OF SERVICE STUDY </v>
      </c>
      <c r="B125" s="43"/>
      <c r="C125" s="376"/>
      <c r="D125" s="376"/>
      <c r="E125" s="376"/>
      <c r="F125" s="210"/>
      <c r="G125" s="392" t="str">
        <f>G2</f>
        <v>Witness Responsible:</v>
      </c>
      <c r="H125" s="398"/>
      <c r="I125" s="1030"/>
    </row>
    <row r="126" spans="1:15" ht="12.75" customHeight="1">
      <c r="A126" s="10" t="str">
        <f>A3</f>
        <v>CASE NO: 2021-00190</v>
      </c>
      <c r="B126" s="11"/>
      <c r="C126" s="376"/>
      <c r="D126" s="376"/>
      <c r="E126" s="376"/>
      <c r="F126" s="210"/>
      <c r="G126" s="392" t="str">
        <f>G3</f>
        <v>James E. Ziolkowski</v>
      </c>
      <c r="H126" s="398"/>
      <c r="I126" s="1030"/>
    </row>
    <row r="127" spans="1:15" ht="12.75" customHeight="1">
      <c r="A127" s="10" t="str">
        <f>$A$4</f>
        <v>ALLOCATION FACTORS FOR COST OF SERVICE STUDY</v>
      </c>
      <c r="B127" s="11"/>
      <c r="C127" s="376"/>
      <c r="D127" s="376"/>
      <c r="E127" s="376"/>
      <c r="F127" s="376"/>
      <c r="G127" s="392" t="s">
        <v>584</v>
      </c>
      <c r="H127" s="398"/>
      <c r="I127" s="1030"/>
    </row>
    <row r="128" spans="1:15" ht="12.75" customHeight="1">
      <c r="A128" s="10" t="str">
        <f>time_period</f>
        <v>TWELVE MONTHS ENDING DECEMBER 31, 2020</v>
      </c>
      <c r="B128" s="11"/>
      <c r="C128" s="376"/>
      <c r="D128" s="376"/>
      <c r="E128" s="376"/>
      <c r="F128" s="376"/>
      <c r="G128" s="1275">
        <f ca="1">G5</f>
        <v>44420</v>
      </c>
      <c r="H128" s="398"/>
      <c r="I128" s="1030"/>
    </row>
    <row r="129" spans="1:9" s="215" customFormat="1" ht="12.75" customHeight="1">
      <c r="A129" s="197" t="s">
        <v>837</v>
      </c>
      <c r="B129" s="11"/>
      <c r="C129" s="376"/>
      <c r="D129" s="376"/>
      <c r="E129" s="376"/>
      <c r="F129" s="376"/>
      <c r="G129" s="399"/>
      <c r="H129" s="398"/>
      <c r="I129" s="1030"/>
    </row>
    <row r="130" spans="1:9" s="215" customFormat="1" ht="12.75" customHeight="1">
      <c r="A130" s="10"/>
      <c r="B130" s="11"/>
      <c r="C130" s="376"/>
      <c r="D130" s="376"/>
      <c r="E130" s="376"/>
      <c r="F130" s="376"/>
      <c r="G130" s="399"/>
      <c r="H130" s="398"/>
      <c r="I130" s="1030"/>
    </row>
    <row r="131" spans="1:9" ht="12.75" customHeight="1">
      <c r="C131" s="210"/>
      <c r="D131" s="383"/>
      <c r="E131" s="383"/>
      <c r="F131" s="383"/>
      <c r="G131" s="210"/>
      <c r="H131" s="319"/>
    </row>
    <row r="132" spans="1:9" ht="12.75" customHeight="1">
      <c r="A132" s="19" t="s">
        <v>585</v>
      </c>
      <c r="C132" s="210"/>
      <c r="D132" s="210"/>
      <c r="E132" s="210"/>
      <c r="F132" s="233"/>
      <c r="G132" s="233"/>
      <c r="H132" s="319"/>
    </row>
    <row r="133" spans="1:9" ht="12.75" customHeight="1">
      <c r="A133" s="19"/>
      <c r="C133" s="210"/>
      <c r="D133" s="384"/>
      <c r="E133" s="384" t="s">
        <v>343</v>
      </c>
      <c r="F133" s="233"/>
      <c r="G133" s="233"/>
      <c r="H133" s="319"/>
    </row>
    <row r="134" spans="1:9" ht="12.75" customHeight="1">
      <c r="A134" s="19"/>
      <c r="C134" s="210"/>
      <c r="D134" s="384" t="s">
        <v>586</v>
      </c>
      <c r="E134" s="210"/>
      <c r="F134" s="384"/>
      <c r="G134" s="384"/>
      <c r="H134" s="385"/>
    </row>
    <row r="135" spans="1:9" ht="12.75" customHeight="1">
      <c r="C135" s="377" t="s">
        <v>477</v>
      </c>
      <c r="D135" s="377" t="s">
        <v>587</v>
      </c>
      <c r="E135" s="377" t="s">
        <v>562</v>
      </c>
      <c r="F135" s="377"/>
      <c r="G135" s="377"/>
      <c r="H135" s="386"/>
    </row>
    <row r="136" spans="1:9" ht="12.75" customHeight="1">
      <c r="C136" s="384"/>
      <c r="D136" s="384"/>
      <c r="E136" s="384" t="s">
        <v>588</v>
      </c>
      <c r="F136" s="377"/>
      <c r="G136" s="377"/>
      <c r="H136" s="386"/>
    </row>
    <row r="137" spans="1:9" ht="12.75" customHeight="1">
      <c r="C137" s="372" t="s">
        <v>1260</v>
      </c>
      <c r="D137" s="307">
        <f>ROUND('WP FR-16(7)(v)-METERS 2020'!K11,0)</f>
        <v>6936503</v>
      </c>
      <c r="E137" s="319">
        <f>1-SUM(E138:E140)</f>
        <v>0.80071999999999999</v>
      </c>
      <c r="F137" s="233"/>
      <c r="G137" s="233"/>
      <c r="H137" s="319"/>
    </row>
    <row r="138" spans="1:9" ht="12.75" customHeight="1">
      <c r="C138" s="372" t="s">
        <v>1256</v>
      </c>
      <c r="D138" s="307">
        <f>ROUND('WP FR-16(7)(v)-METERS 2020'!K12,0)</f>
        <v>1462990</v>
      </c>
      <c r="E138" s="319">
        <f>ROUND(D138/D$141,5)</f>
        <v>0.16888</v>
      </c>
      <c r="F138" s="400"/>
      <c r="G138" s="329"/>
      <c r="H138" s="381"/>
    </row>
    <row r="139" spans="1:9" ht="12.75" customHeight="1">
      <c r="C139" s="372" t="s">
        <v>974</v>
      </c>
      <c r="D139" s="307">
        <f>ROUND('WP FR-16(7)(v)-METERS 2020'!K13,0)</f>
        <v>159983</v>
      </c>
      <c r="E139" s="319">
        <f>ROUND(D139/D$141,5)</f>
        <v>1.847E-2</v>
      </c>
      <c r="F139" s="400"/>
      <c r="G139" s="329"/>
      <c r="H139" s="381"/>
    </row>
    <row r="140" spans="1:9" ht="12.75" customHeight="1">
      <c r="C140" s="372" t="s">
        <v>563</v>
      </c>
      <c r="D140" s="307">
        <f>ROUND('WP FR-16(7)(v)-METERS 2020'!K14,0)</f>
        <v>103378</v>
      </c>
      <c r="E140" s="319">
        <f>ROUND(D140/D$141,5)</f>
        <v>1.193E-2</v>
      </c>
      <c r="F140" s="400"/>
      <c r="G140" s="329"/>
      <c r="H140" s="381"/>
    </row>
    <row r="141" spans="1:9" ht="12.75" customHeight="1">
      <c r="C141" s="373" t="s">
        <v>564</v>
      </c>
      <c r="D141" s="374">
        <f>SUM(D137:D140)</f>
        <v>8662854</v>
      </c>
      <c r="E141" s="375">
        <f>SUM(E137:E140)</f>
        <v>1</v>
      </c>
      <c r="F141" s="400"/>
      <c r="G141" s="329"/>
      <c r="H141" s="381"/>
    </row>
    <row r="142" spans="1:9" ht="12.75" customHeight="1">
      <c r="A142" s="44"/>
      <c r="B142" s="44"/>
      <c r="C142" s="233"/>
      <c r="D142" s="400"/>
      <c r="E142" s="400"/>
      <c r="F142" s="400"/>
      <c r="G142" s="329"/>
      <c r="H142" s="381"/>
    </row>
    <row r="143" spans="1:9" ht="12.75" customHeight="1">
      <c r="A143" s="10" t="s">
        <v>589</v>
      </c>
      <c r="C143" s="376"/>
      <c r="D143" s="210"/>
      <c r="E143" s="373"/>
      <c r="F143" s="210"/>
      <c r="G143" s="373"/>
      <c r="H143" s="385"/>
    </row>
    <row r="144" spans="1:9" ht="12.75" customHeight="1">
      <c r="C144" s="210"/>
      <c r="D144" s="384"/>
      <c r="E144" s="210"/>
      <c r="F144" s="210"/>
      <c r="G144" s="378"/>
      <c r="H144" s="386"/>
    </row>
    <row r="145" spans="1:8" ht="12.75" customHeight="1">
      <c r="C145" s="377" t="s">
        <v>477</v>
      </c>
      <c r="D145" s="377" t="s">
        <v>590</v>
      </c>
      <c r="E145" s="377" t="s">
        <v>562</v>
      </c>
      <c r="F145" s="210"/>
      <c r="G145" s="210"/>
      <c r="H145" s="319"/>
    </row>
    <row r="146" spans="1:8" ht="12.75" customHeight="1">
      <c r="A146" s="19"/>
      <c r="C146" s="384"/>
      <c r="D146" s="384"/>
      <c r="E146" s="384" t="s">
        <v>591</v>
      </c>
      <c r="F146" s="210"/>
      <c r="G146" s="210"/>
      <c r="H146" s="319"/>
    </row>
    <row r="147" spans="1:8" ht="12.75" customHeight="1">
      <c r="C147" s="372" t="s">
        <v>1260</v>
      </c>
      <c r="D147" s="307">
        <f>ROUND('WP FR-16(7)(v)-House Reg DEK'!D43,0)</f>
        <v>93602</v>
      </c>
      <c r="E147" s="319">
        <f>1-SUM(E148:E150)</f>
        <v>0.61856</v>
      </c>
      <c r="F147" s="210"/>
      <c r="G147" s="210"/>
      <c r="H147" s="319"/>
    </row>
    <row r="148" spans="1:8" ht="12.75" customHeight="1">
      <c r="C148" s="372" t="s">
        <v>1256</v>
      </c>
      <c r="D148" s="307">
        <f>ROUND('WP FR-16(7)(v)-House Reg DEK'!D44,0)</f>
        <v>56319</v>
      </c>
      <c r="E148" s="319">
        <f>ROUND(D148/D$151,5)</f>
        <v>0.37217</v>
      </c>
      <c r="F148" s="401"/>
      <c r="G148" s="319"/>
      <c r="H148" s="381"/>
    </row>
    <row r="149" spans="1:8" ht="12.75" customHeight="1">
      <c r="C149" s="372" t="s">
        <v>974</v>
      </c>
      <c r="D149" s="307">
        <f>ROUND('WP FR-16(7)(v)-House Reg DEK'!D45,0)</f>
        <v>1162</v>
      </c>
      <c r="E149" s="319">
        <f>ROUND(D149/D$151,5)</f>
        <v>7.6800000000000002E-3</v>
      </c>
      <c r="F149" s="401"/>
      <c r="G149" s="319"/>
      <c r="H149" s="381"/>
    </row>
    <row r="150" spans="1:8" ht="12.75" customHeight="1">
      <c r="C150" s="372" t="s">
        <v>563</v>
      </c>
      <c r="D150" s="1005">
        <f>ROUND('WP FR-16(7)(v)-House Reg DEK'!D46,0)</f>
        <v>241</v>
      </c>
      <c r="E150" s="319">
        <f>ROUND(D150/D$151,5)</f>
        <v>1.5900000000000001E-3</v>
      </c>
      <c r="F150" s="401"/>
      <c r="G150" s="402"/>
      <c r="H150" s="381"/>
    </row>
    <row r="151" spans="1:8" ht="12.75" customHeight="1">
      <c r="C151" s="373" t="s">
        <v>564</v>
      </c>
      <c r="D151" s="374">
        <f>SUM(D147:D150)</f>
        <v>151324</v>
      </c>
      <c r="E151" s="375">
        <f>SUM(E147:E150)</f>
        <v>1</v>
      </c>
      <c r="F151" s="401"/>
      <c r="G151" s="319"/>
      <c r="H151" s="381"/>
    </row>
    <row r="152" spans="1:8" ht="12.75" customHeight="1">
      <c r="C152" s="233"/>
      <c r="D152" s="403"/>
      <c r="E152" s="404"/>
      <c r="F152" s="400"/>
      <c r="G152" s="329"/>
      <c r="H152" s="380"/>
    </row>
    <row r="153" spans="1:8" ht="12.75" customHeight="1">
      <c r="A153" s="10" t="s">
        <v>592</v>
      </c>
      <c r="C153" s="233"/>
      <c r="D153" s="403"/>
      <c r="E153" s="404"/>
      <c r="F153" s="400"/>
      <c r="G153" s="329"/>
      <c r="H153" s="380"/>
    </row>
    <row r="154" spans="1:8" ht="12.75" customHeight="1">
      <c r="A154" s="31"/>
      <c r="C154" s="405"/>
      <c r="D154" s="390"/>
      <c r="E154" s="406"/>
      <c r="F154" s="390"/>
      <c r="G154" s="382"/>
      <c r="H154" s="329"/>
    </row>
    <row r="155" spans="1:8" ht="12.75" customHeight="1">
      <c r="C155" s="377" t="s">
        <v>477</v>
      </c>
      <c r="D155" s="378" t="s">
        <v>561</v>
      </c>
      <c r="E155" s="377" t="s">
        <v>562</v>
      </c>
      <c r="F155" s="383"/>
      <c r="G155" s="210"/>
      <c r="H155" s="319"/>
    </row>
    <row r="156" spans="1:8" ht="12.75" customHeight="1">
      <c r="C156" s="384"/>
      <c r="D156" s="210"/>
      <c r="E156" s="384" t="s">
        <v>593</v>
      </c>
      <c r="F156" s="210"/>
      <c r="G156" s="210"/>
      <c r="H156" s="319"/>
    </row>
    <row r="157" spans="1:8" ht="12.75" customHeight="1">
      <c r="A157" s="44"/>
      <c r="B157" s="44"/>
      <c r="C157" s="372" t="s">
        <v>974</v>
      </c>
      <c r="D157" s="307">
        <f>'WP FR-16(7)(v)-IndustrialM&amp;R'!D13</f>
        <v>2289963</v>
      </c>
      <c r="E157" s="329">
        <f>ROUND(D157/D$159,5)</f>
        <v>0.58291999999999999</v>
      </c>
      <c r="F157" s="400"/>
      <c r="G157" s="329"/>
      <c r="H157" s="380"/>
    </row>
    <row r="158" spans="1:8" ht="12.75" customHeight="1">
      <c r="A158" s="44"/>
      <c r="B158" s="44"/>
      <c r="C158" s="372" t="s">
        <v>563</v>
      </c>
      <c r="D158" s="307">
        <f>'WP FR-16(7)(v)-IndustrialM&amp;R'!$D$14</f>
        <v>1638450</v>
      </c>
      <c r="E158" s="329">
        <f>ROUND(D158/D$159,5)</f>
        <v>0.41708000000000001</v>
      </c>
      <c r="F158" s="400"/>
      <c r="G158" s="329"/>
      <c r="H158" s="380"/>
    </row>
    <row r="159" spans="1:8" ht="12.75" customHeight="1" thickBot="1">
      <c r="A159" s="44"/>
      <c r="B159" s="44"/>
      <c r="C159" s="373" t="s">
        <v>564</v>
      </c>
      <c r="D159" s="407">
        <f>SUM(D157:D158)</f>
        <v>3928413</v>
      </c>
      <c r="E159" s="395">
        <f>SUM(E157:E158)</f>
        <v>1</v>
      </c>
      <c r="F159" s="400"/>
      <c r="G159" s="329"/>
      <c r="H159" s="380"/>
    </row>
    <row r="160" spans="1:8" ht="12.75" customHeight="1" thickTop="1">
      <c r="A160" s="44"/>
      <c r="B160" s="44"/>
      <c r="C160" s="210"/>
      <c r="D160" s="210"/>
      <c r="E160" s="408"/>
      <c r="F160" s="400"/>
      <c r="G160" s="329"/>
      <c r="H160" s="380"/>
    </row>
    <row r="161" spans="1:8" ht="12.75" customHeight="1">
      <c r="B161" s="44"/>
      <c r="C161" s="233"/>
      <c r="D161" s="403"/>
      <c r="E161" s="408"/>
      <c r="F161" s="400"/>
      <c r="G161" s="329"/>
      <c r="H161" s="380"/>
    </row>
    <row r="162" spans="1:8" ht="12.75" customHeight="1">
      <c r="A162" s="49" t="s">
        <v>594</v>
      </c>
      <c r="C162" s="328"/>
      <c r="D162" s="329"/>
      <c r="E162" s="233"/>
      <c r="F162" s="329"/>
      <c r="G162" s="409"/>
      <c r="H162" s="329"/>
    </row>
    <row r="163" spans="1:8" ht="12.75" customHeight="1">
      <c r="C163" s="210"/>
      <c r="D163" s="390"/>
      <c r="E163" s="408"/>
      <c r="F163" s="410" t="s">
        <v>595</v>
      </c>
      <c r="G163" s="380"/>
      <c r="H163" s="329"/>
    </row>
    <row r="164" spans="1:8" ht="12.75" customHeight="1">
      <c r="C164" s="210"/>
      <c r="D164" s="373" t="s">
        <v>596</v>
      </c>
      <c r="E164" s="373" t="s">
        <v>904</v>
      </c>
      <c r="F164" s="373" t="s">
        <v>597</v>
      </c>
      <c r="G164" s="373" t="s">
        <v>905</v>
      </c>
      <c r="H164" s="385" t="s">
        <v>598</v>
      </c>
    </row>
    <row r="165" spans="1:8" ht="12.75" customHeight="1">
      <c r="C165" s="377" t="s">
        <v>477</v>
      </c>
      <c r="D165" s="377" t="s">
        <v>562</v>
      </c>
      <c r="E165" s="411" t="s">
        <v>562</v>
      </c>
      <c r="F165" s="377" t="s">
        <v>562</v>
      </c>
      <c r="G165" s="377" t="s">
        <v>562</v>
      </c>
      <c r="H165" s="393" t="s">
        <v>599</v>
      </c>
    </row>
    <row r="166" spans="1:8" ht="12.75" customHeight="1">
      <c r="C166" s="384"/>
      <c r="D166" s="373" t="s">
        <v>573</v>
      </c>
      <c r="E166" s="385">
        <f>'WP FR-16(7)(v)-Mains (Plastic)'!$F$39</f>
        <v>0</v>
      </c>
      <c r="F166" s="373" t="s">
        <v>565</v>
      </c>
      <c r="G166" s="385">
        <f>1-E166</f>
        <v>1</v>
      </c>
      <c r="H166" s="385" t="s">
        <v>600</v>
      </c>
    </row>
    <row r="167" spans="1:8" ht="12.75" customHeight="1">
      <c r="C167" s="372" t="s">
        <v>1260</v>
      </c>
      <c r="D167" s="319">
        <f>E60</f>
        <v>0.92334000000000005</v>
      </c>
      <c r="E167" s="319">
        <f>ROUND($E$166*D167,5)</f>
        <v>0</v>
      </c>
      <c r="F167" s="319">
        <f>D21</f>
        <v>0.51036000000000004</v>
      </c>
      <c r="G167" s="319">
        <f>ROUND($G$166*F167,5)</f>
        <v>0.51036000000000004</v>
      </c>
      <c r="H167" s="319">
        <f>1-SUM(H168:H170)</f>
        <v>0.51036000000000004</v>
      </c>
    </row>
    <row r="168" spans="1:8" ht="12.75" customHeight="1">
      <c r="C168" s="372" t="s">
        <v>1256</v>
      </c>
      <c r="D168" s="319">
        <f>E61</f>
        <v>7.5389999999999999E-2</v>
      </c>
      <c r="E168" s="319">
        <f>ROUND($E$166*D168,5)</f>
        <v>0</v>
      </c>
      <c r="F168" s="319">
        <f>D22</f>
        <v>0.30990000000000001</v>
      </c>
      <c r="G168" s="319">
        <f>ROUND($G$166*F168,5)</f>
        <v>0.30990000000000001</v>
      </c>
      <c r="H168" s="319">
        <f>E168+G168</f>
        <v>0.30990000000000001</v>
      </c>
    </row>
    <row r="169" spans="1:8" ht="12.75" customHeight="1">
      <c r="C169" s="372" t="s">
        <v>974</v>
      </c>
      <c r="D169" s="319">
        <f>E62</f>
        <v>1.0499999999999999E-3</v>
      </c>
      <c r="E169" s="319">
        <f>ROUND($E$166*D169,5)</f>
        <v>0</v>
      </c>
      <c r="F169" s="319">
        <f>D23</f>
        <v>0.13624</v>
      </c>
      <c r="G169" s="319">
        <f>ROUND($G$166*F169,5)</f>
        <v>0.13624</v>
      </c>
      <c r="H169" s="319">
        <f>E169+G169</f>
        <v>0.13624</v>
      </c>
    </row>
    <row r="170" spans="1:8" ht="12.75" customHeight="1">
      <c r="C170" s="372" t="s">
        <v>563</v>
      </c>
      <c r="D170" s="319">
        <f>E63</f>
        <v>2.2000000000000001E-4</v>
      </c>
      <c r="E170" s="319">
        <f>ROUND($E$166*D170,5)</f>
        <v>0</v>
      </c>
      <c r="F170" s="319">
        <f>D24</f>
        <v>4.3499999999999997E-2</v>
      </c>
      <c r="G170" s="319">
        <f>ROUND($G$166*F170,5)</f>
        <v>4.3499999999999997E-2</v>
      </c>
      <c r="H170" s="319">
        <f>E170+G170</f>
        <v>4.3499999999999997E-2</v>
      </c>
    </row>
    <row r="171" spans="1:8" ht="12.75" customHeight="1" thickBot="1">
      <c r="C171" s="373" t="s">
        <v>564</v>
      </c>
      <c r="D171" s="395">
        <f>SUM(D167:D170)</f>
        <v>1</v>
      </c>
      <c r="E171" s="233"/>
      <c r="F171" s="395">
        <f>SUM(F167:F170)</f>
        <v>1</v>
      </c>
      <c r="G171" s="409"/>
      <c r="H171" s="395">
        <f>SUM(H167:H170)</f>
        <v>1</v>
      </c>
    </row>
    <row r="172" spans="1:8" ht="12.75" customHeight="1" thickTop="1">
      <c r="C172" s="210"/>
      <c r="D172" s="210"/>
      <c r="E172" s="210"/>
      <c r="F172" s="210"/>
      <c r="G172" s="210"/>
      <c r="H172" s="319"/>
    </row>
    <row r="173" spans="1:8" ht="12.75" customHeight="1">
      <c r="B173" s="12" t="s">
        <v>1475</v>
      </c>
      <c r="C173" s="24"/>
    </row>
    <row r="174" spans="1:8" ht="12.75" customHeight="1">
      <c r="B174" s="35" t="s">
        <v>1476</v>
      </c>
      <c r="C174" s="24"/>
    </row>
    <row r="175" spans="1:8" ht="12.75" customHeight="1">
      <c r="B175" s="35" t="s">
        <v>1477</v>
      </c>
      <c r="F175" s="182"/>
      <c r="H175" s="182"/>
    </row>
    <row r="176" spans="1:8" ht="12.75" customHeight="1">
      <c r="B176" s="35" t="s">
        <v>1478</v>
      </c>
    </row>
    <row r="177" ht="12.75" customHeight="1"/>
  </sheetData>
  <printOptions horizontalCentered="1"/>
  <pageMargins left="1" right="1" top="1" bottom="0.5" header="0.5" footer="0.5"/>
  <pageSetup scale="74" orientation="portrait" blackAndWhite="1" r:id="rId1"/>
  <headerFooter alignWithMargins="0"/>
  <rowBreaks count="2" manualBreakCount="2">
    <brk id="47" max="16383" man="1"/>
    <brk id="122" max="7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4">
    <tabColor rgb="FF92D050"/>
    <pageSetUpPr fitToPage="1"/>
  </sheetPr>
  <dimension ref="A1:X82"/>
  <sheetViews>
    <sheetView view="pageBreakPreview" zoomScaleNormal="100" zoomScaleSheetLayoutView="100" workbookViewId="0">
      <selection activeCell="K21" sqref="K21"/>
    </sheetView>
  </sheetViews>
  <sheetFormatPr defaultColWidth="8.765625" defaultRowHeight="12.5"/>
  <cols>
    <col min="1" max="1" width="33.53515625" style="215" customWidth="1"/>
    <col min="2" max="2" width="0.765625" style="215" customWidth="1"/>
    <col min="3" max="3" width="10.765625" style="215" customWidth="1"/>
    <col min="4" max="4" width="1.23046875" style="215" customWidth="1"/>
    <col min="5" max="5" width="9.23046875" style="215" customWidth="1"/>
    <col min="6" max="6" width="1.23046875" style="215" customWidth="1"/>
    <col min="7" max="7" width="8.07421875" style="215" customWidth="1"/>
    <col min="8" max="8" width="1.23046875" style="215" customWidth="1"/>
    <col min="9" max="9" width="9" style="215" customWidth="1"/>
    <col min="10" max="10" width="1.23046875" style="215" customWidth="1"/>
    <col min="11" max="11" width="8.765625" style="215" customWidth="1"/>
    <col min="12" max="12" width="1" style="44" customWidth="1"/>
    <col min="13" max="13" width="7.765625" style="215" customWidth="1"/>
    <col min="14" max="14" width="0.765625" style="44" customWidth="1"/>
    <col min="15" max="15" width="8.765625" style="215"/>
    <col min="16" max="16" width="0.765625" style="215" customWidth="1"/>
    <col min="17" max="17" width="8.765625" style="215"/>
    <col min="18" max="18" width="0.765625" style="215" customWidth="1"/>
    <col min="19" max="19" width="8.765625" style="215"/>
    <col min="20" max="20" width="2.765625" style="215" customWidth="1"/>
    <col min="21" max="16384" width="8.765625" style="215"/>
  </cols>
  <sheetData>
    <row r="1" spans="1:21" ht="13">
      <c r="A1" s="195" t="str">
        <f>co_name</f>
        <v>DUKE ENERGY KENTUCKY, INC.</v>
      </c>
      <c r="O1" s="10" t="s">
        <v>1465</v>
      </c>
    </row>
    <row r="2" spans="1:21" ht="13">
      <c r="A2" s="195" t="str">
        <f>coss_type</f>
        <v xml:space="preserve">GAS COST OF SERVICE STUDY </v>
      </c>
      <c r="O2" s="10" t="str">
        <f>'Alloc Factors Summary'!G2</f>
        <v>Witness Responsible:</v>
      </c>
    </row>
    <row r="3" spans="1:21" ht="13">
      <c r="A3" s="195" t="str">
        <f>case_name</f>
        <v>CASE NO: 2021-00190</v>
      </c>
      <c r="O3" s="10" t="str">
        <f>'Alloc Factors Summary'!G3</f>
        <v>James E. Ziolkowski</v>
      </c>
    </row>
    <row r="4" spans="1:21" ht="13">
      <c r="A4" s="10" t="str">
        <f>alloc_factors</f>
        <v>ALLOCATION FACTORS FOR COST OF SERVICE STUDY</v>
      </c>
      <c r="O4" s="10" t="s">
        <v>601</v>
      </c>
    </row>
    <row r="5" spans="1:21" ht="13">
      <c r="A5" s="10" t="str">
        <f>time_period</f>
        <v>TWELVE MONTHS ENDING DECEMBER 31, 2020</v>
      </c>
      <c r="E5" s="370"/>
      <c r="O5" s="1274">
        <f ca="1">TODAY()</f>
        <v>44420</v>
      </c>
    </row>
    <row r="6" spans="1:21" ht="13">
      <c r="A6" s="197" t="s">
        <v>852</v>
      </c>
      <c r="E6" s="370"/>
      <c r="I6" s="370"/>
    </row>
    <row r="7" spans="1:21" ht="13">
      <c r="A7" s="197"/>
      <c r="E7" s="370"/>
      <c r="I7" s="370"/>
    </row>
    <row r="8" spans="1:21" ht="13">
      <c r="A8" s="1248" t="s">
        <v>853</v>
      </c>
      <c r="E8" s="370"/>
    </row>
    <row r="9" spans="1:21">
      <c r="K9" s="216"/>
      <c r="P9" s="44"/>
      <c r="Q9" s="44"/>
      <c r="R9" s="44"/>
      <c r="S9" s="44"/>
      <c r="T9" s="44"/>
      <c r="U9" s="44"/>
    </row>
    <row r="10" spans="1:21">
      <c r="A10" s="215" t="s">
        <v>942</v>
      </c>
      <c r="C10" s="216">
        <f>C23</f>
        <v>12746023</v>
      </c>
      <c r="P10" s="44"/>
      <c r="Q10" s="44"/>
      <c r="R10" s="44"/>
      <c r="S10" s="44"/>
      <c r="T10" s="44"/>
      <c r="U10" s="44"/>
    </row>
    <row r="11" spans="1:21">
      <c r="A11" s="210" t="str">
        <f>"(Peak Day Mcf * 365)           "&amp;TEXT(I23,"###,###")&amp;"* 365 ="</f>
        <v>(Peak Day Mcf * 365)           103,204* 365 =</v>
      </c>
      <c r="B11" s="210"/>
      <c r="C11" s="211">
        <f>ROUND(I23*365,0)</f>
        <v>37669460</v>
      </c>
      <c r="K11" s="216"/>
      <c r="P11" s="44"/>
      <c r="Q11" s="44"/>
      <c r="R11" s="44"/>
      <c r="S11" s="44"/>
      <c r="T11" s="44"/>
      <c r="U11" s="44"/>
    </row>
    <row r="12" spans="1:21">
      <c r="A12" s="215" t="s">
        <v>943</v>
      </c>
      <c r="C12" s="23">
        <f>ROUND(C10/C11,5)</f>
        <v>0.33835999999999999</v>
      </c>
      <c r="G12" s="23"/>
      <c r="K12" s="23"/>
      <c r="P12" s="44"/>
      <c r="Q12" s="44"/>
      <c r="R12" s="44"/>
      <c r="S12" s="44"/>
      <c r="T12" s="44"/>
      <c r="U12" s="44"/>
    </row>
    <row r="14" spans="1:21" ht="37.5">
      <c r="C14" s="293" t="s">
        <v>607</v>
      </c>
      <c r="D14" s="293"/>
      <c r="E14" s="293" t="s">
        <v>936</v>
      </c>
      <c r="F14" s="293"/>
      <c r="G14" s="293" t="s">
        <v>936</v>
      </c>
      <c r="H14" s="293"/>
      <c r="I14" s="293" t="s">
        <v>1175</v>
      </c>
      <c r="J14" s="293"/>
      <c r="K14" s="293" t="s">
        <v>939</v>
      </c>
      <c r="L14" s="296"/>
      <c r="M14" s="293" t="s">
        <v>939</v>
      </c>
      <c r="N14" s="296"/>
      <c r="O14" s="294" t="s">
        <v>940</v>
      </c>
      <c r="P14" s="33"/>
      <c r="Q14" s="294" t="s">
        <v>941</v>
      </c>
      <c r="S14" s="1071" t="s">
        <v>617</v>
      </c>
    </row>
    <row r="15" spans="1:21">
      <c r="A15" s="185" t="s">
        <v>608</v>
      </c>
      <c r="B15" s="186"/>
      <c r="C15" s="295" t="s">
        <v>609</v>
      </c>
      <c r="D15" s="33"/>
      <c r="E15" s="295" t="s">
        <v>610</v>
      </c>
      <c r="F15" s="46"/>
      <c r="G15" s="295" t="s">
        <v>611</v>
      </c>
      <c r="H15" s="33"/>
      <c r="I15" s="295" t="s">
        <v>610</v>
      </c>
      <c r="K15" s="295" t="s">
        <v>610</v>
      </c>
      <c r="L15" s="46"/>
      <c r="M15" s="295" t="s">
        <v>611</v>
      </c>
      <c r="N15" s="46"/>
      <c r="O15" s="295" t="s">
        <v>611</v>
      </c>
      <c r="Q15" s="295" t="s">
        <v>611</v>
      </c>
      <c r="S15" s="1003" t="s">
        <v>611</v>
      </c>
    </row>
    <row r="16" spans="1:21">
      <c r="A16" s="296"/>
      <c r="B16" s="186"/>
      <c r="C16" s="297" t="s">
        <v>602</v>
      </c>
      <c r="D16" s="297"/>
      <c r="E16" s="297" t="s">
        <v>603</v>
      </c>
      <c r="F16" s="297"/>
      <c r="G16" s="297" t="s">
        <v>604</v>
      </c>
      <c r="H16" s="297"/>
      <c r="I16" s="297" t="s">
        <v>605</v>
      </c>
      <c r="K16" s="297" t="s">
        <v>606</v>
      </c>
      <c r="L16" s="106"/>
      <c r="M16" s="297" t="s">
        <v>613</v>
      </c>
      <c r="N16" s="33"/>
      <c r="O16" s="297" t="s">
        <v>614</v>
      </c>
      <c r="P16" s="33"/>
      <c r="Q16" s="297" t="s">
        <v>615</v>
      </c>
      <c r="S16" s="1072" t="s">
        <v>616</v>
      </c>
    </row>
    <row r="17" spans="1:24">
      <c r="C17" s="33"/>
      <c r="E17" s="33" t="s">
        <v>937</v>
      </c>
      <c r="F17" s="33"/>
      <c r="I17" s="33"/>
      <c r="K17" s="33" t="s">
        <v>938</v>
      </c>
      <c r="O17" s="298">
        <f>C12</f>
        <v>0.33835999999999999</v>
      </c>
      <c r="Q17" s="299">
        <f>1-C12</f>
        <v>0.66164000000000001</v>
      </c>
      <c r="S17" s="210"/>
      <c r="V17" s="300"/>
      <c r="W17" s="300"/>
      <c r="X17" s="300"/>
    </row>
    <row r="18" spans="1:24">
      <c r="O18" s="298"/>
      <c r="Q18" s="299"/>
      <c r="S18" s="210"/>
      <c r="V18" s="300"/>
      <c r="W18" s="300"/>
      <c r="X18" s="300"/>
    </row>
    <row r="19" spans="1:24">
      <c r="A19" s="210" t="s">
        <v>1260</v>
      </c>
      <c r="C19" s="307">
        <f>'Alloc Factors Summary'!D30</f>
        <v>5557382</v>
      </c>
      <c r="D19" s="29"/>
      <c r="E19" s="37">
        <f>ROUND(C19/365,0)</f>
        <v>15226</v>
      </c>
      <c r="F19" s="37"/>
      <c r="G19" s="317">
        <f>ROUND(E19/$E$23,5)</f>
        <v>0.43601000000000001</v>
      </c>
      <c r="H19" s="29"/>
      <c r="I19" s="301">
        <f>MAX('WP FR-16(7)(v)-Daily Dem'!L12:L23)+MAX('WP FR-16(7)(v)-Daily Dem'!L111:L122)</f>
        <v>55134</v>
      </c>
      <c r="J19" s="29"/>
      <c r="K19" s="301">
        <f>I19-E19</f>
        <v>39908</v>
      </c>
      <c r="L19" s="45"/>
      <c r="M19" s="23">
        <f>ROUND(K19/K$23,5)</f>
        <v>0.5484</v>
      </c>
      <c r="N19" s="27"/>
      <c r="O19" s="23">
        <f>O17-SUM(O20:O22)</f>
        <v>0.14751999999999998</v>
      </c>
      <c r="P19" s="29"/>
      <c r="Q19" s="23">
        <f>Q17-SUM(Q20:Q22)</f>
        <v>0.36284</v>
      </c>
      <c r="S19" s="414">
        <f>Q19+O19</f>
        <v>0.51035999999999992</v>
      </c>
    </row>
    <row r="20" spans="1:24">
      <c r="A20" s="210" t="s">
        <v>1256</v>
      </c>
      <c r="B20" s="210"/>
      <c r="C20" s="307">
        <f>'Alloc Factors Summary'!D31</f>
        <v>3260228</v>
      </c>
      <c r="D20" s="412"/>
      <c r="E20" s="307">
        <f>ROUND(C20/365,0)</f>
        <v>8932</v>
      </c>
      <c r="F20" s="307"/>
      <c r="G20" s="413">
        <f>ROUND(E20/$E$23,5)</f>
        <v>0.25578000000000001</v>
      </c>
      <c r="H20" s="412"/>
      <c r="I20" s="301">
        <f>MAX('WP FR-16(7)(v)-Daily Dem'!L31:L42)</f>
        <v>33498</v>
      </c>
      <c r="J20" s="412"/>
      <c r="K20" s="301">
        <f>I20-E20</f>
        <v>24566</v>
      </c>
      <c r="L20" s="403"/>
      <c r="M20" s="319">
        <f>ROUND(K20/K$23,5)</f>
        <v>0.33756999999999998</v>
      </c>
      <c r="N20" s="329"/>
      <c r="O20" s="319">
        <f>ROUND(G20*$O$17,5)</f>
        <v>8.6550000000000002E-2</v>
      </c>
      <c r="P20" s="412"/>
      <c r="Q20" s="319">
        <f>ROUND($Q$17*M20,5)</f>
        <v>0.22334999999999999</v>
      </c>
      <c r="R20" s="210"/>
      <c r="S20" s="414">
        <f>Q20+O20</f>
        <v>0.30990000000000001</v>
      </c>
    </row>
    <row r="21" spans="1:24">
      <c r="A21" s="210" t="s">
        <v>974</v>
      </c>
      <c r="B21" s="210"/>
      <c r="C21" s="307">
        <f>'Alloc Factors Summary'!D32</f>
        <v>2289963</v>
      </c>
      <c r="D21" s="412"/>
      <c r="E21" s="307">
        <f>ROUND(C21/365,0)</f>
        <v>6274</v>
      </c>
      <c r="F21" s="307"/>
      <c r="G21" s="413">
        <f>ROUND(E21/$E$23,5)</f>
        <v>0.17965999999999999</v>
      </c>
      <c r="H21" s="412"/>
      <c r="I21" s="301">
        <f>MAX('WP FR-16(7)(v)-Daily Dem'!L60:L71)</f>
        <v>14572</v>
      </c>
      <c r="J21" s="412"/>
      <c r="K21" s="301">
        <f>I21-E21</f>
        <v>8298</v>
      </c>
      <c r="L21" s="403"/>
      <c r="M21" s="319">
        <f>ROUND(K21/K$23,5)</f>
        <v>0.11403000000000001</v>
      </c>
      <c r="N21" s="329"/>
      <c r="O21" s="319">
        <f>ROUND(G21*$O$17,5)</f>
        <v>6.0789999999999997E-2</v>
      </c>
      <c r="P21" s="412"/>
      <c r="Q21" s="319">
        <f>ROUND($Q$17*M21,5)</f>
        <v>7.5450000000000003E-2</v>
      </c>
      <c r="R21" s="210"/>
      <c r="S21" s="414">
        <f>Q21+O21</f>
        <v>0.13624</v>
      </c>
    </row>
    <row r="22" spans="1:24">
      <c r="A22" s="215" t="s">
        <v>563</v>
      </c>
      <c r="C22" s="37">
        <f>'Alloc Factors Summary'!D33</f>
        <v>1638450</v>
      </c>
      <c r="E22" s="37">
        <f>ROUND(C22/365,0)</f>
        <v>4489</v>
      </c>
      <c r="F22" s="37"/>
      <c r="G22" s="317">
        <f>ROUND(E22/$E$23,5)</f>
        <v>0.12855</v>
      </c>
      <c r="I22" s="290">
        <v>0</v>
      </c>
      <c r="J22" s="36"/>
      <c r="K22" s="1036">
        <v>0</v>
      </c>
      <c r="L22" s="45"/>
      <c r="M22" s="23">
        <f>ROUND(K22/K$23,5)</f>
        <v>0</v>
      </c>
      <c r="N22" s="27"/>
      <c r="O22" s="23">
        <f>ROUND(G22*$O$17,5)</f>
        <v>4.3499999999999997E-2</v>
      </c>
      <c r="P22" s="29"/>
      <c r="Q22" s="23">
        <f>ROUND($Q$17*M22,5)</f>
        <v>0</v>
      </c>
      <c r="S22" s="414">
        <f>Q22+O22</f>
        <v>4.3499999999999997E-2</v>
      </c>
    </row>
    <row r="23" spans="1:24" ht="13" thickBot="1">
      <c r="A23" s="316" t="s">
        <v>579</v>
      </c>
      <c r="C23" s="48">
        <f>SUM(C19:C22)</f>
        <v>12746023</v>
      </c>
      <c r="D23" s="29"/>
      <c r="E23" s="407">
        <f>SUM(E19:E22)</f>
        <v>34921</v>
      </c>
      <c r="F23" s="34"/>
      <c r="G23" s="184">
        <f>SUM(G19:G22)</f>
        <v>1</v>
      </c>
      <c r="H23" s="29"/>
      <c r="I23" s="48">
        <f>SUM(I19:I22)</f>
        <v>103204</v>
      </c>
      <c r="J23" s="29"/>
      <c r="K23" s="303">
        <f>SUM(K19:K22)</f>
        <v>72772</v>
      </c>
      <c r="L23" s="45"/>
      <c r="M23" s="184">
        <f>SUM(M19:M22)</f>
        <v>0.99999999999999989</v>
      </c>
      <c r="N23" s="127"/>
      <c r="O23" s="41">
        <f>SUM(O19:O22)</f>
        <v>0.33835999999999999</v>
      </c>
      <c r="P23" s="29"/>
      <c r="Q23" s="41">
        <f>SUM(Q19:Q22)</f>
        <v>0.66164000000000001</v>
      </c>
      <c r="S23" s="1073">
        <f>SUM(S19:S22)</f>
        <v>1</v>
      </c>
    </row>
    <row r="24" spans="1:24" ht="13" thickTop="1">
      <c r="G24" s="44"/>
      <c r="K24" s="304"/>
      <c r="L24" s="312"/>
      <c r="O24" s="44"/>
      <c r="P24" s="44"/>
      <c r="Q24" s="44"/>
      <c r="R24" s="44"/>
      <c r="S24" s="233"/>
    </row>
    <row r="25" spans="1:24">
      <c r="S25" s="210"/>
    </row>
    <row r="26" spans="1:24">
      <c r="A26" s="44"/>
      <c r="B26" s="44"/>
      <c r="C26" s="30"/>
      <c r="D26" s="44"/>
      <c r="E26" s="30"/>
      <c r="F26" s="30"/>
      <c r="G26" s="27"/>
      <c r="H26" s="44"/>
      <c r="I26" s="30"/>
      <c r="J26" s="44"/>
      <c r="S26" s="210"/>
    </row>
    <row r="27" spans="1:24" ht="13">
      <c r="A27" s="1248" t="s">
        <v>1133</v>
      </c>
      <c r="B27" s="44"/>
      <c r="C27" s="30"/>
      <c r="D27" s="30"/>
      <c r="E27" s="30"/>
      <c r="F27" s="30"/>
      <c r="G27" s="27"/>
      <c r="H27" s="30"/>
      <c r="I27" s="30"/>
      <c r="J27" s="30"/>
      <c r="S27" s="210"/>
    </row>
    <row r="28" spans="1:24">
      <c r="D28" s="30"/>
      <c r="S28" s="210"/>
    </row>
    <row r="29" spans="1:24">
      <c r="A29" s="215" t="s">
        <v>942</v>
      </c>
      <c r="C29" s="216">
        <f>C42</f>
        <v>11107573</v>
      </c>
      <c r="D29" s="30"/>
      <c r="S29" s="210"/>
    </row>
    <row r="30" spans="1:24">
      <c r="A30" s="210" t="str">
        <f>"(Peak Day Mcf * 365)           "&amp;TEXT(I42,"###,###")&amp;"* 365 ="</f>
        <v>(Peak Day Mcf * 365)           103,204* 365 =</v>
      </c>
      <c r="B30" s="210"/>
      <c r="C30" s="211">
        <f>I42*365</f>
        <v>37669460</v>
      </c>
      <c r="D30" s="30"/>
      <c r="S30" s="210"/>
    </row>
    <row r="31" spans="1:24">
      <c r="A31" s="215" t="s">
        <v>943</v>
      </c>
      <c r="C31" s="23">
        <f>ROUND(C29/C30,5)</f>
        <v>0.29487000000000002</v>
      </c>
      <c r="S31" s="210"/>
    </row>
    <row r="32" spans="1:24">
      <c r="C32" s="297"/>
      <c r="D32" s="297"/>
      <c r="E32" s="297"/>
      <c r="F32" s="297"/>
      <c r="G32" s="297"/>
      <c r="H32" s="297"/>
      <c r="I32" s="297"/>
      <c r="J32" s="297"/>
      <c r="K32" s="297"/>
      <c r="L32" s="106"/>
      <c r="M32" s="297"/>
      <c r="N32" s="106"/>
      <c r="O32" s="297"/>
      <c r="P32" s="33"/>
      <c r="Q32" s="297"/>
      <c r="S32" s="1072"/>
    </row>
    <row r="33" spans="1:19" ht="37.5">
      <c r="C33" s="293" t="s">
        <v>607</v>
      </c>
      <c r="D33" s="293"/>
      <c r="E33" s="293" t="s">
        <v>936</v>
      </c>
      <c r="F33" s="293"/>
      <c r="G33" s="293" t="s">
        <v>936</v>
      </c>
      <c r="H33" s="293"/>
      <c r="I33" s="293" t="s">
        <v>1175</v>
      </c>
      <c r="J33" s="293"/>
      <c r="K33" s="293" t="s">
        <v>939</v>
      </c>
      <c r="L33" s="296"/>
      <c r="M33" s="293" t="s">
        <v>939</v>
      </c>
      <c r="N33" s="296"/>
      <c r="O33" s="294" t="s">
        <v>940</v>
      </c>
      <c r="P33" s="33"/>
      <c r="Q33" s="294" t="s">
        <v>941</v>
      </c>
      <c r="S33" s="1071" t="s">
        <v>617</v>
      </c>
    </row>
    <row r="34" spans="1:19">
      <c r="A34" s="185" t="s">
        <v>608</v>
      </c>
      <c r="B34" s="186"/>
      <c r="C34" s="295" t="s">
        <v>609</v>
      </c>
      <c r="D34" s="33"/>
      <c r="E34" s="295" t="s">
        <v>610</v>
      </c>
      <c r="F34" s="46"/>
      <c r="G34" s="295" t="s">
        <v>611</v>
      </c>
      <c r="H34" s="33"/>
      <c r="I34" s="295" t="s">
        <v>610</v>
      </c>
      <c r="K34" s="295" t="s">
        <v>610</v>
      </c>
      <c r="L34" s="46"/>
      <c r="M34" s="295" t="s">
        <v>611</v>
      </c>
      <c r="N34" s="46"/>
      <c r="O34" s="295" t="s">
        <v>611</v>
      </c>
      <c r="Q34" s="295" t="s">
        <v>611</v>
      </c>
      <c r="S34" s="1003" t="s">
        <v>611</v>
      </c>
    </row>
    <row r="35" spans="1:19">
      <c r="C35" s="297" t="s">
        <v>602</v>
      </c>
      <c r="D35" s="297"/>
      <c r="E35" s="297" t="s">
        <v>603</v>
      </c>
      <c r="F35" s="297"/>
      <c r="G35" s="297" t="s">
        <v>604</v>
      </c>
      <c r="H35" s="297"/>
      <c r="I35" s="297" t="s">
        <v>605</v>
      </c>
      <c r="J35" s="297"/>
      <c r="K35" s="297" t="s">
        <v>606</v>
      </c>
      <c r="L35" s="106"/>
      <c r="M35" s="297" t="s">
        <v>613</v>
      </c>
      <c r="N35" s="33"/>
      <c r="O35" s="297" t="s">
        <v>614</v>
      </c>
      <c r="P35" s="33"/>
      <c r="Q35" s="297" t="s">
        <v>615</v>
      </c>
      <c r="S35" s="1072" t="s">
        <v>616</v>
      </c>
    </row>
    <row r="36" spans="1:19">
      <c r="C36" s="33"/>
      <c r="D36" s="297"/>
      <c r="E36" s="33" t="s">
        <v>937</v>
      </c>
      <c r="F36" s="33"/>
      <c r="G36" s="297"/>
      <c r="H36" s="297"/>
      <c r="I36" s="33"/>
      <c r="J36" s="297"/>
      <c r="K36" s="33" t="s">
        <v>938</v>
      </c>
      <c r="L36" s="106"/>
      <c r="M36" s="297"/>
      <c r="N36" s="106"/>
      <c r="O36" s="305">
        <f>C31</f>
        <v>0.29487000000000002</v>
      </c>
      <c r="P36" s="33"/>
      <c r="Q36" s="306">
        <f>1-O36</f>
        <v>0.70513000000000003</v>
      </c>
      <c r="S36" s="1072"/>
    </row>
    <row r="37" spans="1:19">
      <c r="C37" s="297"/>
      <c r="D37" s="297"/>
      <c r="E37" s="297"/>
      <c r="F37" s="297"/>
      <c r="G37" s="297"/>
      <c r="H37" s="297"/>
      <c r="I37" s="297"/>
      <c r="J37" s="297"/>
      <c r="K37" s="297"/>
      <c r="L37" s="106"/>
      <c r="M37" s="297"/>
      <c r="N37" s="106"/>
      <c r="O37" s="297"/>
      <c r="P37" s="33"/>
      <c r="Q37" s="297"/>
      <c r="R37" s="210"/>
      <c r="S37" s="1072"/>
    </row>
    <row r="38" spans="1:19">
      <c r="A38" s="210" t="s">
        <v>1260</v>
      </c>
      <c r="C38" s="37">
        <f>'Alloc Factors Summary'!D30</f>
        <v>5557382</v>
      </c>
      <c r="D38" s="37"/>
      <c r="E38" s="37">
        <f>ROUND(C38/365,0)</f>
        <v>15226</v>
      </c>
      <c r="F38" s="37"/>
      <c r="G38" s="317">
        <f>1-SUM(G39:G41)</f>
        <v>0.50032999999999994</v>
      </c>
      <c r="H38" s="37"/>
      <c r="I38" s="307">
        <f>I19</f>
        <v>55134</v>
      </c>
      <c r="J38" s="37"/>
      <c r="K38" s="36">
        <f>I38-E38</f>
        <v>39908</v>
      </c>
      <c r="L38" s="45"/>
      <c r="M38" s="23">
        <f>ROUND(K38/K$42,5)</f>
        <v>0.5484</v>
      </c>
      <c r="N38" s="27"/>
      <c r="O38" s="23">
        <f>O36-SUM(O39:O41)</f>
        <v>0.14753000000000002</v>
      </c>
      <c r="P38" s="29"/>
      <c r="Q38" s="23">
        <f>Q36-SUM(Q39:Q41)</f>
        <v>0.38669000000000003</v>
      </c>
      <c r="R38" s="210"/>
      <c r="S38" s="414">
        <f>Q38+O38</f>
        <v>0.53422000000000003</v>
      </c>
    </row>
    <row r="39" spans="1:19">
      <c r="A39" s="210" t="s">
        <v>1256</v>
      </c>
      <c r="B39" s="210"/>
      <c r="C39" s="307">
        <f>'Alloc Factors Summary'!D31</f>
        <v>3260228</v>
      </c>
      <c r="D39" s="307"/>
      <c r="E39" s="307">
        <f>ROUND(C39/365,0)</f>
        <v>8932</v>
      </c>
      <c r="F39" s="307"/>
      <c r="G39" s="413">
        <f>ROUND(E39/$E$42,5)</f>
        <v>0.29350999999999999</v>
      </c>
      <c r="H39" s="307"/>
      <c r="I39" s="307">
        <f>I20</f>
        <v>33498</v>
      </c>
      <c r="J39" s="307"/>
      <c r="K39" s="383">
        <f>I39-E39</f>
        <v>24566</v>
      </c>
      <c r="L39" s="403"/>
      <c r="M39" s="319">
        <f>ROUND(K39/K$42,5)</f>
        <v>0.33756999999999998</v>
      </c>
      <c r="N39" s="329"/>
      <c r="O39" s="319">
        <f>ROUND(G39*$O$36,5)</f>
        <v>8.6550000000000002E-2</v>
      </c>
      <c r="P39" s="412"/>
      <c r="Q39" s="319">
        <f>ROUND($Q$36*M39,5)</f>
        <v>0.23802999999999999</v>
      </c>
      <c r="R39" s="210"/>
      <c r="S39" s="414">
        <f>Q39+O39</f>
        <v>0.32457999999999998</v>
      </c>
    </row>
    <row r="40" spans="1:19">
      <c r="A40" s="210" t="s">
        <v>974</v>
      </c>
      <c r="B40" s="210"/>
      <c r="C40" s="307">
        <f>'Alloc Factors Summary'!D32</f>
        <v>2289963</v>
      </c>
      <c r="D40" s="307"/>
      <c r="E40" s="307">
        <f>ROUND(C40/365,0)</f>
        <v>6274</v>
      </c>
      <c r="F40" s="307"/>
      <c r="G40" s="413">
        <f>ROUND(E40/$E$42,5)</f>
        <v>0.20616000000000001</v>
      </c>
      <c r="H40" s="307"/>
      <c r="I40" s="307">
        <f>I21</f>
        <v>14572</v>
      </c>
      <c r="J40" s="307"/>
      <c r="K40" s="383">
        <f>I40-E40</f>
        <v>8298</v>
      </c>
      <c r="L40" s="403"/>
      <c r="M40" s="319">
        <f>ROUND(K40/K$42,5)</f>
        <v>0.11403000000000001</v>
      </c>
      <c r="N40" s="329"/>
      <c r="O40" s="319">
        <f>ROUND(G40*$O$36,5)</f>
        <v>6.0789999999999997E-2</v>
      </c>
      <c r="P40" s="412"/>
      <c r="Q40" s="319">
        <f>ROUND($Q$36*M40,5)</f>
        <v>8.0409999999999995E-2</v>
      </c>
      <c r="R40" s="210"/>
      <c r="S40" s="414">
        <f>Q40+O40</f>
        <v>0.14119999999999999</v>
      </c>
    </row>
    <row r="41" spans="1:19">
      <c r="A41" s="215" t="s">
        <v>563</v>
      </c>
      <c r="C41" s="37">
        <v>0</v>
      </c>
      <c r="D41" s="36"/>
      <c r="E41" s="37">
        <f>ROUND(C41/365,0)</f>
        <v>0</v>
      </c>
      <c r="F41" s="37"/>
      <c r="G41" s="317">
        <f>ROUND(E41/$E$42,5)</f>
        <v>0</v>
      </c>
      <c r="H41" s="36"/>
      <c r="I41" s="290">
        <v>0</v>
      </c>
      <c r="J41" s="36"/>
      <c r="K41" s="1036">
        <f>I41-E41</f>
        <v>0</v>
      </c>
      <c r="L41" s="403"/>
      <c r="M41" s="319">
        <f>ROUND(K41/K$42,5)</f>
        <v>0</v>
      </c>
      <c r="N41" s="329"/>
      <c r="O41" s="319">
        <f>ROUND(G41*$O$36,5)</f>
        <v>0</v>
      </c>
      <c r="P41" s="412"/>
      <c r="Q41" s="319">
        <f>ROUND($Q$36*M41,5)</f>
        <v>0</v>
      </c>
      <c r="R41" s="210"/>
      <c r="S41" s="414">
        <f>Q41+O41</f>
        <v>0</v>
      </c>
    </row>
    <row r="42" spans="1:19" ht="13" thickBot="1">
      <c r="A42" s="316" t="s">
        <v>579</v>
      </c>
      <c r="C42" s="48">
        <f>SUM(C38:C41)</f>
        <v>11107573</v>
      </c>
      <c r="D42" s="37"/>
      <c r="E42" s="48">
        <f>SUM(E38:E41)</f>
        <v>30432</v>
      </c>
      <c r="F42" s="34"/>
      <c r="G42" s="184">
        <f>SUM(G38:G41)</f>
        <v>0.99999999999999989</v>
      </c>
      <c r="H42" s="37"/>
      <c r="I42" s="407">
        <f>SUM(I38:I41)</f>
        <v>103204</v>
      </c>
      <c r="J42" s="37"/>
      <c r="K42" s="303">
        <f>SUM(K38:K41)</f>
        <v>72772</v>
      </c>
      <c r="L42" s="45"/>
      <c r="M42" s="41">
        <f>SUM(M38:M41)</f>
        <v>0.99999999999999989</v>
      </c>
      <c r="N42" s="27"/>
      <c r="O42" s="41">
        <f>SUM(O38:O41)</f>
        <v>0.29487000000000002</v>
      </c>
      <c r="P42" s="29"/>
      <c r="Q42" s="41">
        <f>SUM(Q38:Q41)</f>
        <v>0.70513000000000003</v>
      </c>
      <c r="R42" s="210"/>
      <c r="S42" s="1073">
        <f>SUM(S38:S41)</f>
        <v>1</v>
      </c>
    </row>
    <row r="43" spans="1:19" ht="13" thickTop="1">
      <c r="G43" s="44"/>
      <c r="K43" s="44"/>
    </row>
    <row r="45" spans="1:19">
      <c r="A45" s="44"/>
    </row>
    <row r="46" spans="1:19">
      <c r="A46" s="215" t="s">
        <v>851</v>
      </c>
    </row>
    <row r="47" spans="1:19">
      <c r="A47" s="44"/>
    </row>
    <row r="48" spans="1:19">
      <c r="A48" s="44"/>
    </row>
    <row r="49" spans="1:14">
      <c r="A49" s="44"/>
    </row>
    <row r="50" spans="1:14">
      <c r="A50" s="44"/>
    </row>
    <row r="51" spans="1:14">
      <c r="A51" s="44"/>
    </row>
    <row r="52" spans="1:14">
      <c r="A52" s="44"/>
    </row>
    <row r="53" spans="1:14">
      <c r="A53" s="44"/>
    </row>
    <row r="54" spans="1:14">
      <c r="A54" s="44"/>
      <c r="B54" s="44"/>
      <c r="C54" s="308"/>
      <c r="D54" s="308"/>
      <c r="E54" s="308"/>
      <c r="F54" s="308"/>
      <c r="G54" s="106"/>
      <c r="H54" s="308"/>
      <c r="I54" s="308"/>
      <c r="J54" s="308"/>
      <c r="K54" s="106"/>
    </row>
    <row r="55" spans="1:14">
      <c r="B55" s="44"/>
      <c r="C55" s="309"/>
      <c r="D55" s="310"/>
      <c r="E55" s="309"/>
      <c r="F55" s="309"/>
      <c r="G55" s="296"/>
      <c r="H55" s="310"/>
      <c r="I55" s="309"/>
      <c r="J55" s="310"/>
      <c r="K55" s="296"/>
    </row>
    <row r="56" spans="1:14" s="44" customFormat="1">
      <c r="C56" s="308"/>
      <c r="D56" s="30"/>
      <c r="E56" s="308"/>
      <c r="F56" s="308"/>
      <c r="G56" s="46"/>
      <c r="H56" s="30"/>
      <c r="I56" s="308"/>
      <c r="J56" s="30"/>
      <c r="K56" s="46"/>
    </row>
    <row r="57" spans="1:14" s="44" customFormat="1" ht="13">
      <c r="A57" s="236"/>
      <c r="C57" s="30"/>
      <c r="D57" s="30"/>
      <c r="E57" s="30"/>
      <c r="F57" s="30"/>
      <c r="G57" s="27"/>
      <c r="H57" s="30"/>
      <c r="I57" s="30"/>
      <c r="J57" s="30"/>
      <c r="K57" s="27"/>
    </row>
    <row r="58" spans="1:14" s="44" customFormat="1">
      <c r="G58" s="42"/>
      <c r="K58" s="42"/>
    </row>
    <row r="59" spans="1:14" s="44" customFormat="1">
      <c r="G59" s="42"/>
      <c r="K59" s="42"/>
    </row>
    <row r="60" spans="1:14" s="44" customFormat="1">
      <c r="G60" s="27"/>
      <c r="K60" s="27"/>
    </row>
    <row r="61" spans="1:14" s="44" customFormat="1"/>
    <row r="62" spans="1:14" s="44" customFormat="1">
      <c r="C62" s="106"/>
      <c r="D62" s="106"/>
      <c r="E62" s="106"/>
      <c r="F62" s="106"/>
      <c r="G62" s="106"/>
      <c r="H62" s="106"/>
      <c r="I62" s="106"/>
      <c r="J62" s="106"/>
      <c r="K62" s="106"/>
      <c r="M62" s="106"/>
      <c r="N62" s="106"/>
    </row>
    <row r="63" spans="1:14" s="44" customFormat="1">
      <c r="B63" s="311"/>
      <c r="C63" s="296"/>
      <c r="D63" s="296"/>
      <c r="E63" s="296"/>
      <c r="F63" s="296"/>
      <c r="G63" s="296"/>
      <c r="H63" s="296"/>
      <c r="I63" s="296"/>
      <c r="J63" s="296"/>
      <c r="K63" s="296"/>
      <c r="M63" s="296"/>
      <c r="N63" s="296"/>
    </row>
    <row r="64" spans="1:14" s="44" customFormat="1">
      <c r="A64" s="296"/>
      <c r="C64" s="46"/>
      <c r="D64" s="46"/>
      <c r="E64" s="46"/>
      <c r="F64" s="46"/>
      <c r="G64" s="46"/>
      <c r="H64" s="46"/>
      <c r="I64" s="46"/>
      <c r="K64" s="46"/>
      <c r="M64" s="46"/>
      <c r="N64" s="46"/>
    </row>
    <row r="65" spans="1:14" s="44" customFormat="1">
      <c r="C65" s="30"/>
      <c r="D65" s="30"/>
      <c r="E65" s="30"/>
      <c r="F65" s="30"/>
      <c r="G65" s="302"/>
      <c r="H65" s="30"/>
      <c r="I65" s="30"/>
      <c r="J65" s="30"/>
      <c r="K65" s="302"/>
      <c r="M65" s="312"/>
      <c r="N65" s="312"/>
    </row>
    <row r="66" spans="1:14" s="44" customFormat="1">
      <c r="C66" s="30"/>
      <c r="D66" s="30"/>
      <c r="E66" s="30"/>
      <c r="F66" s="30"/>
      <c r="G66" s="302"/>
      <c r="H66" s="30"/>
      <c r="I66" s="30"/>
      <c r="J66" s="30"/>
      <c r="K66" s="302"/>
      <c r="M66" s="312"/>
      <c r="N66" s="312"/>
    </row>
    <row r="67" spans="1:14" s="44" customFormat="1">
      <c r="C67" s="30"/>
      <c r="D67" s="30"/>
      <c r="E67" s="313"/>
      <c r="F67" s="313"/>
      <c r="G67" s="302"/>
      <c r="H67" s="30"/>
      <c r="I67" s="30"/>
      <c r="J67" s="30"/>
      <c r="K67" s="302"/>
      <c r="M67" s="312"/>
      <c r="N67" s="312"/>
    </row>
    <row r="68" spans="1:14" s="44" customFormat="1">
      <c r="C68" s="30"/>
      <c r="D68" s="30"/>
      <c r="E68" s="313"/>
      <c r="F68" s="313"/>
      <c r="G68" s="302"/>
      <c r="H68" s="30"/>
      <c r="I68" s="30"/>
      <c r="J68" s="30"/>
      <c r="K68" s="302"/>
      <c r="M68" s="312"/>
      <c r="N68" s="312"/>
    </row>
    <row r="69" spans="1:14" s="44" customFormat="1">
      <c r="C69" s="121"/>
      <c r="E69" s="313"/>
      <c r="F69" s="313"/>
      <c r="G69" s="302"/>
      <c r="I69" s="121"/>
      <c r="K69" s="302"/>
      <c r="M69" s="121"/>
      <c r="N69" s="121"/>
    </row>
    <row r="70" spans="1:14" s="44" customFormat="1">
      <c r="C70" s="30"/>
      <c r="D70" s="30"/>
      <c r="E70" s="30"/>
      <c r="F70" s="30"/>
      <c r="H70" s="30"/>
      <c r="I70" s="30"/>
      <c r="J70" s="30"/>
      <c r="M70" s="312"/>
      <c r="N70" s="312"/>
    </row>
    <row r="71" spans="1:14" s="44" customFormat="1"/>
    <row r="72" spans="1:14" s="44" customFormat="1">
      <c r="C72" s="106"/>
      <c r="D72" s="46"/>
      <c r="E72" s="106"/>
      <c r="F72" s="106"/>
      <c r="G72" s="106"/>
      <c r="H72" s="46"/>
      <c r="I72" s="106"/>
      <c r="J72" s="46"/>
      <c r="K72" s="106"/>
      <c r="M72" s="106"/>
      <c r="N72" s="106"/>
    </row>
    <row r="73" spans="1:14" s="44" customFormat="1">
      <c r="C73" s="296"/>
      <c r="D73" s="46"/>
      <c r="E73" s="296"/>
      <c r="F73" s="296"/>
      <c r="G73" s="314"/>
      <c r="H73" s="46"/>
      <c r="I73" s="314"/>
      <c r="J73" s="46"/>
      <c r="K73" s="314"/>
      <c r="M73" s="314"/>
      <c r="N73" s="314"/>
    </row>
    <row r="74" spans="1:14" s="44" customFormat="1">
      <c r="A74" s="296"/>
      <c r="C74" s="46"/>
      <c r="E74" s="46"/>
      <c r="F74" s="46"/>
      <c r="G74" s="46"/>
      <c r="I74" s="46"/>
      <c r="K74" s="46"/>
      <c r="M74" s="46"/>
      <c r="N74" s="46"/>
    </row>
    <row r="75" spans="1:14" s="44" customFormat="1">
      <c r="G75" s="315"/>
      <c r="I75" s="302"/>
      <c r="K75" s="315"/>
    </row>
    <row r="76" spans="1:14" s="44" customFormat="1">
      <c r="C76" s="27"/>
      <c r="D76" s="30"/>
      <c r="E76" s="127"/>
      <c r="F76" s="127"/>
      <c r="G76" s="27"/>
      <c r="H76" s="30"/>
      <c r="I76" s="27"/>
      <c r="J76" s="30"/>
      <c r="K76" s="27"/>
      <c r="M76" s="127"/>
      <c r="N76" s="127"/>
    </row>
    <row r="77" spans="1:14" s="44" customFormat="1">
      <c r="C77" s="27"/>
      <c r="D77" s="30"/>
      <c r="E77" s="127"/>
      <c r="F77" s="127"/>
      <c r="G77" s="27"/>
      <c r="H77" s="30"/>
      <c r="I77" s="27"/>
      <c r="J77" s="30"/>
      <c r="K77" s="27"/>
      <c r="M77" s="127"/>
      <c r="N77" s="127"/>
    </row>
    <row r="78" spans="1:14" s="44" customFormat="1">
      <c r="C78" s="27"/>
      <c r="D78" s="30"/>
      <c r="E78" s="127"/>
      <c r="F78" s="127"/>
      <c r="G78" s="27"/>
      <c r="H78" s="30"/>
      <c r="I78" s="27"/>
      <c r="J78" s="30"/>
      <c r="K78" s="27"/>
      <c r="M78" s="127"/>
      <c r="N78" s="127"/>
    </row>
    <row r="79" spans="1:14" s="44" customFormat="1">
      <c r="C79" s="27"/>
      <c r="D79" s="30"/>
      <c r="E79" s="127"/>
      <c r="F79" s="127"/>
      <c r="G79" s="27"/>
      <c r="H79" s="30"/>
      <c r="I79" s="27"/>
      <c r="J79" s="30"/>
      <c r="K79" s="27"/>
      <c r="M79" s="127"/>
      <c r="N79" s="127"/>
    </row>
    <row r="80" spans="1:14" s="44" customFormat="1">
      <c r="C80" s="27"/>
      <c r="E80" s="127"/>
      <c r="F80" s="127"/>
      <c r="G80" s="27"/>
      <c r="I80" s="27"/>
      <c r="J80" s="30"/>
      <c r="K80" s="27"/>
      <c r="M80" s="127"/>
      <c r="N80" s="127"/>
    </row>
    <row r="81" spans="2:14" s="44" customFormat="1">
      <c r="C81" s="27"/>
      <c r="D81" s="30"/>
      <c r="E81" s="27"/>
      <c r="F81" s="27"/>
      <c r="G81" s="27"/>
      <c r="H81" s="30"/>
      <c r="I81" s="27"/>
      <c r="J81" s="30"/>
      <c r="K81" s="27"/>
      <c r="M81" s="127"/>
      <c r="N81" s="127"/>
    </row>
    <row r="82" spans="2:14">
      <c r="B82" s="44"/>
      <c r="C82" s="309"/>
      <c r="D82" s="310"/>
      <c r="E82" s="309"/>
      <c r="F82" s="309"/>
      <c r="G82" s="296"/>
      <c r="H82" s="310"/>
      <c r="I82" s="309"/>
      <c r="J82" s="310"/>
      <c r="K82" s="296"/>
    </row>
  </sheetData>
  <pageMargins left="1" right="1" top="1" bottom="1" header="0.5" footer="0.5"/>
  <pageSetup scale="75" orientation="landscape" blackAndWhite="1" r:id="rId1"/>
  <headerFooter alignWithMargins="0"/>
  <rowBreaks count="1" manualBreakCount="1">
    <brk id="55" max="16383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5">
    <tabColor rgb="FF92D050"/>
    <pageSetUpPr fitToPage="1"/>
  </sheetPr>
  <dimension ref="A1:AD151"/>
  <sheetViews>
    <sheetView zoomScale="70" zoomScaleNormal="70" zoomScaleSheetLayoutView="70" workbookViewId="0">
      <selection activeCell="J53" sqref="J53"/>
    </sheetView>
  </sheetViews>
  <sheetFormatPr defaultColWidth="7.07421875" defaultRowHeight="12.5"/>
  <cols>
    <col min="1" max="1" width="7.765625" style="54" customWidth="1"/>
    <col min="2" max="2" width="8.53515625" style="53" customWidth="1"/>
    <col min="3" max="3" width="11.07421875" style="53" customWidth="1"/>
    <col min="4" max="4" width="2.4609375" style="53" customWidth="1"/>
    <col min="5" max="5" width="15.765625" style="1193" bestFit="1" customWidth="1"/>
    <col min="6" max="6" width="13.23046875" style="418" bestFit="1" customWidth="1"/>
    <col min="7" max="7" width="10.23046875" style="419" customWidth="1"/>
    <col min="8" max="8" width="9.53515625" style="418" customWidth="1"/>
    <col min="9" max="9" width="12.765625" style="419" bestFit="1" customWidth="1"/>
    <col min="10" max="10" width="11.765625" style="416" customWidth="1"/>
    <col min="11" max="11" width="11.765625" style="416" bestFit="1" customWidth="1"/>
    <col min="12" max="12" width="11.765625" style="53" customWidth="1"/>
    <col min="13" max="13" width="9.765625" style="53" customWidth="1"/>
    <col min="14" max="14" width="11.07421875" style="53" customWidth="1"/>
    <col min="15" max="15" width="13.53515625" style="53" customWidth="1"/>
    <col min="16" max="28" width="10.53515625" style="53" customWidth="1"/>
    <col min="29" max="29" width="7.07421875" style="53"/>
    <col min="30" max="30" width="8.23046875" style="53" customWidth="1"/>
    <col min="31" max="16384" width="7.07421875" style="53"/>
  </cols>
  <sheetData>
    <row r="1" spans="1:30" ht="13">
      <c r="A1" s="195" t="str">
        <f>co_name</f>
        <v>DUKE ENERGY KENTUCKY, INC.</v>
      </c>
      <c r="B1" s="52"/>
      <c r="C1" s="52"/>
      <c r="D1" s="52"/>
      <c r="E1" s="1190"/>
      <c r="G1" s="1190"/>
      <c r="H1" s="1190"/>
      <c r="I1" s="1190"/>
      <c r="J1" s="1190" t="s">
        <v>1465</v>
      </c>
      <c r="K1" s="1190"/>
      <c r="L1" s="52"/>
    </row>
    <row r="2" spans="1:30" ht="13">
      <c r="A2" s="195" t="str">
        <f>coss_type</f>
        <v xml:space="preserve">GAS COST OF SERVICE STUDY </v>
      </c>
      <c r="B2" s="52"/>
      <c r="C2" s="52"/>
      <c r="D2" s="52"/>
      <c r="E2" s="1190"/>
      <c r="G2" s="1190"/>
      <c r="H2" s="1190"/>
      <c r="I2" s="1190"/>
      <c r="J2" s="1191" t="str">
        <f>'Alloc Factors Summary'!G2</f>
        <v>Witness Responsible:</v>
      </c>
      <c r="K2" s="1190"/>
      <c r="L2" s="52"/>
    </row>
    <row r="3" spans="1:30" ht="13">
      <c r="A3" s="195" t="str">
        <f>case_name</f>
        <v>CASE NO: 2021-00190</v>
      </c>
      <c r="B3" s="52"/>
      <c r="C3" s="52"/>
      <c r="D3" s="52"/>
      <c r="E3" s="1190"/>
      <c r="G3" s="1190"/>
      <c r="H3" s="1190"/>
      <c r="I3" s="1190"/>
      <c r="J3" s="1191" t="str">
        <f>'Alloc Factors Summary'!G3</f>
        <v>James E. Ziolkowski</v>
      </c>
      <c r="K3" s="1190"/>
      <c r="L3" s="52"/>
      <c r="O3" s="863" t="s">
        <v>992</v>
      </c>
      <c r="P3" s="864"/>
      <c r="Q3" s="864"/>
      <c r="R3" s="864"/>
      <c r="S3" s="71"/>
      <c r="T3" s="71"/>
      <c r="U3" s="71"/>
      <c r="V3" s="71"/>
      <c r="W3" s="71"/>
      <c r="X3" s="71"/>
      <c r="Y3" s="71"/>
      <c r="Z3" s="71"/>
      <c r="AA3" s="71"/>
      <c r="AB3" s="71"/>
    </row>
    <row r="4" spans="1:30" ht="13">
      <c r="A4" s="10" t="str">
        <f>alloc_factors</f>
        <v>ALLOCATION FACTORS FOR COST OF SERVICE STUDY</v>
      </c>
      <c r="B4" s="52"/>
      <c r="C4" s="52"/>
      <c r="D4" s="52"/>
      <c r="E4" s="1190"/>
      <c r="F4" s="416"/>
      <c r="G4" s="1190"/>
      <c r="H4" s="1190"/>
      <c r="I4" s="1190"/>
      <c r="J4" s="1276" t="s">
        <v>1051</v>
      </c>
      <c r="K4" s="1190"/>
      <c r="L4" s="52"/>
      <c r="O4" s="444" t="s">
        <v>991</v>
      </c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3"/>
      <c r="AD4" s="53" t="s">
        <v>1174</v>
      </c>
    </row>
    <row r="5" spans="1:30" ht="13">
      <c r="A5" s="10" t="str">
        <f>time_period</f>
        <v>TWELVE MONTHS ENDING DECEMBER 31, 2020</v>
      </c>
      <c r="B5" s="52"/>
      <c r="C5" s="52"/>
      <c r="D5" s="52"/>
      <c r="E5" s="1190"/>
      <c r="F5" s="416"/>
      <c r="G5" s="1190"/>
      <c r="H5" s="1190"/>
      <c r="I5" s="1190"/>
      <c r="J5" s="1276">
        <f ca="1">NOW()</f>
        <v>44420.466563425929</v>
      </c>
      <c r="K5" s="1190"/>
      <c r="L5" s="52"/>
      <c r="O5" s="1052" t="s">
        <v>469</v>
      </c>
      <c r="P5" s="1053">
        <v>40544</v>
      </c>
      <c r="Q5" s="1054">
        <v>40575</v>
      </c>
      <c r="R5" s="1054">
        <v>40603</v>
      </c>
      <c r="S5" s="1054">
        <v>40634</v>
      </c>
      <c r="T5" s="1054">
        <v>40664</v>
      </c>
      <c r="U5" s="1054">
        <v>40695</v>
      </c>
      <c r="V5" s="1054">
        <v>40725</v>
      </c>
      <c r="W5" s="1054">
        <v>40756</v>
      </c>
      <c r="X5" s="1054">
        <v>40787</v>
      </c>
      <c r="Y5" s="1054">
        <v>40817</v>
      </c>
      <c r="Z5" s="1054">
        <v>40848</v>
      </c>
      <c r="AA5" s="1054">
        <v>40878</v>
      </c>
      <c r="AB5" s="1055" t="s">
        <v>579</v>
      </c>
      <c r="AC5" s="443"/>
    </row>
    <row r="6" spans="1:30" ht="13">
      <c r="A6" s="197" t="s">
        <v>826</v>
      </c>
      <c r="B6" s="52"/>
      <c r="C6" s="52"/>
      <c r="D6" s="52"/>
      <c r="E6" s="1190"/>
      <c r="F6" s="416"/>
      <c r="G6" s="1190"/>
      <c r="H6" s="1190"/>
      <c r="I6" s="1190"/>
      <c r="J6" s="1192"/>
      <c r="K6" s="1190"/>
      <c r="L6" s="52"/>
      <c r="O6" s="1052" t="s">
        <v>975</v>
      </c>
      <c r="P6" s="447"/>
      <c r="Q6" s="1057"/>
      <c r="R6" s="1057"/>
      <c r="S6" s="1057"/>
      <c r="T6" s="1057"/>
      <c r="U6" s="1057"/>
      <c r="V6" s="1057"/>
      <c r="W6" s="1057"/>
      <c r="X6" s="1057"/>
      <c r="Y6" s="1057"/>
      <c r="Z6" s="1057"/>
      <c r="AA6" s="1057"/>
      <c r="AB6" s="1058"/>
      <c r="AC6" s="443"/>
    </row>
    <row r="7" spans="1:30">
      <c r="O7" s="855" t="s">
        <v>976</v>
      </c>
      <c r="P7" s="446">
        <v>1095446</v>
      </c>
      <c r="Q7" s="446">
        <v>804474</v>
      </c>
      <c r="R7" s="446">
        <v>688959</v>
      </c>
      <c r="S7" s="446">
        <v>158370</v>
      </c>
      <c r="T7" s="446">
        <v>218886</v>
      </c>
      <c r="U7" s="446">
        <v>132605</v>
      </c>
      <c r="V7" s="446">
        <v>116991</v>
      </c>
      <c r="W7" s="446">
        <v>118287</v>
      </c>
      <c r="X7" s="446">
        <v>145289</v>
      </c>
      <c r="Y7" s="446">
        <v>244236</v>
      </c>
      <c r="Z7" s="446">
        <v>391117</v>
      </c>
      <c r="AA7" s="446">
        <v>654727</v>
      </c>
      <c r="AB7" s="1066">
        <v>4769387</v>
      </c>
      <c r="AC7" s="443"/>
      <c r="AD7" s="1066">
        <v>3405</v>
      </c>
    </row>
    <row r="8" spans="1:30" ht="13">
      <c r="A8" s="56" t="s">
        <v>1225</v>
      </c>
      <c r="E8" s="417" t="s">
        <v>618</v>
      </c>
      <c r="I8" s="421" t="s">
        <v>1422</v>
      </c>
      <c r="J8" s="1194" t="s">
        <v>620</v>
      </c>
      <c r="K8" s="421" t="s">
        <v>1422</v>
      </c>
      <c r="L8" s="57" t="s">
        <v>1422</v>
      </c>
      <c r="M8" s="59"/>
      <c r="O8" s="855" t="s">
        <v>977</v>
      </c>
      <c r="P8" s="446">
        <v>2106020</v>
      </c>
      <c r="Q8" s="446">
        <v>1561396</v>
      </c>
      <c r="R8" s="446">
        <v>1407068</v>
      </c>
      <c r="S8" s="446">
        <v>387038</v>
      </c>
      <c r="T8" s="446">
        <v>580766</v>
      </c>
      <c r="U8" s="446">
        <v>423456</v>
      </c>
      <c r="V8" s="446">
        <v>417273</v>
      </c>
      <c r="W8" s="446">
        <v>410095</v>
      </c>
      <c r="X8" s="446">
        <v>515085</v>
      </c>
      <c r="Y8" s="446">
        <v>804998</v>
      </c>
      <c r="Z8" s="446">
        <v>1101051</v>
      </c>
      <c r="AA8" s="446">
        <v>1559055</v>
      </c>
      <c r="AB8" s="1066">
        <v>11273301</v>
      </c>
      <c r="AC8" s="443"/>
      <c r="AD8" s="1066">
        <v>4651</v>
      </c>
    </row>
    <row r="9" spans="1:30">
      <c r="A9" s="61"/>
      <c r="B9" s="58"/>
      <c r="C9" s="62" t="s">
        <v>1420</v>
      </c>
      <c r="D9" s="58"/>
      <c r="E9" s="417" t="s">
        <v>619</v>
      </c>
      <c r="F9" s="420" t="s">
        <v>902</v>
      </c>
      <c r="G9" s="421" t="s">
        <v>1421</v>
      </c>
      <c r="H9" s="420" t="s">
        <v>844</v>
      </c>
      <c r="I9" s="1195" t="s">
        <v>622</v>
      </c>
      <c r="J9" s="1194" t="s">
        <v>623</v>
      </c>
      <c r="K9" s="1194" t="s">
        <v>624</v>
      </c>
      <c r="L9" s="58" t="s">
        <v>624</v>
      </c>
      <c r="M9" s="60"/>
      <c r="O9" s="855" t="s">
        <v>978</v>
      </c>
      <c r="P9" s="446">
        <v>454323</v>
      </c>
      <c r="Q9" s="446">
        <v>329629</v>
      </c>
      <c r="R9" s="446">
        <v>245332</v>
      </c>
      <c r="S9" s="446">
        <v>53689</v>
      </c>
      <c r="T9" s="446">
        <v>46884</v>
      </c>
      <c r="U9" s="446">
        <v>25046</v>
      </c>
      <c r="V9" s="446">
        <v>21638</v>
      </c>
      <c r="W9" s="446">
        <v>18633</v>
      </c>
      <c r="X9" s="446">
        <v>24921</v>
      </c>
      <c r="Y9" s="446">
        <v>57799</v>
      </c>
      <c r="Z9" s="446">
        <v>108583</v>
      </c>
      <c r="AA9" s="446">
        <v>243271</v>
      </c>
      <c r="AB9" s="1065">
        <v>1629748</v>
      </c>
      <c r="AC9" s="443"/>
      <c r="AD9" s="1065">
        <v>12583</v>
      </c>
    </row>
    <row r="10" spans="1:30">
      <c r="A10" s="64" t="s">
        <v>625</v>
      </c>
      <c r="B10" s="65" t="s">
        <v>626</v>
      </c>
      <c r="C10" s="65" t="s">
        <v>627</v>
      </c>
      <c r="D10" s="65"/>
      <c r="E10" s="422" t="s">
        <v>1096</v>
      </c>
      <c r="F10" s="423" t="s">
        <v>903</v>
      </c>
      <c r="G10" s="424" t="s">
        <v>628</v>
      </c>
      <c r="H10" s="423" t="s">
        <v>629</v>
      </c>
      <c r="I10" s="424" t="s">
        <v>630</v>
      </c>
      <c r="J10" s="1196" t="s">
        <v>631</v>
      </c>
      <c r="K10" s="1196" t="s">
        <v>628</v>
      </c>
      <c r="L10" s="65" t="s">
        <v>631</v>
      </c>
      <c r="M10" s="60"/>
      <c r="O10" s="855" t="s">
        <v>979</v>
      </c>
      <c r="P10" s="446">
        <v>281065</v>
      </c>
      <c r="Q10" s="446">
        <v>206711</v>
      </c>
      <c r="R10" s="446">
        <v>161966</v>
      </c>
      <c r="S10" s="446">
        <v>35029</v>
      </c>
      <c r="T10" s="446">
        <v>37484</v>
      </c>
      <c r="U10" s="446">
        <v>20361</v>
      </c>
      <c r="V10" s="446">
        <v>18136</v>
      </c>
      <c r="W10" s="446">
        <v>18214</v>
      </c>
      <c r="X10" s="446">
        <v>19889</v>
      </c>
      <c r="Y10" s="446">
        <v>44976</v>
      </c>
      <c r="Z10" s="446">
        <v>167520</v>
      </c>
      <c r="AA10" s="446">
        <v>215400</v>
      </c>
      <c r="AB10" s="1065">
        <v>1226751</v>
      </c>
      <c r="AC10" s="443"/>
      <c r="AD10" s="1065">
        <v>8079</v>
      </c>
    </row>
    <row r="11" spans="1:30">
      <c r="A11" s="200"/>
      <c r="B11" s="201"/>
      <c r="C11" s="201"/>
      <c r="D11" s="201"/>
      <c r="E11" s="1479" t="s">
        <v>1486</v>
      </c>
      <c r="F11" s="426"/>
      <c r="G11" s="427" t="s">
        <v>845</v>
      </c>
      <c r="H11" s="426"/>
      <c r="I11" s="427" t="s">
        <v>846</v>
      </c>
      <c r="J11" s="1197"/>
      <c r="K11" s="1198" t="s">
        <v>847</v>
      </c>
      <c r="L11" s="201"/>
      <c r="M11" s="193"/>
      <c r="O11" s="855" t="s">
        <v>980</v>
      </c>
      <c r="P11" s="446">
        <v>1996799</v>
      </c>
      <c r="Q11" s="446">
        <v>1584055</v>
      </c>
      <c r="R11" s="446">
        <v>1669699</v>
      </c>
      <c r="S11" s="446">
        <v>1472734</v>
      </c>
      <c r="T11" s="446">
        <v>1448387</v>
      </c>
      <c r="U11" s="446">
        <v>1315896</v>
      </c>
      <c r="V11" s="446">
        <v>1328410</v>
      </c>
      <c r="W11" s="446">
        <v>1345331</v>
      </c>
      <c r="X11" s="446">
        <v>1273397</v>
      </c>
      <c r="Y11" s="446">
        <v>1594277</v>
      </c>
      <c r="Z11" s="446">
        <v>1694624</v>
      </c>
      <c r="AA11" s="446">
        <v>1834679</v>
      </c>
      <c r="AB11" s="1068">
        <v>18558288</v>
      </c>
      <c r="AC11" s="443"/>
      <c r="AD11" s="1068">
        <v>117</v>
      </c>
    </row>
    <row r="12" spans="1:30">
      <c r="A12" s="952" t="s">
        <v>1484</v>
      </c>
      <c r="B12" s="953">
        <v>31</v>
      </c>
      <c r="C12" s="429" t="str">
        <f>'WP FR-16(7)(v)-Daily Gas Stats'!K129</f>
        <v>01/19/20</v>
      </c>
      <c r="D12" s="66"/>
      <c r="E12" s="1188">
        <v>990437</v>
      </c>
      <c r="F12" s="865">
        <f t="shared" ref="F12:F23" si="0">ROUND(E12/B12,0)</f>
        <v>31950</v>
      </c>
      <c r="G12" s="954">
        <f>'WP FR-16(7)(v)-Daily Gas Stats'!O18</f>
        <v>60.965800000000002</v>
      </c>
      <c r="H12" s="865">
        <f t="shared" ref="H12:H23" si="1">ROUND(F12/(G12/100),0)</f>
        <v>52406</v>
      </c>
      <c r="I12" s="954">
        <f>'WP FR-16(7)(v)-Daily Gas Stats'!N18</f>
        <v>60.965800000000002</v>
      </c>
      <c r="J12" s="865">
        <f>ROUND($F12/(I12/100),0)</f>
        <v>52406</v>
      </c>
      <c r="K12" s="955">
        <f>'WP FR-16(7)(v)-Daily Gas Stats'!M18</f>
        <v>60.448399999999999</v>
      </c>
      <c r="L12" s="284">
        <f t="shared" ref="L12:L23" si="2">ROUND($F12/(K12/100),0)</f>
        <v>52855</v>
      </c>
      <c r="M12" s="60"/>
      <c r="O12" s="855" t="s">
        <v>981</v>
      </c>
      <c r="P12" s="446">
        <v>0</v>
      </c>
      <c r="Q12" s="446">
        <v>0</v>
      </c>
      <c r="R12" s="446">
        <v>0</v>
      </c>
      <c r="S12" s="446">
        <v>0</v>
      </c>
      <c r="T12" s="446">
        <v>0</v>
      </c>
      <c r="U12" s="446">
        <v>0</v>
      </c>
      <c r="V12" s="446">
        <v>0</v>
      </c>
      <c r="W12" s="446">
        <v>0</v>
      </c>
      <c r="X12" s="446">
        <v>0</v>
      </c>
      <c r="Y12" s="446">
        <v>0</v>
      </c>
      <c r="Z12" s="446">
        <v>0</v>
      </c>
      <c r="AA12" s="446">
        <v>0</v>
      </c>
      <c r="AB12" s="858">
        <v>0</v>
      </c>
      <c r="AC12" s="443"/>
      <c r="AD12" s="858"/>
    </row>
    <row r="13" spans="1:30">
      <c r="A13" s="952" t="s">
        <v>632</v>
      </c>
      <c r="B13" s="953">
        <v>28</v>
      </c>
      <c r="C13" s="429" t="str">
        <f>'WP FR-16(7)(v)-Daily Gas Stats'!K130</f>
        <v>02/14/20</v>
      </c>
      <c r="D13" s="66"/>
      <c r="E13" s="1188">
        <v>1049872</v>
      </c>
      <c r="F13" s="865">
        <f t="shared" si="0"/>
        <v>37495</v>
      </c>
      <c r="G13" s="954">
        <f>'WP FR-16(7)(v)-Daily Gas Stats'!O19</f>
        <v>70.382599999999996</v>
      </c>
      <c r="H13" s="865">
        <f t="shared" si="1"/>
        <v>53273</v>
      </c>
      <c r="I13" s="954">
        <f>'WP FR-16(7)(v)-Daily Gas Stats'!N19</f>
        <v>70.382599999999996</v>
      </c>
      <c r="J13" s="865">
        <f t="shared" ref="J13:J23" si="3">ROUND(F13/(I13/100),0)</f>
        <v>53273</v>
      </c>
      <c r="K13" s="955">
        <f>'WP FR-16(7)(v)-Daily Gas Stats'!M19</f>
        <v>68.007099999999994</v>
      </c>
      <c r="L13" s="284">
        <f t="shared" si="2"/>
        <v>55134</v>
      </c>
      <c r="M13" s="60"/>
      <c r="O13" s="855" t="s">
        <v>982</v>
      </c>
      <c r="P13" s="446">
        <v>0</v>
      </c>
      <c r="Q13" s="446">
        <v>0</v>
      </c>
      <c r="R13" s="446">
        <v>0</v>
      </c>
      <c r="S13" s="446">
        <v>0</v>
      </c>
      <c r="T13" s="446">
        <v>0</v>
      </c>
      <c r="U13" s="446">
        <v>0</v>
      </c>
      <c r="V13" s="446">
        <v>0</v>
      </c>
      <c r="W13" s="446">
        <v>0</v>
      </c>
      <c r="X13" s="446">
        <v>0</v>
      </c>
      <c r="Y13" s="446">
        <v>0</v>
      </c>
      <c r="Z13" s="446">
        <v>0</v>
      </c>
      <c r="AA13" s="446">
        <v>0</v>
      </c>
      <c r="AB13" s="858">
        <v>0</v>
      </c>
      <c r="AC13" s="443"/>
      <c r="AD13" s="858"/>
    </row>
    <row r="14" spans="1:30">
      <c r="A14" s="952" t="s">
        <v>633</v>
      </c>
      <c r="B14" s="953">
        <v>31</v>
      </c>
      <c r="C14" s="429" t="str">
        <f>'WP FR-16(7)(v)-Daily Gas Stats'!K131</f>
        <v>03/06/20</v>
      </c>
      <c r="D14" s="66"/>
      <c r="E14" s="1188">
        <v>875991</v>
      </c>
      <c r="F14" s="865">
        <f t="shared" si="0"/>
        <v>28258</v>
      </c>
      <c r="G14" s="954">
        <f>'WP FR-16(7)(v)-Daily Gas Stats'!O20</f>
        <v>62.490499999999997</v>
      </c>
      <c r="H14" s="865">
        <f t="shared" si="1"/>
        <v>45220</v>
      </c>
      <c r="I14" s="954">
        <f>'WP FR-16(7)(v)-Daily Gas Stats'!N20</f>
        <v>61.133299999999998</v>
      </c>
      <c r="J14" s="865">
        <f t="shared" si="3"/>
        <v>46224</v>
      </c>
      <c r="K14" s="955">
        <f>'WP FR-16(7)(v)-Daily Gas Stats'!M20</f>
        <v>55.882399999999997</v>
      </c>
      <c r="L14" s="284">
        <f t="shared" si="2"/>
        <v>50567</v>
      </c>
      <c r="M14" s="60"/>
      <c r="O14" s="855" t="s">
        <v>983</v>
      </c>
      <c r="P14" s="446">
        <v>0</v>
      </c>
      <c r="Q14" s="446">
        <v>0</v>
      </c>
      <c r="R14" s="446">
        <v>0</v>
      </c>
      <c r="S14" s="446">
        <v>0</v>
      </c>
      <c r="T14" s="446">
        <v>0</v>
      </c>
      <c r="U14" s="446">
        <v>0</v>
      </c>
      <c r="V14" s="446">
        <v>0</v>
      </c>
      <c r="W14" s="446">
        <v>0</v>
      </c>
      <c r="X14" s="446">
        <v>0</v>
      </c>
      <c r="Y14" s="446">
        <v>0</v>
      </c>
      <c r="Z14" s="446">
        <v>0</v>
      </c>
      <c r="AA14" s="446">
        <v>0</v>
      </c>
      <c r="AB14" s="858">
        <v>0</v>
      </c>
      <c r="AC14" s="443"/>
      <c r="AD14" s="858"/>
    </row>
    <row r="15" spans="1:30">
      <c r="A15" s="952" t="s">
        <v>1095</v>
      </c>
      <c r="B15" s="953">
        <v>30</v>
      </c>
      <c r="C15" s="429" t="str">
        <f>'WP FR-16(7)(v)-Daily Gas Stats'!K132</f>
        <v>04/15/20</v>
      </c>
      <c r="D15" s="66"/>
      <c r="E15" s="1188">
        <v>472081</v>
      </c>
      <c r="F15" s="865">
        <f t="shared" si="0"/>
        <v>15736</v>
      </c>
      <c r="G15" s="954">
        <f>'WP FR-16(7)(v)-Daily Gas Stats'!O21</f>
        <v>51.245699999999999</v>
      </c>
      <c r="H15" s="865">
        <f t="shared" si="1"/>
        <v>30707</v>
      </c>
      <c r="I15" s="954">
        <f>'WP FR-16(7)(v)-Daily Gas Stats'!N21</f>
        <v>51.245699999999999</v>
      </c>
      <c r="J15" s="865">
        <f t="shared" si="3"/>
        <v>30707</v>
      </c>
      <c r="K15" s="955">
        <f>'WP FR-16(7)(v)-Daily Gas Stats'!M21</f>
        <v>48.039700000000003</v>
      </c>
      <c r="L15" s="284">
        <f t="shared" si="2"/>
        <v>32756</v>
      </c>
      <c r="M15" s="59"/>
      <c r="O15" s="855" t="s">
        <v>766</v>
      </c>
      <c r="P15" s="446">
        <v>4830376</v>
      </c>
      <c r="Q15" s="446">
        <v>3305493</v>
      </c>
      <c r="R15" s="446">
        <v>2966754</v>
      </c>
      <c r="S15" s="446">
        <v>1340264</v>
      </c>
      <c r="T15" s="446">
        <v>818206</v>
      </c>
      <c r="U15" s="446">
        <v>419865</v>
      </c>
      <c r="V15" s="446">
        <v>362649</v>
      </c>
      <c r="W15" s="446">
        <v>337345</v>
      </c>
      <c r="X15" s="446">
        <v>413081</v>
      </c>
      <c r="Y15" s="446">
        <v>955484</v>
      </c>
      <c r="Z15" s="446">
        <v>1589231</v>
      </c>
      <c r="AA15" s="446">
        <v>3074731</v>
      </c>
      <c r="AB15" s="1063">
        <v>20413479</v>
      </c>
      <c r="AC15" s="443"/>
      <c r="AD15" s="1063">
        <v>253081</v>
      </c>
    </row>
    <row r="16" spans="1:30">
      <c r="A16" s="952" t="s">
        <v>634</v>
      </c>
      <c r="B16" s="953">
        <v>31</v>
      </c>
      <c r="C16" s="429" t="str">
        <f>'WP FR-16(7)(v)-Daily Gas Stats'!K133</f>
        <v>05/11/20</v>
      </c>
      <c r="D16" s="66"/>
      <c r="E16" s="1188">
        <v>358391</v>
      </c>
      <c r="F16" s="865">
        <f t="shared" si="0"/>
        <v>11561</v>
      </c>
      <c r="G16" s="954">
        <f>'WP FR-16(7)(v)-Daily Gas Stats'!O22</f>
        <v>45.418599999999998</v>
      </c>
      <c r="H16" s="865">
        <f t="shared" si="1"/>
        <v>25454</v>
      </c>
      <c r="I16" s="954">
        <f>'WP FR-16(7)(v)-Daily Gas Stats'!N22</f>
        <v>44.211500000000001</v>
      </c>
      <c r="J16" s="865">
        <f t="shared" si="3"/>
        <v>26149</v>
      </c>
      <c r="K16" s="955">
        <f>'WP FR-16(7)(v)-Daily Gas Stats'!M22</f>
        <v>37.469799999999999</v>
      </c>
      <c r="L16" s="284">
        <f t="shared" si="2"/>
        <v>30854</v>
      </c>
      <c r="M16" s="59"/>
      <c r="O16" s="855" t="s">
        <v>984</v>
      </c>
      <c r="P16" s="446">
        <v>2145761</v>
      </c>
      <c r="Q16" s="446">
        <v>1573670</v>
      </c>
      <c r="R16" s="446">
        <v>1437369</v>
      </c>
      <c r="S16" s="446">
        <v>666156</v>
      </c>
      <c r="T16" s="446">
        <v>427689</v>
      </c>
      <c r="U16" s="446">
        <v>225421</v>
      </c>
      <c r="V16" s="446">
        <v>188178</v>
      </c>
      <c r="W16" s="446">
        <v>173358</v>
      </c>
      <c r="X16" s="446">
        <v>215334</v>
      </c>
      <c r="Y16" s="446">
        <v>521219</v>
      </c>
      <c r="Z16" s="446">
        <v>843623</v>
      </c>
      <c r="AA16" s="446">
        <v>1608826</v>
      </c>
      <c r="AB16" s="1064">
        <v>10026604</v>
      </c>
      <c r="AC16" s="443"/>
      <c r="AD16" s="1064">
        <v>109819</v>
      </c>
    </row>
    <row r="17" spans="1:30">
      <c r="A17" s="952" t="s">
        <v>635</v>
      </c>
      <c r="B17" s="953">
        <v>30</v>
      </c>
      <c r="C17" s="429" t="str">
        <f>'WP FR-16(7)(v)-Daily Gas Stats'!K134</f>
        <v>06/11/20</v>
      </c>
      <c r="D17" s="66"/>
      <c r="E17" s="1188">
        <v>163127</v>
      </c>
      <c r="F17" s="865">
        <f t="shared" si="0"/>
        <v>5438</v>
      </c>
      <c r="G17" s="954">
        <f>'WP FR-16(7)(v)-Daily Gas Stats'!O23</f>
        <v>92.806399999999996</v>
      </c>
      <c r="H17" s="865">
        <f t="shared" si="1"/>
        <v>5860</v>
      </c>
      <c r="I17" s="954">
        <f>'WP FR-16(7)(v)-Daily Gas Stats'!N23</f>
        <v>78.378</v>
      </c>
      <c r="J17" s="865">
        <f t="shared" si="3"/>
        <v>6938</v>
      </c>
      <c r="K17" s="955">
        <f>'WP FR-16(7)(v)-Daily Gas Stats'!M23</f>
        <v>61.025399999999998</v>
      </c>
      <c r="L17" s="284">
        <f t="shared" si="2"/>
        <v>8911</v>
      </c>
      <c r="M17" s="59"/>
      <c r="O17" s="855" t="s">
        <v>973</v>
      </c>
      <c r="P17" s="446">
        <v>55550</v>
      </c>
      <c r="Q17" s="446">
        <v>37359</v>
      </c>
      <c r="R17" s="446">
        <v>37705</v>
      </c>
      <c r="S17" s="446">
        <v>18984</v>
      </c>
      <c r="T17" s="446">
        <v>11216</v>
      </c>
      <c r="U17" s="446">
        <v>5129</v>
      </c>
      <c r="V17" s="446">
        <v>4246</v>
      </c>
      <c r="W17" s="446">
        <v>3799</v>
      </c>
      <c r="X17" s="446">
        <v>4828</v>
      </c>
      <c r="Y17" s="446">
        <v>12549</v>
      </c>
      <c r="Z17" s="446">
        <v>19363</v>
      </c>
      <c r="AA17" s="446">
        <v>34252</v>
      </c>
      <c r="AB17" s="1063">
        <v>244980</v>
      </c>
      <c r="AC17" s="443"/>
      <c r="AD17" s="1063">
        <v>3733</v>
      </c>
    </row>
    <row r="18" spans="1:30">
      <c r="A18" s="952" t="s">
        <v>636</v>
      </c>
      <c r="B18" s="953">
        <v>31</v>
      </c>
      <c r="C18" s="429" t="str">
        <f>'WP FR-16(7)(v)-Daily Gas Stats'!K135</f>
        <v>07/01/20</v>
      </c>
      <c r="D18" s="66"/>
      <c r="E18" s="1188">
        <v>102792</v>
      </c>
      <c r="F18" s="865">
        <f t="shared" si="0"/>
        <v>3316</v>
      </c>
      <c r="G18" s="954">
        <f>'WP FR-16(7)(v)-Daily Gas Stats'!O24</f>
        <v>91.497699999999995</v>
      </c>
      <c r="H18" s="865">
        <f t="shared" si="1"/>
        <v>3624</v>
      </c>
      <c r="I18" s="954">
        <f>'WP FR-16(7)(v)-Daily Gas Stats'!N24</f>
        <v>87.071200000000005</v>
      </c>
      <c r="J18" s="865">
        <f t="shared" si="3"/>
        <v>3808</v>
      </c>
      <c r="K18" s="955">
        <f>'WP FR-16(7)(v)-Daily Gas Stats'!M24</f>
        <v>65.839799999999997</v>
      </c>
      <c r="L18" s="284">
        <f t="shared" si="2"/>
        <v>5036</v>
      </c>
      <c r="M18" s="59"/>
      <c r="O18" s="855" t="s">
        <v>985</v>
      </c>
      <c r="P18" s="446">
        <v>21917</v>
      </c>
      <c r="Q18" s="446">
        <v>15815</v>
      </c>
      <c r="R18" s="446">
        <v>14798</v>
      </c>
      <c r="S18" s="446">
        <v>7624</v>
      </c>
      <c r="T18" s="446">
        <v>4793</v>
      </c>
      <c r="U18" s="446">
        <v>2360</v>
      </c>
      <c r="V18" s="446">
        <v>1662</v>
      </c>
      <c r="W18" s="446">
        <v>1644</v>
      </c>
      <c r="X18" s="446">
        <v>2367</v>
      </c>
      <c r="Y18" s="446">
        <v>6210</v>
      </c>
      <c r="Z18" s="446">
        <v>9960</v>
      </c>
      <c r="AA18" s="446">
        <v>18351</v>
      </c>
      <c r="AB18" s="1064">
        <v>107501</v>
      </c>
      <c r="AC18" s="443"/>
      <c r="AD18" s="1064">
        <v>1604</v>
      </c>
    </row>
    <row r="19" spans="1:30">
      <c r="A19" s="952" t="s">
        <v>637</v>
      </c>
      <c r="B19" s="953">
        <v>31</v>
      </c>
      <c r="C19" s="429" t="str">
        <f>'WP FR-16(7)(v)-Daily Gas Stats'!K136</f>
        <v>08/25/20</v>
      </c>
      <c r="D19" s="66"/>
      <c r="E19" s="1188">
        <v>92361</v>
      </c>
      <c r="F19" s="865">
        <f t="shared" si="0"/>
        <v>2979</v>
      </c>
      <c r="G19" s="954">
        <f>'WP FR-16(7)(v)-Daily Gas Stats'!O25</f>
        <v>108.8836</v>
      </c>
      <c r="H19" s="865">
        <f t="shared" si="1"/>
        <v>2736</v>
      </c>
      <c r="I19" s="954">
        <f>'WP FR-16(7)(v)-Daily Gas Stats'!N25</f>
        <v>84.447500000000005</v>
      </c>
      <c r="J19" s="865">
        <f t="shared" si="3"/>
        <v>3528</v>
      </c>
      <c r="K19" s="955">
        <f>'WP FR-16(7)(v)-Daily Gas Stats'!M25</f>
        <v>63.2883</v>
      </c>
      <c r="L19" s="284">
        <f t="shared" si="2"/>
        <v>4707</v>
      </c>
      <c r="M19" s="59"/>
      <c r="O19" s="855" t="s">
        <v>986</v>
      </c>
      <c r="P19" s="446">
        <v>385155</v>
      </c>
      <c r="Q19" s="446">
        <v>264299</v>
      </c>
      <c r="R19" s="446">
        <v>270464</v>
      </c>
      <c r="S19" s="446">
        <v>124227</v>
      </c>
      <c r="T19" s="446">
        <v>85397</v>
      </c>
      <c r="U19" s="446">
        <v>43859</v>
      </c>
      <c r="V19" s="446">
        <v>32239</v>
      </c>
      <c r="W19" s="446">
        <v>30761</v>
      </c>
      <c r="X19" s="446">
        <v>38567</v>
      </c>
      <c r="Y19" s="446">
        <v>106816</v>
      </c>
      <c r="Z19" s="446">
        <v>167172</v>
      </c>
      <c r="AA19" s="446">
        <v>302025</v>
      </c>
      <c r="AB19" s="1063">
        <v>1850981</v>
      </c>
      <c r="AC19" s="443"/>
      <c r="AD19" s="1063">
        <v>19334</v>
      </c>
    </row>
    <row r="20" spans="1:30">
      <c r="A20" s="952" t="s">
        <v>638</v>
      </c>
      <c r="B20" s="953">
        <v>30</v>
      </c>
      <c r="C20" s="429" t="str">
        <f>'WP FR-16(7)(v)-Daily Gas Stats'!K137</f>
        <v>09/29/20</v>
      </c>
      <c r="D20" s="66"/>
      <c r="E20" s="1188">
        <v>99788</v>
      </c>
      <c r="F20" s="865">
        <f t="shared" si="0"/>
        <v>3326</v>
      </c>
      <c r="G20" s="954">
        <f>'WP FR-16(7)(v)-Daily Gas Stats'!O26</f>
        <v>72.942400000000006</v>
      </c>
      <c r="H20" s="865">
        <f t="shared" si="1"/>
        <v>4560</v>
      </c>
      <c r="I20" s="954">
        <f>'WP FR-16(7)(v)-Daily Gas Stats'!N26</f>
        <v>72.942400000000006</v>
      </c>
      <c r="J20" s="865">
        <f t="shared" si="3"/>
        <v>4560</v>
      </c>
      <c r="K20" s="955">
        <f>'WP FR-16(7)(v)-Daily Gas Stats'!M26</f>
        <v>52.089100000000002</v>
      </c>
      <c r="L20" s="284">
        <f t="shared" si="2"/>
        <v>6385</v>
      </c>
      <c r="M20" s="59"/>
      <c r="O20" s="855" t="s">
        <v>987</v>
      </c>
      <c r="P20" s="446">
        <v>15910</v>
      </c>
      <c r="Q20" s="446">
        <v>9337</v>
      </c>
      <c r="R20" s="446">
        <v>8082</v>
      </c>
      <c r="S20" s="446">
        <v>1949</v>
      </c>
      <c r="T20" s="446">
        <v>5316</v>
      </c>
      <c r="U20" s="446">
        <v>10275</v>
      </c>
      <c r="V20" s="446">
        <v>8840</v>
      </c>
      <c r="W20" s="446">
        <v>1211</v>
      </c>
      <c r="X20" s="446">
        <v>2024</v>
      </c>
      <c r="Y20" s="446">
        <v>1623</v>
      </c>
      <c r="Z20" s="446">
        <v>2503</v>
      </c>
      <c r="AA20" s="446">
        <v>7774</v>
      </c>
      <c r="AB20" s="858">
        <v>74844</v>
      </c>
      <c r="AC20" s="443"/>
    </row>
    <row r="21" spans="1:30">
      <c r="A21" s="952" t="s">
        <v>639</v>
      </c>
      <c r="B21" s="953">
        <v>31</v>
      </c>
      <c r="C21" s="429" t="str">
        <f>'WP FR-16(7)(v)-Daily Gas Stats'!K138</f>
        <v>10/30/20</v>
      </c>
      <c r="D21" s="66"/>
      <c r="E21" s="1188">
        <v>145570</v>
      </c>
      <c r="F21" s="865">
        <f t="shared" si="0"/>
        <v>4696</v>
      </c>
      <c r="G21" s="954">
        <f>'WP FR-16(7)(v)-Daily Gas Stats'!O27</f>
        <v>47.248199999999997</v>
      </c>
      <c r="H21" s="865">
        <f t="shared" si="1"/>
        <v>9939</v>
      </c>
      <c r="I21" s="954">
        <f>'WP FR-16(7)(v)-Daily Gas Stats'!N27</f>
        <v>47.248199999999997</v>
      </c>
      <c r="J21" s="865">
        <f t="shared" si="3"/>
        <v>9939</v>
      </c>
      <c r="K21" s="955">
        <f>'WP FR-16(7)(v)-Daily Gas Stats'!M27</f>
        <v>40.5366</v>
      </c>
      <c r="L21" s="284">
        <f t="shared" si="2"/>
        <v>11585</v>
      </c>
      <c r="M21" s="59"/>
      <c r="N21" s="59"/>
      <c r="O21" s="855" t="s">
        <v>988</v>
      </c>
      <c r="P21" s="1059">
        <v>-79</v>
      </c>
      <c r="Q21" s="1059">
        <v>324810</v>
      </c>
      <c r="R21" s="1059">
        <v>-386203</v>
      </c>
      <c r="S21" s="1059">
        <v>-5</v>
      </c>
      <c r="T21" s="1059">
        <v>-1</v>
      </c>
      <c r="U21" s="1059">
        <v>2</v>
      </c>
      <c r="V21" s="1059">
        <v>-1</v>
      </c>
      <c r="W21" s="1059">
        <v>6</v>
      </c>
      <c r="X21" s="1059">
        <v>-68</v>
      </c>
      <c r="Y21" s="1059">
        <v>-1</v>
      </c>
      <c r="Z21" s="1059">
        <v>-13</v>
      </c>
      <c r="AA21" s="1059">
        <v>-3</v>
      </c>
      <c r="AB21" s="1060">
        <v>-61556</v>
      </c>
      <c r="AC21" s="443"/>
    </row>
    <row r="22" spans="1:30">
      <c r="A22" s="952" t="s">
        <v>640</v>
      </c>
      <c r="B22" s="953">
        <v>30</v>
      </c>
      <c r="C22" s="429" t="str">
        <f>'WP FR-16(7)(v)-Daily Gas Stats'!K139</f>
        <v>11/30/20</v>
      </c>
      <c r="D22" s="66"/>
      <c r="E22" s="1188">
        <v>370402</v>
      </c>
      <c r="F22" s="865">
        <f t="shared" si="0"/>
        <v>12347</v>
      </c>
      <c r="G22" s="954">
        <f>'WP FR-16(7)(v)-Daily Gas Stats'!O28</f>
        <v>88.911100000000005</v>
      </c>
      <c r="H22" s="865">
        <f t="shared" si="1"/>
        <v>13887</v>
      </c>
      <c r="I22" s="954">
        <f>'WP FR-16(7)(v)-Daily Gas Stats'!N28</f>
        <v>59.822499999999998</v>
      </c>
      <c r="J22" s="865">
        <f t="shared" si="3"/>
        <v>20639</v>
      </c>
      <c r="K22" s="955">
        <f>'WP FR-16(7)(v)-Daily Gas Stats'!M28</f>
        <v>56.751199999999997</v>
      </c>
      <c r="L22" s="284">
        <f t="shared" si="2"/>
        <v>21756</v>
      </c>
      <c r="M22" s="59"/>
      <c r="N22" s="59"/>
      <c r="O22" s="859" t="s">
        <v>579</v>
      </c>
      <c r="P22" s="446">
        <v>13388243</v>
      </c>
      <c r="Q22" s="446">
        <v>10017048</v>
      </c>
      <c r="R22" s="446">
        <v>8521993</v>
      </c>
      <c r="S22" s="446">
        <v>4266059</v>
      </c>
      <c r="T22" s="446">
        <v>3685023</v>
      </c>
      <c r="U22" s="446">
        <v>2624275</v>
      </c>
      <c r="V22" s="446">
        <v>2500261</v>
      </c>
      <c r="W22" s="446">
        <v>2458684</v>
      </c>
      <c r="X22" s="446">
        <v>2654714</v>
      </c>
      <c r="Y22" s="446">
        <v>4350186</v>
      </c>
      <c r="Z22" s="446">
        <v>6094734</v>
      </c>
      <c r="AA22" s="446">
        <v>9553088</v>
      </c>
      <c r="AB22" s="858">
        <v>70114308</v>
      </c>
      <c r="AC22" s="443"/>
    </row>
    <row r="23" spans="1:30">
      <c r="A23" s="952" t="s">
        <v>1485</v>
      </c>
      <c r="B23" s="953">
        <v>31</v>
      </c>
      <c r="C23" s="429" t="str">
        <f>'WP FR-16(7)(v)-Daily Gas Stats'!K140</f>
        <v>12/24/20</v>
      </c>
      <c r="D23" s="66"/>
      <c r="E23" s="1189">
        <v>836570</v>
      </c>
      <c r="F23" s="865">
        <f t="shared" si="0"/>
        <v>26986</v>
      </c>
      <c r="G23" s="954">
        <f>'WP FR-16(7)(v)-Daily Gas Stats'!O29</f>
        <v>72.921599999999998</v>
      </c>
      <c r="H23" s="1199">
        <f t="shared" si="1"/>
        <v>37007</v>
      </c>
      <c r="I23" s="954">
        <f>'WP FR-16(7)(v)-Daily Gas Stats'!N29</f>
        <v>59.304000000000002</v>
      </c>
      <c r="J23" s="1199">
        <f t="shared" si="3"/>
        <v>45505</v>
      </c>
      <c r="K23" s="955">
        <f>'WP FR-16(7)(v)-Daily Gas Stats'!M29</f>
        <v>59.078800000000001</v>
      </c>
      <c r="L23" s="292">
        <f t="shared" si="2"/>
        <v>45678</v>
      </c>
      <c r="M23" s="59"/>
      <c r="N23" s="59"/>
      <c r="O23" s="855"/>
      <c r="P23" s="856"/>
      <c r="Q23" s="856"/>
      <c r="R23" s="856"/>
      <c r="S23" s="856"/>
      <c r="T23" s="856"/>
      <c r="U23" s="856"/>
      <c r="V23" s="856"/>
      <c r="W23" s="856"/>
      <c r="X23" s="856"/>
      <c r="Y23" s="856"/>
      <c r="Z23" s="856"/>
      <c r="AA23" s="856"/>
      <c r="AB23" s="857"/>
      <c r="AC23" s="443"/>
    </row>
    <row r="24" spans="1:30">
      <c r="B24" s="58"/>
      <c r="C24" s="318"/>
      <c r="E24" s="307">
        <f>SUM(E12:E23)</f>
        <v>5557382</v>
      </c>
      <c r="F24" s="865"/>
      <c r="G24" s="954"/>
      <c r="H24" s="865">
        <f>MAX(H12:H23)</f>
        <v>53273</v>
      </c>
      <c r="I24" s="954"/>
      <c r="J24" s="865">
        <f>MAX(J12:J23)</f>
        <v>53273</v>
      </c>
      <c r="K24" s="1200"/>
      <c r="L24" s="284">
        <f>MAX(L12:L23)</f>
        <v>55134</v>
      </c>
      <c r="M24" s="59"/>
      <c r="O24" s="855" t="s">
        <v>989</v>
      </c>
      <c r="P24" s="860">
        <v>13388246</v>
      </c>
      <c r="Q24" s="860">
        <v>10017048</v>
      </c>
      <c r="R24" s="860">
        <v>8521994</v>
      </c>
      <c r="S24" s="860">
        <v>4266059</v>
      </c>
      <c r="T24" s="860">
        <v>3685024</v>
      </c>
      <c r="U24" s="860">
        <v>2624275</v>
      </c>
      <c r="V24" s="860">
        <v>2500262</v>
      </c>
      <c r="W24" s="860">
        <v>2458683</v>
      </c>
      <c r="X24" s="860">
        <v>2654715</v>
      </c>
      <c r="Y24" s="860">
        <v>4350185</v>
      </c>
      <c r="Z24" s="860">
        <v>6094734</v>
      </c>
      <c r="AA24" s="860">
        <v>9553087</v>
      </c>
      <c r="AB24" s="858">
        <v>70114312</v>
      </c>
      <c r="AC24" s="443"/>
    </row>
    <row r="25" spans="1:30">
      <c r="C25" s="69"/>
      <c r="N25" s="59"/>
      <c r="O25" s="855"/>
      <c r="P25" s="446">
        <v>3</v>
      </c>
      <c r="Q25" s="446">
        <v>0</v>
      </c>
      <c r="R25" s="446">
        <v>1</v>
      </c>
      <c r="S25" s="446">
        <v>0</v>
      </c>
      <c r="T25" s="446">
        <v>1</v>
      </c>
      <c r="U25" s="446">
        <v>0</v>
      </c>
      <c r="V25" s="446">
        <v>1</v>
      </c>
      <c r="W25" s="446">
        <v>-1</v>
      </c>
      <c r="X25" s="446">
        <v>1</v>
      </c>
      <c r="Y25" s="446">
        <v>-1</v>
      </c>
      <c r="Z25" s="446">
        <v>0</v>
      </c>
      <c r="AA25" s="446">
        <v>-1</v>
      </c>
      <c r="AB25" s="858">
        <v>4</v>
      </c>
      <c r="AC25" s="443"/>
    </row>
    <row r="26" spans="1:30">
      <c r="O26" s="855"/>
      <c r="P26" s="446"/>
      <c r="Q26" s="446"/>
      <c r="R26" s="446"/>
      <c r="S26" s="446"/>
      <c r="T26" s="446"/>
      <c r="U26" s="446"/>
      <c r="V26" s="446"/>
      <c r="W26" s="446"/>
      <c r="X26" s="446"/>
      <c r="Y26" s="446"/>
      <c r="Z26" s="446"/>
      <c r="AA26" s="446"/>
      <c r="AB26" s="858"/>
      <c r="AC26" s="443"/>
    </row>
    <row r="27" spans="1:30" ht="13">
      <c r="A27" s="415" t="s">
        <v>1261</v>
      </c>
      <c r="B27" s="416"/>
      <c r="C27" s="416"/>
      <c r="E27" s="417" t="s">
        <v>618</v>
      </c>
      <c r="I27" s="421" t="s">
        <v>1422</v>
      </c>
      <c r="J27" s="1194" t="s">
        <v>620</v>
      </c>
      <c r="K27" s="421" t="s">
        <v>1422</v>
      </c>
      <c r="L27" s="57" t="s">
        <v>1422</v>
      </c>
      <c r="N27" s="59"/>
      <c r="O27" s="855" t="s">
        <v>766</v>
      </c>
      <c r="P27" s="446">
        <v>5271081</v>
      </c>
      <c r="Q27" s="446">
        <v>3607151</v>
      </c>
      <c r="R27" s="446">
        <v>3274923</v>
      </c>
      <c r="S27" s="446">
        <v>1483475</v>
      </c>
      <c r="T27" s="446">
        <v>914819</v>
      </c>
      <c r="U27" s="446">
        <v>468853</v>
      </c>
      <c r="V27" s="446">
        <v>399134</v>
      </c>
      <c r="W27" s="446">
        <v>371905</v>
      </c>
      <c r="X27" s="446">
        <v>456476</v>
      </c>
      <c r="Y27" s="446">
        <v>1074849</v>
      </c>
      <c r="Z27" s="446">
        <v>1775766</v>
      </c>
      <c r="AA27" s="446">
        <v>3411008</v>
      </c>
      <c r="AB27" s="1063">
        <f>AB15+AB17+AB19</f>
        <v>22509440</v>
      </c>
      <c r="AC27" s="443"/>
      <c r="AD27" s="1063">
        <f>AD15+AD17+AD19</f>
        <v>276148</v>
      </c>
    </row>
    <row r="28" spans="1:30">
      <c r="A28" s="61"/>
      <c r="B28" s="58"/>
      <c r="C28" s="62" t="s">
        <v>1420</v>
      </c>
      <c r="D28" s="58"/>
      <c r="E28" s="417" t="s">
        <v>619</v>
      </c>
      <c r="F28" s="420" t="s">
        <v>902</v>
      </c>
      <c r="G28" s="421" t="s">
        <v>1421</v>
      </c>
      <c r="H28" s="420" t="s">
        <v>844</v>
      </c>
      <c r="I28" s="1195" t="s">
        <v>622</v>
      </c>
      <c r="J28" s="1194" t="s">
        <v>623</v>
      </c>
      <c r="K28" s="1194" t="s">
        <v>624</v>
      </c>
      <c r="L28" s="58" t="s">
        <v>624</v>
      </c>
      <c r="O28" s="855" t="s">
        <v>990</v>
      </c>
      <c r="P28" s="446">
        <v>2167678</v>
      </c>
      <c r="Q28" s="446">
        <v>1589485</v>
      </c>
      <c r="R28" s="446">
        <v>1452167</v>
      </c>
      <c r="S28" s="446">
        <v>673780</v>
      </c>
      <c r="T28" s="446">
        <v>432482</v>
      </c>
      <c r="U28" s="446">
        <v>227781</v>
      </c>
      <c r="V28" s="446">
        <v>189840</v>
      </c>
      <c r="W28" s="446">
        <v>175002</v>
      </c>
      <c r="X28" s="446">
        <v>217701</v>
      </c>
      <c r="Y28" s="446">
        <v>527429</v>
      </c>
      <c r="Z28" s="446">
        <v>853583</v>
      </c>
      <c r="AA28" s="446">
        <v>1627177</v>
      </c>
      <c r="AB28" s="1064">
        <f>AB16+AB18</f>
        <v>10134105</v>
      </c>
      <c r="AC28" s="443"/>
      <c r="AD28" s="1064">
        <f>AD16+AD18</f>
        <v>111423</v>
      </c>
    </row>
    <row r="29" spans="1:30">
      <c r="A29" s="64" t="s">
        <v>625</v>
      </c>
      <c r="B29" s="65" t="s">
        <v>626</v>
      </c>
      <c r="C29" s="65" t="s">
        <v>627</v>
      </c>
      <c r="D29" s="65"/>
      <c r="E29" s="422" t="s">
        <v>1096</v>
      </c>
      <c r="F29" s="423" t="s">
        <v>903</v>
      </c>
      <c r="G29" s="424" t="s">
        <v>628</v>
      </c>
      <c r="H29" s="423" t="s">
        <v>629</v>
      </c>
      <c r="I29" s="424" t="s">
        <v>630</v>
      </c>
      <c r="J29" s="1196" t="s">
        <v>631</v>
      </c>
      <c r="K29" s="1196" t="s">
        <v>628</v>
      </c>
      <c r="L29" s="65" t="s">
        <v>631</v>
      </c>
      <c r="N29" s="59"/>
      <c r="O29" s="855" t="s">
        <v>993</v>
      </c>
      <c r="P29" s="446">
        <f>P9+P10</f>
        <v>735388</v>
      </c>
      <c r="Q29" s="446">
        <f t="shared" ref="Q29:AB29" si="4">Q9+Q10</f>
        <v>536340</v>
      </c>
      <c r="R29" s="446">
        <f t="shared" si="4"/>
        <v>407298</v>
      </c>
      <c r="S29" s="446">
        <f t="shared" si="4"/>
        <v>88718</v>
      </c>
      <c r="T29" s="446">
        <f t="shared" si="4"/>
        <v>84368</v>
      </c>
      <c r="U29" s="446">
        <f t="shared" si="4"/>
        <v>45407</v>
      </c>
      <c r="V29" s="446">
        <f t="shared" si="4"/>
        <v>39774</v>
      </c>
      <c r="W29" s="446">
        <f t="shared" si="4"/>
        <v>36847</v>
      </c>
      <c r="X29" s="446">
        <f t="shared" si="4"/>
        <v>44810</v>
      </c>
      <c r="Y29" s="446">
        <f t="shared" si="4"/>
        <v>102775</v>
      </c>
      <c r="Z29" s="446">
        <f t="shared" si="4"/>
        <v>276103</v>
      </c>
      <c r="AA29" s="446">
        <f t="shared" si="4"/>
        <v>458671</v>
      </c>
      <c r="AB29" s="1065">
        <f t="shared" si="4"/>
        <v>2856499</v>
      </c>
      <c r="AC29" s="443"/>
      <c r="AD29" s="1065">
        <f>AD9+AD10</f>
        <v>20662</v>
      </c>
    </row>
    <row r="30" spans="1:30">
      <c r="A30" s="200"/>
      <c r="B30" s="201"/>
      <c r="C30" s="201"/>
      <c r="D30" s="201"/>
      <c r="E30" s="1479" t="s">
        <v>1486</v>
      </c>
      <c r="F30" s="426"/>
      <c r="G30" s="427" t="s">
        <v>845</v>
      </c>
      <c r="H30" s="426"/>
      <c r="I30" s="427" t="s">
        <v>846</v>
      </c>
      <c r="J30" s="1197"/>
      <c r="K30" s="1198" t="s">
        <v>847</v>
      </c>
      <c r="L30" s="201"/>
      <c r="O30" s="855" t="s">
        <v>994</v>
      </c>
      <c r="P30" s="1056">
        <f>P7+P8+P20+P21</f>
        <v>3217297</v>
      </c>
      <c r="Q30" s="1056">
        <f t="shared" ref="Q30:AB30" si="5">Q7+Q8+Q20+Q21</f>
        <v>2700017</v>
      </c>
      <c r="R30" s="1056">
        <f t="shared" si="5"/>
        <v>1717906</v>
      </c>
      <c r="S30" s="1056">
        <f t="shared" si="5"/>
        <v>547352</v>
      </c>
      <c r="T30" s="1056">
        <f t="shared" si="5"/>
        <v>804967</v>
      </c>
      <c r="U30" s="1056">
        <f t="shared" si="5"/>
        <v>566338</v>
      </c>
      <c r="V30" s="1056">
        <f t="shared" si="5"/>
        <v>543103</v>
      </c>
      <c r="W30" s="1056">
        <f t="shared" si="5"/>
        <v>529599</v>
      </c>
      <c r="X30" s="1056">
        <f t="shared" si="5"/>
        <v>662330</v>
      </c>
      <c r="Y30" s="1056">
        <f t="shared" si="5"/>
        <v>1050856</v>
      </c>
      <c r="Z30" s="1056">
        <f t="shared" si="5"/>
        <v>1494658</v>
      </c>
      <c r="AA30" s="1056">
        <f t="shared" si="5"/>
        <v>2221553</v>
      </c>
      <c r="AB30" s="1069">
        <f t="shared" si="5"/>
        <v>16055976</v>
      </c>
      <c r="AC30" s="443"/>
      <c r="AD30" s="1069">
        <f>AD7+AD8+AD20+AD21</f>
        <v>8056</v>
      </c>
    </row>
    <row r="31" spans="1:30">
      <c r="A31" s="433" t="str">
        <f t="shared" ref="A31:C42" si="6">A12</f>
        <v>Jan 2020</v>
      </c>
      <c r="B31" s="431">
        <f t="shared" si="6"/>
        <v>31</v>
      </c>
      <c r="C31" s="432" t="str">
        <f t="shared" si="6"/>
        <v>01/19/20</v>
      </c>
      <c r="D31" s="66"/>
      <c r="E31" s="1188">
        <v>587625</v>
      </c>
      <c r="F31" s="865">
        <f t="shared" ref="F31:F42" si="7">ROUND(E31/B31,0)</f>
        <v>18956</v>
      </c>
      <c r="G31" s="956">
        <f>'WP FR-16(7)(v)-Daily Gas Stats'!O55</f>
        <v>68.493600000000001</v>
      </c>
      <c r="H31" s="865">
        <f t="shared" ref="H31:H42" si="8">ROUND(F31/(G31/100),0)</f>
        <v>27676</v>
      </c>
      <c r="I31" s="957">
        <f>'WP FR-16(7)(v)-Daily Gas Stats'!N55</f>
        <v>68.3309</v>
      </c>
      <c r="J31" s="865">
        <f t="shared" ref="J31:J42" si="9">ROUND(F31/(I31/100),0)</f>
        <v>27741</v>
      </c>
      <c r="K31" s="957">
        <f>'WP FR-16(7)(v)-Daily Gas Stats'!M55</f>
        <v>57.7485</v>
      </c>
      <c r="L31" s="284">
        <f t="shared" ref="L31:L42" si="10">ROUND($F31/(K31/100),0)</f>
        <v>32825</v>
      </c>
      <c r="N31" s="59"/>
      <c r="O31" s="1061" t="s">
        <v>370</v>
      </c>
      <c r="P31" s="1059">
        <f>P11</f>
        <v>1996799</v>
      </c>
      <c r="Q31" s="1059">
        <f t="shared" ref="Q31:AA31" si="11">Q11</f>
        <v>1584055</v>
      </c>
      <c r="R31" s="1059">
        <f t="shared" si="11"/>
        <v>1669699</v>
      </c>
      <c r="S31" s="1059">
        <f t="shared" si="11"/>
        <v>1472734</v>
      </c>
      <c r="T31" s="1059">
        <f t="shared" si="11"/>
        <v>1448387</v>
      </c>
      <c r="U31" s="1059">
        <f t="shared" si="11"/>
        <v>1315896</v>
      </c>
      <c r="V31" s="1059">
        <f t="shared" si="11"/>
        <v>1328410</v>
      </c>
      <c r="W31" s="1059">
        <f t="shared" si="11"/>
        <v>1345331</v>
      </c>
      <c r="X31" s="1059">
        <f t="shared" si="11"/>
        <v>1273397</v>
      </c>
      <c r="Y31" s="1059">
        <f t="shared" si="11"/>
        <v>1594277</v>
      </c>
      <c r="Z31" s="1059">
        <f t="shared" si="11"/>
        <v>1694624</v>
      </c>
      <c r="AA31" s="1059">
        <f t="shared" si="11"/>
        <v>1834679</v>
      </c>
      <c r="AB31" s="1067">
        <f>AB11</f>
        <v>18558288</v>
      </c>
      <c r="AD31" s="1067">
        <f>AD11</f>
        <v>117</v>
      </c>
    </row>
    <row r="32" spans="1:30">
      <c r="A32" s="433" t="str">
        <f t="shared" si="6"/>
        <v>Feb</v>
      </c>
      <c r="B32" s="431">
        <f t="shared" si="6"/>
        <v>28</v>
      </c>
      <c r="C32" s="432" t="str">
        <f t="shared" si="6"/>
        <v>02/14/20</v>
      </c>
      <c r="D32" s="66"/>
      <c r="E32" s="1188">
        <v>612549</v>
      </c>
      <c r="F32" s="865">
        <f t="shared" si="7"/>
        <v>21877</v>
      </c>
      <c r="G32" s="956">
        <f>'WP FR-16(7)(v)-Daily Gas Stats'!O56</f>
        <v>75.739999999999995</v>
      </c>
      <c r="H32" s="865">
        <f t="shared" si="8"/>
        <v>28884</v>
      </c>
      <c r="I32" s="957">
        <f>'WP FR-16(7)(v)-Daily Gas Stats'!N56</f>
        <v>75.739999999999995</v>
      </c>
      <c r="J32" s="865">
        <f t="shared" si="9"/>
        <v>28884</v>
      </c>
      <c r="K32" s="957">
        <f>'WP FR-16(7)(v)-Daily Gas Stats'!M56</f>
        <v>65.308700000000002</v>
      </c>
      <c r="L32" s="284">
        <f t="shared" si="10"/>
        <v>33498</v>
      </c>
      <c r="O32" s="1062" t="s">
        <v>579</v>
      </c>
      <c r="P32" s="861">
        <f>SUM(P27:P31)</f>
        <v>13388243</v>
      </c>
      <c r="Q32" s="861">
        <f t="shared" ref="Q32:AD32" si="12">SUM(Q27:Q31)</f>
        <v>10017048</v>
      </c>
      <c r="R32" s="861">
        <f t="shared" si="12"/>
        <v>8521993</v>
      </c>
      <c r="S32" s="861">
        <f t="shared" si="12"/>
        <v>4266059</v>
      </c>
      <c r="T32" s="861">
        <f t="shared" si="12"/>
        <v>3685023</v>
      </c>
      <c r="U32" s="861">
        <f t="shared" si="12"/>
        <v>2624275</v>
      </c>
      <c r="V32" s="861">
        <f t="shared" si="12"/>
        <v>2500261</v>
      </c>
      <c r="W32" s="861">
        <f t="shared" si="12"/>
        <v>2458684</v>
      </c>
      <c r="X32" s="861">
        <f t="shared" si="12"/>
        <v>2654714</v>
      </c>
      <c r="Y32" s="861">
        <f t="shared" si="12"/>
        <v>4350186</v>
      </c>
      <c r="Z32" s="861">
        <f t="shared" si="12"/>
        <v>6094734</v>
      </c>
      <c r="AA32" s="861">
        <f t="shared" si="12"/>
        <v>9553088</v>
      </c>
      <c r="AB32" s="862">
        <f t="shared" si="12"/>
        <v>70114308</v>
      </c>
      <c r="AD32" s="862">
        <f t="shared" si="12"/>
        <v>416406</v>
      </c>
    </row>
    <row r="33" spans="1:17">
      <c r="A33" s="433" t="str">
        <f t="shared" si="6"/>
        <v>Mar</v>
      </c>
      <c r="B33" s="431">
        <f t="shared" si="6"/>
        <v>31</v>
      </c>
      <c r="C33" s="432" t="str">
        <f t="shared" si="6"/>
        <v>03/06/20</v>
      </c>
      <c r="D33" s="66"/>
      <c r="E33" s="1188">
        <v>511174</v>
      </c>
      <c r="F33" s="865">
        <f t="shared" si="7"/>
        <v>16489</v>
      </c>
      <c r="G33" s="956">
        <f>'WP FR-16(7)(v)-Daily Gas Stats'!O57</f>
        <v>59.7468</v>
      </c>
      <c r="H33" s="865">
        <f t="shared" si="8"/>
        <v>27598</v>
      </c>
      <c r="I33" s="957">
        <f>'WP FR-16(7)(v)-Daily Gas Stats'!N57</f>
        <v>59.7468</v>
      </c>
      <c r="J33" s="865">
        <f t="shared" si="9"/>
        <v>27598</v>
      </c>
      <c r="K33" s="957">
        <f>'WP FR-16(7)(v)-Daily Gas Stats'!M57</f>
        <v>52.078099999999999</v>
      </c>
      <c r="L33" s="284">
        <f t="shared" si="10"/>
        <v>31662</v>
      </c>
      <c r="M33" s="59"/>
      <c r="N33" s="59"/>
      <c r="P33" s="68"/>
    </row>
    <row r="34" spans="1:17">
      <c r="A34" s="433" t="str">
        <f t="shared" si="6"/>
        <v>Apr</v>
      </c>
      <c r="B34" s="431">
        <f t="shared" si="6"/>
        <v>30</v>
      </c>
      <c r="C34" s="432" t="str">
        <f t="shared" si="6"/>
        <v>04/15/20</v>
      </c>
      <c r="D34" s="66"/>
      <c r="E34" s="1188">
        <v>269386</v>
      </c>
      <c r="F34" s="865">
        <f t="shared" si="7"/>
        <v>8980</v>
      </c>
      <c r="G34" s="956">
        <f>'WP FR-16(7)(v)-Daily Gas Stats'!O58</f>
        <v>53.420999999999999</v>
      </c>
      <c r="H34" s="865">
        <f t="shared" si="8"/>
        <v>16810</v>
      </c>
      <c r="I34" s="957">
        <f>'WP FR-16(7)(v)-Daily Gas Stats'!N58</f>
        <v>53.420999999999999</v>
      </c>
      <c r="J34" s="865">
        <f t="shared" si="9"/>
        <v>16810</v>
      </c>
      <c r="K34" s="957">
        <f>'WP FR-16(7)(v)-Daily Gas Stats'!M58</f>
        <v>47.605499999999999</v>
      </c>
      <c r="L34" s="284">
        <f t="shared" si="10"/>
        <v>18863</v>
      </c>
      <c r="M34" s="59"/>
      <c r="P34" s="70"/>
    </row>
    <row r="35" spans="1:17">
      <c r="A35" s="433" t="str">
        <f t="shared" si="6"/>
        <v>May</v>
      </c>
      <c r="B35" s="431">
        <f t="shared" si="6"/>
        <v>31</v>
      </c>
      <c r="C35" s="432" t="str">
        <f t="shared" si="6"/>
        <v>05/11/20</v>
      </c>
      <c r="D35" s="66"/>
      <c r="E35" s="1188">
        <v>193324</v>
      </c>
      <c r="F35" s="865">
        <f t="shared" si="7"/>
        <v>6236</v>
      </c>
      <c r="G35" s="956">
        <f>'WP FR-16(7)(v)-Daily Gas Stats'!O59</f>
        <v>52.402299999999997</v>
      </c>
      <c r="H35" s="865">
        <f t="shared" si="8"/>
        <v>11900</v>
      </c>
      <c r="I35" s="957">
        <f>'WP FR-16(7)(v)-Daily Gas Stats'!N59</f>
        <v>52.402299999999997</v>
      </c>
      <c r="J35" s="865">
        <f t="shared" si="9"/>
        <v>11900</v>
      </c>
      <c r="K35" s="957">
        <f>'WP FR-16(7)(v)-Daily Gas Stats'!M59</f>
        <v>43.786200000000001</v>
      </c>
      <c r="L35" s="284">
        <f t="shared" si="10"/>
        <v>14242</v>
      </c>
      <c r="M35" s="59"/>
      <c r="N35" s="59"/>
      <c r="P35" s="68"/>
    </row>
    <row r="36" spans="1:17">
      <c r="A36" s="433" t="str">
        <f t="shared" si="6"/>
        <v>Jun</v>
      </c>
      <c r="B36" s="431">
        <f t="shared" si="6"/>
        <v>30</v>
      </c>
      <c r="C36" s="432" t="str">
        <f t="shared" si="6"/>
        <v>06/11/20</v>
      </c>
      <c r="D36" s="66"/>
      <c r="E36" s="1188">
        <v>94615</v>
      </c>
      <c r="F36" s="865">
        <f t="shared" si="7"/>
        <v>3154</v>
      </c>
      <c r="G36" s="956">
        <f>'WP FR-16(7)(v)-Daily Gas Stats'!O60</f>
        <v>99.277699999999996</v>
      </c>
      <c r="H36" s="865">
        <f t="shared" si="8"/>
        <v>3177</v>
      </c>
      <c r="I36" s="957">
        <f>'WP FR-16(7)(v)-Daily Gas Stats'!N60</f>
        <v>87.211699999999993</v>
      </c>
      <c r="J36" s="865">
        <f t="shared" si="9"/>
        <v>3616</v>
      </c>
      <c r="K36" s="957">
        <f>'WP FR-16(7)(v)-Daily Gas Stats'!M60</f>
        <v>62.646599999999999</v>
      </c>
      <c r="L36" s="284">
        <f t="shared" si="10"/>
        <v>5035</v>
      </c>
      <c r="M36" s="59"/>
      <c r="P36" s="70"/>
    </row>
    <row r="37" spans="1:17">
      <c r="A37" s="433" t="str">
        <f t="shared" si="6"/>
        <v>Jul</v>
      </c>
      <c r="B37" s="431">
        <f t="shared" si="6"/>
        <v>31</v>
      </c>
      <c r="C37" s="432" t="str">
        <f t="shared" si="6"/>
        <v>07/01/20</v>
      </c>
      <c r="D37" s="66"/>
      <c r="E37" s="1188">
        <v>70345</v>
      </c>
      <c r="F37" s="865">
        <f t="shared" si="7"/>
        <v>2269</v>
      </c>
      <c r="G37" s="956">
        <f>'WP FR-16(7)(v)-Daily Gas Stats'!O61</f>
        <v>96.492099999999994</v>
      </c>
      <c r="H37" s="865">
        <f t="shared" si="8"/>
        <v>2351</v>
      </c>
      <c r="I37" s="957">
        <f>'WP FR-16(7)(v)-Daily Gas Stats'!N61</f>
        <v>90.641000000000005</v>
      </c>
      <c r="J37" s="865">
        <f t="shared" si="9"/>
        <v>2503</v>
      </c>
      <c r="K37" s="957">
        <f>'WP FR-16(7)(v)-Daily Gas Stats'!M61</f>
        <v>75.216300000000004</v>
      </c>
      <c r="L37" s="284">
        <f t="shared" si="10"/>
        <v>3017</v>
      </c>
      <c r="M37" s="59"/>
      <c r="N37" s="59"/>
      <c r="P37" s="68" t="s">
        <v>579</v>
      </c>
      <c r="Q37" s="53" t="s">
        <v>1173</v>
      </c>
    </row>
    <row r="38" spans="1:17">
      <c r="A38" s="433" t="str">
        <f t="shared" si="6"/>
        <v>Aug</v>
      </c>
      <c r="B38" s="431">
        <f t="shared" si="6"/>
        <v>31</v>
      </c>
      <c r="C38" s="432" t="str">
        <f t="shared" si="6"/>
        <v>08/25/20</v>
      </c>
      <c r="D38" s="66"/>
      <c r="E38" s="1188">
        <v>71091</v>
      </c>
      <c r="F38" s="865">
        <f t="shared" si="7"/>
        <v>2293</v>
      </c>
      <c r="G38" s="956">
        <f>'WP FR-16(7)(v)-Daily Gas Stats'!O62</f>
        <v>103.9243</v>
      </c>
      <c r="H38" s="865">
        <f t="shared" si="8"/>
        <v>2206</v>
      </c>
      <c r="I38" s="957">
        <f>'WP FR-16(7)(v)-Daily Gas Stats'!N62</f>
        <v>87.430800000000005</v>
      </c>
      <c r="J38" s="865">
        <f t="shared" si="9"/>
        <v>2623</v>
      </c>
      <c r="K38" s="957">
        <f>'WP FR-16(7)(v)-Daily Gas Stats'!M62</f>
        <v>74.578500000000005</v>
      </c>
      <c r="L38" s="284">
        <f t="shared" si="10"/>
        <v>3075</v>
      </c>
      <c r="M38" s="59"/>
      <c r="O38" s="53" t="s">
        <v>766</v>
      </c>
      <c r="P38" s="284">
        <v>22509440</v>
      </c>
      <c r="Q38" s="55">
        <f>AB15+AB17+AB19</f>
        <v>22509440</v>
      </c>
    </row>
    <row r="39" spans="1:17">
      <c r="A39" s="433" t="str">
        <f t="shared" si="6"/>
        <v>Sept</v>
      </c>
      <c r="B39" s="431">
        <f t="shared" si="6"/>
        <v>30</v>
      </c>
      <c r="C39" s="432" t="str">
        <f t="shared" si="6"/>
        <v>09/29/20</v>
      </c>
      <c r="D39" s="66"/>
      <c r="E39" s="1188">
        <v>59038</v>
      </c>
      <c r="F39" s="865">
        <f t="shared" si="7"/>
        <v>1968</v>
      </c>
      <c r="G39" s="956">
        <f>'WP FR-16(7)(v)-Daily Gas Stats'!O63</f>
        <v>71.111900000000006</v>
      </c>
      <c r="H39" s="865">
        <f t="shared" si="8"/>
        <v>2767</v>
      </c>
      <c r="I39" s="957">
        <f>'WP FR-16(7)(v)-Daily Gas Stats'!N63</f>
        <v>69.707499999999996</v>
      </c>
      <c r="J39" s="865">
        <f t="shared" si="9"/>
        <v>2823</v>
      </c>
      <c r="K39" s="957">
        <f>'WP FR-16(7)(v)-Daily Gas Stats'!M63</f>
        <v>58.704700000000003</v>
      </c>
      <c r="L39" s="284">
        <f t="shared" si="10"/>
        <v>3352</v>
      </c>
      <c r="M39" s="59"/>
      <c r="N39" s="59"/>
      <c r="O39" s="53" t="s">
        <v>990</v>
      </c>
      <c r="P39" s="284">
        <v>10134105</v>
      </c>
    </row>
    <row r="40" spans="1:17">
      <c r="A40" s="433" t="str">
        <f t="shared" si="6"/>
        <v xml:space="preserve">Oct </v>
      </c>
      <c r="B40" s="431">
        <f t="shared" si="6"/>
        <v>31</v>
      </c>
      <c r="C40" s="432" t="str">
        <f t="shared" si="6"/>
        <v>10/30/20</v>
      </c>
      <c r="D40" s="66"/>
      <c r="E40" s="1188">
        <v>94564</v>
      </c>
      <c r="F40" s="865">
        <f t="shared" si="7"/>
        <v>3050</v>
      </c>
      <c r="G40" s="956">
        <f>'WP FR-16(7)(v)-Daily Gas Stats'!O64</f>
        <v>54.886899999999997</v>
      </c>
      <c r="H40" s="865">
        <f t="shared" si="8"/>
        <v>5557</v>
      </c>
      <c r="I40" s="957">
        <f>'WP FR-16(7)(v)-Daily Gas Stats'!N64</f>
        <v>54.886899999999997</v>
      </c>
      <c r="J40" s="865">
        <f t="shared" si="9"/>
        <v>5557</v>
      </c>
      <c r="K40" s="957">
        <f>'WP FR-16(7)(v)-Daily Gas Stats'!M64</f>
        <v>50.505400000000002</v>
      </c>
      <c r="L40" s="284">
        <f t="shared" si="10"/>
        <v>6039</v>
      </c>
      <c r="M40" s="59"/>
      <c r="O40" s="53" t="s">
        <v>993</v>
      </c>
      <c r="P40" s="284">
        <v>2856499</v>
      </c>
      <c r="Q40" s="55">
        <f>AB9</f>
        <v>1629748</v>
      </c>
    </row>
    <row r="41" spans="1:17">
      <c r="A41" s="433" t="str">
        <f t="shared" si="6"/>
        <v>Nov</v>
      </c>
      <c r="B41" s="431">
        <f t="shared" si="6"/>
        <v>30</v>
      </c>
      <c r="C41" s="432" t="str">
        <f t="shared" si="6"/>
        <v>11/30/20</v>
      </c>
      <c r="D41" s="66"/>
      <c r="E41" s="1188">
        <v>214128</v>
      </c>
      <c r="F41" s="865">
        <f t="shared" si="7"/>
        <v>7138</v>
      </c>
      <c r="G41" s="956">
        <f>'WP FR-16(7)(v)-Daily Gas Stats'!O65</f>
        <v>81.006600000000006</v>
      </c>
      <c r="H41" s="865">
        <f t="shared" si="8"/>
        <v>8812</v>
      </c>
      <c r="I41" s="957">
        <f>'WP FR-16(7)(v)-Daily Gas Stats'!N65</f>
        <v>65.114500000000007</v>
      </c>
      <c r="J41" s="865">
        <f t="shared" si="9"/>
        <v>10962</v>
      </c>
      <c r="K41" s="957">
        <f>'WP FR-16(7)(v)-Daily Gas Stats'!M65</f>
        <v>51.4711</v>
      </c>
      <c r="L41" s="284">
        <f t="shared" si="10"/>
        <v>13868</v>
      </c>
      <c r="M41" s="59"/>
      <c r="N41" s="59"/>
      <c r="O41" s="53" t="s">
        <v>994</v>
      </c>
      <c r="P41" s="284">
        <v>16055976</v>
      </c>
      <c r="Q41" s="55">
        <f>AB7+AB20+AB21</f>
        <v>4782675</v>
      </c>
    </row>
    <row r="42" spans="1:17">
      <c r="A42" s="433" t="str">
        <f t="shared" si="6"/>
        <v>Dec 2020</v>
      </c>
      <c r="B42" s="431">
        <f t="shared" si="6"/>
        <v>31</v>
      </c>
      <c r="C42" s="432" t="str">
        <f t="shared" si="6"/>
        <v>12/24/20</v>
      </c>
      <c r="D42" s="66"/>
      <c r="E42" s="1189">
        <v>482389</v>
      </c>
      <c r="F42" s="865">
        <f t="shared" si="7"/>
        <v>15561</v>
      </c>
      <c r="G42" s="956">
        <f>'WP FR-16(7)(v)-Daily Gas Stats'!O66</f>
        <v>76.626199999999997</v>
      </c>
      <c r="H42" s="1199">
        <f t="shared" si="8"/>
        <v>20308</v>
      </c>
      <c r="I42" s="957">
        <f>'WP FR-16(7)(v)-Daily Gas Stats'!N66</f>
        <v>66.937799999999996</v>
      </c>
      <c r="J42" s="1199">
        <f t="shared" si="9"/>
        <v>23247</v>
      </c>
      <c r="K42" s="957">
        <f>'WP FR-16(7)(v)-Daily Gas Stats'!M66</f>
        <v>61.578899999999997</v>
      </c>
      <c r="L42" s="292">
        <f t="shared" si="10"/>
        <v>25270</v>
      </c>
      <c r="M42" s="59"/>
      <c r="O42" s="53" t="s">
        <v>370</v>
      </c>
      <c r="P42" s="284">
        <v>18558288</v>
      </c>
    </row>
    <row r="43" spans="1:17">
      <c r="E43" s="307">
        <f>SUM(E31:E42)</f>
        <v>3260228</v>
      </c>
      <c r="F43" s="865"/>
      <c r="G43" s="954"/>
      <c r="H43" s="865">
        <f>MAX(H31:H42)</f>
        <v>28884</v>
      </c>
      <c r="I43" s="954"/>
      <c r="J43" s="865">
        <f>MAX(J31:J42)</f>
        <v>28884</v>
      </c>
      <c r="K43" s="1200"/>
      <c r="L43" s="284">
        <f>MAX(L31:L42)</f>
        <v>33498</v>
      </c>
      <c r="M43" s="59"/>
      <c r="N43" s="59"/>
      <c r="O43" s="53" t="s">
        <v>579</v>
      </c>
      <c r="P43" s="284">
        <f>SUM(P38:P42)</f>
        <v>70114308</v>
      </c>
    </row>
    <row r="44" spans="1:17">
      <c r="E44" s="1188"/>
      <c r="F44" s="1201"/>
      <c r="G44" s="1202"/>
      <c r="H44" s="1201"/>
      <c r="I44" s="428"/>
      <c r="J44" s="1201"/>
      <c r="K44" s="1200"/>
      <c r="L44" s="67"/>
      <c r="M44" s="59"/>
      <c r="P44" s="70"/>
    </row>
    <row r="45" spans="1:17">
      <c r="A45" s="202" t="s">
        <v>845</v>
      </c>
      <c r="B45" s="53" t="s">
        <v>848</v>
      </c>
      <c r="E45" s="1188"/>
      <c r="F45" s="1201"/>
      <c r="G45" s="1202"/>
      <c r="H45" s="1201"/>
      <c r="I45" s="428"/>
      <c r="J45" s="1201"/>
      <c r="K45" s="1200"/>
      <c r="L45" s="67"/>
      <c r="M45" s="59"/>
      <c r="N45" s="59"/>
      <c r="O45" s="59"/>
      <c r="P45" s="70"/>
    </row>
    <row r="46" spans="1:17">
      <c r="A46" s="202" t="s">
        <v>846</v>
      </c>
      <c r="B46" s="53" t="s">
        <v>850</v>
      </c>
      <c r="E46" s="1188"/>
      <c r="F46" s="1201"/>
      <c r="G46" s="1202"/>
      <c r="H46" s="1201"/>
      <c r="I46" s="428"/>
      <c r="J46" s="1201"/>
      <c r="K46" s="1200"/>
      <c r="L46" s="67"/>
      <c r="M46" s="59"/>
      <c r="N46" s="59"/>
      <c r="O46" s="59"/>
      <c r="P46" s="70"/>
    </row>
    <row r="47" spans="1:17">
      <c r="A47" s="202" t="s">
        <v>847</v>
      </c>
      <c r="B47" s="53" t="s">
        <v>849</v>
      </c>
      <c r="E47" s="1188"/>
      <c r="F47" s="1201"/>
      <c r="G47" s="1202"/>
      <c r="H47" s="1201"/>
      <c r="I47" s="1202"/>
      <c r="J47" s="1203"/>
      <c r="K47" s="1203"/>
      <c r="L47" s="70"/>
      <c r="M47" s="59"/>
      <c r="N47" s="59"/>
      <c r="O47" s="59"/>
      <c r="P47" s="70"/>
    </row>
    <row r="48" spans="1:17">
      <c r="A48" s="202"/>
      <c r="E48" s="1188"/>
      <c r="F48" s="1201"/>
      <c r="G48" s="1202"/>
      <c r="H48" s="1201"/>
      <c r="I48" s="1202"/>
      <c r="J48" s="1203"/>
      <c r="K48" s="1203"/>
      <c r="L48" s="70"/>
      <c r="M48" s="59"/>
      <c r="N48" s="59"/>
      <c r="O48" s="59"/>
      <c r="P48" s="70"/>
    </row>
    <row r="49" spans="1:16" ht="13">
      <c r="A49" s="195" t="str">
        <f>co_name</f>
        <v>DUKE ENERGY KENTUCKY, INC.</v>
      </c>
      <c r="B49" s="52"/>
      <c r="C49" s="52"/>
      <c r="D49" s="52"/>
      <c r="E49" s="1190"/>
      <c r="F49" s="1190"/>
      <c r="G49" s="1190"/>
      <c r="H49" s="1190"/>
      <c r="I49" s="1190"/>
      <c r="J49" s="1190" t="s">
        <v>1465</v>
      </c>
      <c r="K49" s="1190"/>
      <c r="L49" s="70"/>
      <c r="M49" s="59"/>
      <c r="N49" s="59"/>
      <c r="O49" s="59"/>
      <c r="P49" s="70"/>
    </row>
    <row r="50" spans="1:16" ht="13">
      <c r="A50" s="195" t="str">
        <f>coss_type</f>
        <v xml:space="preserve">GAS COST OF SERVICE STUDY </v>
      </c>
      <c r="B50" s="52"/>
      <c r="C50" s="52"/>
      <c r="D50" s="52"/>
      <c r="E50" s="1190"/>
      <c r="F50" s="1190"/>
      <c r="G50" s="1190"/>
      <c r="H50" s="1190"/>
      <c r="I50" s="1190"/>
      <c r="J50" s="1191" t="str">
        <f>'Alloc Factors Summary'!G2</f>
        <v>Witness Responsible:</v>
      </c>
      <c r="K50" s="1190"/>
      <c r="L50" s="70"/>
      <c r="M50" s="59"/>
      <c r="N50" s="59"/>
      <c r="O50" s="59"/>
      <c r="P50" s="70"/>
    </row>
    <row r="51" spans="1:16" ht="13">
      <c r="A51" s="195" t="str">
        <f>case_name</f>
        <v>CASE NO: 2021-00190</v>
      </c>
      <c r="B51" s="52"/>
      <c r="C51" s="52"/>
      <c r="D51" s="52"/>
      <c r="E51" s="1190"/>
      <c r="F51" s="1190"/>
      <c r="G51" s="1190"/>
      <c r="H51" s="1190"/>
      <c r="I51" s="1190"/>
      <c r="J51" s="1191" t="str">
        <f>'Alloc Factors Summary'!G3</f>
        <v>James E. Ziolkowski</v>
      </c>
      <c r="K51" s="1190"/>
      <c r="L51" s="70"/>
      <c r="M51" s="59"/>
      <c r="N51" s="59"/>
      <c r="O51" s="59"/>
      <c r="P51" s="70"/>
    </row>
    <row r="52" spans="1:16" ht="13">
      <c r="A52" s="10" t="str">
        <f>alloc_factors</f>
        <v>ALLOCATION FACTORS FOR COST OF SERVICE STUDY</v>
      </c>
      <c r="B52" s="52"/>
      <c r="C52" s="52"/>
      <c r="D52" s="52"/>
      <c r="E52" s="1190"/>
      <c r="F52" s="1190"/>
      <c r="G52" s="1190"/>
      <c r="H52" s="1190"/>
      <c r="I52" s="1190"/>
      <c r="J52" s="1190" t="s">
        <v>1052</v>
      </c>
      <c r="K52" s="1190"/>
    </row>
    <row r="53" spans="1:16" ht="13">
      <c r="A53" s="10" t="str">
        <f>time_period</f>
        <v>TWELVE MONTHS ENDING DECEMBER 31, 2020</v>
      </c>
      <c r="B53" s="52"/>
      <c r="C53" s="52"/>
      <c r="D53" s="52"/>
      <c r="E53" s="1190"/>
      <c r="F53" s="1190"/>
      <c r="G53" s="1190"/>
      <c r="H53" s="1190"/>
      <c r="I53" s="1190"/>
      <c r="J53" s="1276">
        <f ca="1">NOW()</f>
        <v>44420.466563425929</v>
      </c>
      <c r="K53" s="1190"/>
    </row>
    <row r="54" spans="1:16" ht="13">
      <c r="A54" s="197" t="s">
        <v>826</v>
      </c>
      <c r="B54" s="52"/>
      <c r="C54" s="52"/>
      <c r="D54" s="52"/>
      <c r="E54" s="1190"/>
      <c r="F54" s="1190"/>
      <c r="G54" s="1190"/>
      <c r="H54" s="1190"/>
      <c r="I54" s="1190"/>
      <c r="J54" s="1192"/>
      <c r="K54" s="1190"/>
    </row>
    <row r="55" spans="1:16">
      <c r="A55" s="53"/>
      <c r="M55" s="59"/>
      <c r="N55" s="59"/>
      <c r="O55" s="59"/>
    </row>
    <row r="56" spans="1:16" ht="13">
      <c r="A56" s="415" t="s">
        <v>1262</v>
      </c>
      <c r="B56" s="416"/>
      <c r="C56" s="416"/>
      <c r="E56" s="417" t="s">
        <v>618</v>
      </c>
      <c r="I56" s="421" t="s">
        <v>1422</v>
      </c>
      <c r="J56" s="1194" t="s">
        <v>620</v>
      </c>
      <c r="K56" s="421" t="s">
        <v>1422</v>
      </c>
      <c r="L56" s="57" t="s">
        <v>1422</v>
      </c>
      <c r="M56" s="72"/>
    </row>
    <row r="57" spans="1:16">
      <c r="A57" s="61"/>
      <c r="B57" s="58"/>
      <c r="C57" s="62" t="s">
        <v>1420</v>
      </c>
      <c r="D57" s="58"/>
      <c r="E57" s="417" t="s">
        <v>619</v>
      </c>
      <c r="F57" s="420" t="s">
        <v>902</v>
      </c>
      <c r="G57" s="421" t="s">
        <v>1421</v>
      </c>
      <c r="H57" s="420" t="s">
        <v>844</v>
      </c>
      <c r="I57" s="1195" t="s">
        <v>622</v>
      </c>
      <c r="J57" s="1194" t="s">
        <v>623</v>
      </c>
      <c r="K57" s="1194" t="s">
        <v>624</v>
      </c>
      <c r="L57" s="58" t="s">
        <v>624</v>
      </c>
      <c r="M57" s="73"/>
    </row>
    <row r="58" spans="1:16">
      <c r="A58" s="64" t="s">
        <v>625</v>
      </c>
      <c r="B58" s="65" t="s">
        <v>626</v>
      </c>
      <c r="C58" s="65" t="s">
        <v>627</v>
      </c>
      <c r="D58" s="65"/>
      <c r="E58" s="422" t="s">
        <v>1096</v>
      </c>
      <c r="F58" s="423" t="s">
        <v>903</v>
      </c>
      <c r="G58" s="424" t="s">
        <v>628</v>
      </c>
      <c r="H58" s="423" t="s">
        <v>629</v>
      </c>
      <c r="I58" s="424" t="s">
        <v>630</v>
      </c>
      <c r="J58" s="1196" t="s">
        <v>631</v>
      </c>
      <c r="K58" s="1196" t="s">
        <v>628</v>
      </c>
      <c r="L58" s="65" t="s">
        <v>631</v>
      </c>
      <c r="M58" s="72"/>
      <c r="N58" s="59"/>
      <c r="O58" s="59"/>
    </row>
    <row r="59" spans="1:16">
      <c r="A59" s="200"/>
      <c r="B59" s="201"/>
      <c r="C59" s="201"/>
      <c r="D59" s="201"/>
      <c r="E59" s="1479" t="s">
        <v>1486</v>
      </c>
      <c r="F59" s="426"/>
      <c r="G59" s="427" t="s">
        <v>845</v>
      </c>
      <c r="H59" s="426"/>
      <c r="I59" s="427" t="s">
        <v>846</v>
      </c>
      <c r="J59" s="1197"/>
      <c r="K59" s="1198" t="s">
        <v>847</v>
      </c>
      <c r="L59" s="201"/>
      <c r="M59" s="72"/>
    </row>
    <row r="60" spans="1:16">
      <c r="A60" s="430" t="str">
        <f t="shared" ref="A60:C71" si="13">A12</f>
        <v>Jan 2020</v>
      </c>
      <c r="B60" s="62">
        <f t="shared" si="13"/>
        <v>31</v>
      </c>
      <c r="C60" s="429" t="str">
        <f t="shared" si="13"/>
        <v>01/19/20</v>
      </c>
      <c r="D60" s="66"/>
      <c r="E60" s="1188">
        <v>308262</v>
      </c>
      <c r="F60" s="865">
        <f t="shared" ref="F60:F71" si="14">ROUND(E60/B60,0)</f>
        <v>9944</v>
      </c>
      <c r="G60" s="956">
        <f>'WP FR-16(7)(v)-Daily Gas Stats'!O92</f>
        <v>83.208699999999993</v>
      </c>
      <c r="H60" s="865">
        <f t="shared" ref="H60:H71" si="15">ROUND(F60/(G60/100),0)</f>
        <v>11951</v>
      </c>
      <c r="I60" s="957">
        <f>'WP FR-16(7)(v)-Daily Gas Stats'!N92</f>
        <v>78.145799999999994</v>
      </c>
      <c r="J60" s="865">
        <f t="shared" ref="J60:J71" si="16">ROUND(F60/(I60/100),0)</f>
        <v>12725</v>
      </c>
      <c r="K60" s="957">
        <f>'WP FR-16(7)(v)-Daily Gas Stats'!M92</f>
        <v>70.228999999999999</v>
      </c>
      <c r="L60" s="284">
        <f t="shared" ref="L60:L71" si="17">ROUND($F60/(K60/100),0)</f>
        <v>14159</v>
      </c>
      <c r="M60" s="59"/>
      <c r="P60" s="70"/>
    </row>
    <row r="61" spans="1:16">
      <c r="A61" s="433" t="str">
        <f t="shared" si="13"/>
        <v>Feb</v>
      </c>
      <c r="B61" s="431">
        <f t="shared" si="13"/>
        <v>28</v>
      </c>
      <c r="C61" s="432" t="str">
        <f t="shared" si="13"/>
        <v>02/14/20</v>
      </c>
      <c r="D61" s="66"/>
      <c r="E61" s="1188">
        <v>299672</v>
      </c>
      <c r="F61" s="865">
        <f t="shared" si="14"/>
        <v>10703</v>
      </c>
      <c r="G61" s="956">
        <f>'WP FR-16(7)(v)-Daily Gas Stats'!O93</f>
        <v>81.715400000000002</v>
      </c>
      <c r="H61" s="865">
        <f t="shared" si="15"/>
        <v>13098</v>
      </c>
      <c r="I61" s="957">
        <f>'WP FR-16(7)(v)-Daily Gas Stats'!N93</f>
        <v>81.262200000000007</v>
      </c>
      <c r="J61" s="865">
        <f t="shared" si="16"/>
        <v>13171</v>
      </c>
      <c r="K61" s="957">
        <f>'WP FR-16(7)(v)-Daily Gas Stats'!M93</f>
        <v>73.450299999999999</v>
      </c>
      <c r="L61" s="284">
        <f t="shared" si="17"/>
        <v>14572</v>
      </c>
      <c r="M61" s="59"/>
      <c r="N61" s="59"/>
      <c r="O61" s="59"/>
      <c r="P61" s="70"/>
    </row>
    <row r="62" spans="1:16">
      <c r="A62" s="433" t="str">
        <f t="shared" si="13"/>
        <v>Mar</v>
      </c>
      <c r="B62" s="431">
        <f t="shared" si="13"/>
        <v>31</v>
      </c>
      <c r="C62" s="432" t="str">
        <f t="shared" si="13"/>
        <v>03/06/20</v>
      </c>
      <c r="D62" s="66"/>
      <c r="E62" s="1188">
        <v>242321</v>
      </c>
      <c r="F62" s="865">
        <f t="shared" si="14"/>
        <v>7817</v>
      </c>
      <c r="G62" s="956">
        <f>'WP FR-16(7)(v)-Daily Gas Stats'!O94</f>
        <v>74.325199999999995</v>
      </c>
      <c r="H62" s="865">
        <f t="shared" si="15"/>
        <v>10517</v>
      </c>
      <c r="I62" s="957">
        <f>'WP FR-16(7)(v)-Daily Gas Stats'!N94</f>
        <v>74.325199999999995</v>
      </c>
      <c r="J62" s="865">
        <f t="shared" si="16"/>
        <v>10517</v>
      </c>
      <c r="K62" s="957">
        <f>'WP FR-16(7)(v)-Daily Gas Stats'!M94</f>
        <v>65.27</v>
      </c>
      <c r="L62" s="284">
        <f t="shared" si="17"/>
        <v>11976</v>
      </c>
      <c r="M62" s="59"/>
      <c r="P62" s="70"/>
    </row>
    <row r="63" spans="1:16">
      <c r="A63" s="433" t="str">
        <f t="shared" si="13"/>
        <v>Apr</v>
      </c>
      <c r="B63" s="431">
        <f t="shared" si="13"/>
        <v>30</v>
      </c>
      <c r="C63" s="432" t="str">
        <f t="shared" si="13"/>
        <v>04/15/20</v>
      </c>
      <c r="D63" s="66"/>
      <c r="E63" s="1188">
        <v>168360</v>
      </c>
      <c r="F63" s="865">
        <f t="shared" si="14"/>
        <v>5612</v>
      </c>
      <c r="G63" s="956">
        <f>'WP FR-16(7)(v)-Daily Gas Stats'!O95</f>
        <v>70.678799999999995</v>
      </c>
      <c r="H63" s="865">
        <f t="shared" si="15"/>
        <v>7940</v>
      </c>
      <c r="I63" s="957">
        <f>'WP FR-16(7)(v)-Daily Gas Stats'!N95</f>
        <v>70.678799999999995</v>
      </c>
      <c r="J63" s="865">
        <f t="shared" si="16"/>
        <v>7940</v>
      </c>
      <c r="K63" s="957">
        <f>'WP FR-16(7)(v)-Daily Gas Stats'!M95</f>
        <v>61.525700000000001</v>
      </c>
      <c r="L63" s="284">
        <f t="shared" si="17"/>
        <v>9121</v>
      </c>
      <c r="M63" s="59"/>
      <c r="P63" s="70"/>
    </row>
    <row r="64" spans="1:16">
      <c r="A64" s="433" t="str">
        <f t="shared" si="13"/>
        <v>May</v>
      </c>
      <c r="B64" s="431">
        <f t="shared" si="13"/>
        <v>31</v>
      </c>
      <c r="C64" s="432" t="str">
        <f t="shared" si="13"/>
        <v>05/11/20</v>
      </c>
      <c r="D64" s="66"/>
      <c r="E64" s="1188">
        <v>138872</v>
      </c>
      <c r="F64" s="865">
        <f t="shared" si="14"/>
        <v>4480</v>
      </c>
      <c r="G64" s="956">
        <f>'WP FR-16(7)(v)-Daily Gas Stats'!O96</f>
        <v>62.77</v>
      </c>
      <c r="H64" s="865">
        <f t="shared" si="15"/>
        <v>7137</v>
      </c>
      <c r="I64" s="957">
        <f>'WP FR-16(7)(v)-Daily Gas Stats'!N96</f>
        <v>62.77</v>
      </c>
      <c r="J64" s="865">
        <f t="shared" si="16"/>
        <v>7137</v>
      </c>
      <c r="K64" s="957">
        <f>'WP FR-16(7)(v)-Daily Gas Stats'!M96</f>
        <v>56.512</v>
      </c>
      <c r="L64" s="284">
        <f t="shared" si="17"/>
        <v>7928</v>
      </c>
      <c r="M64" s="59"/>
      <c r="N64" s="59"/>
      <c r="O64" s="59"/>
      <c r="P64" s="70"/>
    </row>
    <row r="65" spans="1:16">
      <c r="A65" s="433" t="str">
        <f t="shared" si="13"/>
        <v>Jun</v>
      </c>
      <c r="B65" s="431">
        <f t="shared" si="13"/>
        <v>30</v>
      </c>
      <c r="C65" s="432" t="str">
        <f t="shared" si="13"/>
        <v>06/11/20</v>
      </c>
      <c r="D65" s="66"/>
      <c r="E65" s="1188">
        <v>119230</v>
      </c>
      <c r="F65" s="865">
        <f t="shared" si="14"/>
        <v>3974</v>
      </c>
      <c r="G65" s="956">
        <f>'WP FR-16(7)(v)-Daily Gas Stats'!O97</f>
        <v>86.868200000000002</v>
      </c>
      <c r="H65" s="865">
        <f t="shared" si="15"/>
        <v>4575</v>
      </c>
      <c r="I65" s="957">
        <f>'WP FR-16(7)(v)-Daily Gas Stats'!N97</f>
        <v>85.164900000000003</v>
      </c>
      <c r="J65" s="865">
        <f t="shared" si="16"/>
        <v>4666</v>
      </c>
      <c r="K65" s="957">
        <f>'WP FR-16(7)(v)-Daily Gas Stats'!M97</f>
        <v>66.985600000000005</v>
      </c>
      <c r="L65" s="284">
        <f t="shared" si="17"/>
        <v>5933</v>
      </c>
      <c r="M65" s="59"/>
      <c r="P65" s="70"/>
    </row>
    <row r="66" spans="1:16">
      <c r="A66" s="433" t="str">
        <f t="shared" si="13"/>
        <v>Jul</v>
      </c>
      <c r="B66" s="431">
        <f t="shared" si="13"/>
        <v>31</v>
      </c>
      <c r="C66" s="432" t="str">
        <f t="shared" si="13"/>
        <v>07/01/20</v>
      </c>
      <c r="D66" s="66"/>
      <c r="E66" s="1188">
        <v>113001</v>
      </c>
      <c r="F66" s="865">
        <f t="shared" si="14"/>
        <v>3645</v>
      </c>
      <c r="G66" s="956">
        <f>'WP FR-16(7)(v)-Daily Gas Stats'!O98</f>
        <v>88.595299999999995</v>
      </c>
      <c r="H66" s="865">
        <f t="shared" si="15"/>
        <v>4114</v>
      </c>
      <c r="I66" s="957">
        <f>'WP FR-16(7)(v)-Daily Gas Stats'!N98</f>
        <v>83.613500000000002</v>
      </c>
      <c r="J66" s="865">
        <f t="shared" si="16"/>
        <v>4359</v>
      </c>
      <c r="K66" s="957">
        <f>'WP FR-16(7)(v)-Daily Gas Stats'!M98</f>
        <v>71.369900000000001</v>
      </c>
      <c r="L66" s="284">
        <f t="shared" si="17"/>
        <v>5107</v>
      </c>
      <c r="M66" s="59"/>
      <c r="P66" s="70"/>
    </row>
    <row r="67" spans="1:16">
      <c r="A67" s="433" t="str">
        <f t="shared" si="13"/>
        <v>Aug</v>
      </c>
      <c r="B67" s="431">
        <f t="shared" si="13"/>
        <v>31</v>
      </c>
      <c r="C67" s="432" t="str">
        <f t="shared" si="13"/>
        <v>08/25/20</v>
      </c>
      <c r="D67" s="66"/>
      <c r="E67" s="1188">
        <v>116555</v>
      </c>
      <c r="F67" s="865">
        <f t="shared" si="14"/>
        <v>3760</v>
      </c>
      <c r="G67" s="956">
        <f>'WP FR-16(7)(v)-Daily Gas Stats'!O99</f>
        <v>86.906300000000002</v>
      </c>
      <c r="H67" s="865">
        <f t="shared" si="15"/>
        <v>4326</v>
      </c>
      <c r="I67" s="957">
        <f>'WP FR-16(7)(v)-Daily Gas Stats'!N99</f>
        <v>79.519400000000005</v>
      </c>
      <c r="J67" s="865">
        <f t="shared" si="16"/>
        <v>4728</v>
      </c>
      <c r="K67" s="957">
        <f>'WP FR-16(7)(v)-Daily Gas Stats'!M99</f>
        <v>68.817999999999998</v>
      </c>
      <c r="L67" s="284">
        <f t="shared" si="17"/>
        <v>5464</v>
      </c>
      <c r="M67" s="59"/>
      <c r="N67" s="59"/>
      <c r="O67" s="59"/>
      <c r="P67" s="70"/>
    </row>
    <row r="68" spans="1:16">
      <c r="A68" s="433" t="str">
        <f t="shared" si="13"/>
        <v>Sept</v>
      </c>
      <c r="B68" s="431">
        <f t="shared" si="13"/>
        <v>30</v>
      </c>
      <c r="C68" s="432" t="str">
        <f t="shared" si="13"/>
        <v>09/29/20</v>
      </c>
      <c r="D68" s="66"/>
      <c r="E68" s="1188">
        <v>128049</v>
      </c>
      <c r="F68" s="865">
        <f t="shared" si="14"/>
        <v>4268</v>
      </c>
      <c r="G68" s="956">
        <f>'WP FR-16(7)(v)-Daily Gas Stats'!O100</f>
        <v>79.902900000000002</v>
      </c>
      <c r="H68" s="865">
        <f t="shared" si="15"/>
        <v>5341</v>
      </c>
      <c r="I68" s="957">
        <f>'WP FR-16(7)(v)-Daily Gas Stats'!N100</f>
        <v>79.684899999999999</v>
      </c>
      <c r="J68" s="865">
        <f t="shared" si="16"/>
        <v>5356</v>
      </c>
      <c r="K68" s="957">
        <f>'WP FR-16(7)(v)-Daily Gas Stats'!M100</f>
        <v>64.135400000000004</v>
      </c>
      <c r="L68" s="284">
        <f t="shared" si="17"/>
        <v>6655</v>
      </c>
      <c r="M68" s="59"/>
      <c r="P68" s="70"/>
    </row>
    <row r="69" spans="1:16">
      <c r="A69" s="433" t="str">
        <f t="shared" si="13"/>
        <v xml:space="preserve">Oct </v>
      </c>
      <c r="B69" s="431">
        <f t="shared" si="13"/>
        <v>31</v>
      </c>
      <c r="C69" s="432" t="str">
        <f t="shared" si="13"/>
        <v>10/30/20</v>
      </c>
      <c r="D69" s="66"/>
      <c r="E69" s="1188">
        <v>167489</v>
      </c>
      <c r="F69" s="865">
        <f t="shared" si="14"/>
        <v>5403</v>
      </c>
      <c r="G69" s="956">
        <f>'WP FR-16(7)(v)-Daily Gas Stats'!O101</f>
        <v>74.698599999999999</v>
      </c>
      <c r="H69" s="865">
        <f t="shared" si="15"/>
        <v>7233</v>
      </c>
      <c r="I69" s="957">
        <f>'WP FR-16(7)(v)-Daily Gas Stats'!N101</f>
        <v>72.306899999999999</v>
      </c>
      <c r="J69" s="865">
        <f t="shared" si="16"/>
        <v>7472</v>
      </c>
      <c r="K69" s="957">
        <f>'WP FR-16(7)(v)-Daily Gas Stats'!M101</f>
        <v>61.512900000000002</v>
      </c>
      <c r="L69" s="284">
        <f t="shared" si="17"/>
        <v>8784</v>
      </c>
      <c r="M69" s="59"/>
      <c r="P69" s="70"/>
    </row>
    <row r="70" spans="1:16">
      <c r="A70" s="433" t="str">
        <f t="shared" si="13"/>
        <v>Nov</v>
      </c>
      <c r="B70" s="431">
        <f t="shared" si="13"/>
        <v>30</v>
      </c>
      <c r="C70" s="432" t="str">
        <f t="shared" si="13"/>
        <v>11/30/20</v>
      </c>
      <c r="D70" s="66"/>
      <c r="E70" s="1188">
        <v>198760</v>
      </c>
      <c r="F70" s="865">
        <f t="shared" si="14"/>
        <v>6625</v>
      </c>
      <c r="G70" s="956">
        <f>'WP FR-16(7)(v)-Daily Gas Stats'!O102</f>
        <v>64.970100000000002</v>
      </c>
      <c r="H70" s="865">
        <f t="shared" si="15"/>
        <v>10197</v>
      </c>
      <c r="I70" s="957">
        <f>'WP FR-16(7)(v)-Daily Gas Stats'!N102</f>
        <v>64.970100000000002</v>
      </c>
      <c r="J70" s="865">
        <f t="shared" si="16"/>
        <v>10197</v>
      </c>
      <c r="K70" s="957">
        <f>'WP FR-16(7)(v)-Daily Gas Stats'!M102</f>
        <v>59.587200000000003</v>
      </c>
      <c r="L70" s="284">
        <f t="shared" si="17"/>
        <v>11118</v>
      </c>
      <c r="M70" s="59"/>
      <c r="N70" s="59"/>
      <c r="O70" s="59"/>
      <c r="P70" s="70"/>
    </row>
    <row r="71" spans="1:16">
      <c r="A71" s="433" t="str">
        <f t="shared" si="13"/>
        <v>Dec 2020</v>
      </c>
      <c r="B71" s="431">
        <f t="shared" si="13"/>
        <v>31</v>
      </c>
      <c r="C71" s="432" t="str">
        <f t="shared" si="13"/>
        <v>12/24/20</v>
      </c>
      <c r="D71" s="66"/>
      <c r="E71" s="1189">
        <v>289392</v>
      </c>
      <c r="F71" s="865">
        <f t="shared" si="14"/>
        <v>9335</v>
      </c>
      <c r="G71" s="956">
        <f>'WP FR-16(7)(v)-Daily Gas Stats'!O103</f>
        <v>106.7229</v>
      </c>
      <c r="H71" s="1199">
        <f t="shared" si="15"/>
        <v>8747</v>
      </c>
      <c r="I71" s="957">
        <f>'WP FR-16(7)(v)-Daily Gas Stats'!N103</f>
        <v>83.705399999999997</v>
      </c>
      <c r="J71" s="1199">
        <f t="shared" si="16"/>
        <v>11152</v>
      </c>
      <c r="K71" s="957">
        <f>'WP FR-16(7)(v)-Daily Gas Stats'!M103</f>
        <v>69.192099999999996</v>
      </c>
      <c r="L71" s="292">
        <f t="shared" si="17"/>
        <v>13491</v>
      </c>
      <c r="M71" s="59"/>
      <c r="P71" s="70"/>
    </row>
    <row r="72" spans="1:16">
      <c r="E72" s="307">
        <f>SUM(E60:E71)</f>
        <v>2289963</v>
      </c>
      <c r="F72" s="865"/>
      <c r="G72" s="954"/>
      <c r="H72" s="865">
        <f>MAX(H60:H71)</f>
        <v>13098</v>
      </c>
      <c r="I72" s="954"/>
      <c r="J72" s="865">
        <f>MAX(J60:J71)</f>
        <v>13171</v>
      </c>
      <c r="K72" s="1200"/>
      <c r="L72" s="284">
        <f>MAX(L60:L71)</f>
        <v>14572</v>
      </c>
      <c r="M72" s="59"/>
      <c r="P72" s="70"/>
    </row>
    <row r="73" spans="1:16">
      <c r="E73" s="1188"/>
      <c r="F73" s="1201"/>
      <c r="G73" s="428"/>
      <c r="H73" s="1201"/>
      <c r="I73" s="428"/>
      <c r="J73" s="1201"/>
      <c r="K73" s="1200"/>
      <c r="L73" s="67"/>
      <c r="M73" s="59"/>
      <c r="N73" s="59"/>
      <c r="O73" s="59"/>
      <c r="P73" s="70"/>
    </row>
    <row r="74" spans="1:16" ht="13">
      <c r="A74" s="56" t="s">
        <v>1226</v>
      </c>
    </row>
    <row r="75" spans="1:16">
      <c r="M75" s="59"/>
    </row>
    <row r="76" spans="1:16">
      <c r="A76" s="53"/>
      <c r="B76" s="58"/>
      <c r="E76" s="417" t="s">
        <v>618</v>
      </c>
      <c r="I76" s="421" t="s">
        <v>1422</v>
      </c>
      <c r="J76" s="1194" t="s">
        <v>620</v>
      </c>
      <c r="K76" s="421" t="s">
        <v>1422</v>
      </c>
      <c r="L76" s="57" t="s">
        <v>1422</v>
      </c>
      <c r="N76" s="59"/>
      <c r="O76" s="59"/>
    </row>
    <row r="77" spans="1:16">
      <c r="A77" s="61"/>
      <c r="B77" s="58"/>
      <c r="C77" s="62" t="s">
        <v>1420</v>
      </c>
      <c r="D77" s="58"/>
      <c r="E77" s="417" t="s">
        <v>619</v>
      </c>
      <c r="F77" s="420" t="s">
        <v>902</v>
      </c>
      <c r="G77" s="421" t="s">
        <v>1421</v>
      </c>
      <c r="H77" s="420" t="s">
        <v>844</v>
      </c>
      <c r="I77" s="1195" t="s">
        <v>622</v>
      </c>
      <c r="J77" s="1194" t="s">
        <v>623</v>
      </c>
      <c r="K77" s="1194" t="s">
        <v>624</v>
      </c>
      <c r="L77" s="58" t="s">
        <v>624</v>
      </c>
      <c r="M77" s="59"/>
    </row>
    <row r="78" spans="1:16">
      <c r="A78" s="64" t="s">
        <v>625</v>
      </c>
      <c r="B78" s="65" t="s">
        <v>626</v>
      </c>
      <c r="C78" s="65" t="s">
        <v>627</v>
      </c>
      <c r="D78" s="65"/>
      <c r="E78" s="422" t="s">
        <v>1096</v>
      </c>
      <c r="F78" s="423" t="s">
        <v>903</v>
      </c>
      <c r="G78" s="424" t="s">
        <v>628</v>
      </c>
      <c r="H78" s="423" t="s">
        <v>629</v>
      </c>
      <c r="I78" s="424" t="s">
        <v>630</v>
      </c>
      <c r="J78" s="1196" t="s">
        <v>631</v>
      </c>
      <c r="K78" s="1196" t="s">
        <v>628</v>
      </c>
      <c r="L78" s="65" t="s">
        <v>631</v>
      </c>
    </row>
    <row r="79" spans="1:16">
      <c r="A79" s="200"/>
      <c r="B79" s="201"/>
      <c r="C79" s="201"/>
      <c r="D79" s="201"/>
      <c r="E79" s="1479" t="s">
        <v>1486</v>
      </c>
      <c r="F79" s="426"/>
      <c r="G79" s="427" t="s">
        <v>845</v>
      </c>
      <c r="H79" s="426"/>
      <c r="I79" s="427" t="s">
        <v>846</v>
      </c>
      <c r="J79" s="1197"/>
      <c r="K79" s="1198" t="s">
        <v>847</v>
      </c>
      <c r="L79" s="201"/>
      <c r="N79" s="59"/>
      <c r="O79" s="59"/>
    </row>
    <row r="80" spans="1:16">
      <c r="A80" s="430" t="str">
        <f t="shared" ref="A80:C91" si="18">A12</f>
        <v>Jan 2020</v>
      </c>
      <c r="B80" s="62">
        <f t="shared" si="18"/>
        <v>31</v>
      </c>
      <c r="C80" s="429" t="str">
        <f t="shared" si="18"/>
        <v>01/19/20</v>
      </c>
      <c r="D80" s="66"/>
      <c r="E80" s="1188">
        <v>147290</v>
      </c>
      <c r="F80" s="865">
        <f t="shared" ref="F80:F91" si="19">ROUND(E80/B80,0)</f>
        <v>4751</v>
      </c>
      <c r="G80" s="957">
        <f>'WP FR-16(7)(v)-Daily Gas Stats'!O129</f>
        <v>103.2189</v>
      </c>
      <c r="H80" s="865">
        <f t="shared" ref="H80:H91" si="20">ROUND(F80/(G80/100),0)</f>
        <v>4603</v>
      </c>
      <c r="I80" s="957">
        <f>'WP FR-16(7)(v)-Daily Gas Stats'!N129</f>
        <v>80.190600000000003</v>
      </c>
      <c r="J80" s="865">
        <f t="shared" ref="J80:J91" si="21">ROUND(F80/(I80/100),0)</f>
        <v>5925</v>
      </c>
      <c r="K80" s="957">
        <f>'WP FR-16(7)(v)-Daily Gas Stats'!M129</f>
        <v>69.727699999999999</v>
      </c>
      <c r="L80" s="284">
        <f t="shared" ref="L80:L91" si="22">ROUND($F80/(K80/100),0)</f>
        <v>6814</v>
      </c>
      <c r="M80" s="63"/>
      <c r="P80" s="68"/>
    </row>
    <row r="81" spans="1:16">
      <c r="A81" s="430" t="str">
        <f t="shared" si="18"/>
        <v>Feb</v>
      </c>
      <c r="B81" s="62">
        <f t="shared" si="18"/>
        <v>28</v>
      </c>
      <c r="C81" s="429" t="str">
        <f t="shared" si="18"/>
        <v>02/14/20</v>
      </c>
      <c r="D81" s="66"/>
      <c r="E81" s="1188">
        <v>136452</v>
      </c>
      <c r="F81" s="865">
        <f t="shared" si="19"/>
        <v>4873</v>
      </c>
      <c r="G81" s="957">
        <f>'WP FR-16(7)(v)-Daily Gas Stats'!O130</f>
        <v>81.474100000000007</v>
      </c>
      <c r="H81" s="865">
        <f t="shared" si="20"/>
        <v>5981</v>
      </c>
      <c r="I81" s="957">
        <f>'WP FR-16(7)(v)-Daily Gas Stats'!N130</f>
        <v>80.809799999999996</v>
      </c>
      <c r="J81" s="865">
        <f t="shared" si="21"/>
        <v>6030</v>
      </c>
      <c r="K81" s="957">
        <f>'WP FR-16(7)(v)-Daily Gas Stats'!M130</f>
        <v>75.916899999999998</v>
      </c>
      <c r="L81" s="284">
        <f t="shared" si="22"/>
        <v>6419</v>
      </c>
      <c r="M81" s="74"/>
      <c r="P81" s="68"/>
    </row>
    <row r="82" spans="1:16">
      <c r="A82" s="430" t="str">
        <f t="shared" si="18"/>
        <v>Mar</v>
      </c>
      <c r="B82" s="62">
        <f t="shared" si="18"/>
        <v>31</v>
      </c>
      <c r="C82" s="429" t="str">
        <f t="shared" si="18"/>
        <v>03/06/20</v>
      </c>
      <c r="D82" s="66"/>
      <c r="E82" s="1188">
        <v>122294</v>
      </c>
      <c r="F82" s="865">
        <f t="shared" si="19"/>
        <v>3945</v>
      </c>
      <c r="G82" s="957">
        <f>'WP FR-16(7)(v)-Daily Gas Stats'!O131</f>
        <v>80.175700000000006</v>
      </c>
      <c r="H82" s="865">
        <f t="shared" si="20"/>
        <v>4920</v>
      </c>
      <c r="I82" s="957">
        <f>'WP FR-16(7)(v)-Daily Gas Stats'!N131</f>
        <v>80.175700000000006</v>
      </c>
      <c r="J82" s="865">
        <f t="shared" si="21"/>
        <v>4920</v>
      </c>
      <c r="K82" s="957">
        <f>'WP FR-16(7)(v)-Daily Gas Stats'!M131</f>
        <v>65.848799999999997</v>
      </c>
      <c r="L82" s="284">
        <f t="shared" si="22"/>
        <v>5991</v>
      </c>
      <c r="M82" s="74"/>
      <c r="N82" s="59"/>
      <c r="O82" s="59"/>
      <c r="P82" s="68"/>
    </row>
    <row r="83" spans="1:16">
      <c r="A83" s="430" t="str">
        <f t="shared" si="18"/>
        <v>Apr</v>
      </c>
      <c r="B83" s="62">
        <f t="shared" si="18"/>
        <v>30</v>
      </c>
      <c r="C83" s="429" t="str">
        <f t="shared" si="18"/>
        <v>04/15/20</v>
      </c>
      <c r="D83" s="66"/>
      <c r="E83" s="1188">
        <v>129737</v>
      </c>
      <c r="F83" s="865">
        <f t="shared" si="19"/>
        <v>4325</v>
      </c>
      <c r="G83" s="957">
        <f>'WP FR-16(7)(v)-Daily Gas Stats'!O132</f>
        <v>78.745999999999995</v>
      </c>
      <c r="H83" s="865">
        <f t="shared" si="20"/>
        <v>5492</v>
      </c>
      <c r="I83" s="957">
        <f>'WP FR-16(7)(v)-Daily Gas Stats'!N132</f>
        <v>77.506299999999996</v>
      </c>
      <c r="J83" s="865">
        <f t="shared" si="21"/>
        <v>5580</v>
      </c>
      <c r="K83" s="957">
        <f>'WP FR-16(7)(v)-Daily Gas Stats'!M132</f>
        <v>59.323900000000002</v>
      </c>
      <c r="L83" s="284">
        <f t="shared" si="22"/>
        <v>7290</v>
      </c>
      <c r="M83" s="74"/>
      <c r="P83" s="68"/>
    </row>
    <row r="84" spans="1:16">
      <c r="A84" s="430" t="str">
        <f t="shared" si="18"/>
        <v>May</v>
      </c>
      <c r="B84" s="62">
        <f t="shared" si="18"/>
        <v>31</v>
      </c>
      <c r="C84" s="429" t="str">
        <f t="shared" si="18"/>
        <v>05/11/20</v>
      </c>
      <c r="D84" s="66"/>
      <c r="E84" s="1188">
        <v>130407</v>
      </c>
      <c r="F84" s="865">
        <f t="shared" si="19"/>
        <v>4207</v>
      </c>
      <c r="G84" s="957">
        <f>'WP FR-16(7)(v)-Daily Gas Stats'!O133</f>
        <v>70.348799999999997</v>
      </c>
      <c r="H84" s="865">
        <f t="shared" si="20"/>
        <v>5980</v>
      </c>
      <c r="I84" s="957">
        <f>'WP FR-16(7)(v)-Daily Gas Stats'!N133</f>
        <v>65.937600000000003</v>
      </c>
      <c r="J84" s="865">
        <f t="shared" si="21"/>
        <v>6380</v>
      </c>
      <c r="K84" s="957">
        <f>'WP FR-16(7)(v)-Daily Gas Stats'!M133</f>
        <v>53.715299999999999</v>
      </c>
      <c r="L84" s="284">
        <f t="shared" si="22"/>
        <v>7832</v>
      </c>
      <c r="M84" s="74"/>
      <c r="P84" s="68"/>
    </row>
    <row r="85" spans="1:16">
      <c r="A85" s="430" t="str">
        <f t="shared" si="18"/>
        <v>Jun</v>
      </c>
      <c r="B85" s="62">
        <f t="shared" si="18"/>
        <v>30</v>
      </c>
      <c r="C85" s="429" t="str">
        <f t="shared" si="18"/>
        <v>06/11/20</v>
      </c>
      <c r="D85" s="66"/>
      <c r="E85" s="1188">
        <v>137797</v>
      </c>
      <c r="F85" s="865">
        <f t="shared" si="19"/>
        <v>4593</v>
      </c>
      <c r="G85" s="957">
        <f>'WP FR-16(7)(v)-Daily Gas Stats'!O134</f>
        <v>82.598799999999997</v>
      </c>
      <c r="H85" s="865">
        <f t="shared" si="20"/>
        <v>5561</v>
      </c>
      <c r="I85" s="957">
        <f>'WP FR-16(7)(v)-Daily Gas Stats'!N134</f>
        <v>79.772999999999996</v>
      </c>
      <c r="J85" s="865">
        <f t="shared" si="21"/>
        <v>5758</v>
      </c>
      <c r="K85" s="957">
        <f>'WP FR-16(7)(v)-Daily Gas Stats'!M134</f>
        <v>65.222099999999998</v>
      </c>
      <c r="L85" s="284">
        <f t="shared" si="22"/>
        <v>7042</v>
      </c>
      <c r="M85" s="74"/>
      <c r="N85" s="59"/>
      <c r="O85" s="59"/>
      <c r="P85" s="68"/>
    </row>
    <row r="86" spans="1:16">
      <c r="A86" s="430" t="str">
        <f t="shared" si="18"/>
        <v>Jul</v>
      </c>
      <c r="B86" s="62">
        <f t="shared" si="18"/>
        <v>31</v>
      </c>
      <c r="C86" s="429" t="str">
        <f t="shared" si="18"/>
        <v>07/01/20</v>
      </c>
      <c r="D86" s="66"/>
      <c r="E86" s="1188">
        <v>120994</v>
      </c>
      <c r="F86" s="865">
        <f t="shared" si="19"/>
        <v>3903</v>
      </c>
      <c r="G86" s="957">
        <f>'WP FR-16(7)(v)-Daily Gas Stats'!O135</f>
        <v>88.614699999999999</v>
      </c>
      <c r="H86" s="865">
        <f t="shared" si="20"/>
        <v>4404</v>
      </c>
      <c r="I86" s="957">
        <f>'WP FR-16(7)(v)-Daily Gas Stats'!N135</f>
        <v>74.922799999999995</v>
      </c>
      <c r="J86" s="865">
        <f t="shared" si="21"/>
        <v>5209</v>
      </c>
      <c r="K86" s="957">
        <f>'WP FR-16(7)(v)-Daily Gas Stats'!M135</f>
        <v>64.103399999999993</v>
      </c>
      <c r="L86" s="284">
        <f t="shared" si="22"/>
        <v>6089</v>
      </c>
      <c r="M86" s="74"/>
      <c r="P86" s="68"/>
    </row>
    <row r="87" spans="1:16">
      <c r="A87" s="430" t="str">
        <f t="shared" si="18"/>
        <v>Aug</v>
      </c>
      <c r="B87" s="62">
        <f t="shared" si="18"/>
        <v>31</v>
      </c>
      <c r="C87" s="429" t="str">
        <f t="shared" si="18"/>
        <v>08/25/20</v>
      </c>
      <c r="D87" s="66"/>
      <c r="E87" s="1188">
        <v>139036</v>
      </c>
      <c r="F87" s="865">
        <f t="shared" si="19"/>
        <v>4485</v>
      </c>
      <c r="G87" s="957">
        <f>'WP FR-16(7)(v)-Daily Gas Stats'!O136</f>
        <v>86.950400000000002</v>
      </c>
      <c r="H87" s="865">
        <f t="shared" si="20"/>
        <v>5158</v>
      </c>
      <c r="I87" s="957">
        <f>'WP FR-16(7)(v)-Daily Gas Stats'!N136</f>
        <v>74.637900000000002</v>
      </c>
      <c r="J87" s="865">
        <f t="shared" si="21"/>
        <v>6009</v>
      </c>
      <c r="K87" s="957">
        <f>'WP FR-16(7)(v)-Daily Gas Stats'!M136</f>
        <v>63.206800000000001</v>
      </c>
      <c r="L87" s="284">
        <f t="shared" si="22"/>
        <v>7096</v>
      </c>
      <c r="M87" s="74"/>
      <c r="P87" s="68"/>
    </row>
    <row r="88" spans="1:16">
      <c r="A88" s="430" t="str">
        <f t="shared" si="18"/>
        <v>Sept</v>
      </c>
      <c r="B88" s="62">
        <f t="shared" si="18"/>
        <v>30</v>
      </c>
      <c r="C88" s="429" t="str">
        <f t="shared" si="18"/>
        <v>09/29/20</v>
      </c>
      <c r="D88" s="66"/>
      <c r="E88" s="1188">
        <v>136431</v>
      </c>
      <c r="F88" s="865">
        <f t="shared" si="19"/>
        <v>4548</v>
      </c>
      <c r="G88" s="957">
        <f>'WP FR-16(7)(v)-Daily Gas Stats'!O137</f>
        <v>81.017200000000003</v>
      </c>
      <c r="H88" s="865">
        <f t="shared" si="20"/>
        <v>5614</v>
      </c>
      <c r="I88" s="957">
        <f>'WP FR-16(7)(v)-Daily Gas Stats'!N137</f>
        <v>75.297700000000006</v>
      </c>
      <c r="J88" s="865">
        <f t="shared" si="21"/>
        <v>6040</v>
      </c>
      <c r="K88" s="957">
        <f>'WP FR-16(7)(v)-Daily Gas Stats'!M137</f>
        <v>61.863599999999998</v>
      </c>
      <c r="L88" s="284">
        <f t="shared" si="22"/>
        <v>7352</v>
      </c>
      <c r="M88" s="74"/>
      <c r="N88" s="59"/>
      <c r="O88" s="59"/>
      <c r="P88" s="68"/>
    </row>
    <row r="89" spans="1:16">
      <c r="A89" s="430" t="str">
        <f t="shared" si="18"/>
        <v xml:space="preserve">Oct </v>
      </c>
      <c r="B89" s="62">
        <f t="shared" si="18"/>
        <v>31</v>
      </c>
      <c r="C89" s="429" t="str">
        <f t="shared" si="18"/>
        <v>10/30/20</v>
      </c>
      <c r="D89" s="66"/>
      <c r="E89" s="1188">
        <v>143604</v>
      </c>
      <c r="F89" s="865">
        <f t="shared" si="19"/>
        <v>4632</v>
      </c>
      <c r="G89" s="957">
        <f>'WP FR-16(7)(v)-Daily Gas Stats'!O138</f>
        <v>76.289599999999993</v>
      </c>
      <c r="H89" s="865">
        <f t="shared" si="20"/>
        <v>6072</v>
      </c>
      <c r="I89" s="957">
        <f>'WP FR-16(7)(v)-Daily Gas Stats'!N138</f>
        <v>76.289599999999993</v>
      </c>
      <c r="J89" s="865">
        <f t="shared" si="21"/>
        <v>6072</v>
      </c>
      <c r="K89" s="957">
        <f>'WP FR-16(7)(v)-Daily Gas Stats'!M138</f>
        <v>58.885300000000001</v>
      </c>
      <c r="L89" s="284">
        <f t="shared" si="22"/>
        <v>7866</v>
      </c>
      <c r="M89" s="74"/>
      <c r="P89" s="68"/>
    </row>
    <row r="90" spans="1:16">
      <c r="A90" s="430" t="str">
        <f t="shared" si="18"/>
        <v>Nov</v>
      </c>
      <c r="B90" s="62">
        <f t="shared" si="18"/>
        <v>30</v>
      </c>
      <c r="C90" s="429" t="str">
        <f t="shared" si="18"/>
        <v>11/30/20</v>
      </c>
      <c r="D90" s="66"/>
      <c r="E90" s="1188">
        <v>146398</v>
      </c>
      <c r="F90" s="865">
        <f t="shared" si="19"/>
        <v>4880</v>
      </c>
      <c r="G90" s="957">
        <f>'WP FR-16(7)(v)-Daily Gas Stats'!O139</f>
        <v>90.409899999999993</v>
      </c>
      <c r="H90" s="865">
        <f t="shared" si="20"/>
        <v>5398</v>
      </c>
      <c r="I90" s="957">
        <f>'WP FR-16(7)(v)-Daily Gas Stats'!N139</f>
        <v>75.350099999999998</v>
      </c>
      <c r="J90" s="865">
        <f t="shared" si="21"/>
        <v>6476</v>
      </c>
      <c r="K90" s="957">
        <f>'WP FR-16(7)(v)-Daily Gas Stats'!M139</f>
        <v>59.007300000000001</v>
      </c>
      <c r="L90" s="284">
        <f t="shared" si="22"/>
        <v>8270</v>
      </c>
      <c r="M90" s="74"/>
      <c r="P90" s="68"/>
    </row>
    <row r="91" spans="1:16">
      <c r="A91" s="430" t="str">
        <f t="shared" si="18"/>
        <v>Dec 2020</v>
      </c>
      <c r="B91" s="62">
        <f t="shared" si="18"/>
        <v>31</v>
      </c>
      <c r="C91" s="429" t="str">
        <f t="shared" si="18"/>
        <v>12/24/20</v>
      </c>
      <c r="D91" s="66"/>
      <c r="E91" s="1189">
        <v>148010</v>
      </c>
      <c r="F91" s="865">
        <f t="shared" si="19"/>
        <v>4775</v>
      </c>
      <c r="G91" s="957">
        <f>'WP FR-16(7)(v)-Daily Gas Stats'!O140</f>
        <v>148.73560000000001</v>
      </c>
      <c r="H91" s="1199">
        <f t="shared" si="20"/>
        <v>3210</v>
      </c>
      <c r="I91" s="957">
        <f>'WP FR-16(7)(v)-Daily Gas Stats'!N140</f>
        <v>75.607100000000003</v>
      </c>
      <c r="J91" s="1199">
        <f t="shared" si="21"/>
        <v>6316</v>
      </c>
      <c r="K91" s="957">
        <f>'WP FR-16(7)(v)-Daily Gas Stats'!M140</f>
        <v>64.831599999999995</v>
      </c>
      <c r="L91" s="292">
        <f t="shared" si="22"/>
        <v>7365</v>
      </c>
      <c r="M91" s="74"/>
      <c r="N91" s="59"/>
      <c r="O91" s="59"/>
      <c r="P91" s="68"/>
    </row>
    <row r="92" spans="1:16">
      <c r="E92" s="307">
        <f>SUM(E80:E91)</f>
        <v>1638450</v>
      </c>
      <c r="F92" s="865"/>
      <c r="G92" s="954"/>
      <c r="H92" s="865">
        <f>MAX(H80:H91)</f>
        <v>6072</v>
      </c>
      <c r="I92" s="954"/>
      <c r="J92" s="865">
        <f>MAX(J80:J91)</f>
        <v>6476</v>
      </c>
      <c r="K92" s="1200"/>
      <c r="L92" s="284">
        <f>MAX(L80:L91)</f>
        <v>8270</v>
      </c>
      <c r="M92" s="74"/>
      <c r="P92" s="70"/>
    </row>
    <row r="93" spans="1:16">
      <c r="E93" s="1188"/>
      <c r="F93" s="1201"/>
      <c r="G93" s="428"/>
      <c r="H93" s="1201"/>
      <c r="I93" s="428"/>
      <c r="J93" s="1201"/>
      <c r="K93" s="1200"/>
      <c r="L93" s="67"/>
      <c r="M93" s="74"/>
      <c r="P93" s="70"/>
    </row>
    <row r="94" spans="1:16">
      <c r="A94" s="202" t="s">
        <v>845</v>
      </c>
      <c r="B94" s="53" t="s">
        <v>848</v>
      </c>
      <c r="E94" s="1188"/>
      <c r="F94" s="1201"/>
      <c r="G94" s="428"/>
      <c r="H94" s="1201"/>
      <c r="I94" s="428"/>
      <c r="J94" s="1201"/>
      <c r="K94" s="1200"/>
      <c r="L94" s="67"/>
      <c r="M94" s="74"/>
      <c r="N94" s="59"/>
      <c r="O94" s="59"/>
      <c r="P94" s="70"/>
    </row>
    <row r="95" spans="1:16">
      <c r="A95" s="202" t="s">
        <v>846</v>
      </c>
      <c r="B95" s="53" t="s">
        <v>850</v>
      </c>
      <c r="E95" s="1188"/>
      <c r="F95" s="1201"/>
      <c r="G95" s="428"/>
      <c r="H95" s="1201"/>
      <c r="I95" s="428"/>
      <c r="J95" s="1201"/>
      <c r="K95" s="1200"/>
      <c r="L95" s="67"/>
      <c r="M95" s="74"/>
      <c r="P95" s="70"/>
    </row>
    <row r="96" spans="1:16">
      <c r="A96" s="202" t="s">
        <v>847</v>
      </c>
      <c r="B96" s="53" t="s">
        <v>849</v>
      </c>
      <c r="M96" s="75"/>
    </row>
    <row r="97" spans="1:15">
      <c r="A97" s="202"/>
      <c r="M97" s="75"/>
    </row>
    <row r="98" spans="1:15" ht="13">
      <c r="A98" s="195" t="str">
        <f>co_name</f>
        <v>DUKE ENERGY KENTUCKY, INC.</v>
      </c>
      <c r="B98" s="52"/>
      <c r="C98" s="52"/>
      <c r="D98" s="52"/>
      <c r="E98" s="1190"/>
      <c r="F98" s="1190"/>
      <c r="G98" s="1190"/>
      <c r="H98" s="1190"/>
      <c r="I98" s="1190"/>
      <c r="J98" s="1190" t="s">
        <v>1465</v>
      </c>
      <c r="K98" s="1190"/>
      <c r="M98" s="75"/>
      <c r="N98" s="59"/>
      <c r="O98" s="59"/>
    </row>
    <row r="99" spans="1:15" ht="13">
      <c r="A99" s="195" t="str">
        <f>coss_type</f>
        <v xml:space="preserve">GAS COST OF SERVICE STUDY </v>
      </c>
      <c r="B99" s="52"/>
      <c r="C99" s="52"/>
      <c r="D99" s="52"/>
      <c r="E99" s="1190"/>
      <c r="F99" s="1190"/>
      <c r="G99" s="1190"/>
      <c r="H99" s="1190"/>
      <c r="I99" s="1190"/>
      <c r="J99" s="1191" t="str">
        <f>'Alloc Factors Summary'!G2</f>
        <v>Witness Responsible:</v>
      </c>
      <c r="K99" s="1190"/>
      <c r="M99" s="75"/>
    </row>
    <row r="100" spans="1:15" ht="13">
      <c r="A100" s="195" t="str">
        <f>case_name</f>
        <v>CASE NO: 2021-00190</v>
      </c>
      <c r="B100" s="52"/>
      <c r="C100" s="52"/>
      <c r="D100" s="52"/>
      <c r="E100" s="1190"/>
      <c r="F100" s="1190"/>
      <c r="G100" s="1190"/>
      <c r="H100" s="1190"/>
      <c r="I100" s="1190"/>
      <c r="J100" s="1191" t="str">
        <f>'Alloc Factors Summary'!G3</f>
        <v>James E. Ziolkowski</v>
      </c>
      <c r="K100" s="1190"/>
      <c r="M100" s="75"/>
    </row>
    <row r="101" spans="1:15" ht="13">
      <c r="A101" s="10" t="str">
        <f>alloc_factors</f>
        <v>ALLOCATION FACTORS FOR COST OF SERVICE STUDY</v>
      </c>
      <c r="B101" s="52"/>
      <c r="C101" s="52"/>
      <c r="D101" s="52"/>
      <c r="E101" s="1190"/>
      <c r="F101" s="1190"/>
      <c r="G101" s="1190"/>
      <c r="H101" s="1190"/>
      <c r="I101" s="1190"/>
      <c r="J101" s="1190" t="s">
        <v>1053</v>
      </c>
      <c r="K101" s="1190"/>
      <c r="M101" s="75"/>
      <c r="N101" s="59"/>
      <c r="O101" s="59"/>
    </row>
    <row r="102" spans="1:15" ht="13">
      <c r="A102" s="10" t="str">
        <f>time_period</f>
        <v>TWELVE MONTHS ENDING DECEMBER 31, 2020</v>
      </c>
      <c r="B102" s="52"/>
      <c r="C102" s="52"/>
      <c r="D102" s="52"/>
      <c r="E102" s="1190"/>
      <c r="F102" s="1190"/>
      <c r="G102" s="1190"/>
      <c r="H102" s="1190"/>
      <c r="I102" s="1190"/>
      <c r="J102" s="1276">
        <f ca="1">NOW()</f>
        <v>44420.466563425929</v>
      </c>
      <c r="K102" s="1190"/>
      <c r="M102" s="75"/>
    </row>
    <row r="103" spans="1:15" ht="13">
      <c r="A103" s="197" t="s">
        <v>826</v>
      </c>
      <c r="B103" s="52"/>
      <c r="C103" s="52"/>
      <c r="D103" s="52"/>
      <c r="E103" s="1190"/>
      <c r="F103" s="1190"/>
      <c r="G103" s="1190"/>
      <c r="H103" s="1190"/>
      <c r="I103" s="1190"/>
      <c r="J103" s="1192"/>
      <c r="K103" s="1190"/>
      <c r="M103" s="75"/>
    </row>
    <row r="104" spans="1:15" ht="13">
      <c r="A104" s="197"/>
      <c r="B104" s="52"/>
      <c r="C104" s="52"/>
      <c r="D104" s="52"/>
      <c r="E104" s="1190"/>
      <c r="F104" s="1190"/>
      <c r="G104" s="1190"/>
      <c r="H104" s="1190"/>
      <c r="I104" s="1190"/>
      <c r="J104" s="1192"/>
      <c r="K104" s="1190"/>
      <c r="M104" s="75"/>
      <c r="N104" s="59"/>
      <c r="O104" s="59"/>
    </row>
    <row r="105" spans="1:15" ht="15.5">
      <c r="A105"/>
      <c r="B105"/>
      <c r="C105"/>
      <c r="D105"/>
      <c r="E105"/>
      <c r="F105"/>
      <c r="G105"/>
      <c r="H105"/>
      <c r="I105"/>
      <c r="J105"/>
      <c r="K105"/>
      <c r="L105"/>
      <c r="M105" s="75"/>
    </row>
    <row r="106" spans="1:15" ht="15.5">
      <c r="A106"/>
      <c r="B106"/>
      <c r="C106"/>
      <c r="D106"/>
      <c r="E106"/>
      <c r="F106"/>
      <c r="G106"/>
      <c r="H106"/>
      <c r="I106"/>
      <c r="J106"/>
      <c r="K106"/>
      <c r="L106"/>
      <c r="M106" s="75"/>
    </row>
    <row r="107" spans="1:15" ht="15.5">
      <c r="A107"/>
      <c r="B107"/>
      <c r="C107"/>
      <c r="D107"/>
      <c r="E107"/>
      <c r="F107"/>
      <c r="G107"/>
      <c r="H107"/>
      <c r="I107"/>
      <c r="J107"/>
      <c r="K107"/>
      <c r="L107"/>
      <c r="N107" s="59"/>
      <c r="O107" s="59"/>
    </row>
    <row r="108" spans="1:15" ht="15.5">
      <c r="A108"/>
      <c r="B108"/>
      <c r="C108"/>
      <c r="D108"/>
      <c r="E108"/>
      <c r="F108"/>
      <c r="G108"/>
      <c r="H108"/>
      <c r="I108"/>
      <c r="J108"/>
      <c r="K108"/>
      <c r="L108"/>
      <c r="M108" s="75"/>
    </row>
    <row r="109" spans="1:15" ht="15.5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5" ht="15.5">
      <c r="A110"/>
      <c r="B110"/>
      <c r="C110"/>
      <c r="D110"/>
      <c r="E110"/>
      <c r="F110"/>
      <c r="G110"/>
      <c r="H110"/>
      <c r="I110"/>
      <c r="J110"/>
      <c r="K110"/>
      <c r="L110"/>
      <c r="N110" s="59"/>
      <c r="O110" s="59"/>
    </row>
    <row r="111" spans="1:15" ht="15.5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5" ht="15.5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5" ht="15.5">
      <c r="A113"/>
      <c r="B113"/>
      <c r="C113"/>
      <c r="D113"/>
      <c r="E113"/>
      <c r="F113"/>
      <c r="G113"/>
      <c r="H113"/>
      <c r="I113"/>
      <c r="J113"/>
      <c r="K113"/>
      <c r="L113"/>
      <c r="N113" s="59"/>
      <c r="O113" s="59"/>
    </row>
    <row r="114" spans="1:15" ht="15.5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5" ht="15.5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5" ht="15.5">
      <c r="A116"/>
      <c r="B116"/>
      <c r="C116"/>
      <c r="D116"/>
      <c r="E116"/>
      <c r="F116"/>
      <c r="G116"/>
      <c r="H116"/>
      <c r="I116"/>
      <c r="J116"/>
      <c r="K116"/>
      <c r="L116"/>
      <c r="N116" s="59"/>
      <c r="O116" s="59"/>
    </row>
    <row r="117" spans="1:15" ht="15.5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5" ht="15.5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5" ht="15.5">
      <c r="A119"/>
      <c r="B119"/>
      <c r="C119"/>
      <c r="D119"/>
      <c r="E119"/>
      <c r="F119"/>
      <c r="G119"/>
      <c r="H119"/>
      <c r="I119"/>
      <c r="J119"/>
      <c r="K119"/>
      <c r="L119"/>
      <c r="N119" s="59"/>
      <c r="O119" s="59"/>
    </row>
    <row r="120" spans="1:15" ht="15.5">
      <c r="A120"/>
      <c r="B120"/>
      <c r="C120"/>
      <c r="D120"/>
      <c r="E120"/>
      <c r="F120"/>
      <c r="G120"/>
      <c r="H120"/>
      <c r="I120"/>
      <c r="J120"/>
      <c r="K120"/>
      <c r="L120"/>
      <c r="M120" s="57"/>
    </row>
    <row r="121" spans="1:15" ht="15.5">
      <c r="A121"/>
      <c r="B121"/>
      <c r="C121"/>
      <c r="D121"/>
      <c r="E121"/>
      <c r="F121"/>
      <c r="G121"/>
      <c r="H121"/>
      <c r="I121"/>
      <c r="J121"/>
      <c r="K121"/>
      <c r="L121"/>
      <c r="M121" s="57"/>
    </row>
    <row r="122" spans="1:15" ht="15.5">
      <c r="A122"/>
      <c r="B122"/>
      <c r="C122"/>
      <c r="D122"/>
      <c r="E122"/>
      <c r="F122"/>
      <c r="G122"/>
      <c r="H122"/>
      <c r="I122"/>
      <c r="J122"/>
      <c r="K122"/>
      <c r="L122"/>
      <c r="M122" s="57"/>
      <c r="N122" s="59"/>
      <c r="O122" s="59"/>
    </row>
    <row r="123" spans="1:15" ht="15.5">
      <c r="A123"/>
      <c r="B123"/>
      <c r="C123"/>
      <c r="D123"/>
      <c r="E123"/>
      <c r="F123"/>
      <c r="G123"/>
      <c r="H123"/>
      <c r="I123"/>
      <c r="J123"/>
      <c r="K123"/>
      <c r="L123"/>
      <c r="M123" s="57"/>
    </row>
    <row r="124" spans="1:15">
      <c r="E124" s="1204" t="s">
        <v>343</v>
      </c>
      <c r="M124" s="57"/>
    </row>
    <row r="125" spans="1:15">
      <c r="M125" s="57"/>
      <c r="N125" s="59"/>
      <c r="O125" s="59"/>
    </row>
    <row r="126" spans="1:15" ht="13">
      <c r="A126" s="56" t="s">
        <v>579</v>
      </c>
      <c r="B126" s="58"/>
      <c r="E126" s="417" t="s">
        <v>618</v>
      </c>
      <c r="I126" s="421" t="s">
        <v>1422</v>
      </c>
      <c r="J126" s="1194" t="s">
        <v>620</v>
      </c>
      <c r="K126" s="421" t="s">
        <v>1422</v>
      </c>
      <c r="L126" s="57" t="s">
        <v>1422</v>
      </c>
      <c r="M126" s="57"/>
    </row>
    <row r="127" spans="1:15">
      <c r="A127" s="61"/>
      <c r="B127" s="58"/>
      <c r="C127" s="62" t="s">
        <v>1420</v>
      </c>
      <c r="D127" s="58"/>
      <c r="E127" s="417" t="s">
        <v>619</v>
      </c>
      <c r="F127" s="420" t="s">
        <v>902</v>
      </c>
      <c r="G127" s="421" t="s">
        <v>1421</v>
      </c>
      <c r="H127" s="420" t="s">
        <v>844</v>
      </c>
      <c r="I127" s="1195" t="s">
        <v>622</v>
      </c>
      <c r="J127" s="1194" t="s">
        <v>623</v>
      </c>
      <c r="K127" s="1194" t="s">
        <v>624</v>
      </c>
      <c r="L127" s="58" t="s">
        <v>624</v>
      </c>
      <c r="M127" s="57"/>
    </row>
    <row r="128" spans="1:15">
      <c r="A128" s="64" t="s">
        <v>625</v>
      </c>
      <c r="B128" s="65" t="s">
        <v>626</v>
      </c>
      <c r="C128" s="65" t="s">
        <v>627</v>
      </c>
      <c r="D128" s="65"/>
      <c r="E128" s="422" t="s">
        <v>1096</v>
      </c>
      <c r="F128" s="423" t="s">
        <v>903</v>
      </c>
      <c r="G128" s="424" t="s">
        <v>628</v>
      </c>
      <c r="H128" s="423" t="s">
        <v>629</v>
      </c>
      <c r="I128" s="424" t="s">
        <v>630</v>
      </c>
      <c r="J128" s="1196" t="s">
        <v>631</v>
      </c>
      <c r="K128" s="1196" t="s">
        <v>628</v>
      </c>
      <c r="L128" s="65" t="s">
        <v>631</v>
      </c>
      <c r="M128" s="57"/>
      <c r="N128" s="59"/>
      <c r="O128" s="59"/>
    </row>
    <row r="129" spans="1:15">
      <c r="A129" s="200"/>
      <c r="B129" s="201"/>
      <c r="C129" s="201"/>
      <c r="D129" s="201"/>
      <c r="E129" s="425"/>
      <c r="F129" s="426"/>
      <c r="G129" s="427" t="s">
        <v>845</v>
      </c>
      <c r="H129" s="426"/>
      <c r="I129" s="427" t="s">
        <v>846</v>
      </c>
      <c r="J129" s="1197"/>
      <c r="K129" s="1198" t="s">
        <v>847</v>
      </c>
      <c r="L129" s="201"/>
      <c r="M129" s="57"/>
    </row>
    <row r="130" spans="1:15">
      <c r="A130" s="430" t="str">
        <f t="shared" ref="A130:C141" si="23">A12</f>
        <v>Jan 2020</v>
      </c>
      <c r="B130" s="62">
        <f t="shared" si="23"/>
        <v>31</v>
      </c>
      <c r="C130" s="429" t="str">
        <f t="shared" si="23"/>
        <v>01/19/20</v>
      </c>
      <c r="E130" s="307">
        <f t="shared" ref="E130:F141" si="24">E12+E31+E60+E80+E111</f>
        <v>2033614</v>
      </c>
      <c r="F130" s="307">
        <f t="shared" si="24"/>
        <v>65601</v>
      </c>
      <c r="G130" s="428"/>
      <c r="H130" s="307">
        <f t="shared" ref="H130:H141" si="25">H12+H31+H60+H80+H111</f>
        <v>96636</v>
      </c>
      <c r="I130" s="954"/>
      <c r="J130" s="307">
        <f t="shared" ref="J130:J141" si="26">J12+J31+J60+J80+J111</f>
        <v>98797</v>
      </c>
      <c r="K130" s="1200"/>
      <c r="L130" s="37">
        <f t="shared" ref="L130:L141" si="27">L12+L31+L60+L80+L111</f>
        <v>106653</v>
      </c>
      <c r="M130" s="57"/>
    </row>
    <row r="131" spans="1:15">
      <c r="A131" s="430" t="str">
        <f t="shared" si="23"/>
        <v>Feb</v>
      </c>
      <c r="B131" s="62">
        <f t="shared" si="23"/>
        <v>28</v>
      </c>
      <c r="C131" s="429" t="str">
        <f t="shared" si="23"/>
        <v>02/14/20</v>
      </c>
      <c r="E131" s="307">
        <f t="shared" si="24"/>
        <v>2098545</v>
      </c>
      <c r="F131" s="307">
        <f t="shared" si="24"/>
        <v>74948</v>
      </c>
      <c r="G131" s="428"/>
      <c r="H131" s="307">
        <f t="shared" si="25"/>
        <v>101236</v>
      </c>
      <c r="I131" s="954"/>
      <c r="J131" s="307">
        <f t="shared" si="26"/>
        <v>101358</v>
      </c>
      <c r="K131" s="1200"/>
      <c r="L131" s="37">
        <f t="shared" si="27"/>
        <v>109623</v>
      </c>
      <c r="M131" s="57"/>
      <c r="N131" s="59"/>
      <c r="O131" s="59"/>
    </row>
    <row r="132" spans="1:15">
      <c r="A132" s="430" t="str">
        <f t="shared" si="23"/>
        <v>Mar</v>
      </c>
      <c r="B132" s="62">
        <f t="shared" si="23"/>
        <v>31</v>
      </c>
      <c r="C132" s="429" t="str">
        <f t="shared" si="23"/>
        <v>03/06/20</v>
      </c>
      <c r="E132" s="307">
        <f t="shared" si="24"/>
        <v>1751780</v>
      </c>
      <c r="F132" s="307">
        <f t="shared" si="24"/>
        <v>56509</v>
      </c>
      <c r="G132" s="428"/>
      <c r="H132" s="307">
        <f t="shared" si="25"/>
        <v>88255</v>
      </c>
      <c r="I132" s="954"/>
      <c r="J132" s="307">
        <f t="shared" si="26"/>
        <v>89259</v>
      </c>
      <c r="K132" s="1200"/>
      <c r="L132" s="37">
        <f t="shared" si="27"/>
        <v>100196</v>
      </c>
      <c r="M132" s="57"/>
    </row>
    <row r="133" spans="1:15">
      <c r="A133" s="430" t="str">
        <f t="shared" si="23"/>
        <v>Apr</v>
      </c>
      <c r="B133" s="62">
        <f t="shared" si="23"/>
        <v>30</v>
      </c>
      <c r="C133" s="429" t="str">
        <f t="shared" si="23"/>
        <v>04/15/20</v>
      </c>
      <c r="E133" s="307">
        <f t="shared" si="24"/>
        <v>1039564</v>
      </c>
      <c r="F133" s="307">
        <f t="shared" si="24"/>
        <v>34653</v>
      </c>
      <c r="G133" s="428"/>
      <c r="H133" s="307">
        <f t="shared" si="25"/>
        <v>60949</v>
      </c>
      <c r="I133" s="954"/>
      <c r="J133" s="307">
        <f t="shared" si="26"/>
        <v>61037</v>
      </c>
      <c r="K133" s="1200"/>
      <c r="L133" s="37">
        <f t="shared" si="27"/>
        <v>68030</v>
      </c>
      <c r="M133" s="57"/>
    </row>
    <row r="134" spans="1:15">
      <c r="A134" s="430" t="str">
        <f t="shared" si="23"/>
        <v>May</v>
      </c>
      <c r="B134" s="62">
        <f t="shared" si="23"/>
        <v>31</v>
      </c>
      <c r="C134" s="429" t="str">
        <f t="shared" si="23"/>
        <v>05/11/20</v>
      </c>
      <c r="E134" s="307">
        <f t="shared" si="24"/>
        <v>820994</v>
      </c>
      <c r="F134" s="307">
        <f t="shared" si="24"/>
        <v>26484</v>
      </c>
      <c r="G134" s="428"/>
      <c r="H134" s="307">
        <f t="shared" si="25"/>
        <v>50471</v>
      </c>
      <c r="I134" s="954"/>
      <c r="J134" s="307">
        <f t="shared" si="26"/>
        <v>51566</v>
      </c>
      <c r="K134" s="1200"/>
      <c r="L134" s="37">
        <f t="shared" si="27"/>
        <v>60856</v>
      </c>
      <c r="N134" s="59"/>
      <c r="O134" s="59"/>
    </row>
    <row r="135" spans="1:15">
      <c r="A135" s="430" t="str">
        <f t="shared" si="23"/>
        <v>Jun</v>
      </c>
      <c r="B135" s="62">
        <f t="shared" si="23"/>
        <v>30</v>
      </c>
      <c r="C135" s="429" t="str">
        <f t="shared" si="23"/>
        <v>06/11/20</v>
      </c>
      <c r="E135" s="307">
        <f t="shared" si="24"/>
        <v>514769</v>
      </c>
      <c r="F135" s="307">
        <f t="shared" si="24"/>
        <v>17159</v>
      </c>
      <c r="G135" s="428"/>
      <c r="H135" s="307">
        <f t="shared" si="25"/>
        <v>19173</v>
      </c>
      <c r="I135" s="954"/>
      <c r="J135" s="307">
        <f t="shared" si="26"/>
        <v>20978</v>
      </c>
      <c r="K135" s="1200"/>
      <c r="L135" s="37">
        <f t="shared" si="27"/>
        <v>26921</v>
      </c>
      <c r="M135" s="76"/>
    </row>
    <row r="136" spans="1:15">
      <c r="A136" s="430" t="str">
        <f t="shared" si="23"/>
        <v>Jul</v>
      </c>
      <c r="B136" s="62">
        <f t="shared" si="23"/>
        <v>31</v>
      </c>
      <c r="C136" s="429" t="str">
        <f t="shared" si="23"/>
        <v>07/01/20</v>
      </c>
      <c r="E136" s="307">
        <f t="shared" si="24"/>
        <v>407132</v>
      </c>
      <c r="F136" s="307">
        <f t="shared" si="24"/>
        <v>13133</v>
      </c>
      <c r="G136" s="428"/>
      <c r="H136" s="307">
        <f t="shared" si="25"/>
        <v>14493</v>
      </c>
      <c r="I136" s="954"/>
      <c r="J136" s="307">
        <f t="shared" si="26"/>
        <v>15879</v>
      </c>
      <c r="K136" s="1200"/>
      <c r="L136" s="37">
        <f t="shared" si="27"/>
        <v>19249</v>
      </c>
    </row>
    <row r="137" spans="1:15">
      <c r="A137" s="430" t="str">
        <f t="shared" si="23"/>
        <v>Aug</v>
      </c>
      <c r="B137" s="62">
        <f t="shared" si="23"/>
        <v>31</v>
      </c>
      <c r="C137" s="429" t="str">
        <f t="shared" si="23"/>
        <v>08/25/20</v>
      </c>
      <c r="E137" s="307">
        <f t="shared" si="24"/>
        <v>419043</v>
      </c>
      <c r="F137" s="307">
        <f t="shared" si="24"/>
        <v>13517</v>
      </c>
      <c r="G137" s="428"/>
      <c r="H137" s="307">
        <f t="shared" si="25"/>
        <v>14426</v>
      </c>
      <c r="I137" s="954"/>
      <c r="J137" s="307">
        <f t="shared" si="26"/>
        <v>16888</v>
      </c>
      <c r="K137" s="1200"/>
      <c r="L137" s="37">
        <f t="shared" si="27"/>
        <v>20342</v>
      </c>
      <c r="M137" s="76"/>
      <c r="N137" s="59"/>
      <c r="O137" s="59"/>
    </row>
    <row r="138" spans="1:15">
      <c r="A138" s="430" t="str">
        <f t="shared" si="23"/>
        <v>Sept</v>
      </c>
      <c r="B138" s="62">
        <f t="shared" si="23"/>
        <v>30</v>
      </c>
      <c r="C138" s="429" t="str">
        <f t="shared" si="23"/>
        <v>09/29/20</v>
      </c>
      <c r="E138" s="307">
        <f t="shared" si="24"/>
        <v>423306</v>
      </c>
      <c r="F138" s="307">
        <f t="shared" si="24"/>
        <v>14110</v>
      </c>
      <c r="G138" s="428"/>
      <c r="H138" s="307">
        <f t="shared" si="25"/>
        <v>18282</v>
      </c>
      <c r="I138" s="954"/>
      <c r="J138" s="307">
        <f t="shared" si="26"/>
        <v>18779</v>
      </c>
      <c r="K138" s="1200"/>
      <c r="L138" s="37">
        <f t="shared" si="27"/>
        <v>23744</v>
      </c>
    </row>
    <row r="139" spans="1:15">
      <c r="A139" s="430" t="str">
        <f t="shared" si="23"/>
        <v xml:space="preserve">Oct </v>
      </c>
      <c r="B139" s="62">
        <f t="shared" si="23"/>
        <v>31</v>
      </c>
      <c r="C139" s="429" t="str">
        <f t="shared" si="23"/>
        <v>10/30/20</v>
      </c>
      <c r="E139" s="307">
        <f t="shared" si="24"/>
        <v>551227</v>
      </c>
      <c r="F139" s="307">
        <f t="shared" si="24"/>
        <v>17781</v>
      </c>
      <c r="G139" s="428"/>
      <c r="H139" s="307">
        <f t="shared" si="25"/>
        <v>28801</v>
      </c>
      <c r="I139" s="954"/>
      <c r="J139" s="307">
        <f t="shared" si="26"/>
        <v>29040</v>
      </c>
      <c r="K139" s="1200"/>
      <c r="L139" s="37">
        <f t="shared" si="27"/>
        <v>34274</v>
      </c>
    </row>
    <row r="140" spans="1:15">
      <c r="A140" s="430" t="str">
        <f t="shared" si="23"/>
        <v>Nov</v>
      </c>
      <c r="B140" s="62">
        <f t="shared" si="23"/>
        <v>30</v>
      </c>
      <c r="C140" s="429" t="str">
        <f t="shared" si="23"/>
        <v>11/30/20</v>
      </c>
      <c r="E140" s="307">
        <f t="shared" si="24"/>
        <v>929688</v>
      </c>
      <c r="F140" s="307">
        <f t="shared" si="24"/>
        <v>30990</v>
      </c>
      <c r="G140" s="428"/>
      <c r="H140" s="307">
        <f t="shared" si="25"/>
        <v>38294</v>
      </c>
      <c r="I140" s="954"/>
      <c r="J140" s="307">
        <f t="shared" si="26"/>
        <v>48274</v>
      </c>
      <c r="K140" s="1200"/>
      <c r="L140" s="37">
        <f t="shared" si="27"/>
        <v>55012</v>
      </c>
      <c r="N140" s="59"/>
      <c r="O140" s="59"/>
    </row>
    <row r="141" spans="1:15">
      <c r="A141" s="430" t="str">
        <f t="shared" si="23"/>
        <v>Dec 2020</v>
      </c>
      <c r="B141" s="62">
        <f t="shared" si="23"/>
        <v>31</v>
      </c>
      <c r="C141" s="429" t="str">
        <f t="shared" si="23"/>
        <v>12/24/20</v>
      </c>
      <c r="E141" s="1205">
        <f t="shared" si="24"/>
        <v>1756361</v>
      </c>
      <c r="F141" s="865">
        <f t="shared" si="24"/>
        <v>56657</v>
      </c>
      <c r="G141" s="954"/>
      <c r="H141" s="1199">
        <f t="shared" si="25"/>
        <v>69272</v>
      </c>
      <c r="I141" s="954"/>
      <c r="J141" s="1199">
        <f t="shared" si="26"/>
        <v>86220</v>
      </c>
      <c r="K141" s="957"/>
      <c r="L141" s="292">
        <f t="shared" si="27"/>
        <v>91804</v>
      </c>
    </row>
    <row r="142" spans="1:15">
      <c r="C142" s="69"/>
      <c r="E142" s="307">
        <f>SUM(E130:E141)</f>
        <v>12746023</v>
      </c>
      <c r="F142" s="865"/>
      <c r="G142" s="954"/>
      <c r="H142" s="865">
        <f>MAX(H130:H141)</f>
        <v>101236</v>
      </c>
      <c r="I142" s="954"/>
      <c r="J142" s="865">
        <f>MAX(J130:J141)</f>
        <v>101358</v>
      </c>
      <c r="K142" s="1200"/>
      <c r="L142" s="284">
        <f>MAX(L130:L141)</f>
        <v>109623</v>
      </c>
    </row>
    <row r="143" spans="1:15">
      <c r="C143" s="69"/>
      <c r="E143" s="1188"/>
      <c r="H143" s="1201"/>
      <c r="I143" s="428"/>
      <c r="J143" s="1201"/>
      <c r="K143" s="1200"/>
      <c r="L143" s="67"/>
      <c r="N143" s="59"/>
      <c r="O143" s="59"/>
    </row>
    <row r="144" spans="1:15">
      <c r="A144" s="202" t="s">
        <v>845</v>
      </c>
      <c r="B144" s="53" t="s">
        <v>848</v>
      </c>
      <c r="E144" s="1188"/>
      <c r="H144" s="1201"/>
      <c r="I144" s="428"/>
      <c r="J144" s="1201"/>
      <c r="K144" s="1200"/>
      <c r="L144" s="67"/>
    </row>
    <row r="145" spans="1:15">
      <c r="A145" s="202" t="s">
        <v>846</v>
      </c>
      <c r="B145" s="53" t="s">
        <v>850</v>
      </c>
      <c r="E145" s="1188"/>
      <c r="H145" s="1201"/>
      <c r="I145" s="428"/>
      <c r="J145" s="1201"/>
      <c r="K145" s="1200"/>
      <c r="L145" s="67"/>
    </row>
    <row r="146" spans="1:15">
      <c r="A146" s="202" t="s">
        <v>847</v>
      </c>
      <c r="B146" s="53" t="s">
        <v>849</v>
      </c>
      <c r="E146" s="416"/>
      <c r="F146" s="416"/>
      <c r="G146" s="416"/>
      <c r="H146" s="416"/>
      <c r="I146" s="416"/>
    </row>
    <row r="147" spans="1:15">
      <c r="M147" s="76"/>
      <c r="N147" s="76"/>
      <c r="O147" s="76"/>
    </row>
    <row r="151" spans="1:15">
      <c r="A151" s="434"/>
    </row>
  </sheetData>
  <pageMargins left="1" right="1" top="1" bottom="1" header="0.5" footer="0.5"/>
  <pageSetup scale="75" orientation="landscape" r:id="rId1"/>
  <headerFooter alignWithMargins="0"/>
  <rowBreaks count="2" manualBreakCount="2">
    <brk id="48" max="11" man="1"/>
    <brk id="97" max="11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1"/>
  </sheetPr>
  <dimension ref="A1:N56"/>
  <sheetViews>
    <sheetView zoomScale="70" zoomScaleNormal="70" workbookViewId="0">
      <selection activeCell="A4" sqref="A4"/>
    </sheetView>
  </sheetViews>
  <sheetFormatPr defaultColWidth="8.765625" defaultRowHeight="12.5"/>
  <cols>
    <col min="1" max="1" width="42.07421875" style="842" customWidth="1"/>
    <col min="2" max="2" width="31.23046875" style="842" customWidth="1"/>
    <col min="3" max="13" width="12.765625" style="842" customWidth="1"/>
    <col min="14" max="14" width="12.4609375" style="842" customWidth="1"/>
    <col min="15" max="16384" width="8.765625" style="842"/>
  </cols>
  <sheetData>
    <row r="1" spans="1:14">
      <c r="A1" s="841" t="s">
        <v>1255</v>
      </c>
      <c r="B1" s="842" t="s">
        <v>8</v>
      </c>
      <c r="C1" s="842" t="s">
        <v>948</v>
      </c>
      <c r="D1" s="843" t="s">
        <v>1498</v>
      </c>
    </row>
    <row r="2" spans="1:14">
      <c r="A2" s="841" t="s">
        <v>825</v>
      </c>
      <c r="B2" s="842" t="s">
        <v>7</v>
      </c>
      <c r="C2" s="842" t="s">
        <v>1196</v>
      </c>
      <c r="D2" s="844">
        <v>18</v>
      </c>
      <c r="G2" s="990"/>
    </row>
    <row r="3" spans="1:14">
      <c r="A3" s="841" t="s">
        <v>1559</v>
      </c>
      <c r="B3" s="842" t="s">
        <v>5</v>
      </c>
      <c r="C3" s="842" t="s">
        <v>1197</v>
      </c>
      <c r="D3" s="844">
        <v>15</v>
      </c>
    </row>
    <row r="4" spans="1:14">
      <c r="A4" s="841" t="s">
        <v>1481</v>
      </c>
      <c r="B4" s="842" t="s">
        <v>6</v>
      </c>
    </row>
    <row r="5" spans="1:14">
      <c r="A5" s="841" t="s">
        <v>1468</v>
      </c>
      <c r="B5" s="842" t="s">
        <v>9</v>
      </c>
      <c r="C5" s="845"/>
    </row>
    <row r="6" spans="1:14">
      <c r="A6" s="841" t="s">
        <v>900</v>
      </c>
      <c r="B6" s="842" t="s">
        <v>1194</v>
      </c>
      <c r="C6" s="845"/>
    </row>
    <row r="7" spans="1:14">
      <c r="A7" s="841" t="s">
        <v>900</v>
      </c>
      <c r="B7" s="842" t="s">
        <v>1230</v>
      </c>
      <c r="C7" s="845"/>
    </row>
    <row r="8" spans="1:14">
      <c r="A8" s="841" t="s">
        <v>909</v>
      </c>
      <c r="B8" s="842" t="s">
        <v>910</v>
      </c>
      <c r="C8" s="845"/>
    </row>
    <row r="9" spans="1:14">
      <c r="A9" s="841" t="s">
        <v>823</v>
      </c>
      <c r="B9" s="842" t="s">
        <v>824</v>
      </c>
      <c r="C9" s="845"/>
    </row>
    <row r="10" spans="1:14">
      <c r="A10" s="841" t="s">
        <v>1482</v>
      </c>
      <c r="B10" s="842" t="s">
        <v>6</v>
      </c>
      <c r="C10" s="845"/>
    </row>
    <row r="11" spans="1:14">
      <c r="A11" s="846"/>
      <c r="B11" s="845"/>
      <c r="C11" s="845"/>
    </row>
    <row r="12" spans="1:14">
      <c r="B12" s="845"/>
    </row>
    <row r="13" spans="1:14" ht="15.65" customHeight="1"/>
    <row r="14" spans="1:14" ht="15" customHeight="1">
      <c r="A14" s="850" t="s">
        <v>1037</v>
      </c>
      <c r="B14" s="851"/>
      <c r="C14" s="840" t="s">
        <v>1453</v>
      </c>
      <c r="D14" s="840" t="s">
        <v>1454</v>
      </c>
      <c r="E14" s="840" t="s">
        <v>1452</v>
      </c>
      <c r="F14" s="840" t="s">
        <v>1455</v>
      </c>
      <c r="G14" s="840" t="s">
        <v>1456</v>
      </c>
      <c r="H14" s="840" t="s">
        <v>1457</v>
      </c>
      <c r="I14" s="840" t="s">
        <v>1459</v>
      </c>
      <c r="J14" s="840" t="s">
        <v>1460</v>
      </c>
      <c r="K14" s="840" t="s">
        <v>1461</v>
      </c>
      <c r="L14" s="840" t="s">
        <v>1462</v>
      </c>
      <c r="M14" s="840" t="s">
        <v>1463</v>
      </c>
      <c r="N14" s="840" t="s">
        <v>1458</v>
      </c>
    </row>
    <row r="15" spans="1:14" ht="15" customHeight="1">
      <c r="A15" s="847"/>
      <c r="C15" s="841"/>
      <c r="D15" s="841"/>
      <c r="E15" s="852" t="s">
        <v>1039</v>
      </c>
      <c r="F15" s="841"/>
      <c r="G15" s="852" t="s">
        <v>1042</v>
      </c>
      <c r="H15" s="852" t="s">
        <v>1042</v>
      </c>
      <c r="I15" s="852" t="s">
        <v>579</v>
      </c>
      <c r="J15" s="841"/>
      <c r="K15" s="841"/>
      <c r="L15" s="841"/>
      <c r="M15" s="841"/>
    </row>
    <row r="16" spans="1:14" ht="13">
      <c r="C16" s="852"/>
      <c r="D16" s="852" t="s">
        <v>1039</v>
      </c>
      <c r="E16" s="852" t="s">
        <v>1043</v>
      </c>
      <c r="F16" s="852" t="s">
        <v>1042</v>
      </c>
      <c r="G16" s="852" t="s">
        <v>1044</v>
      </c>
      <c r="H16" s="852" t="s">
        <v>596</v>
      </c>
      <c r="I16" s="852" t="s">
        <v>768</v>
      </c>
      <c r="J16" s="852" t="s">
        <v>742</v>
      </c>
      <c r="K16" s="852" t="s">
        <v>1256</v>
      </c>
      <c r="L16" s="852" t="s">
        <v>974</v>
      </c>
      <c r="M16" s="852" t="s">
        <v>370</v>
      </c>
      <c r="N16" s="852" t="s">
        <v>1045</v>
      </c>
    </row>
    <row r="17" spans="1:14" ht="13">
      <c r="C17" s="853" t="s">
        <v>1038</v>
      </c>
      <c r="D17" s="854" t="s">
        <v>1040</v>
      </c>
      <c r="E17" s="854" t="s">
        <v>1041</v>
      </c>
      <c r="F17" s="854" t="s">
        <v>1040</v>
      </c>
      <c r="G17" s="854" t="s">
        <v>1041</v>
      </c>
      <c r="H17" s="854" t="s">
        <v>1041</v>
      </c>
      <c r="I17" s="854" t="s">
        <v>1041</v>
      </c>
      <c r="J17" s="854" t="s">
        <v>1040</v>
      </c>
      <c r="K17" s="854" t="s">
        <v>1040</v>
      </c>
      <c r="L17" s="854" t="s">
        <v>1040</v>
      </c>
      <c r="M17" s="854" t="s">
        <v>1040</v>
      </c>
      <c r="N17" s="854" t="s">
        <v>1040</v>
      </c>
    </row>
    <row r="18" spans="1:14" ht="13">
      <c r="A18" s="847" t="s">
        <v>554</v>
      </c>
      <c r="B18" s="847" t="s">
        <v>10</v>
      </c>
      <c r="C18" s="848"/>
      <c r="E18" s="848"/>
      <c r="F18" s="848"/>
      <c r="G18" s="848"/>
      <c r="H18" s="848"/>
      <c r="I18" s="848"/>
      <c r="J18" s="848"/>
      <c r="K18" s="848"/>
      <c r="L18" s="848"/>
      <c r="M18" s="848"/>
    </row>
    <row r="19" spans="1:14" ht="24.65" customHeight="1">
      <c r="A19" s="842" t="s">
        <v>500</v>
      </c>
      <c r="B19" s="842" t="s">
        <v>934</v>
      </c>
      <c r="C19" s="849"/>
      <c r="E19" s="849"/>
      <c r="F19" s="849"/>
      <c r="G19" s="849"/>
      <c r="H19" s="849"/>
      <c r="I19" s="849"/>
      <c r="J19" s="849"/>
      <c r="K19" s="849"/>
      <c r="L19" s="849"/>
      <c r="M19" s="849"/>
      <c r="N19" s="848" t="s">
        <v>1046</v>
      </c>
    </row>
    <row r="20" spans="1:14" ht="24.65" customHeight="1">
      <c r="A20" s="842" t="s">
        <v>12</v>
      </c>
      <c r="B20" s="842" t="s">
        <v>926</v>
      </c>
    </row>
    <row r="21" spans="1:14" ht="24.65" customHeight="1">
      <c r="A21" s="842" t="s">
        <v>11</v>
      </c>
      <c r="B21" s="842" t="s">
        <v>923</v>
      </c>
      <c r="C21" s="849"/>
      <c r="E21" s="849"/>
      <c r="F21" s="849"/>
      <c r="G21" s="849"/>
      <c r="H21" s="849"/>
      <c r="I21" s="849"/>
      <c r="J21" s="849"/>
      <c r="K21" s="849"/>
      <c r="L21" s="849"/>
      <c r="M21" s="849"/>
    </row>
    <row r="22" spans="1:14" ht="24.65" customHeight="1">
      <c r="A22" s="842" t="s">
        <v>13</v>
      </c>
      <c r="B22" s="842" t="s">
        <v>927</v>
      </c>
      <c r="C22" s="849"/>
      <c r="E22" s="849"/>
      <c r="F22" s="849"/>
      <c r="G22" s="849"/>
      <c r="H22" s="849"/>
      <c r="I22" s="849"/>
      <c r="J22" s="849"/>
      <c r="K22" s="849"/>
      <c r="L22" s="849"/>
      <c r="M22" s="849"/>
    </row>
    <row r="23" spans="1:14" ht="24.65" customHeight="1">
      <c r="A23" s="842" t="s">
        <v>548</v>
      </c>
      <c r="B23" s="842" t="s">
        <v>931</v>
      </c>
      <c r="C23" s="849"/>
      <c r="E23" s="849"/>
      <c r="F23" s="849"/>
      <c r="G23" s="849"/>
      <c r="H23" s="849"/>
      <c r="I23" s="849"/>
      <c r="J23" s="849"/>
      <c r="K23" s="849"/>
      <c r="L23" s="849"/>
      <c r="M23" s="849"/>
    </row>
    <row r="24" spans="1:14" ht="24.65" customHeight="1">
      <c r="A24" s="842" t="s">
        <v>549</v>
      </c>
      <c r="B24" s="842" t="s">
        <v>930</v>
      </c>
      <c r="C24" s="849"/>
      <c r="E24" s="849"/>
      <c r="F24" s="849"/>
      <c r="G24" s="849"/>
      <c r="H24" s="849"/>
      <c r="I24" s="849"/>
      <c r="J24" s="849"/>
      <c r="K24" s="849"/>
      <c r="L24" s="849"/>
      <c r="M24" s="849"/>
    </row>
    <row r="25" spans="1:14" ht="24.65" customHeight="1">
      <c r="A25" s="842" t="s">
        <v>550</v>
      </c>
      <c r="B25" s="842" t="s">
        <v>932</v>
      </c>
      <c r="C25" s="849"/>
      <c r="E25" s="849"/>
      <c r="F25" s="849"/>
      <c r="G25" s="849"/>
      <c r="H25" s="849"/>
      <c r="I25" s="849"/>
      <c r="J25" s="849"/>
      <c r="K25" s="849"/>
      <c r="L25" s="849"/>
      <c r="M25" s="849"/>
    </row>
    <row r="26" spans="1:14" ht="24.65" customHeight="1">
      <c r="A26" s="842" t="s">
        <v>494</v>
      </c>
      <c r="B26" s="842" t="s">
        <v>928</v>
      </c>
      <c r="C26" s="849"/>
      <c r="E26" s="849"/>
      <c r="F26" s="849"/>
      <c r="G26" s="849"/>
      <c r="H26" s="849"/>
      <c r="I26" s="849"/>
      <c r="J26" s="849"/>
      <c r="K26" s="849"/>
      <c r="L26" s="849"/>
      <c r="M26" s="849"/>
    </row>
    <row r="27" spans="1:14" ht="24.65" customHeight="1">
      <c r="A27" s="842" t="s">
        <v>551</v>
      </c>
      <c r="B27" s="842" t="s">
        <v>929</v>
      </c>
      <c r="C27" s="849"/>
      <c r="E27" s="849"/>
      <c r="F27" s="849"/>
      <c r="G27" s="849"/>
      <c r="H27" s="849"/>
      <c r="I27" s="849"/>
      <c r="J27" s="849"/>
      <c r="K27" s="849"/>
      <c r="L27" s="849"/>
      <c r="M27" s="849"/>
    </row>
    <row r="28" spans="1:14" ht="24.65" customHeight="1">
      <c r="A28" s="842" t="s">
        <v>495</v>
      </c>
      <c r="B28" s="842" t="s">
        <v>922</v>
      </c>
      <c r="C28" s="849"/>
      <c r="E28" s="849"/>
      <c r="F28" s="849"/>
      <c r="G28" s="849"/>
      <c r="H28" s="849"/>
      <c r="I28" s="849"/>
      <c r="J28" s="849"/>
      <c r="K28" s="849"/>
      <c r="L28" s="849"/>
      <c r="M28" s="849"/>
    </row>
    <row r="29" spans="1:14" ht="24.65" customHeight="1">
      <c r="A29" s="842" t="s">
        <v>497</v>
      </c>
      <c r="B29" s="842" t="s">
        <v>935</v>
      </c>
      <c r="C29" s="849"/>
      <c r="E29" s="849"/>
      <c r="F29" s="849"/>
      <c r="G29" s="849"/>
      <c r="H29" s="849"/>
      <c r="I29" s="849"/>
      <c r="J29" s="849"/>
      <c r="K29" s="849"/>
      <c r="L29" s="849"/>
      <c r="M29" s="849"/>
    </row>
    <row r="30" spans="1:14" ht="24.65" customHeight="1">
      <c r="A30" s="842" t="s">
        <v>496</v>
      </c>
      <c r="B30" s="842" t="s">
        <v>924</v>
      </c>
      <c r="C30" s="849"/>
      <c r="E30" s="849"/>
      <c r="F30" s="849"/>
      <c r="G30" s="849"/>
      <c r="H30" s="849"/>
      <c r="I30" s="849"/>
      <c r="J30" s="849"/>
      <c r="K30" s="849"/>
      <c r="L30" s="849"/>
      <c r="M30" s="849"/>
    </row>
    <row r="31" spans="1:14" ht="24.65" customHeight="1">
      <c r="A31" s="842" t="s">
        <v>498</v>
      </c>
      <c r="B31" s="842" t="s">
        <v>921</v>
      </c>
      <c r="C31" s="849"/>
      <c r="E31" s="849"/>
      <c r="F31" s="849"/>
      <c r="G31" s="849"/>
      <c r="H31" s="849"/>
      <c r="I31" s="849"/>
      <c r="J31" s="849"/>
      <c r="K31" s="849"/>
      <c r="L31" s="849"/>
      <c r="M31" s="849"/>
    </row>
    <row r="32" spans="1:14" ht="24.65" customHeight="1">
      <c r="A32" s="842" t="s">
        <v>499</v>
      </c>
      <c r="B32" s="842" t="s">
        <v>933</v>
      </c>
      <c r="C32" s="849"/>
      <c r="E32" s="849"/>
      <c r="F32" s="849"/>
      <c r="G32" s="849"/>
      <c r="H32" s="849"/>
      <c r="I32" s="849"/>
      <c r="J32" s="849"/>
      <c r="K32" s="849"/>
      <c r="L32" s="849"/>
      <c r="M32" s="849"/>
    </row>
    <row r="33" spans="1:13" ht="24.65" customHeight="1">
      <c r="A33" s="842" t="s">
        <v>552</v>
      </c>
      <c r="B33" s="842" t="s">
        <v>920</v>
      </c>
      <c r="C33" s="849"/>
      <c r="E33" s="849"/>
      <c r="F33" s="849"/>
      <c r="G33" s="849"/>
      <c r="H33" s="849"/>
      <c r="I33" s="849"/>
      <c r="J33" s="849"/>
      <c r="K33" s="849"/>
      <c r="L33" s="849"/>
      <c r="M33" s="849"/>
    </row>
    <row r="34" spans="1:13" ht="24.65" customHeight="1">
      <c r="A34" s="842" t="s">
        <v>553</v>
      </c>
      <c r="B34" s="842" t="s">
        <v>925</v>
      </c>
      <c r="C34" s="849"/>
    </row>
    <row r="35" spans="1:13" ht="19.149999999999999" customHeight="1">
      <c r="A35" s="842" t="s">
        <v>343</v>
      </c>
      <c r="D35" s="842" t="s">
        <v>343</v>
      </c>
      <c r="E35" s="842" t="s">
        <v>343</v>
      </c>
      <c r="F35" s="842" t="s">
        <v>343</v>
      </c>
      <c r="G35" s="842" t="s">
        <v>343</v>
      </c>
      <c r="H35" s="842" t="s">
        <v>343</v>
      </c>
      <c r="I35" s="842" t="s">
        <v>343</v>
      </c>
      <c r="J35" s="842" t="s">
        <v>343</v>
      </c>
      <c r="K35" s="842" t="s">
        <v>343</v>
      </c>
      <c r="L35" s="842" t="s">
        <v>343</v>
      </c>
      <c r="M35" s="842" t="s">
        <v>343</v>
      </c>
    </row>
    <row r="36" spans="1:13" ht="19.149999999999999" customHeight="1">
      <c r="B36" s="849"/>
      <c r="D36" s="845"/>
      <c r="E36" s="845"/>
      <c r="F36" s="845"/>
      <c r="G36" s="845"/>
      <c r="H36" s="845"/>
      <c r="I36" s="845"/>
      <c r="J36" s="845"/>
      <c r="K36" s="845"/>
      <c r="L36" s="845"/>
      <c r="M36" s="845"/>
    </row>
    <row r="37" spans="1:13" ht="19.149999999999999" customHeight="1">
      <c r="B37" s="849"/>
      <c r="D37" s="845"/>
      <c r="E37" s="845"/>
      <c r="F37" s="845"/>
      <c r="G37" s="845"/>
      <c r="H37" s="845"/>
      <c r="I37" s="845"/>
      <c r="J37" s="845"/>
      <c r="K37" s="845"/>
      <c r="L37" s="845"/>
      <c r="M37" s="845"/>
    </row>
    <row r="38" spans="1:13" ht="19.149999999999999" customHeight="1">
      <c r="B38" s="849"/>
      <c r="D38" s="845"/>
    </row>
    <row r="39" spans="1:13" ht="19.149999999999999" customHeight="1">
      <c r="B39" s="849"/>
    </row>
    <row r="40" spans="1:13" ht="19.149999999999999" customHeight="1">
      <c r="B40" s="849"/>
    </row>
    <row r="41" spans="1:13" ht="19.149999999999999" customHeight="1">
      <c r="B41" s="849"/>
    </row>
    <row r="42" spans="1:13" ht="19.149999999999999" customHeight="1">
      <c r="B42" s="849"/>
    </row>
    <row r="43" spans="1:13" ht="19.149999999999999" customHeight="1">
      <c r="B43" s="849"/>
    </row>
    <row r="44" spans="1:13" ht="19.149999999999999" customHeight="1"/>
    <row r="45" spans="1:13" ht="19.149999999999999" customHeight="1"/>
    <row r="46" spans="1:13" ht="19.149999999999999" customHeight="1"/>
    <row r="47" spans="1:13" ht="19.149999999999999" customHeight="1"/>
    <row r="48" spans="1:13" ht="19.149999999999999" customHeight="1"/>
    <row r="49" ht="19.149999999999999" customHeight="1"/>
    <row r="50" ht="19.149999999999999" customHeight="1"/>
    <row r="51" ht="19.149999999999999" customHeight="1"/>
    <row r="52" ht="19.149999999999999" customHeight="1"/>
    <row r="53" ht="19.149999999999999" customHeight="1"/>
    <row r="54" ht="19.149999999999999" customHeight="1"/>
    <row r="55" ht="19.149999999999999" customHeight="1"/>
    <row r="56" ht="19.149999999999999" customHeight="1"/>
  </sheetData>
  <phoneticPr fontId="0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1" r:id="rId4" name="Button 9">
              <controlPr defaultSize="0" print="0" autoFill="0" autoPict="0" macro="[0]!Print_All.print_SCH_E3_2">
                <anchor moveWithCells="1">
                  <from>
                    <xdr:col>2</xdr:col>
                    <xdr:colOff>133350</xdr:colOff>
                    <xdr:row>34</xdr:row>
                    <xdr:rowOff>209550</xdr:rowOff>
                  </from>
                  <to>
                    <xdr:col>2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" name="Button 67">
              <controlPr defaultSize="0" print="0" autoFill="0" autoPict="0" macro="[0]!print_SUMMARY">
                <anchor moveWithCells="1">
                  <from>
                    <xdr:col>2</xdr:col>
                    <xdr:colOff>146050</xdr:colOff>
                    <xdr:row>18</xdr:row>
                    <xdr:rowOff>19050</xdr:rowOff>
                  </from>
                  <to>
                    <xdr:col>2</xdr:col>
                    <xdr:colOff>1022350</xdr:colOff>
                    <xdr:row>18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" name="Button 79">
              <controlPr defaultSize="0" print="0" autoFill="0" autoPict="0" macro="[0]!print_GROSSPLANT">
                <anchor moveWithCells="1">
                  <from>
                    <xdr:col>2</xdr:col>
                    <xdr:colOff>146050</xdr:colOff>
                    <xdr:row>19</xdr:row>
                    <xdr:rowOff>19050</xdr:rowOff>
                  </from>
                  <to>
                    <xdr:col>2</xdr:col>
                    <xdr:colOff>1022350</xdr:colOff>
                    <xdr:row>19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7" name="Button 80">
              <controlPr defaultSize="0" print="0" autoFill="0" autoPict="0" macro="[0]!print_DEPRECIATION_RESERVE">
                <anchor moveWithCells="1">
                  <from>
                    <xdr:col>2</xdr:col>
                    <xdr:colOff>146050</xdr:colOff>
                    <xdr:row>20</xdr:row>
                    <xdr:rowOff>19050</xdr:rowOff>
                  </from>
                  <to>
                    <xdr:col>2</xdr:col>
                    <xdr:colOff>1022350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8" name="Button 81">
              <controlPr defaultSize="0" print="0" autoFill="0" autoPict="0" macro="[0]!print_NET_PLANT">
                <anchor moveWithCells="1">
                  <from>
                    <xdr:col>2</xdr:col>
                    <xdr:colOff>146050</xdr:colOff>
                    <xdr:row>21</xdr:row>
                    <xdr:rowOff>19050</xdr:rowOff>
                  </from>
                  <to>
                    <xdr:col>2</xdr:col>
                    <xdr:colOff>1022350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9" name="Button 82">
              <controlPr defaultSize="0" print="0" autoFill="0" autoPict="0" macro="[0]!print_SUBTRACTIVE_ADJ">
                <anchor moveWithCells="1">
                  <from>
                    <xdr:col>2</xdr:col>
                    <xdr:colOff>146050</xdr:colOff>
                    <xdr:row>22</xdr:row>
                    <xdr:rowOff>19050</xdr:rowOff>
                  </from>
                  <to>
                    <xdr:col>2</xdr:col>
                    <xdr:colOff>1022350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10" name="Button 83">
              <controlPr defaultSize="0" print="0" autoFill="0" autoPict="0" macro="[0]!print_ADDITIVE_ADJ">
                <anchor moveWithCells="1">
                  <from>
                    <xdr:col>2</xdr:col>
                    <xdr:colOff>146050</xdr:colOff>
                    <xdr:row>23</xdr:row>
                    <xdr:rowOff>19050</xdr:rowOff>
                  </from>
                  <to>
                    <xdr:col>2</xdr:col>
                    <xdr:colOff>1022350</xdr:colOff>
                    <xdr:row>23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11" name="Button 84">
              <controlPr defaultSize="0" print="0" autoFill="0" autoPict="0" macro="[0]!print_RATE_BASE">
                <anchor moveWithCells="1">
                  <from>
                    <xdr:col>2</xdr:col>
                    <xdr:colOff>146050</xdr:colOff>
                    <xdr:row>24</xdr:row>
                    <xdr:rowOff>19050</xdr:rowOff>
                  </from>
                  <to>
                    <xdr:col>2</xdr:col>
                    <xdr:colOff>1022350</xdr:colOff>
                    <xdr:row>24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12" name="Button 85">
              <controlPr defaultSize="0" print="0" autoFill="0" autoPict="0" macro="[0]!print_OMEXP_6">
                <anchor moveWithCells="1">
                  <from>
                    <xdr:col>2</xdr:col>
                    <xdr:colOff>146050</xdr:colOff>
                    <xdr:row>25</xdr:row>
                    <xdr:rowOff>19050</xdr:rowOff>
                  </from>
                  <to>
                    <xdr:col>2</xdr:col>
                    <xdr:colOff>1022350</xdr:colOff>
                    <xdr:row>25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13" name="Button 86">
              <controlPr defaultSize="0" print="0" autoFill="0" autoPict="0" macro="[0]!print_OMEXP_6_1">
                <anchor moveWithCells="1">
                  <from>
                    <xdr:col>2</xdr:col>
                    <xdr:colOff>146050</xdr:colOff>
                    <xdr:row>26</xdr:row>
                    <xdr:rowOff>19050</xdr:rowOff>
                  </from>
                  <to>
                    <xdr:col>2</xdr:col>
                    <xdr:colOff>1022350</xdr:colOff>
                    <xdr:row>26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14" name="Button 87">
              <controlPr defaultSize="0" print="0" autoFill="0" autoPict="0" macro="[0]!print_DEPRECIATION_EXPENSE">
                <anchor moveWithCells="1">
                  <from>
                    <xdr:col>2</xdr:col>
                    <xdr:colOff>146050</xdr:colOff>
                    <xdr:row>27</xdr:row>
                    <xdr:rowOff>0</xdr:rowOff>
                  </from>
                  <to>
                    <xdr:col>2</xdr:col>
                    <xdr:colOff>1022350</xdr:colOff>
                    <xdr:row>27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15" name="Button 88">
              <controlPr defaultSize="0" print="0" autoFill="0" autoPict="0" macro="[0]!print_OTHER_TAXES">
                <anchor moveWithCells="1">
                  <from>
                    <xdr:col>2</xdr:col>
                    <xdr:colOff>146050</xdr:colOff>
                    <xdr:row>28</xdr:row>
                    <xdr:rowOff>0</xdr:rowOff>
                  </from>
                  <to>
                    <xdr:col>2</xdr:col>
                    <xdr:colOff>1022350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16" name="Button 89">
              <controlPr defaultSize="0" print="0" autoFill="0" autoPict="0" macro="[0]!print_FIT_RETURN">
                <anchor moveWithCells="1">
                  <from>
                    <xdr:col>2</xdr:col>
                    <xdr:colOff>146050</xdr:colOff>
                    <xdr:row>29</xdr:row>
                    <xdr:rowOff>0</xdr:rowOff>
                  </from>
                  <to>
                    <xdr:col>2</xdr:col>
                    <xdr:colOff>1022350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17" name="Button 90">
              <controlPr defaultSize="0" print="0" autoFill="0" autoPict="0" macro="[0]!print_COSCOMPUTE">
                <anchor moveWithCells="1">
                  <from>
                    <xdr:col>2</xdr:col>
                    <xdr:colOff>146050</xdr:colOff>
                    <xdr:row>29</xdr:row>
                    <xdr:rowOff>304800</xdr:rowOff>
                  </from>
                  <to>
                    <xdr:col>2</xdr:col>
                    <xdr:colOff>1022350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18" name="Button 91">
              <controlPr defaultSize="0" print="0" autoFill="0" autoPict="0" macro="[0]!print_RATE_OF_RETURN">
                <anchor moveWithCells="1">
                  <from>
                    <xdr:col>2</xdr:col>
                    <xdr:colOff>146050</xdr:colOff>
                    <xdr:row>30</xdr:row>
                    <xdr:rowOff>304800</xdr:rowOff>
                  </from>
                  <to>
                    <xdr:col>2</xdr:col>
                    <xdr:colOff>1022350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19" name="Button 93">
              <controlPr defaultSize="0" print="0" autoFill="0" autoPict="0" macro="[0]!print_ALLOCATORS">
                <anchor moveWithCells="1">
                  <from>
                    <xdr:col>2</xdr:col>
                    <xdr:colOff>146050</xdr:colOff>
                    <xdr:row>31</xdr:row>
                    <xdr:rowOff>304800</xdr:rowOff>
                  </from>
                  <to>
                    <xdr:col>2</xdr:col>
                    <xdr:colOff>1022350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20" name="Button 94">
              <controlPr defaultSize="0" print="0" autoFill="0" autoPict="0" macro="[0]!print_SUMMARY_E3_2a">
                <anchor moveWithCells="1">
                  <from>
                    <xdr:col>3</xdr:col>
                    <xdr:colOff>114300</xdr:colOff>
                    <xdr:row>18</xdr:row>
                    <xdr:rowOff>19050</xdr:rowOff>
                  </from>
                  <to>
                    <xdr:col>3</xdr:col>
                    <xdr:colOff>1047750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21" name="Button 95">
              <controlPr defaultSize="0" print="0" autoFill="0" autoPict="0" macro="[0]!print_GROSSPLANT_E3_2a">
                <anchor moveWithCells="1">
                  <from>
                    <xdr:col>3</xdr:col>
                    <xdr:colOff>114300</xdr:colOff>
                    <xdr:row>19</xdr:row>
                    <xdr:rowOff>19050</xdr:rowOff>
                  </from>
                  <to>
                    <xdr:col>3</xdr:col>
                    <xdr:colOff>1047750</xdr:colOff>
                    <xdr:row>19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22" name="Button 96">
              <controlPr defaultSize="0" print="0" autoFill="0" autoPict="0" macro="[0]!print_DEPRECIATION_RESERVE_E3_2a">
                <anchor moveWithCells="1">
                  <from>
                    <xdr:col>3</xdr:col>
                    <xdr:colOff>114300</xdr:colOff>
                    <xdr:row>20</xdr:row>
                    <xdr:rowOff>19050</xdr:rowOff>
                  </from>
                  <to>
                    <xdr:col>3</xdr:col>
                    <xdr:colOff>1028700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23" name="Button 97">
              <controlPr defaultSize="0" print="0" autoFill="0" autoPict="0" macro="[0]!print_NET_PLANT_E3_2a">
                <anchor moveWithCells="1">
                  <from>
                    <xdr:col>3</xdr:col>
                    <xdr:colOff>114300</xdr:colOff>
                    <xdr:row>21</xdr:row>
                    <xdr:rowOff>19050</xdr:rowOff>
                  </from>
                  <to>
                    <xdr:col>3</xdr:col>
                    <xdr:colOff>1009650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24" name="Button 98">
              <controlPr defaultSize="0" print="0" autoFill="0" autoPict="0" macro="[0]!print_SUBTRACTIVE_ADJ_E3_2a">
                <anchor moveWithCells="1">
                  <from>
                    <xdr:col>3</xdr:col>
                    <xdr:colOff>133350</xdr:colOff>
                    <xdr:row>22</xdr:row>
                    <xdr:rowOff>19050</xdr:rowOff>
                  </from>
                  <to>
                    <xdr:col>3</xdr:col>
                    <xdr:colOff>1028700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25" name="Button 99">
              <controlPr defaultSize="0" print="0" autoFill="0" autoPict="0" macro="[0]!print_ADDITIVE_ADJ_E3_2a">
                <anchor moveWithCells="1">
                  <from>
                    <xdr:col>3</xdr:col>
                    <xdr:colOff>133350</xdr:colOff>
                    <xdr:row>23</xdr:row>
                    <xdr:rowOff>19050</xdr:rowOff>
                  </from>
                  <to>
                    <xdr:col>3</xdr:col>
                    <xdr:colOff>1028700</xdr:colOff>
                    <xdr:row>23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26" name="Button 100">
              <controlPr defaultSize="0" print="0" autoFill="0" autoPict="0" macro="[0]!print_RATE_BASE_E3_2a">
                <anchor moveWithCells="1">
                  <from>
                    <xdr:col>3</xdr:col>
                    <xdr:colOff>133350</xdr:colOff>
                    <xdr:row>24</xdr:row>
                    <xdr:rowOff>19050</xdr:rowOff>
                  </from>
                  <to>
                    <xdr:col>3</xdr:col>
                    <xdr:colOff>1009650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27" name="Button 101">
              <controlPr defaultSize="0" print="0" autoFill="0" autoPict="0" macro="[0]!print_OMEXP_6_E3_2a">
                <anchor moveWithCells="1">
                  <from>
                    <xdr:col>3</xdr:col>
                    <xdr:colOff>133350</xdr:colOff>
                    <xdr:row>25</xdr:row>
                    <xdr:rowOff>19050</xdr:rowOff>
                  </from>
                  <to>
                    <xdr:col>3</xdr:col>
                    <xdr:colOff>1009650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28" name="Button 102">
              <controlPr defaultSize="0" print="0" autoFill="0" autoPict="0" macro="[0]!print_OMEXP_6_1_E3_2a">
                <anchor moveWithCells="1">
                  <from>
                    <xdr:col>3</xdr:col>
                    <xdr:colOff>146050</xdr:colOff>
                    <xdr:row>26</xdr:row>
                    <xdr:rowOff>19050</xdr:rowOff>
                  </from>
                  <to>
                    <xdr:col>3</xdr:col>
                    <xdr:colOff>1009650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29" name="Button 103">
              <controlPr defaultSize="0" print="0" autoFill="0" autoPict="0" macro="[0]!print_DEPRECIATION_EXPENSE_E3_2a">
                <anchor moveWithCells="1">
                  <from>
                    <xdr:col>3</xdr:col>
                    <xdr:colOff>146050</xdr:colOff>
                    <xdr:row>27</xdr:row>
                    <xdr:rowOff>0</xdr:rowOff>
                  </from>
                  <to>
                    <xdr:col>3</xdr:col>
                    <xdr:colOff>1009650</xdr:colOff>
                    <xdr:row>27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30" name="Button 104">
              <controlPr defaultSize="0" print="0" autoFill="0" autoPict="0" macro="[0]!print_OTHER_TAXES_E3_2a">
                <anchor moveWithCells="1">
                  <from>
                    <xdr:col>3</xdr:col>
                    <xdr:colOff>146050</xdr:colOff>
                    <xdr:row>28</xdr:row>
                    <xdr:rowOff>0</xdr:rowOff>
                  </from>
                  <to>
                    <xdr:col>3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31" name="Button 105">
              <controlPr defaultSize="0" print="0" autoFill="0" autoPict="0" macro="[0]!print_FIT_RETURN_E3_2a">
                <anchor moveWithCells="1">
                  <from>
                    <xdr:col>3</xdr:col>
                    <xdr:colOff>133350</xdr:colOff>
                    <xdr:row>29</xdr:row>
                    <xdr:rowOff>0</xdr:rowOff>
                  </from>
                  <to>
                    <xdr:col>3</xdr:col>
                    <xdr:colOff>1047750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32" name="Button 106">
              <controlPr defaultSize="0" print="0" autoFill="0" autoPict="0" macro="[0]!print_COSCOMPUTE_E3_2a">
                <anchor moveWithCells="1">
                  <from>
                    <xdr:col>3</xdr:col>
                    <xdr:colOff>152400</xdr:colOff>
                    <xdr:row>30</xdr:row>
                    <xdr:rowOff>19050</xdr:rowOff>
                  </from>
                  <to>
                    <xdr:col>3</xdr:col>
                    <xdr:colOff>1009650</xdr:colOff>
                    <xdr:row>30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33" name="Button 107">
              <controlPr defaultSize="0" print="0" autoFill="0" autoPict="0" macro="[0]!print_RATE_OF_RETURN_E3_2a">
                <anchor moveWithCells="1">
                  <from>
                    <xdr:col>3</xdr:col>
                    <xdr:colOff>114300</xdr:colOff>
                    <xdr:row>31</xdr:row>
                    <xdr:rowOff>19050</xdr:rowOff>
                  </from>
                  <to>
                    <xdr:col>3</xdr:col>
                    <xdr:colOff>1009650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34" name="Button 108">
              <controlPr defaultSize="0" print="0" autoFill="0" autoPict="0" macro="[0]!print_ALLOCATORS_E3_2a">
                <anchor moveWithCells="1">
                  <from>
                    <xdr:col>3</xdr:col>
                    <xdr:colOff>133350</xdr:colOff>
                    <xdr:row>31</xdr:row>
                    <xdr:rowOff>304800</xdr:rowOff>
                  </from>
                  <to>
                    <xdr:col>3</xdr:col>
                    <xdr:colOff>990600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35" name="Button 128">
              <controlPr defaultSize="0" print="0" autoFill="0" autoPict="0" macro="[0]!Print_All.print_SCH_E3_2a">
                <anchor moveWithCells="1">
                  <from>
                    <xdr:col>3</xdr:col>
                    <xdr:colOff>152400</xdr:colOff>
                    <xdr:row>34</xdr:row>
                    <xdr:rowOff>209550</xdr:rowOff>
                  </from>
                  <to>
                    <xdr:col>3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36" name="Button 129">
              <controlPr defaultSize="0" print="0" autoFill="0" autoPict="0" macro="[0]!print_SUMMARY_E3_2b">
                <anchor moveWithCells="1">
                  <from>
                    <xdr:col>4</xdr:col>
                    <xdr:colOff>146050</xdr:colOff>
                    <xdr:row>18</xdr:row>
                    <xdr:rowOff>19050</xdr:rowOff>
                  </from>
                  <to>
                    <xdr:col>4</xdr:col>
                    <xdr:colOff>1022350</xdr:colOff>
                    <xdr:row>18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37" name="Button 130">
              <controlPr defaultSize="0" print="0" autoFill="0" autoPict="0" macro="[0]!print_GROSSPLANT_E3_2b">
                <anchor moveWithCells="1">
                  <from>
                    <xdr:col>4</xdr:col>
                    <xdr:colOff>146050</xdr:colOff>
                    <xdr:row>19</xdr:row>
                    <xdr:rowOff>19050</xdr:rowOff>
                  </from>
                  <to>
                    <xdr:col>4</xdr:col>
                    <xdr:colOff>1022350</xdr:colOff>
                    <xdr:row>19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38" name="Button 131">
              <controlPr defaultSize="0" print="0" autoFill="0" autoPict="0" macro="[0]!print_DEPRECIATION_RESERVE_E3_2b">
                <anchor moveWithCells="1">
                  <from>
                    <xdr:col>4</xdr:col>
                    <xdr:colOff>146050</xdr:colOff>
                    <xdr:row>20</xdr:row>
                    <xdr:rowOff>19050</xdr:rowOff>
                  </from>
                  <to>
                    <xdr:col>4</xdr:col>
                    <xdr:colOff>1022350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39" name="Button 132">
              <controlPr defaultSize="0" print="0" autoFill="0" autoPict="0" macro="[0]!print_NET_PLANT_E3_2b">
                <anchor moveWithCells="1">
                  <from>
                    <xdr:col>4</xdr:col>
                    <xdr:colOff>146050</xdr:colOff>
                    <xdr:row>21</xdr:row>
                    <xdr:rowOff>19050</xdr:rowOff>
                  </from>
                  <to>
                    <xdr:col>4</xdr:col>
                    <xdr:colOff>1022350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40" name="Button 133">
              <controlPr defaultSize="0" print="0" autoFill="0" autoPict="0" macro="[0]!print_SUBTRACTIVE_ADJ_E3_2b">
                <anchor moveWithCells="1">
                  <from>
                    <xdr:col>4</xdr:col>
                    <xdr:colOff>146050</xdr:colOff>
                    <xdr:row>22</xdr:row>
                    <xdr:rowOff>19050</xdr:rowOff>
                  </from>
                  <to>
                    <xdr:col>4</xdr:col>
                    <xdr:colOff>1022350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41" name="Button 134">
              <controlPr defaultSize="0" print="0" autoFill="0" autoPict="0" macro="[0]!print_ADDITIVE_ADJ_E3_2b">
                <anchor moveWithCells="1">
                  <from>
                    <xdr:col>4</xdr:col>
                    <xdr:colOff>146050</xdr:colOff>
                    <xdr:row>23</xdr:row>
                    <xdr:rowOff>19050</xdr:rowOff>
                  </from>
                  <to>
                    <xdr:col>4</xdr:col>
                    <xdr:colOff>1022350</xdr:colOff>
                    <xdr:row>23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42" name="Button 135">
              <controlPr defaultSize="0" print="0" autoFill="0" autoPict="0" macro="[0]!print_RATE_BASE_E3_2b">
                <anchor moveWithCells="1">
                  <from>
                    <xdr:col>4</xdr:col>
                    <xdr:colOff>146050</xdr:colOff>
                    <xdr:row>24</xdr:row>
                    <xdr:rowOff>19050</xdr:rowOff>
                  </from>
                  <to>
                    <xdr:col>4</xdr:col>
                    <xdr:colOff>1022350</xdr:colOff>
                    <xdr:row>24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43" name="Button 136">
              <controlPr defaultSize="0" print="0" autoFill="0" autoPict="0" macro="[0]!print_OMEXP_6_E3_2b">
                <anchor moveWithCells="1">
                  <from>
                    <xdr:col>4</xdr:col>
                    <xdr:colOff>146050</xdr:colOff>
                    <xdr:row>25</xdr:row>
                    <xdr:rowOff>19050</xdr:rowOff>
                  </from>
                  <to>
                    <xdr:col>4</xdr:col>
                    <xdr:colOff>1022350</xdr:colOff>
                    <xdr:row>25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44" name="Button 137">
              <controlPr defaultSize="0" print="0" autoFill="0" autoPict="0" macro="[0]!print_OMEXP_6_1_E3_2b">
                <anchor moveWithCells="1">
                  <from>
                    <xdr:col>4</xdr:col>
                    <xdr:colOff>146050</xdr:colOff>
                    <xdr:row>26</xdr:row>
                    <xdr:rowOff>19050</xdr:rowOff>
                  </from>
                  <to>
                    <xdr:col>4</xdr:col>
                    <xdr:colOff>1022350</xdr:colOff>
                    <xdr:row>26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45" name="Button 138">
              <controlPr defaultSize="0" print="0" autoFill="0" autoPict="0" macro="[0]!print_DEPRECIATION_EXPENSE_E3_2b">
                <anchor moveWithCells="1">
                  <from>
                    <xdr:col>4</xdr:col>
                    <xdr:colOff>146050</xdr:colOff>
                    <xdr:row>27</xdr:row>
                    <xdr:rowOff>0</xdr:rowOff>
                  </from>
                  <to>
                    <xdr:col>4</xdr:col>
                    <xdr:colOff>1022350</xdr:colOff>
                    <xdr:row>27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46" name="Button 139">
              <controlPr defaultSize="0" print="0" autoFill="0" autoPict="0" macro="[0]!print_OTHER_TAXES_E3_2b">
                <anchor moveWithCells="1">
                  <from>
                    <xdr:col>4</xdr:col>
                    <xdr:colOff>146050</xdr:colOff>
                    <xdr:row>28</xdr:row>
                    <xdr:rowOff>0</xdr:rowOff>
                  </from>
                  <to>
                    <xdr:col>4</xdr:col>
                    <xdr:colOff>1022350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47" name="Button 140">
              <controlPr defaultSize="0" print="0" autoFill="0" autoPict="0" macro="[0]!print_FIT_RETURN_E3_2b">
                <anchor moveWithCells="1">
                  <from>
                    <xdr:col>4</xdr:col>
                    <xdr:colOff>146050</xdr:colOff>
                    <xdr:row>29</xdr:row>
                    <xdr:rowOff>0</xdr:rowOff>
                  </from>
                  <to>
                    <xdr:col>4</xdr:col>
                    <xdr:colOff>1022350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48" name="Button 141">
              <controlPr defaultSize="0" print="0" autoFill="0" autoPict="0" macro="[0]!print_COSCOMPUTE_E3_2b">
                <anchor moveWithCells="1">
                  <from>
                    <xdr:col>4</xdr:col>
                    <xdr:colOff>146050</xdr:colOff>
                    <xdr:row>29</xdr:row>
                    <xdr:rowOff>304800</xdr:rowOff>
                  </from>
                  <to>
                    <xdr:col>4</xdr:col>
                    <xdr:colOff>1022350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49" name="Button 142">
              <controlPr defaultSize="0" print="0" autoFill="0" autoPict="0" macro="[0]!print_RATE_OF_RETURN_E3_2b">
                <anchor moveWithCells="1">
                  <from>
                    <xdr:col>4</xdr:col>
                    <xdr:colOff>146050</xdr:colOff>
                    <xdr:row>30</xdr:row>
                    <xdr:rowOff>304800</xdr:rowOff>
                  </from>
                  <to>
                    <xdr:col>4</xdr:col>
                    <xdr:colOff>1022350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50" name="Button 143">
              <controlPr defaultSize="0" print="0" autoFill="0" autoPict="0" macro="[0]!print_ALLOCATORS_E3_2b">
                <anchor moveWithCells="1">
                  <from>
                    <xdr:col>4</xdr:col>
                    <xdr:colOff>146050</xdr:colOff>
                    <xdr:row>31</xdr:row>
                    <xdr:rowOff>304800</xdr:rowOff>
                  </from>
                  <to>
                    <xdr:col>4</xdr:col>
                    <xdr:colOff>1022350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51" name="Button 145">
              <controlPr defaultSize="0" print="0" autoFill="0" autoPict="0" macro="[0]!print_SUMMARY_E3_2c">
                <anchor moveWithCells="1">
                  <from>
                    <xdr:col>5</xdr:col>
                    <xdr:colOff>133350</xdr:colOff>
                    <xdr:row>18</xdr:row>
                    <xdr:rowOff>19050</xdr:rowOff>
                  </from>
                  <to>
                    <xdr:col>5</xdr:col>
                    <xdr:colOff>1009650</xdr:colOff>
                    <xdr:row>18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52" name="Button 146">
              <controlPr defaultSize="0" print="0" autoFill="0" autoPict="0" macro="[0]!print_GROSSPLANT_E3_2c">
                <anchor moveWithCells="1">
                  <from>
                    <xdr:col>5</xdr:col>
                    <xdr:colOff>133350</xdr:colOff>
                    <xdr:row>19</xdr:row>
                    <xdr:rowOff>19050</xdr:rowOff>
                  </from>
                  <to>
                    <xdr:col>5</xdr:col>
                    <xdr:colOff>1009650</xdr:colOff>
                    <xdr:row>19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53" name="Button 147">
              <controlPr defaultSize="0" print="0" autoFill="0" autoPict="0" macro="[0]!print_DEPRECIATION_RESERVE_E3_2c">
                <anchor moveWithCells="1">
                  <from>
                    <xdr:col>5</xdr:col>
                    <xdr:colOff>133350</xdr:colOff>
                    <xdr:row>20</xdr:row>
                    <xdr:rowOff>19050</xdr:rowOff>
                  </from>
                  <to>
                    <xdr:col>5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54" name="Button 148">
              <controlPr defaultSize="0" print="0" autoFill="0" autoPict="0" macro="[0]!print_NET_PLANT_E3_2c">
                <anchor moveWithCells="1">
                  <from>
                    <xdr:col>5</xdr:col>
                    <xdr:colOff>133350</xdr:colOff>
                    <xdr:row>21</xdr:row>
                    <xdr:rowOff>19050</xdr:rowOff>
                  </from>
                  <to>
                    <xdr:col>5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55" name="Button 149">
              <controlPr defaultSize="0" print="0" autoFill="0" autoPict="0" macro="[0]!print_SUBTRACTIVE_ADJ_E3_2c">
                <anchor moveWithCells="1">
                  <from>
                    <xdr:col>5</xdr:col>
                    <xdr:colOff>133350</xdr:colOff>
                    <xdr:row>22</xdr:row>
                    <xdr:rowOff>19050</xdr:rowOff>
                  </from>
                  <to>
                    <xdr:col>5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56" name="Button 150">
              <controlPr defaultSize="0" print="0" autoFill="0" autoPict="0" macro="[0]!print_ADDITIVE_ADJ_E3_2c">
                <anchor moveWithCells="1">
                  <from>
                    <xdr:col>5</xdr:col>
                    <xdr:colOff>133350</xdr:colOff>
                    <xdr:row>23</xdr:row>
                    <xdr:rowOff>19050</xdr:rowOff>
                  </from>
                  <to>
                    <xdr:col>5</xdr:col>
                    <xdr:colOff>1009650</xdr:colOff>
                    <xdr:row>23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57" name="Button 151">
              <controlPr defaultSize="0" print="0" autoFill="0" autoPict="0" macro="[0]!print_RATE_BASE_E3_2c">
                <anchor moveWithCells="1">
                  <from>
                    <xdr:col>5</xdr:col>
                    <xdr:colOff>133350</xdr:colOff>
                    <xdr:row>24</xdr:row>
                    <xdr:rowOff>19050</xdr:rowOff>
                  </from>
                  <to>
                    <xdr:col>5</xdr:col>
                    <xdr:colOff>1009650</xdr:colOff>
                    <xdr:row>24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58" name="Button 152">
              <controlPr defaultSize="0" print="0" autoFill="0" autoPict="0" macro="[0]!print_OMEXP_6_E3_2c">
                <anchor moveWithCells="1">
                  <from>
                    <xdr:col>5</xdr:col>
                    <xdr:colOff>133350</xdr:colOff>
                    <xdr:row>25</xdr:row>
                    <xdr:rowOff>19050</xdr:rowOff>
                  </from>
                  <to>
                    <xdr:col>5</xdr:col>
                    <xdr:colOff>1009650</xdr:colOff>
                    <xdr:row>25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59" name="Button 153">
              <controlPr defaultSize="0" print="0" autoFill="0" autoPict="0" macro="[0]!print_OMEXP_6_1_E3_2c">
                <anchor moveWithCells="1">
                  <from>
                    <xdr:col>5</xdr:col>
                    <xdr:colOff>133350</xdr:colOff>
                    <xdr:row>26</xdr:row>
                    <xdr:rowOff>19050</xdr:rowOff>
                  </from>
                  <to>
                    <xdr:col>5</xdr:col>
                    <xdr:colOff>1009650</xdr:colOff>
                    <xdr:row>26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60" name="Button 154">
              <controlPr defaultSize="0" print="0" autoFill="0" autoPict="0" macro="[0]!print_DEPRECIATION_EXPENSE_E3_2c">
                <anchor moveWithCells="1">
                  <from>
                    <xdr:col>5</xdr:col>
                    <xdr:colOff>133350</xdr:colOff>
                    <xdr:row>27</xdr:row>
                    <xdr:rowOff>0</xdr:rowOff>
                  </from>
                  <to>
                    <xdr:col>5</xdr:col>
                    <xdr:colOff>1009650</xdr:colOff>
                    <xdr:row>27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61" name="Button 155">
              <controlPr defaultSize="0" print="0" autoFill="0" autoPict="0" macro="[0]!print_OTHER_TAXES_E3_2c">
                <anchor moveWithCells="1">
                  <from>
                    <xdr:col>5</xdr:col>
                    <xdr:colOff>133350</xdr:colOff>
                    <xdr:row>28</xdr:row>
                    <xdr:rowOff>0</xdr:rowOff>
                  </from>
                  <to>
                    <xdr:col>5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62" name="Button 156">
              <controlPr defaultSize="0" print="0" autoFill="0" autoPict="0" macro="[0]!print_FIT_RETURN_E3_2c">
                <anchor moveWithCells="1">
                  <from>
                    <xdr:col>5</xdr:col>
                    <xdr:colOff>133350</xdr:colOff>
                    <xdr:row>29</xdr:row>
                    <xdr:rowOff>0</xdr:rowOff>
                  </from>
                  <to>
                    <xdr:col>5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63" name="Button 157">
              <controlPr defaultSize="0" print="0" autoFill="0" autoPict="0" macro="[0]!print_COSCOMPUTE_E3_2c">
                <anchor moveWithCells="1">
                  <from>
                    <xdr:col>5</xdr:col>
                    <xdr:colOff>133350</xdr:colOff>
                    <xdr:row>29</xdr:row>
                    <xdr:rowOff>304800</xdr:rowOff>
                  </from>
                  <to>
                    <xdr:col>5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64" name="Button 158">
              <controlPr defaultSize="0" print="0" autoFill="0" autoPict="0" macro="[0]!print_RATE_OF_RETURN_E3_2c">
                <anchor moveWithCells="1">
                  <from>
                    <xdr:col>5</xdr:col>
                    <xdr:colOff>133350</xdr:colOff>
                    <xdr:row>30</xdr:row>
                    <xdr:rowOff>304800</xdr:rowOff>
                  </from>
                  <to>
                    <xdr:col>5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65" name="Button 159">
              <controlPr defaultSize="0" print="0" autoFill="0" autoPict="0" macro="[0]!print_ALLOCATORS_E3_2c">
                <anchor moveWithCells="1">
                  <from>
                    <xdr:col>5</xdr:col>
                    <xdr:colOff>133350</xdr:colOff>
                    <xdr:row>31</xdr:row>
                    <xdr:rowOff>304800</xdr:rowOff>
                  </from>
                  <to>
                    <xdr:col>5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66" name="Button 161">
              <controlPr defaultSize="0" print="0" autoFill="0" autoPict="0" macro="[0]!print_SUMMARY_E3_2d">
                <anchor moveWithCells="1">
                  <from>
                    <xdr:col>6</xdr:col>
                    <xdr:colOff>133350</xdr:colOff>
                    <xdr:row>18</xdr:row>
                    <xdr:rowOff>19050</xdr:rowOff>
                  </from>
                  <to>
                    <xdr:col>6</xdr:col>
                    <xdr:colOff>1009650</xdr:colOff>
                    <xdr:row>18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67" name="Button 162">
              <controlPr defaultSize="0" print="0" autoFill="0" autoPict="0" macro="[0]!print_GROSSPLANT_E3_2d">
                <anchor moveWithCells="1">
                  <from>
                    <xdr:col>6</xdr:col>
                    <xdr:colOff>133350</xdr:colOff>
                    <xdr:row>19</xdr:row>
                    <xdr:rowOff>19050</xdr:rowOff>
                  </from>
                  <to>
                    <xdr:col>6</xdr:col>
                    <xdr:colOff>1009650</xdr:colOff>
                    <xdr:row>19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68" name="Button 163">
              <controlPr defaultSize="0" print="0" autoFill="0" autoPict="0" macro="[0]!print_DEPRECIATION_RESERVE_E3_2d">
                <anchor moveWithCells="1">
                  <from>
                    <xdr:col>6</xdr:col>
                    <xdr:colOff>133350</xdr:colOff>
                    <xdr:row>20</xdr:row>
                    <xdr:rowOff>19050</xdr:rowOff>
                  </from>
                  <to>
                    <xdr:col>6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69" name="Button 164">
              <controlPr defaultSize="0" print="0" autoFill="0" autoPict="0" macro="[0]!print_NET_PLANT_E3_2d">
                <anchor moveWithCells="1">
                  <from>
                    <xdr:col>6</xdr:col>
                    <xdr:colOff>133350</xdr:colOff>
                    <xdr:row>21</xdr:row>
                    <xdr:rowOff>19050</xdr:rowOff>
                  </from>
                  <to>
                    <xdr:col>6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70" name="Button 165">
              <controlPr defaultSize="0" print="0" autoFill="0" autoPict="0" macro="[0]!print_SUBTRACTIVE_ADJ_E3_2d">
                <anchor moveWithCells="1">
                  <from>
                    <xdr:col>6</xdr:col>
                    <xdr:colOff>133350</xdr:colOff>
                    <xdr:row>22</xdr:row>
                    <xdr:rowOff>19050</xdr:rowOff>
                  </from>
                  <to>
                    <xdr:col>6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71" name="Button 166">
              <controlPr defaultSize="0" print="0" autoFill="0" autoPict="0" macro="[0]!print_ADDITIVE_ADJ_E3_2d">
                <anchor moveWithCells="1">
                  <from>
                    <xdr:col>6</xdr:col>
                    <xdr:colOff>133350</xdr:colOff>
                    <xdr:row>23</xdr:row>
                    <xdr:rowOff>19050</xdr:rowOff>
                  </from>
                  <to>
                    <xdr:col>6</xdr:col>
                    <xdr:colOff>1009650</xdr:colOff>
                    <xdr:row>23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72" name="Button 167">
              <controlPr defaultSize="0" print="0" autoFill="0" autoPict="0" macro="[0]!print_RATE_BASE_E3_2d">
                <anchor moveWithCells="1">
                  <from>
                    <xdr:col>6</xdr:col>
                    <xdr:colOff>133350</xdr:colOff>
                    <xdr:row>24</xdr:row>
                    <xdr:rowOff>19050</xdr:rowOff>
                  </from>
                  <to>
                    <xdr:col>6</xdr:col>
                    <xdr:colOff>1009650</xdr:colOff>
                    <xdr:row>24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73" name="Button 168">
              <controlPr defaultSize="0" print="0" autoFill="0" autoPict="0" macro="[0]!print_OMEXP_6_E3_2d">
                <anchor moveWithCells="1">
                  <from>
                    <xdr:col>6</xdr:col>
                    <xdr:colOff>133350</xdr:colOff>
                    <xdr:row>25</xdr:row>
                    <xdr:rowOff>19050</xdr:rowOff>
                  </from>
                  <to>
                    <xdr:col>6</xdr:col>
                    <xdr:colOff>1009650</xdr:colOff>
                    <xdr:row>25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74" name="Button 169">
              <controlPr defaultSize="0" print="0" autoFill="0" autoPict="0" macro="[0]!print_OMEXP_6_1_E3_2d">
                <anchor moveWithCells="1">
                  <from>
                    <xdr:col>6</xdr:col>
                    <xdr:colOff>133350</xdr:colOff>
                    <xdr:row>26</xdr:row>
                    <xdr:rowOff>19050</xdr:rowOff>
                  </from>
                  <to>
                    <xdr:col>6</xdr:col>
                    <xdr:colOff>1009650</xdr:colOff>
                    <xdr:row>26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75" name="Button 170">
              <controlPr defaultSize="0" print="0" autoFill="0" autoPict="0" macro="[0]!print_DEPRECIATION_EXPENSE_E3_2d">
                <anchor moveWithCells="1">
                  <from>
                    <xdr:col>6</xdr:col>
                    <xdr:colOff>133350</xdr:colOff>
                    <xdr:row>27</xdr:row>
                    <xdr:rowOff>0</xdr:rowOff>
                  </from>
                  <to>
                    <xdr:col>6</xdr:col>
                    <xdr:colOff>1009650</xdr:colOff>
                    <xdr:row>27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76" name="Button 171">
              <controlPr defaultSize="0" print="0" autoFill="0" autoPict="0" macro="[0]!print_OTHER_TAXES_E3_2d">
                <anchor moveWithCells="1">
                  <from>
                    <xdr:col>6</xdr:col>
                    <xdr:colOff>133350</xdr:colOff>
                    <xdr:row>28</xdr:row>
                    <xdr:rowOff>0</xdr:rowOff>
                  </from>
                  <to>
                    <xdr:col>6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77" name="Button 172">
              <controlPr defaultSize="0" print="0" autoFill="0" autoPict="0" macro="[0]!print_FIT_RETURN_E3_2d">
                <anchor moveWithCells="1">
                  <from>
                    <xdr:col>6</xdr:col>
                    <xdr:colOff>133350</xdr:colOff>
                    <xdr:row>29</xdr:row>
                    <xdr:rowOff>0</xdr:rowOff>
                  </from>
                  <to>
                    <xdr:col>6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78" name="Button 173">
              <controlPr defaultSize="0" print="0" autoFill="0" autoPict="0" macro="[0]!print_COSCOMPUTE_E3_2d">
                <anchor moveWithCells="1">
                  <from>
                    <xdr:col>6</xdr:col>
                    <xdr:colOff>133350</xdr:colOff>
                    <xdr:row>29</xdr:row>
                    <xdr:rowOff>304800</xdr:rowOff>
                  </from>
                  <to>
                    <xdr:col>6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79" name="Button 174">
              <controlPr defaultSize="0" print="0" autoFill="0" autoPict="0" macro="[0]!print_RATE_OF_RETURN_E3_2d">
                <anchor moveWithCells="1">
                  <from>
                    <xdr:col>6</xdr:col>
                    <xdr:colOff>133350</xdr:colOff>
                    <xdr:row>30</xdr:row>
                    <xdr:rowOff>304800</xdr:rowOff>
                  </from>
                  <to>
                    <xdr:col>6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80" name="Button 175">
              <controlPr defaultSize="0" print="0" autoFill="0" autoPict="0" macro="[0]!print_ALLOCATORS_E3_2d">
                <anchor moveWithCells="1">
                  <from>
                    <xdr:col>6</xdr:col>
                    <xdr:colOff>133350</xdr:colOff>
                    <xdr:row>31</xdr:row>
                    <xdr:rowOff>304800</xdr:rowOff>
                  </from>
                  <to>
                    <xdr:col>6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9" r:id="rId81" name="Button 177">
              <controlPr defaultSize="0" print="0" autoFill="0" autoPict="0" macro="[0]!print_SUMMARY_E3_2e">
                <anchor moveWithCells="1">
                  <from>
                    <xdr:col>7</xdr:col>
                    <xdr:colOff>133350</xdr:colOff>
                    <xdr:row>18</xdr:row>
                    <xdr:rowOff>19050</xdr:rowOff>
                  </from>
                  <to>
                    <xdr:col>7</xdr:col>
                    <xdr:colOff>1009650</xdr:colOff>
                    <xdr:row>18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0" r:id="rId82" name="Button 178">
              <controlPr defaultSize="0" print="0" autoFill="0" autoPict="0" macro="[0]!print_GROSSPLANT_E3_2e">
                <anchor moveWithCells="1">
                  <from>
                    <xdr:col>7</xdr:col>
                    <xdr:colOff>133350</xdr:colOff>
                    <xdr:row>19</xdr:row>
                    <xdr:rowOff>19050</xdr:rowOff>
                  </from>
                  <to>
                    <xdr:col>7</xdr:col>
                    <xdr:colOff>1009650</xdr:colOff>
                    <xdr:row>19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83" name="Button 179">
              <controlPr defaultSize="0" print="0" autoFill="0" autoPict="0" macro="[0]!print_DEPRECIATION_RESERVE_E3_2e">
                <anchor moveWithCells="1">
                  <from>
                    <xdr:col>7</xdr:col>
                    <xdr:colOff>133350</xdr:colOff>
                    <xdr:row>20</xdr:row>
                    <xdr:rowOff>19050</xdr:rowOff>
                  </from>
                  <to>
                    <xdr:col>7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84" name="Button 180">
              <controlPr defaultSize="0" print="0" autoFill="0" autoPict="0" macro="[0]!print_NET_PLANT_E3_2e">
                <anchor moveWithCells="1">
                  <from>
                    <xdr:col>7</xdr:col>
                    <xdr:colOff>133350</xdr:colOff>
                    <xdr:row>21</xdr:row>
                    <xdr:rowOff>19050</xdr:rowOff>
                  </from>
                  <to>
                    <xdr:col>7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85" name="Button 181">
              <controlPr defaultSize="0" print="0" autoFill="0" autoPict="0" macro="[0]!print_SUBTRACTIVE_ADJ_E3_2e">
                <anchor moveWithCells="1">
                  <from>
                    <xdr:col>7</xdr:col>
                    <xdr:colOff>133350</xdr:colOff>
                    <xdr:row>22</xdr:row>
                    <xdr:rowOff>19050</xdr:rowOff>
                  </from>
                  <to>
                    <xdr:col>7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86" name="Button 182">
              <controlPr defaultSize="0" print="0" autoFill="0" autoPict="0" macro="[0]!print_ADDITIVE_ADJ_E3_2e">
                <anchor moveWithCells="1">
                  <from>
                    <xdr:col>7</xdr:col>
                    <xdr:colOff>133350</xdr:colOff>
                    <xdr:row>23</xdr:row>
                    <xdr:rowOff>19050</xdr:rowOff>
                  </from>
                  <to>
                    <xdr:col>7</xdr:col>
                    <xdr:colOff>1009650</xdr:colOff>
                    <xdr:row>23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87" name="Button 183">
              <controlPr defaultSize="0" print="0" autoFill="0" autoPict="0" macro="[0]!print_RATE_BASE_E3_2e">
                <anchor moveWithCells="1">
                  <from>
                    <xdr:col>7</xdr:col>
                    <xdr:colOff>133350</xdr:colOff>
                    <xdr:row>24</xdr:row>
                    <xdr:rowOff>19050</xdr:rowOff>
                  </from>
                  <to>
                    <xdr:col>7</xdr:col>
                    <xdr:colOff>1009650</xdr:colOff>
                    <xdr:row>24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88" name="Button 184">
              <controlPr defaultSize="0" print="0" autoFill="0" autoPict="0" macro="[0]!print_OMEXP_6_E3_2e">
                <anchor moveWithCells="1">
                  <from>
                    <xdr:col>7</xdr:col>
                    <xdr:colOff>133350</xdr:colOff>
                    <xdr:row>25</xdr:row>
                    <xdr:rowOff>19050</xdr:rowOff>
                  </from>
                  <to>
                    <xdr:col>7</xdr:col>
                    <xdr:colOff>1009650</xdr:colOff>
                    <xdr:row>25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89" name="Button 185">
              <controlPr defaultSize="0" print="0" autoFill="0" autoPict="0" macro="[0]!print_OMEXP_6_1_E3_2e">
                <anchor moveWithCells="1">
                  <from>
                    <xdr:col>7</xdr:col>
                    <xdr:colOff>133350</xdr:colOff>
                    <xdr:row>26</xdr:row>
                    <xdr:rowOff>19050</xdr:rowOff>
                  </from>
                  <to>
                    <xdr:col>7</xdr:col>
                    <xdr:colOff>1009650</xdr:colOff>
                    <xdr:row>26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90" name="Button 186">
              <controlPr defaultSize="0" print="0" autoFill="0" autoPict="0" macro="[0]!print_DEPRECIATION_EXPENSE_E3_2e">
                <anchor moveWithCells="1">
                  <from>
                    <xdr:col>7</xdr:col>
                    <xdr:colOff>133350</xdr:colOff>
                    <xdr:row>27</xdr:row>
                    <xdr:rowOff>0</xdr:rowOff>
                  </from>
                  <to>
                    <xdr:col>7</xdr:col>
                    <xdr:colOff>1009650</xdr:colOff>
                    <xdr:row>27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91" name="Button 187">
              <controlPr defaultSize="0" print="0" autoFill="0" autoPict="0" macro="[0]!print_OTHER_TAXES_E3_2e">
                <anchor moveWithCells="1">
                  <from>
                    <xdr:col>7</xdr:col>
                    <xdr:colOff>133350</xdr:colOff>
                    <xdr:row>28</xdr:row>
                    <xdr:rowOff>0</xdr:rowOff>
                  </from>
                  <to>
                    <xdr:col>7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92" name="Button 188">
              <controlPr defaultSize="0" print="0" autoFill="0" autoPict="0" macro="[0]!print_FIT_RETURN_E3_2e">
                <anchor moveWithCells="1">
                  <from>
                    <xdr:col>7</xdr:col>
                    <xdr:colOff>133350</xdr:colOff>
                    <xdr:row>29</xdr:row>
                    <xdr:rowOff>0</xdr:rowOff>
                  </from>
                  <to>
                    <xdr:col>7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93" name="Button 189">
              <controlPr defaultSize="0" print="0" autoFill="0" autoPict="0" macro="[0]!print_COSCOMPUTE_E3_2e">
                <anchor moveWithCells="1">
                  <from>
                    <xdr:col>7</xdr:col>
                    <xdr:colOff>133350</xdr:colOff>
                    <xdr:row>29</xdr:row>
                    <xdr:rowOff>304800</xdr:rowOff>
                  </from>
                  <to>
                    <xdr:col>7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94" name="Button 190">
              <controlPr defaultSize="0" print="0" autoFill="0" autoPict="0" macro="[0]!print_RATE_OF_RETURN_E3_2e">
                <anchor moveWithCells="1">
                  <from>
                    <xdr:col>7</xdr:col>
                    <xdr:colOff>133350</xdr:colOff>
                    <xdr:row>30</xdr:row>
                    <xdr:rowOff>304800</xdr:rowOff>
                  </from>
                  <to>
                    <xdr:col>7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95" name="Button 191">
              <controlPr defaultSize="0" print="0" autoFill="0" autoPict="0" macro="[0]!print_ALLOCATORS_E3_2e">
                <anchor moveWithCells="1">
                  <from>
                    <xdr:col>7</xdr:col>
                    <xdr:colOff>133350</xdr:colOff>
                    <xdr:row>31</xdr:row>
                    <xdr:rowOff>304800</xdr:rowOff>
                  </from>
                  <to>
                    <xdr:col>7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96" name="Button 200">
              <controlPr defaultSize="0" print="0" autoFill="0" autoPict="0" macro="[0]!print_FIT_REVENUE_E3_2a">
                <anchor moveWithCells="1">
                  <from>
                    <xdr:col>3</xdr:col>
                    <xdr:colOff>133350</xdr:colOff>
                    <xdr:row>32</xdr:row>
                    <xdr:rowOff>304800</xdr:rowOff>
                  </from>
                  <to>
                    <xdr:col>3</xdr:col>
                    <xdr:colOff>1047750</xdr:colOff>
                    <xdr:row>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97" name="Button 201">
              <controlPr defaultSize="0" print="0" autoFill="0" autoPict="0" macro="[0]!print_FIT_REVENUE">
                <anchor moveWithCells="1">
                  <from>
                    <xdr:col>2</xdr:col>
                    <xdr:colOff>133350</xdr:colOff>
                    <xdr:row>32</xdr:row>
                    <xdr:rowOff>304800</xdr:rowOff>
                  </from>
                  <to>
                    <xdr:col>2</xdr:col>
                    <xdr:colOff>1047750</xdr:colOff>
                    <xdr:row>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98" name="Button 202">
              <controlPr defaultSize="0" print="0" autoFill="0" autoPict="0" macro="[0]!print_FIT_REVENUE_E3_2b">
                <anchor moveWithCells="1">
                  <from>
                    <xdr:col>4</xdr:col>
                    <xdr:colOff>133350</xdr:colOff>
                    <xdr:row>32</xdr:row>
                    <xdr:rowOff>304800</xdr:rowOff>
                  </from>
                  <to>
                    <xdr:col>4</xdr:col>
                    <xdr:colOff>1047750</xdr:colOff>
                    <xdr:row>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99" name="Button 203">
              <controlPr defaultSize="0" print="0" autoFill="0" autoPict="0" macro="[0]!print_FIT_REVENUE_E3_2c">
                <anchor moveWithCells="1">
                  <from>
                    <xdr:col>5</xdr:col>
                    <xdr:colOff>133350</xdr:colOff>
                    <xdr:row>32</xdr:row>
                    <xdr:rowOff>304800</xdr:rowOff>
                  </from>
                  <to>
                    <xdr:col>5</xdr:col>
                    <xdr:colOff>1047750</xdr:colOff>
                    <xdr:row>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100" name="Button 204">
              <controlPr defaultSize="0" print="0" autoFill="0" autoPict="0" macro="[0]!print_FIT_REVENUE_E3_2d">
                <anchor moveWithCells="1">
                  <from>
                    <xdr:col>6</xdr:col>
                    <xdr:colOff>133350</xdr:colOff>
                    <xdr:row>32</xdr:row>
                    <xdr:rowOff>304800</xdr:rowOff>
                  </from>
                  <to>
                    <xdr:col>6</xdr:col>
                    <xdr:colOff>1047750</xdr:colOff>
                    <xdr:row>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101" name="Button 205">
              <controlPr defaultSize="0" print="0" autoFill="0" autoPict="0" macro="[0]!print_FIT_RETURN_E3_2e">
                <anchor moveWithCells="1">
                  <from>
                    <xdr:col>7</xdr:col>
                    <xdr:colOff>133350</xdr:colOff>
                    <xdr:row>32</xdr:row>
                    <xdr:rowOff>304800</xdr:rowOff>
                  </from>
                  <to>
                    <xdr:col>7</xdr:col>
                    <xdr:colOff>1047750</xdr:colOff>
                    <xdr:row>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102" name="Button 206">
              <controlPr defaultSize="0" print="0" autoFill="0" autoPict="0" macro="[0]!Print_All.print_SCH_E3_2b">
                <anchor moveWithCells="1">
                  <from>
                    <xdr:col>4</xdr:col>
                    <xdr:colOff>171450</xdr:colOff>
                    <xdr:row>34</xdr:row>
                    <xdr:rowOff>209550</xdr:rowOff>
                  </from>
                  <to>
                    <xdr:col>4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103" name="Button 207">
              <controlPr defaultSize="0" print="0" autoFill="0" autoPict="0" macro="[0]!Print_All.print_SCH_E3_2c">
                <anchor moveWithCells="1">
                  <from>
                    <xdr:col>5</xdr:col>
                    <xdr:colOff>171450</xdr:colOff>
                    <xdr:row>34</xdr:row>
                    <xdr:rowOff>209550</xdr:rowOff>
                  </from>
                  <to>
                    <xdr:col>5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104" name="Button 208">
              <controlPr defaultSize="0" print="0" autoFill="0" autoPict="0" macro="[0]!Print_All.print_SCH_E3_2d">
                <anchor moveWithCells="1">
                  <from>
                    <xdr:col>6</xdr:col>
                    <xdr:colOff>171450</xdr:colOff>
                    <xdr:row>34</xdr:row>
                    <xdr:rowOff>209550</xdr:rowOff>
                  </from>
                  <to>
                    <xdr:col>6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r:id="rId105" name="Button 209">
              <controlPr defaultSize="0" print="0" autoFill="0" autoPict="0" macro="[0]!Print_All.print_SCH_E3_2e">
                <anchor moveWithCells="1">
                  <from>
                    <xdr:col>7</xdr:col>
                    <xdr:colOff>171450</xdr:colOff>
                    <xdr:row>34</xdr:row>
                    <xdr:rowOff>209550</xdr:rowOff>
                  </from>
                  <to>
                    <xdr:col>7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106" name="Button 210">
              <controlPr defaultSize="0" print="0" autoFill="0" autoPict="0" macro="[0]!Print_All.print_SCH_E3_2f">
                <anchor moveWithCells="1">
                  <from>
                    <xdr:col>8</xdr:col>
                    <xdr:colOff>171450</xdr:colOff>
                    <xdr:row>34</xdr:row>
                    <xdr:rowOff>209550</xdr:rowOff>
                  </from>
                  <to>
                    <xdr:col>9</xdr:col>
                    <xdr:colOff>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107" name="Button 211">
              <controlPr defaultSize="0" print="0" autoFill="0" autoPict="0" macro="[0]!Print_All.print_SCH_E3_2g">
                <anchor moveWithCells="1">
                  <from>
                    <xdr:col>9</xdr:col>
                    <xdr:colOff>171450</xdr:colOff>
                    <xdr:row>34</xdr:row>
                    <xdr:rowOff>209550</xdr:rowOff>
                  </from>
                  <to>
                    <xdr:col>9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108" name="Button 212">
              <controlPr defaultSize="0" print="0" autoFill="0" autoPict="0" macro="[0]!PRINT_COSS_E3_2h">
                <anchor moveWithCells="1">
                  <from>
                    <xdr:col>10</xdr:col>
                    <xdr:colOff>152400</xdr:colOff>
                    <xdr:row>34</xdr:row>
                    <xdr:rowOff>209550</xdr:rowOff>
                  </from>
                  <to>
                    <xdr:col>10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109" name="Button 213">
              <controlPr defaultSize="0" print="0" autoFill="0" autoPict="0" macro="[0]!PRINT_COSS_E3_2i">
                <anchor moveWithCells="1">
                  <from>
                    <xdr:col>11</xdr:col>
                    <xdr:colOff>171450</xdr:colOff>
                    <xdr:row>34</xdr:row>
                    <xdr:rowOff>209550</xdr:rowOff>
                  </from>
                  <to>
                    <xdr:col>11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110" name="Button 214">
              <controlPr defaultSize="0" print="0" autoFill="0" autoPict="0" macro="[0]!PRINT_COSS_E3_2j">
                <anchor moveWithCells="1">
                  <from>
                    <xdr:col>12</xdr:col>
                    <xdr:colOff>152400</xdr:colOff>
                    <xdr:row>34</xdr:row>
                    <xdr:rowOff>209550</xdr:rowOff>
                  </from>
                  <to>
                    <xdr:col>12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111" name="Button 215">
              <controlPr defaultSize="0" print="0" autoFill="0" autoPict="0" macro="[0]!print_SUMMARY_E3_2f">
                <anchor moveWithCells="1">
                  <from>
                    <xdr:col>8</xdr:col>
                    <xdr:colOff>133350</xdr:colOff>
                    <xdr:row>18</xdr:row>
                    <xdr:rowOff>19050</xdr:rowOff>
                  </from>
                  <to>
                    <xdr:col>8</xdr:col>
                    <xdr:colOff>1009650</xdr:colOff>
                    <xdr:row>18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112" name="Button 216">
              <controlPr defaultSize="0" print="0" autoFill="0" autoPict="0" macro="[0]!print_GROSSPLANT_E3_2f">
                <anchor moveWithCells="1">
                  <from>
                    <xdr:col>8</xdr:col>
                    <xdr:colOff>133350</xdr:colOff>
                    <xdr:row>19</xdr:row>
                    <xdr:rowOff>19050</xdr:rowOff>
                  </from>
                  <to>
                    <xdr:col>8</xdr:col>
                    <xdr:colOff>1009650</xdr:colOff>
                    <xdr:row>19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113" name="Button 217">
              <controlPr defaultSize="0" print="0" autoFill="0" autoPict="0" macro="[0]!print_DEPRECIATION_RESERVE_E3_2f">
                <anchor moveWithCells="1">
                  <from>
                    <xdr:col>8</xdr:col>
                    <xdr:colOff>133350</xdr:colOff>
                    <xdr:row>20</xdr:row>
                    <xdr:rowOff>19050</xdr:rowOff>
                  </from>
                  <to>
                    <xdr:col>8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114" name="Button 218">
              <controlPr defaultSize="0" print="0" autoFill="0" autoPict="0" macro="[0]!print_NET_PLANT_E3_2f">
                <anchor moveWithCells="1">
                  <from>
                    <xdr:col>8</xdr:col>
                    <xdr:colOff>133350</xdr:colOff>
                    <xdr:row>21</xdr:row>
                    <xdr:rowOff>19050</xdr:rowOff>
                  </from>
                  <to>
                    <xdr:col>8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115" name="Button 219">
              <controlPr defaultSize="0" print="0" autoFill="0" autoPict="0" macro="[0]!print_SUBTRACTIVE_ADJ_E3_2f">
                <anchor moveWithCells="1">
                  <from>
                    <xdr:col>8</xdr:col>
                    <xdr:colOff>133350</xdr:colOff>
                    <xdr:row>22</xdr:row>
                    <xdr:rowOff>19050</xdr:rowOff>
                  </from>
                  <to>
                    <xdr:col>8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116" name="Button 220">
              <controlPr defaultSize="0" print="0" autoFill="0" autoPict="0" macro="[0]!print_ADDITIVE_ADJ_E3_2f">
                <anchor moveWithCells="1">
                  <from>
                    <xdr:col>8</xdr:col>
                    <xdr:colOff>133350</xdr:colOff>
                    <xdr:row>23</xdr:row>
                    <xdr:rowOff>19050</xdr:rowOff>
                  </from>
                  <to>
                    <xdr:col>8</xdr:col>
                    <xdr:colOff>1009650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117" name="Button 221">
              <controlPr defaultSize="0" print="0" autoFill="0" autoPict="0" macro="[0]!print_RATE_BASE_E3_2f">
                <anchor moveWithCells="1">
                  <from>
                    <xdr:col>8</xdr:col>
                    <xdr:colOff>133350</xdr:colOff>
                    <xdr:row>24</xdr:row>
                    <xdr:rowOff>19050</xdr:rowOff>
                  </from>
                  <to>
                    <xdr:col>8</xdr:col>
                    <xdr:colOff>1009650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118" name="Button 222">
              <controlPr defaultSize="0" print="0" autoFill="0" autoPict="0" macro="[0]!print_OMEXP_6_E3_2f">
                <anchor moveWithCells="1">
                  <from>
                    <xdr:col>8</xdr:col>
                    <xdr:colOff>133350</xdr:colOff>
                    <xdr:row>25</xdr:row>
                    <xdr:rowOff>19050</xdr:rowOff>
                  </from>
                  <to>
                    <xdr:col>8</xdr:col>
                    <xdr:colOff>1009650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119" name="Button 223">
              <controlPr defaultSize="0" print="0" autoFill="0" autoPict="0" macro="[0]!print_OMEXP_6_1_E3_2f">
                <anchor moveWithCells="1">
                  <from>
                    <xdr:col>8</xdr:col>
                    <xdr:colOff>133350</xdr:colOff>
                    <xdr:row>26</xdr:row>
                    <xdr:rowOff>19050</xdr:rowOff>
                  </from>
                  <to>
                    <xdr:col>8</xdr:col>
                    <xdr:colOff>1009650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120" name="Button 224">
              <controlPr defaultSize="0" print="0" autoFill="0" autoPict="0" macro="[0]!print_DEPRECIATION_EXPENSE_E3_2f">
                <anchor moveWithCells="1">
                  <from>
                    <xdr:col>8</xdr:col>
                    <xdr:colOff>133350</xdr:colOff>
                    <xdr:row>27</xdr:row>
                    <xdr:rowOff>0</xdr:rowOff>
                  </from>
                  <to>
                    <xdr:col>8</xdr:col>
                    <xdr:colOff>1009650</xdr:colOff>
                    <xdr:row>27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121" name="Button 225">
              <controlPr defaultSize="0" print="0" autoFill="0" autoPict="0" macro="[0]!print_OTHER_TAXES_E3_2f">
                <anchor moveWithCells="1">
                  <from>
                    <xdr:col>8</xdr:col>
                    <xdr:colOff>133350</xdr:colOff>
                    <xdr:row>28</xdr:row>
                    <xdr:rowOff>0</xdr:rowOff>
                  </from>
                  <to>
                    <xdr:col>8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122" name="Button 226">
              <controlPr defaultSize="0" print="0" autoFill="0" autoPict="0" macro="[0]!print_FIT_RETURN_E3_2f">
                <anchor moveWithCells="1">
                  <from>
                    <xdr:col>8</xdr:col>
                    <xdr:colOff>133350</xdr:colOff>
                    <xdr:row>29</xdr:row>
                    <xdr:rowOff>0</xdr:rowOff>
                  </from>
                  <to>
                    <xdr:col>8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r:id="rId123" name="Button 227">
              <controlPr defaultSize="0" print="0" autoFill="0" autoPict="0" macro="[0]!print_COSCOMPUTE_E3_2f">
                <anchor moveWithCells="1">
                  <from>
                    <xdr:col>8</xdr:col>
                    <xdr:colOff>133350</xdr:colOff>
                    <xdr:row>29</xdr:row>
                    <xdr:rowOff>304800</xdr:rowOff>
                  </from>
                  <to>
                    <xdr:col>8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r:id="rId124" name="Button 228">
              <controlPr defaultSize="0" print="0" autoFill="0" autoPict="0" macro="[0]!print_RATE_OF_RETURN_E3_2f">
                <anchor moveWithCells="1">
                  <from>
                    <xdr:col>8</xdr:col>
                    <xdr:colOff>133350</xdr:colOff>
                    <xdr:row>30</xdr:row>
                    <xdr:rowOff>304800</xdr:rowOff>
                  </from>
                  <to>
                    <xdr:col>8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125" name="Button 229">
              <controlPr defaultSize="0" print="0" autoFill="0" autoPict="0" macro="[0]!print_COSCOMPUTE_E3_2f">
                <anchor moveWithCells="1">
                  <from>
                    <xdr:col>8</xdr:col>
                    <xdr:colOff>133350</xdr:colOff>
                    <xdr:row>31</xdr:row>
                    <xdr:rowOff>304800</xdr:rowOff>
                  </from>
                  <to>
                    <xdr:col>8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126" name="Button 230">
              <controlPr defaultSize="0" print="0" autoFill="0" autoPict="0" macro="[0]!print_FIT_REVENUE_E3_2f">
                <anchor moveWithCells="1">
                  <from>
                    <xdr:col>8</xdr:col>
                    <xdr:colOff>133350</xdr:colOff>
                    <xdr:row>32</xdr:row>
                    <xdr:rowOff>304800</xdr:rowOff>
                  </from>
                  <to>
                    <xdr:col>8</xdr:col>
                    <xdr:colOff>1047750</xdr:colOff>
                    <xdr:row>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127" name="Button 231">
              <controlPr defaultSize="0" print="0" autoFill="0" autoPict="0" macro="[0]!print_SUMMARY_E3_2g">
                <anchor moveWithCells="1">
                  <from>
                    <xdr:col>9</xdr:col>
                    <xdr:colOff>133350</xdr:colOff>
                    <xdr:row>18</xdr:row>
                    <xdr:rowOff>19050</xdr:rowOff>
                  </from>
                  <to>
                    <xdr:col>9</xdr:col>
                    <xdr:colOff>1009650</xdr:colOff>
                    <xdr:row>18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128" name="Button 232">
              <controlPr defaultSize="0" print="0" autoFill="0" autoPict="0" macro="[0]!print_GROSSPLANT_E3_2g">
                <anchor moveWithCells="1">
                  <from>
                    <xdr:col>9</xdr:col>
                    <xdr:colOff>133350</xdr:colOff>
                    <xdr:row>19</xdr:row>
                    <xdr:rowOff>19050</xdr:rowOff>
                  </from>
                  <to>
                    <xdr:col>9</xdr:col>
                    <xdr:colOff>1009650</xdr:colOff>
                    <xdr:row>19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129" name="Button 233">
              <controlPr defaultSize="0" print="0" autoFill="0" autoPict="0" macro="[0]!print_DEPRECIATION_RESERVE_E3_2g">
                <anchor moveWithCells="1">
                  <from>
                    <xdr:col>9</xdr:col>
                    <xdr:colOff>133350</xdr:colOff>
                    <xdr:row>20</xdr:row>
                    <xdr:rowOff>19050</xdr:rowOff>
                  </from>
                  <to>
                    <xdr:col>9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r:id="rId130" name="Button 234">
              <controlPr defaultSize="0" print="0" autoFill="0" autoPict="0" macro="[0]!print_NET_PLANT_E3_2g">
                <anchor moveWithCells="1">
                  <from>
                    <xdr:col>9</xdr:col>
                    <xdr:colOff>133350</xdr:colOff>
                    <xdr:row>21</xdr:row>
                    <xdr:rowOff>19050</xdr:rowOff>
                  </from>
                  <to>
                    <xdr:col>9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131" name="Button 235">
              <controlPr defaultSize="0" print="0" autoFill="0" autoPict="0" macro="[0]!print_SUBTRACTIVE_ADJ_E3_2g">
                <anchor moveWithCells="1">
                  <from>
                    <xdr:col>9</xdr:col>
                    <xdr:colOff>133350</xdr:colOff>
                    <xdr:row>22</xdr:row>
                    <xdr:rowOff>19050</xdr:rowOff>
                  </from>
                  <to>
                    <xdr:col>9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132" name="Button 236">
              <controlPr defaultSize="0" print="0" autoFill="0" autoPict="0" macro="[0]!print_ADDITIVE_ADJ_E3_2g">
                <anchor moveWithCells="1">
                  <from>
                    <xdr:col>9</xdr:col>
                    <xdr:colOff>133350</xdr:colOff>
                    <xdr:row>23</xdr:row>
                    <xdr:rowOff>19050</xdr:rowOff>
                  </from>
                  <to>
                    <xdr:col>9</xdr:col>
                    <xdr:colOff>1009650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133" name="Button 237">
              <controlPr defaultSize="0" print="0" autoFill="0" autoPict="0" macro="[0]!print_RATE_BASE_E3_2g">
                <anchor moveWithCells="1">
                  <from>
                    <xdr:col>9</xdr:col>
                    <xdr:colOff>133350</xdr:colOff>
                    <xdr:row>24</xdr:row>
                    <xdr:rowOff>19050</xdr:rowOff>
                  </from>
                  <to>
                    <xdr:col>9</xdr:col>
                    <xdr:colOff>1009650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134" name="Button 238">
              <controlPr defaultSize="0" print="0" autoFill="0" autoPict="0" macro="[0]!print_OMEXP_6_E3_2g">
                <anchor moveWithCells="1">
                  <from>
                    <xdr:col>9</xdr:col>
                    <xdr:colOff>133350</xdr:colOff>
                    <xdr:row>25</xdr:row>
                    <xdr:rowOff>19050</xdr:rowOff>
                  </from>
                  <to>
                    <xdr:col>9</xdr:col>
                    <xdr:colOff>1009650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135" name="Button 239">
              <controlPr defaultSize="0" print="0" autoFill="0" autoPict="0" macro="[0]!print_OMEXP_6_1_E3_2g">
                <anchor moveWithCells="1">
                  <from>
                    <xdr:col>9</xdr:col>
                    <xdr:colOff>133350</xdr:colOff>
                    <xdr:row>26</xdr:row>
                    <xdr:rowOff>19050</xdr:rowOff>
                  </from>
                  <to>
                    <xdr:col>9</xdr:col>
                    <xdr:colOff>1009650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136" name="Button 240">
              <controlPr defaultSize="0" print="0" autoFill="0" autoPict="0" macro="[0]!print_DEPRECIATION_EXPENSE_E3_2g">
                <anchor moveWithCells="1">
                  <from>
                    <xdr:col>9</xdr:col>
                    <xdr:colOff>133350</xdr:colOff>
                    <xdr:row>27</xdr:row>
                    <xdr:rowOff>0</xdr:rowOff>
                  </from>
                  <to>
                    <xdr:col>9</xdr:col>
                    <xdr:colOff>1009650</xdr:colOff>
                    <xdr:row>27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137" name="Button 241">
              <controlPr defaultSize="0" print="0" autoFill="0" autoPict="0" macro="[0]!print_OTHER_TAXES_E3_2g">
                <anchor moveWithCells="1">
                  <from>
                    <xdr:col>9</xdr:col>
                    <xdr:colOff>133350</xdr:colOff>
                    <xdr:row>28</xdr:row>
                    <xdr:rowOff>0</xdr:rowOff>
                  </from>
                  <to>
                    <xdr:col>9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138" name="Button 242">
              <controlPr defaultSize="0" print="0" autoFill="0" autoPict="0" macro="[0]!print_FIT_RETURN_E3_2g">
                <anchor moveWithCells="1">
                  <from>
                    <xdr:col>9</xdr:col>
                    <xdr:colOff>133350</xdr:colOff>
                    <xdr:row>29</xdr:row>
                    <xdr:rowOff>0</xdr:rowOff>
                  </from>
                  <to>
                    <xdr:col>9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139" name="Button 243">
              <controlPr defaultSize="0" print="0" autoFill="0" autoPict="0" macro="[0]!print_COSCOMPUTE_E3_2g">
                <anchor moveWithCells="1">
                  <from>
                    <xdr:col>9</xdr:col>
                    <xdr:colOff>133350</xdr:colOff>
                    <xdr:row>29</xdr:row>
                    <xdr:rowOff>304800</xdr:rowOff>
                  </from>
                  <to>
                    <xdr:col>9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140" name="Button 244">
              <controlPr defaultSize="0" print="0" autoFill="0" autoPict="0" macro="[0]!print_RATE_OF_RETURN_E3_2g">
                <anchor moveWithCells="1">
                  <from>
                    <xdr:col>9</xdr:col>
                    <xdr:colOff>133350</xdr:colOff>
                    <xdr:row>30</xdr:row>
                    <xdr:rowOff>304800</xdr:rowOff>
                  </from>
                  <to>
                    <xdr:col>9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141" name="Button 245">
              <controlPr defaultSize="0" print="0" autoFill="0" autoPict="0" macro="[0]!print_ALLOCATORS_E3_2g">
                <anchor moveWithCells="1">
                  <from>
                    <xdr:col>9</xdr:col>
                    <xdr:colOff>133350</xdr:colOff>
                    <xdr:row>31</xdr:row>
                    <xdr:rowOff>304800</xdr:rowOff>
                  </from>
                  <to>
                    <xdr:col>9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142" name="Button 246">
              <controlPr defaultSize="0" print="0" autoFill="0" autoPict="0" macro="[0]!print_FIT_REVENUE_E3_2g">
                <anchor moveWithCells="1">
                  <from>
                    <xdr:col>9</xdr:col>
                    <xdr:colOff>133350</xdr:colOff>
                    <xdr:row>32</xdr:row>
                    <xdr:rowOff>304800</xdr:rowOff>
                  </from>
                  <to>
                    <xdr:col>9</xdr:col>
                    <xdr:colOff>1047750</xdr:colOff>
                    <xdr:row>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143" name="Button 247">
              <controlPr defaultSize="0" print="0" autoFill="0" autoPict="0" macro="[0]!print_SUMMARY_E3_2h">
                <anchor moveWithCells="1">
                  <from>
                    <xdr:col>10</xdr:col>
                    <xdr:colOff>133350</xdr:colOff>
                    <xdr:row>18</xdr:row>
                    <xdr:rowOff>19050</xdr:rowOff>
                  </from>
                  <to>
                    <xdr:col>10</xdr:col>
                    <xdr:colOff>1009650</xdr:colOff>
                    <xdr:row>18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144" name="Button 248">
              <controlPr defaultSize="0" print="0" autoFill="0" autoPict="0" macro="[0]!print_GROSSPLANT_E3_2h">
                <anchor moveWithCells="1">
                  <from>
                    <xdr:col>10</xdr:col>
                    <xdr:colOff>133350</xdr:colOff>
                    <xdr:row>19</xdr:row>
                    <xdr:rowOff>19050</xdr:rowOff>
                  </from>
                  <to>
                    <xdr:col>10</xdr:col>
                    <xdr:colOff>1009650</xdr:colOff>
                    <xdr:row>19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145" name="Button 249">
              <controlPr defaultSize="0" print="0" autoFill="0" autoPict="0" macro="[0]!print_DEPRECIATION_RESERVE_E3_2h">
                <anchor moveWithCells="1">
                  <from>
                    <xdr:col>10</xdr:col>
                    <xdr:colOff>133350</xdr:colOff>
                    <xdr:row>20</xdr:row>
                    <xdr:rowOff>19050</xdr:rowOff>
                  </from>
                  <to>
                    <xdr:col>10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146" name="Button 250">
              <controlPr defaultSize="0" print="0" autoFill="0" autoPict="0" macro="[0]!print_NET_PLANT_E3_2h">
                <anchor moveWithCells="1">
                  <from>
                    <xdr:col>10</xdr:col>
                    <xdr:colOff>133350</xdr:colOff>
                    <xdr:row>21</xdr:row>
                    <xdr:rowOff>19050</xdr:rowOff>
                  </from>
                  <to>
                    <xdr:col>10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147" name="Button 251">
              <controlPr defaultSize="0" print="0" autoFill="0" autoPict="0" macro="[0]!print_SUBTRACTIVE_ADJ_E3_2h">
                <anchor moveWithCells="1">
                  <from>
                    <xdr:col>10</xdr:col>
                    <xdr:colOff>133350</xdr:colOff>
                    <xdr:row>22</xdr:row>
                    <xdr:rowOff>19050</xdr:rowOff>
                  </from>
                  <to>
                    <xdr:col>10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148" name="Button 252">
              <controlPr defaultSize="0" print="0" autoFill="0" autoPict="0" macro="[0]!print_ADDITIVE_ADJ_E3_2h">
                <anchor moveWithCells="1">
                  <from>
                    <xdr:col>10</xdr:col>
                    <xdr:colOff>133350</xdr:colOff>
                    <xdr:row>23</xdr:row>
                    <xdr:rowOff>19050</xdr:rowOff>
                  </from>
                  <to>
                    <xdr:col>10</xdr:col>
                    <xdr:colOff>1009650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149" name="Button 253">
              <controlPr defaultSize="0" print="0" autoFill="0" autoPict="0" macro="[0]!print_RATE_BASE_E3_2h">
                <anchor moveWithCells="1">
                  <from>
                    <xdr:col>10</xdr:col>
                    <xdr:colOff>133350</xdr:colOff>
                    <xdr:row>24</xdr:row>
                    <xdr:rowOff>19050</xdr:rowOff>
                  </from>
                  <to>
                    <xdr:col>10</xdr:col>
                    <xdr:colOff>1009650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150" name="Button 254">
              <controlPr defaultSize="0" print="0" autoFill="0" autoPict="0" macro="[0]!print_OMEXP_6_E3_2h">
                <anchor moveWithCells="1">
                  <from>
                    <xdr:col>10</xdr:col>
                    <xdr:colOff>133350</xdr:colOff>
                    <xdr:row>25</xdr:row>
                    <xdr:rowOff>19050</xdr:rowOff>
                  </from>
                  <to>
                    <xdr:col>10</xdr:col>
                    <xdr:colOff>1009650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151" name="Button 255">
              <controlPr defaultSize="0" print="0" autoFill="0" autoPict="0" macro="[0]!print_OMEXP_6_1_E3_2h">
                <anchor moveWithCells="1">
                  <from>
                    <xdr:col>10</xdr:col>
                    <xdr:colOff>133350</xdr:colOff>
                    <xdr:row>26</xdr:row>
                    <xdr:rowOff>19050</xdr:rowOff>
                  </from>
                  <to>
                    <xdr:col>10</xdr:col>
                    <xdr:colOff>1009650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152" name="Button 256">
              <controlPr defaultSize="0" print="0" autoFill="0" autoPict="0" macro="[0]!print_DEPRECIATION_EXPENSE_E3_2h">
                <anchor moveWithCells="1">
                  <from>
                    <xdr:col>10</xdr:col>
                    <xdr:colOff>133350</xdr:colOff>
                    <xdr:row>27</xdr:row>
                    <xdr:rowOff>0</xdr:rowOff>
                  </from>
                  <to>
                    <xdr:col>10</xdr:col>
                    <xdr:colOff>1009650</xdr:colOff>
                    <xdr:row>27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r:id="rId153" name="Button 257">
              <controlPr defaultSize="0" print="0" autoFill="0" autoPict="0" macro="[0]!print_OTHER_TAXES_E3_2h">
                <anchor moveWithCells="1">
                  <from>
                    <xdr:col>10</xdr:col>
                    <xdr:colOff>133350</xdr:colOff>
                    <xdr:row>28</xdr:row>
                    <xdr:rowOff>0</xdr:rowOff>
                  </from>
                  <to>
                    <xdr:col>10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154" name="Button 258">
              <controlPr defaultSize="0" print="0" autoFill="0" autoPict="0" macro="[0]!print_FIT_RETURN_E3_2h">
                <anchor moveWithCells="1">
                  <from>
                    <xdr:col>10</xdr:col>
                    <xdr:colOff>133350</xdr:colOff>
                    <xdr:row>29</xdr:row>
                    <xdr:rowOff>0</xdr:rowOff>
                  </from>
                  <to>
                    <xdr:col>10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155" name="Button 259">
              <controlPr defaultSize="0" print="0" autoFill="0" autoPict="0" macro="[0]!print_COSCOMPUTE_E3_2h">
                <anchor moveWithCells="1">
                  <from>
                    <xdr:col>10</xdr:col>
                    <xdr:colOff>133350</xdr:colOff>
                    <xdr:row>29</xdr:row>
                    <xdr:rowOff>304800</xdr:rowOff>
                  </from>
                  <to>
                    <xdr:col>10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156" name="Button 260">
              <controlPr defaultSize="0" print="0" autoFill="0" autoPict="0" macro="[0]!print_RATE_OF_RETURN_E3_2h">
                <anchor moveWithCells="1">
                  <from>
                    <xdr:col>10</xdr:col>
                    <xdr:colOff>133350</xdr:colOff>
                    <xdr:row>30</xdr:row>
                    <xdr:rowOff>304800</xdr:rowOff>
                  </from>
                  <to>
                    <xdr:col>10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157" name="Button 261">
              <controlPr defaultSize="0" print="0" autoFill="0" autoPict="0" macro="[0]!print_ALLOCATORS_E3_2h">
                <anchor moveWithCells="1">
                  <from>
                    <xdr:col>10</xdr:col>
                    <xdr:colOff>133350</xdr:colOff>
                    <xdr:row>31</xdr:row>
                    <xdr:rowOff>304800</xdr:rowOff>
                  </from>
                  <to>
                    <xdr:col>10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158" name="Button 262">
              <controlPr defaultSize="0" print="0" autoFill="0" autoPict="0" macro="[0]!print_FIT_REVENUE_E3_2h">
                <anchor moveWithCells="1">
                  <from>
                    <xdr:col>10</xdr:col>
                    <xdr:colOff>133350</xdr:colOff>
                    <xdr:row>32</xdr:row>
                    <xdr:rowOff>304800</xdr:rowOff>
                  </from>
                  <to>
                    <xdr:col>10</xdr:col>
                    <xdr:colOff>1028700</xdr:colOff>
                    <xdr:row>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159" name="Button 263">
              <controlPr defaultSize="0" print="0" autoFill="0" autoPict="0" macro="[0]!print_SUMMARY_E3_2i">
                <anchor moveWithCells="1">
                  <from>
                    <xdr:col>11</xdr:col>
                    <xdr:colOff>146050</xdr:colOff>
                    <xdr:row>18</xdr:row>
                    <xdr:rowOff>19050</xdr:rowOff>
                  </from>
                  <to>
                    <xdr:col>11</xdr:col>
                    <xdr:colOff>1022350</xdr:colOff>
                    <xdr:row>18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160" name="Button 264">
              <controlPr defaultSize="0" print="0" autoFill="0" autoPict="0" macro="[0]!print_GROSSPLANT_E3_2i">
                <anchor moveWithCells="1">
                  <from>
                    <xdr:col>11</xdr:col>
                    <xdr:colOff>146050</xdr:colOff>
                    <xdr:row>19</xdr:row>
                    <xdr:rowOff>19050</xdr:rowOff>
                  </from>
                  <to>
                    <xdr:col>11</xdr:col>
                    <xdr:colOff>1022350</xdr:colOff>
                    <xdr:row>19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161" name="Button 265">
              <controlPr defaultSize="0" print="0" autoFill="0" autoPict="0" macro="[0]!print_DEPRECIATION_RESERVE_E3_2i">
                <anchor moveWithCells="1">
                  <from>
                    <xdr:col>11</xdr:col>
                    <xdr:colOff>146050</xdr:colOff>
                    <xdr:row>20</xdr:row>
                    <xdr:rowOff>19050</xdr:rowOff>
                  </from>
                  <to>
                    <xdr:col>11</xdr:col>
                    <xdr:colOff>1022350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162" name="Button 266">
              <controlPr defaultSize="0" print="0" autoFill="0" autoPict="0" macro="[0]!print_NET_PLANT_E3_2i">
                <anchor moveWithCells="1">
                  <from>
                    <xdr:col>11</xdr:col>
                    <xdr:colOff>146050</xdr:colOff>
                    <xdr:row>21</xdr:row>
                    <xdr:rowOff>19050</xdr:rowOff>
                  </from>
                  <to>
                    <xdr:col>11</xdr:col>
                    <xdr:colOff>1022350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163" name="Button 267">
              <controlPr defaultSize="0" print="0" autoFill="0" autoPict="0" macro="[0]!print_SUBTRACTIVE_ADJ_E3_2i">
                <anchor moveWithCells="1">
                  <from>
                    <xdr:col>11</xdr:col>
                    <xdr:colOff>146050</xdr:colOff>
                    <xdr:row>22</xdr:row>
                    <xdr:rowOff>19050</xdr:rowOff>
                  </from>
                  <to>
                    <xdr:col>11</xdr:col>
                    <xdr:colOff>1022350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164" name="Button 268">
              <controlPr defaultSize="0" print="0" autoFill="0" autoPict="0" macro="[0]!print_ADDITIVE_ADJ_E3_2i">
                <anchor moveWithCells="1">
                  <from>
                    <xdr:col>11</xdr:col>
                    <xdr:colOff>146050</xdr:colOff>
                    <xdr:row>23</xdr:row>
                    <xdr:rowOff>19050</xdr:rowOff>
                  </from>
                  <to>
                    <xdr:col>11</xdr:col>
                    <xdr:colOff>1022350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165" name="Button 269">
              <controlPr defaultSize="0" print="0" autoFill="0" autoPict="0" macro="[0]!print_RATE_BASE_E3_2i">
                <anchor moveWithCells="1">
                  <from>
                    <xdr:col>11</xdr:col>
                    <xdr:colOff>146050</xdr:colOff>
                    <xdr:row>24</xdr:row>
                    <xdr:rowOff>19050</xdr:rowOff>
                  </from>
                  <to>
                    <xdr:col>11</xdr:col>
                    <xdr:colOff>1022350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166" name="Button 270">
              <controlPr defaultSize="0" print="0" autoFill="0" autoPict="0" macro="[0]!print_OMEXP_6_E3_2i">
                <anchor moveWithCells="1">
                  <from>
                    <xdr:col>11</xdr:col>
                    <xdr:colOff>146050</xdr:colOff>
                    <xdr:row>25</xdr:row>
                    <xdr:rowOff>19050</xdr:rowOff>
                  </from>
                  <to>
                    <xdr:col>11</xdr:col>
                    <xdr:colOff>1022350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167" name="Button 271">
              <controlPr defaultSize="0" print="0" autoFill="0" autoPict="0" macro="[0]!print_OMEXP_6_1_E3_2i">
                <anchor moveWithCells="1">
                  <from>
                    <xdr:col>11</xdr:col>
                    <xdr:colOff>146050</xdr:colOff>
                    <xdr:row>26</xdr:row>
                    <xdr:rowOff>19050</xdr:rowOff>
                  </from>
                  <to>
                    <xdr:col>11</xdr:col>
                    <xdr:colOff>1022350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168" name="Button 272">
              <controlPr defaultSize="0" print="0" autoFill="0" autoPict="0" macro="[0]!print_DEPRECIATION_EXPENSE_E3_2i">
                <anchor moveWithCells="1">
                  <from>
                    <xdr:col>11</xdr:col>
                    <xdr:colOff>146050</xdr:colOff>
                    <xdr:row>27</xdr:row>
                    <xdr:rowOff>0</xdr:rowOff>
                  </from>
                  <to>
                    <xdr:col>11</xdr:col>
                    <xdr:colOff>1022350</xdr:colOff>
                    <xdr:row>27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r:id="rId169" name="Button 273">
              <controlPr defaultSize="0" print="0" autoFill="0" autoPict="0" macro="[0]!print_OTHER_TAXES_E3_2i">
                <anchor moveWithCells="1">
                  <from>
                    <xdr:col>11</xdr:col>
                    <xdr:colOff>146050</xdr:colOff>
                    <xdr:row>28</xdr:row>
                    <xdr:rowOff>0</xdr:rowOff>
                  </from>
                  <to>
                    <xdr:col>11</xdr:col>
                    <xdr:colOff>1022350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170" name="Button 274">
              <controlPr defaultSize="0" print="0" autoFill="0" autoPict="0" macro="[0]!print_FIT_RETURN_E3_2i">
                <anchor moveWithCells="1">
                  <from>
                    <xdr:col>11</xdr:col>
                    <xdr:colOff>146050</xdr:colOff>
                    <xdr:row>29</xdr:row>
                    <xdr:rowOff>0</xdr:rowOff>
                  </from>
                  <to>
                    <xdr:col>11</xdr:col>
                    <xdr:colOff>1022350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171" name="Button 275">
              <controlPr defaultSize="0" print="0" autoFill="0" autoPict="0" macro="[0]!print_COSCOMPUTE_E3_2i">
                <anchor moveWithCells="1">
                  <from>
                    <xdr:col>11</xdr:col>
                    <xdr:colOff>146050</xdr:colOff>
                    <xdr:row>29</xdr:row>
                    <xdr:rowOff>304800</xdr:rowOff>
                  </from>
                  <to>
                    <xdr:col>11</xdr:col>
                    <xdr:colOff>1022350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172" name="Button 276">
              <controlPr defaultSize="0" print="0" autoFill="0" autoPict="0" macro="[0]!print_RATE_OF_RETURN_E3_2i">
                <anchor moveWithCells="1">
                  <from>
                    <xdr:col>11</xdr:col>
                    <xdr:colOff>146050</xdr:colOff>
                    <xdr:row>30</xdr:row>
                    <xdr:rowOff>304800</xdr:rowOff>
                  </from>
                  <to>
                    <xdr:col>11</xdr:col>
                    <xdr:colOff>1022350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173" name="Button 277">
              <controlPr defaultSize="0" print="0" autoFill="0" autoPict="0" macro="[0]!print_ALLOCATORS_E3_2i">
                <anchor moveWithCells="1">
                  <from>
                    <xdr:col>11</xdr:col>
                    <xdr:colOff>146050</xdr:colOff>
                    <xdr:row>31</xdr:row>
                    <xdr:rowOff>304800</xdr:rowOff>
                  </from>
                  <to>
                    <xdr:col>11</xdr:col>
                    <xdr:colOff>1022350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174" name="Button 278">
              <controlPr defaultSize="0" print="0" autoFill="0" autoPict="0" macro="[0]!print_FIT_REVENUE_E3_2i">
                <anchor moveWithCells="1">
                  <from>
                    <xdr:col>11</xdr:col>
                    <xdr:colOff>133350</xdr:colOff>
                    <xdr:row>32</xdr:row>
                    <xdr:rowOff>304800</xdr:rowOff>
                  </from>
                  <to>
                    <xdr:col>11</xdr:col>
                    <xdr:colOff>1028700</xdr:colOff>
                    <xdr:row>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175" name="Button 279">
              <controlPr defaultSize="0" print="0" autoFill="0" autoPict="0" macro="[0]!print_SUMMARY_E3_2j">
                <anchor moveWithCells="1">
                  <from>
                    <xdr:col>12</xdr:col>
                    <xdr:colOff>133350</xdr:colOff>
                    <xdr:row>18</xdr:row>
                    <xdr:rowOff>19050</xdr:rowOff>
                  </from>
                  <to>
                    <xdr:col>12</xdr:col>
                    <xdr:colOff>1009650</xdr:colOff>
                    <xdr:row>18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176" name="Button 280">
              <controlPr defaultSize="0" print="0" autoFill="0" autoPict="0" macro="[0]!print_GROSSPLANT_E3_2j">
                <anchor moveWithCells="1">
                  <from>
                    <xdr:col>12</xdr:col>
                    <xdr:colOff>133350</xdr:colOff>
                    <xdr:row>19</xdr:row>
                    <xdr:rowOff>19050</xdr:rowOff>
                  </from>
                  <to>
                    <xdr:col>12</xdr:col>
                    <xdr:colOff>1009650</xdr:colOff>
                    <xdr:row>19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177" name="Button 281">
              <controlPr defaultSize="0" print="0" autoFill="0" autoPict="0" macro="[0]!print_DEPRECIATION_RESERVE_E3_2j">
                <anchor moveWithCells="1">
                  <from>
                    <xdr:col>12</xdr:col>
                    <xdr:colOff>133350</xdr:colOff>
                    <xdr:row>20</xdr:row>
                    <xdr:rowOff>19050</xdr:rowOff>
                  </from>
                  <to>
                    <xdr:col>12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178" name="Button 282">
              <controlPr defaultSize="0" print="0" autoFill="0" autoPict="0" macro="[0]!print_NET_PLANT_E3_2j">
                <anchor moveWithCells="1">
                  <from>
                    <xdr:col>12</xdr:col>
                    <xdr:colOff>133350</xdr:colOff>
                    <xdr:row>21</xdr:row>
                    <xdr:rowOff>19050</xdr:rowOff>
                  </from>
                  <to>
                    <xdr:col>12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5" r:id="rId179" name="Button 283">
              <controlPr defaultSize="0" print="0" autoFill="0" autoPict="0" macro="[0]!print_SUBTRACTIVE_ADJ_E3_2j">
                <anchor moveWithCells="1">
                  <from>
                    <xdr:col>12</xdr:col>
                    <xdr:colOff>133350</xdr:colOff>
                    <xdr:row>22</xdr:row>
                    <xdr:rowOff>19050</xdr:rowOff>
                  </from>
                  <to>
                    <xdr:col>12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6" r:id="rId180" name="Button 284">
              <controlPr defaultSize="0" print="0" autoFill="0" autoPict="0" macro="[0]!print_ADDITIVE_ADJ_E3_2j">
                <anchor moveWithCells="1">
                  <from>
                    <xdr:col>12</xdr:col>
                    <xdr:colOff>133350</xdr:colOff>
                    <xdr:row>23</xdr:row>
                    <xdr:rowOff>19050</xdr:rowOff>
                  </from>
                  <to>
                    <xdr:col>12</xdr:col>
                    <xdr:colOff>1009650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r:id="rId181" name="Button 285">
              <controlPr defaultSize="0" print="0" autoFill="0" autoPict="0" macro="[0]!print_RATE_BASE_E3_2j">
                <anchor moveWithCells="1">
                  <from>
                    <xdr:col>12</xdr:col>
                    <xdr:colOff>133350</xdr:colOff>
                    <xdr:row>24</xdr:row>
                    <xdr:rowOff>19050</xdr:rowOff>
                  </from>
                  <to>
                    <xdr:col>12</xdr:col>
                    <xdr:colOff>1009650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8" r:id="rId182" name="Button 286">
              <controlPr defaultSize="0" print="0" autoFill="0" autoPict="0" macro="[0]!print_OMEXP_6_E3_2j">
                <anchor moveWithCells="1">
                  <from>
                    <xdr:col>12</xdr:col>
                    <xdr:colOff>133350</xdr:colOff>
                    <xdr:row>25</xdr:row>
                    <xdr:rowOff>19050</xdr:rowOff>
                  </from>
                  <to>
                    <xdr:col>12</xdr:col>
                    <xdr:colOff>1009650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9" r:id="rId183" name="Button 287">
              <controlPr defaultSize="0" print="0" autoFill="0" autoPict="0" macro="[0]!print_OMEXP_6_1_E3_2j">
                <anchor moveWithCells="1">
                  <from>
                    <xdr:col>12</xdr:col>
                    <xdr:colOff>133350</xdr:colOff>
                    <xdr:row>26</xdr:row>
                    <xdr:rowOff>19050</xdr:rowOff>
                  </from>
                  <to>
                    <xdr:col>12</xdr:col>
                    <xdr:colOff>1009650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0" r:id="rId184" name="Button 288">
              <controlPr defaultSize="0" print="0" autoFill="0" autoPict="0" macro="[0]!print_DEPRECIATION_EXPENSE_E3_2j">
                <anchor moveWithCells="1">
                  <from>
                    <xdr:col>12</xdr:col>
                    <xdr:colOff>133350</xdr:colOff>
                    <xdr:row>27</xdr:row>
                    <xdr:rowOff>0</xdr:rowOff>
                  </from>
                  <to>
                    <xdr:col>12</xdr:col>
                    <xdr:colOff>1009650</xdr:colOff>
                    <xdr:row>27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1" r:id="rId185" name="Button 289">
              <controlPr defaultSize="0" print="0" autoFill="0" autoPict="0" macro="[0]!print_OTHER_TAXES_E3_2j">
                <anchor moveWithCells="1">
                  <from>
                    <xdr:col>12</xdr:col>
                    <xdr:colOff>133350</xdr:colOff>
                    <xdr:row>28</xdr:row>
                    <xdr:rowOff>0</xdr:rowOff>
                  </from>
                  <to>
                    <xdr:col>12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2" r:id="rId186" name="Button 290">
              <controlPr defaultSize="0" print="0" autoFill="0" autoPict="0" macro="[0]!print_FIT_RETURN_E3_2j">
                <anchor moveWithCells="1">
                  <from>
                    <xdr:col>12</xdr:col>
                    <xdr:colOff>133350</xdr:colOff>
                    <xdr:row>29</xdr:row>
                    <xdr:rowOff>0</xdr:rowOff>
                  </from>
                  <to>
                    <xdr:col>12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3" r:id="rId187" name="Button 291">
              <controlPr defaultSize="0" print="0" autoFill="0" autoPict="0" macro="[0]!print_COSCOMPUTE_E3_2j">
                <anchor moveWithCells="1">
                  <from>
                    <xdr:col>12</xdr:col>
                    <xdr:colOff>133350</xdr:colOff>
                    <xdr:row>29</xdr:row>
                    <xdr:rowOff>304800</xdr:rowOff>
                  </from>
                  <to>
                    <xdr:col>12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4" r:id="rId188" name="Button 292">
              <controlPr defaultSize="0" print="0" autoFill="0" autoPict="0" macro="[0]!print_RATE_OF_RETURN_E3_2j">
                <anchor moveWithCells="1">
                  <from>
                    <xdr:col>12</xdr:col>
                    <xdr:colOff>133350</xdr:colOff>
                    <xdr:row>30</xdr:row>
                    <xdr:rowOff>304800</xdr:rowOff>
                  </from>
                  <to>
                    <xdr:col>12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5" r:id="rId189" name="Button 293">
              <controlPr defaultSize="0" print="0" autoFill="0" autoPict="0" macro="[0]!print_ALLOCATORS_E3_2j">
                <anchor moveWithCells="1">
                  <from>
                    <xdr:col>12</xdr:col>
                    <xdr:colOff>133350</xdr:colOff>
                    <xdr:row>31</xdr:row>
                    <xdr:rowOff>304800</xdr:rowOff>
                  </from>
                  <to>
                    <xdr:col>12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6" r:id="rId190" name="Button 294">
              <controlPr defaultSize="0" print="0" autoFill="0" autoPict="0" macro="[0]!print_FIT_REVENUE_E3_2j">
                <anchor moveWithCells="1">
                  <from>
                    <xdr:col>12</xdr:col>
                    <xdr:colOff>133350</xdr:colOff>
                    <xdr:row>32</xdr:row>
                    <xdr:rowOff>304800</xdr:rowOff>
                  </from>
                  <to>
                    <xdr:col>12</xdr:col>
                    <xdr:colOff>1022350</xdr:colOff>
                    <xdr:row>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7" r:id="rId191" name="Button 295">
              <controlPr defaultSize="0" print="0" autoFill="0" autoPict="0" macro="[0]!Print_Sch_E3_1.Print_SCH_E3_1">
                <anchor moveWithCells="1">
                  <from>
                    <xdr:col>6</xdr:col>
                    <xdr:colOff>133350</xdr:colOff>
                    <xdr:row>2</xdr:row>
                    <xdr:rowOff>57150</xdr:rowOff>
                  </from>
                  <to>
                    <xdr:col>6</xdr:col>
                    <xdr:colOff>1047750</xdr:colOff>
                    <xdr:row>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8" r:id="rId192" name="Button 296">
              <controlPr defaultSize="0" print="0" autoFill="0" autoPict="0" macro="[0]!Print_All.PRINT_ALL">
                <anchor moveWithCells="1">
                  <from>
                    <xdr:col>2</xdr:col>
                    <xdr:colOff>146050</xdr:colOff>
                    <xdr:row>4</xdr:row>
                    <xdr:rowOff>57150</xdr:rowOff>
                  </from>
                  <to>
                    <xdr:col>3</xdr:col>
                    <xdr:colOff>266700</xdr:colOff>
                    <xdr:row>9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6">
    <tabColor rgb="FF92D050"/>
    <pageSetUpPr fitToPage="1"/>
  </sheetPr>
  <dimension ref="A1:U150"/>
  <sheetViews>
    <sheetView topLeftCell="A46" zoomScale="80" zoomScaleNormal="80" workbookViewId="0">
      <selection activeCell="A112" sqref="A112:S147"/>
    </sheetView>
  </sheetViews>
  <sheetFormatPr defaultColWidth="7.07421875" defaultRowHeight="13"/>
  <cols>
    <col min="1" max="1" width="9.07421875" style="77" customWidth="1"/>
    <col min="2" max="2" width="11.53515625" style="90" customWidth="1"/>
    <col min="3" max="3" width="9.765625" style="93" customWidth="1"/>
    <col min="4" max="4" width="8.765625" style="94" customWidth="1"/>
    <col min="5" max="5" width="8.23046875" style="94" customWidth="1"/>
    <col min="6" max="6" width="2.765625" style="96" customWidth="1"/>
    <col min="7" max="7" width="12.23046875" style="94" customWidth="1"/>
    <col min="8" max="8" width="9.23046875" style="97" customWidth="1"/>
    <col min="9" max="9" width="7.765625" style="95" customWidth="1"/>
    <col min="10" max="10" width="9.23046875" style="95" customWidth="1"/>
    <col min="11" max="11" width="8.07421875" style="95" customWidth="1"/>
    <col min="12" max="12" width="1.765625" style="95" customWidth="1"/>
    <col min="13" max="13" width="7.765625" style="95" customWidth="1"/>
    <col min="14" max="14" width="7.07421875" style="95" customWidth="1"/>
    <col min="15" max="15" width="8.4609375" style="95" customWidth="1"/>
    <col min="16" max="17" width="9.765625" style="91" customWidth="1"/>
    <col min="18" max="20" width="7.07421875" style="91"/>
    <col min="21" max="21" width="11.53515625" style="91" bestFit="1" customWidth="1"/>
    <col min="22" max="16384" width="7.07421875" style="91"/>
  </cols>
  <sheetData>
    <row r="1" spans="1:19" s="77" customFormat="1">
      <c r="A1" s="195" t="str">
        <f>co_name</f>
        <v>DUKE ENERGY KENTUCKY, INC.</v>
      </c>
      <c r="B1" s="78"/>
      <c r="C1" s="79"/>
      <c r="D1" s="80"/>
      <c r="E1" s="80"/>
      <c r="F1" s="81"/>
      <c r="G1" s="80"/>
      <c r="H1" s="81"/>
      <c r="I1" s="82"/>
      <c r="J1" s="82"/>
      <c r="L1" s="82"/>
      <c r="O1" s="82"/>
      <c r="Q1" s="198" t="s">
        <v>1465</v>
      </c>
    </row>
    <row r="2" spans="1:19" s="77" customFormat="1">
      <c r="A2" s="195" t="str">
        <f>coss_type</f>
        <v xml:space="preserve">GAS COST OF SERVICE STUDY </v>
      </c>
      <c r="B2" s="78"/>
      <c r="C2" s="79"/>
      <c r="D2" s="80"/>
      <c r="E2" s="80"/>
      <c r="F2" s="81"/>
      <c r="G2" s="80"/>
      <c r="H2" s="81"/>
      <c r="I2" s="82"/>
      <c r="J2" s="82"/>
      <c r="L2" s="82"/>
      <c r="O2" s="82"/>
      <c r="Q2" s="198" t="str">
        <f>'Alloc Factors Summary'!G2</f>
        <v>Witness Responsible:</v>
      </c>
    </row>
    <row r="3" spans="1:19" s="77" customFormat="1">
      <c r="A3" s="195" t="str">
        <f>case_name</f>
        <v>CASE NO: 2021-00190</v>
      </c>
      <c r="B3" s="78"/>
      <c r="C3" s="79"/>
      <c r="D3" s="80"/>
      <c r="E3" s="80"/>
      <c r="F3" s="81"/>
      <c r="G3" s="83"/>
      <c r="H3" s="81"/>
      <c r="I3" s="82"/>
      <c r="J3" s="82"/>
      <c r="L3" s="82"/>
      <c r="O3" s="82"/>
      <c r="Q3" s="198" t="str">
        <f>'Alloc Factors Summary'!G3</f>
        <v>James E. Ziolkowski</v>
      </c>
    </row>
    <row r="4" spans="1:19" s="77" customFormat="1">
      <c r="A4" s="10" t="str">
        <f>alloc_factors</f>
        <v>ALLOCATION FACTORS FOR COST OF SERVICE STUDY</v>
      </c>
      <c r="B4" s="78"/>
      <c r="C4" s="79"/>
      <c r="D4" s="80"/>
      <c r="E4" s="203"/>
      <c r="F4" s="203"/>
      <c r="G4" s="203"/>
      <c r="H4" s="203"/>
      <c r="I4" s="203"/>
      <c r="J4" s="82"/>
      <c r="L4" s="82"/>
      <c r="M4" s="199"/>
      <c r="O4" s="82"/>
      <c r="Q4" s="198" t="s">
        <v>1047</v>
      </c>
    </row>
    <row r="5" spans="1:19" s="77" customFormat="1">
      <c r="A5" s="10" t="str">
        <f>time_period</f>
        <v>TWELVE MONTHS ENDING DECEMBER 31, 2020</v>
      </c>
      <c r="B5" s="78"/>
      <c r="C5" s="79"/>
      <c r="D5" s="80"/>
      <c r="E5" s="194"/>
      <c r="F5" s="194"/>
      <c r="G5" s="194"/>
      <c r="H5" s="194"/>
      <c r="I5" s="194"/>
      <c r="J5" s="82"/>
      <c r="L5" s="82"/>
      <c r="M5" s="85"/>
      <c r="O5" s="82"/>
      <c r="Q5" s="358">
        <f ca="1">'Alloc Factors Summary'!G5</f>
        <v>44420</v>
      </c>
    </row>
    <row r="6" spans="1:19" s="77" customFormat="1">
      <c r="A6" s="197" t="s">
        <v>827</v>
      </c>
      <c r="B6" s="78"/>
      <c r="C6" s="79"/>
      <c r="D6" s="80"/>
      <c r="E6" s="194"/>
      <c r="F6" s="194"/>
      <c r="G6" s="194"/>
      <c r="H6" s="194"/>
      <c r="I6" s="194"/>
      <c r="J6" s="82"/>
      <c r="K6" s="82"/>
      <c r="L6" s="82"/>
      <c r="M6" s="85"/>
      <c r="O6" s="82"/>
    </row>
    <row r="7" spans="1:19" s="77" customFormat="1" ht="15.5">
      <c r="B7" s="78"/>
      <c r="C7" s="79"/>
      <c r="D7" s="80"/>
      <c r="E7" s="80"/>
      <c r="F7" s="81"/>
      <c r="G7" s="86"/>
      <c r="H7" s="81"/>
      <c r="I7" s="82"/>
      <c r="J7" s="82"/>
      <c r="K7" s="82"/>
      <c r="L7" s="82"/>
      <c r="M7" s="82"/>
      <c r="N7" s="82"/>
      <c r="O7" s="82"/>
    </row>
    <row r="8" spans="1:19" s="77" customFormat="1" ht="15" customHeight="1">
      <c r="A8" s="946" t="s">
        <v>1542</v>
      </c>
      <c r="B8" s="946"/>
      <c r="C8" s="946"/>
      <c r="D8" s="946"/>
      <c r="E8" s="946"/>
      <c r="F8" s="946"/>
      <c r="G8" s="946"/>
      <c r="H8" s="946"/>
      <c r="I8" s="946"/>
      <c r="J8" s="946"/>
      <c r="K8" s="946"/>
      <c r="L8" s="946"/>
      <c r="M8" s="946"/>
      <c r="N8" s="946"/>
      <c r="O8" s="946"/>
      <c r="P8" s="946"/>
      <c r="Q8" s="946"/>
      <c r="R8" s="946"/>
      <c r="S8" s="946"/>
    </row>
    <row r="9" spans="1:19" s="77" customFormat="1">
      <c r="A9" s="946" t="s">
        <v>1054</v>
      </c>
      <c r="B9" s="946"/>
      <c r="C9" s="946"/>
      <c r="D9" s="946"/>
      <c r="E9" s="946"/>
      <c r="F9" s="946"/>
      <c r="G9" s="946"/>
      <c r="H9" s="946"/>
      <c r="I9" s="946"/>
      <c r="J9" s="946"/>
      <c r="K9" s="946"/>
      <c r="L9" s="946"/>
      <c r="M9" s="946"/>
      <c r="N9" s="946"/>
      <c r="O9" s="946"/>
      <c r="P9" s="946"/>
      <c r="Q9" s="946"/>
      <c r="R9" s="946"/>
      <c r="S9" s="946"/>
    </row>
    <row r="10" spans="1:19" s="88" customFormat="1">
      <c r="A10" s="946"/>
      <c r="B10" s="946"/>
      <c r="C10" s="946"/>
      <c r="D10" s="946"/>
      <c r="E10" s="946"/>
      <c r="F10" s="946"/>
      <c r="G10" s="946"/>
      <c r="H10" s="946"/>
      <c r="I10" s="946"/>
      <c r="J10" s="946"/>
      <c r="K10" s="946"/>
      <c r="L10" s="946"/>
      <c r="M10" s="946"/>
      <c r="N10" s="946"/>
      <c r="O10" s="946"/>
      <c r="P10" s="946"/>
      <c r="Q10" s="946"/>
      <c r="R10" s="946"/>
      <c r="S10" s="946"/>
    </row>
    <row r="11" spans="1:19" s="89" customFormat="1" ht="18">
      <c r="A11" s="950" t="s">
        <v>1055</v>
      </c>
      <c r="B11" s="946"/>
      <c r="C11" s="946"/>
      <c r="D11" s="946"/>
      <c r="E11" s="946"/>
      <c r="F11" s="946"/>
      <c r="G11" s="946"/>
      <c r="H11" s="946"/>
      <c r="I11" s="946"/>
      <c r="J11" s="946"/>
      <c r="K11" s="946"/>
      <c r="L11" s="946"/>
      <c r="M11" s="946"/>
      <c r="N11" s="946"/>
      <c r="O11" s="946"/>
      <c r="P11" s="946"/>
      <c r="Q11" s="946"/>
      <c r="R11" s="946"/>
      <c r="S11" s="946"/>
    </row>
    <row r="12" spans="1:19">
      <c r="A12" s="947"/>
      <c r="B12" s="947"/>
      <c r="C12" s="947"/>
      <c r="D12" s="947"/>
      <c r="E12" s="947"/>
      <c r="F12" s="947"/>
      <c r="G12" s="947"/>
      <c r="H12" s="947"/>
      <c r="I12" s="947"/>
      <c r="J12" s="947"/>
      <c r="K12" s="947"/>
      <c r="L12" s="947"/>
      <c r="M12" s="947"/>
      <c r="N12" s="947"/>
      <c r="O12" s="947"/>
      <c r="P12" s="947"/>
      <c r="Q12" s="947"/>
      <c r="R12" s="947"/>
      <c r="S12" s="947"/>
    </row>
    <row r="13" spans="1:19" s="92" customFormat="1" thickBot="1">
      <c r="A13" s="866" t="s">
        <v>1056</v>
      </c>
      <c r="B13" s="866" t="s">
        <v>1057</v>
      </c>
      <c r="C13" s="866" t="s">
        <v>1058</v>
      </c>
      <c r="D13" s="866" t="s">
        <v>1059</v>
      </c>
      <c r="E13" s="866" t="s">
        <v>1060</v>
      </c>
      <c r="F13" s="866"/>
      <c r="G13" s="866" t="s">
        <v>1061</v>
      </c>
      <c r="H13" s="866" t="s">
        <v>1062</v>
      </c>
      <c r="I13" s="866" t="s">
        <v>1063</v>
      </c>
      <c r="J13" s="866" t="s">
        <v>1064</v>
      </c>
      <c r="K13" s="866" t="s">
        <v>1065</v>
      </c>
      <c r="L13" s="866"/>
      <c r="M13" s="866" t="s">
        <v>1066</v>
      </c>
      <c r="N13" s="866" t="s">
        <v>1067</v>
      </c>
      <c r="O13" s="866" t="s">
        <v>1068</v>
      </c>
      <c r="P13" s="866" t="s">
        <v>1069</v>
      </c>
      <c r="Q13" s="866" t="s">
        <v>1070</v>
      </c>
      <c r="R13" s="866" t="s">
        <v>1071</v>
      </c>
      <c r="S13" s="866" t="s">
        <v>1072</v>
      </c>
    </row>
    <row r="14" spans="1:19" ht="26">
      <c r="A14" s="948" t="s">
        <v>1271</v>
      </c>
      <c r="B14" s="949"/>
      <c r="C14" s="867" t="s">
        <v>1073</v>
      </c>
      <c r="D14" s="867" t="s">
        <v>1074</v>
      </c>
      <c r="E14" s="868" t="s">
        <v>621</v>
      </c>
      <c r="F14" s="869"/>
      <c r="G14" s="870" t="s">
        <v>1075</v>
      </c>
      <c r="H14" s="871" t="s">
        <v>1076</v>
      </c>
      <c r="I14" s="872" t="s">
        <v>477</v>
      </c>
      <c r="J14" s="871" t="s">
        <v>1076</v>
      </c>
      <c r="K14" s="873" t="s">
        <v>1077</v>
      </c>
      <c r="L14" s="869"/>
      <c r="M14" s="870" t="s">
        <v>1078</v>
      </c>
      <c r="N14" s="871" t="s">
        <v>1078</v>
      </c>
      <c r="O14" s="872" t="s">
        <v>1078</v>
      </c>
      <c r="P14" s="871" t="s">
        <v>1079</v>
      </c>
      <c r="Q14" s="872" t="s">
        <v>1079</v>
      </c>
      <c r="R14" s="871" t="s">
        <v>1080</v>
      </c>
      <c r="S14" s="873" t="s">
        <v>1080</v>
      </c>
    </row>
    <row r="15" spans="1:19" ht="26">
      <c r="A15" s="874"/>
      <c r="B15" s="875"/>
      <c r="C15" s="876" t="s">
        <v>954</v>
      </c>
      <c r="D15" s="876" t="s">
        <v>1081</v>
      </c>
      <c r="E15" s="877" t="s">
        <v>1082</v>
      </c>
      <c r="F15" s="869"/>
      <c r="G15" s="878" t="s">
        <v>1044</v>
      </c>
      <c r="H15" s="879" t="s">
        <v>1044</v>
      </c>
      <c r="I15" s="880" t="s">
        <v>1083</v>
      </c>
      <c r="J15" s="879" t="s">
        <v>1044</v>
      </c>
      <c r="K15" s="881" t="s">
        <v>1083</v>
      </c>
      <c r="L15" s="869"/>
      <c r="M15" s="878" t="s">
        <v>641</v>
      </c>
      <c r="N15" s="879" t="s">
        <v>1084</v>
      </c>
      <c r="O15" s="880" t="s">
        <v>1084</v>
      </c>
      <c r="P15" s="879" t="s">
        <v>642</v>
      </c>
      <c r="Q15" s="880" t="s">
        <v>642</v>
      </c>
      <c r="R15" s="879" t="s">
        <v>642</v>
      </c>
      <c r="S15" s="881" t="s">
        <v>642</v>
      </c>
    </row>
    <row r="16" spans="1:19" ht="37.5">
      <c r="A16" s="882"/>
      <c r="B16" s="875"/>
      <c r="C16" s="883" t="s">
        <v>1085</v>
      </c>
      <c r="D16" s="883"/>
      <c r="E16" s="884" t="s">
        <v>1086</v>
      </c>
      <c r="F16" s="885"/>
      <c r="G16" s="886"/>
      <c r="H16" s="887" t="s">
        <v>1087</v>
      </c>
      <c r="I16" s="888"/>
      <c r="J16" s="887" t="s">
        <v>1088</v>
      </c>
      <c r="K16" s="889"/>
      <c r="L16" s="885"/>
      <c r="M16" s="878"/>
      <c r="N16" s="887" t="s">
        <v>1087</v>
      </c>
      <c r="O16" s="890" t="s">
        <v>1088</v>
      </c>
      <c r="P16" s="887" t="s">
        <v>1087</v>
      </c>
      <c r="Q16" s="890" t="s">
        <v>1088</v>
      </c>
      <c r="R16" s="887" t="s">
        <v>1087</v>
      </c>
      <c r="S16" s="891" t="s">
        <v>1088</v>
      </c>
    </row>
    <row r="17" spans="1:21" ht="26.5" thickBot="1">
      <c r="A17" s="892" t="s">
        <v>1089</v>
      </c>
      <c r="B17" s="893" t="s">
        <v>972</v>
      </c>
      <c r="C17" s="894"/>
      <c r="D17" s="894"/>
      <c r="E17" s="895" t="s">
        <v>1090</v>
      </c>
      <c r="F17" s="869"/>
      <c r="G17" s="896" t="s">
        <v>1091</v>
      </c>
      <c r="H17" s="897" t="s">
        <v>1091</v>
      </c>
      <c r="I17" s="898"/>
      <c r="J17" s="897" t="s">
        <v>1091</v>
      </c>
      <c r="K17" s="899"/>
      <c r="L17" s="869"/>
      <c r="M17" s="896"/>
      <c r="N17" s="897"/>
      <c r="O17" s="898"/>
      <c r="P17" s="897"/>
      <c r="Q17" s="898"/>
      <c r="R17" s="897"/>
      <c r="S17" s="899"/>
    </row>
    <row r="18" spans="1:21" ht="15" customHeight="1">
      <c r="A18" s="900" t="s">
        <v>1501</v>
      </c>
      <c r="B18" s="901" t="s">
        <v>1272</v>
      </c>
      <c r="C18" s="902">
        <v>71</v>
      </c>
      <c r="D18" s="903">
        <v>94210</v>
      </c>
      <c r="E18" s="904">
        <v>11.059070200000001</v>
      </c>
      <c r="F18" s="905"/>
      <c r="G18" s="906">
        <v>0.59016239999999998</v>
      </c>
      <c r="H18" s="907">
        <v>0.58515360000000005</v>
      </c>
      <c r="I18" s="908" t="s">
        <v>1502</v>
      </c>
      <c r="J18" s="909">
        <v>0.58515360000000005</v>
      </c>
      <c r="K18" s="910" t="s">
        <v>1502</v>
      </c>
      <c r="L18" s="905"/>
      <c r="M18" s="911">
        <v>60.448399999999999</v>
      </c>
      <c r="N18" s="912">
        <v>60.965800000000002</v>
      </c>
      <c r="O18" s="913">
        <v>60.965800000000002</v>
      </c>
      <c r="P18" s="912">
        <v>99.151399999999995</v>
      </c>
      <c r="Q18" s="913">
        <v>99.151399999999995</v>
      </c>
      <c r="R18" s="912">
        <v>100.85590000000001</v>
      </c>
      <c r="S18" s="914">
        <v>100.85590000000001</v>
      </c>
      <c r="U18" s="434">
        <f>ROUND(E18*D18,0)</f>
        <v>1041875</v>
      </c>
    </row>
    <row r="19" spans="1:21" ht="15" customHeight="1">
      <c r="A19" s="900" t="s">
        <v>1503</v>
      </c>
      <c r="B19" s="901" t="s">
        <v>1272</v>
      </c>
      <c r="C19" s="902">
        <v>69</v>
      </c>
      <c r="D19" s="903">
        <v>94236</v>
      </c>
      <c r="E19" s="904">
        <v>10.430676999999999</v>
      </c>
      <c r="F19" s="905"/>
      <c r="G19" s="906">
        <v>0.5288832</v>
      </c>
      <c r="H19" s="907">
        <v>0.51103199999999993</v>
      </c>
      <c r="I19" s="908" t="s">
        <v>1504</v>
      </c>
      <c r="J19" s="909">
        <v>0.51103199999999993</v>
      </c>
      <c r="K19" s="910" t="s">
        <v>1504</v>
      </c>
      <c r="L19" s="905"/>
      <c r="M19" s="911">
        <v>68.007099999999994</v>
      </c>
      <c r="N19" s="912">
        <v>70.382599999999996</v>
      </c>
      <c r="O19" s="913">
        <v>70.382599999999996</v>
      </c>
      <c r="P19" s="912">
        <v>96.624899999999997</v>
      </c>
      <c r="Q19" s="913">
        <v>96.624899999999997</v>
      </c>
      <c r="R19" s="912">
        <v>103.49299999999999</v>
      </c>
      <c r="S19" s="914">
        <v>103.49299999999999</v>
      </c>
      <c r="U19" s="434">
        <f t="shared" ref="U19:U29" si="0">ROUND(E19*D19,0)</f>
        <v>982945</v>
      </c>
    </row>
    <row r="20" spans="1:21" ht="15" customHeight="1">
      <c r="A20" s="900" t="s">
        <v>1505</v>
      </c>
      <c r="B20" s="901" t="s">
        <v>1272</v>
      </c>
      <c r="C20" s="902">
        <v>71</v>
      </c>
      <c r="D20" s="903">
        <v>94243</v>
      </c>
      <c r="E20" s="904">
        <v>7.3130470999999995</v>
      </c>
      <c r="F20" s="905"/>
      <c r="G20" s="906">
        <v>0.42214560000000001</v>
      </c>
      <c r="H20" s="907">
        <v>0.38588640000000007</v>
      </c>
      <c r="I20" s="908" t="s">
        <v>1506</v>
      </c>
      <c r="J20" s="909">
        <v>0.3775056</v>
      </c>
      <c r="K20" s="910" t="s">
        <v>1507</v>
      </c>
      <c r="L20" s="905"/>
      <c r="M20" s="911">
        <v>55.882399999999997</v>
      </c>
      <c r="N20" s="912">
        <v>61.133299999999998</v>
      </c>
      <c r="O20" s="913">
        <v>62.490499999999997</v>
      </c>
      <c r="P20" s="912">
        <v>91.410700000000006</v>
      </c>
      <c r="Q20" s="913">
        <v>89.4255</v>
      </c>
      <c r="R20" s="912">
        <v>109.3964</v>
      </c>
      <c r="S20" s="914">
        <v>111.825</v>
      </c>
      <c r="U20" s="434">
        <f t="shared" si="0"/>
        <v>689203</v>
      </c>
    </row>
    <row r="21" spans="1:21" ht="15" customHeight="1">
      <c r="A21" s="900" t="s">
        <v>1508</v>
      </c>
      <c r="B21" s="901" t="s">
        <v>1272</v>
      </c>
      <c r="C21" s="902">
        <v>71</v>
      </c>
      <c r="D21" s="903">
        <v>94238</v>
      </c>
      <c r="E21" s="904">
        <v>4.5210105999999994</v>
      </c>
      <c r="F21" s="905"/>
      <c r="G21" s="906">
        <v>0.31369920000000001</v>
      </c>
      <c r="H21" s="907">
        <v>0.29407439999999996</v>
      </c>
      <c r="I21" s="908" t="s">
        <v>1509</v>
      </c>
      <c r="J21" s="909">
        <v>0.29407439999999996</v>
      </c>
      <c r="K21" s="910" t="s">
        <v>1509</v>
      </c>
      <c r="L21" s="905"/>
      <c r="M21" s="911">
        <v>48.039700000000003</v>
      </c>
      <c r="N21" s="912">
        <v>51.245699999999999</v>
      </c>
      <c r="O21" s="913">
        <v>51.245699999999999</v>
      </c>
      <c r="P21" s="912">
        <v>93.743700000000004</v>
      </c>
      <c r="Q21" s="913">
        <v>93.743700000000004</v>
      </c>
      <c r="R21" s="912">
        <v>106.6738</v>
      </c>
      <c r="S21" s="914">
        <v>106.6738</v>
      </c>
      <c r="U21" s="434">
        <f t="shared" si="0"/>
        <v>426051</v>
      </c>
    </row>
    <row r="22" spans="1:21" ht="15" customHeight="1">
      <c r="A22" s="900" t="s">
        <v>1510</v>
      </c>
      <c r="B22" s="901" t="s">
        <v>1272</v>
      </c>
      <c r="C22" s="902">
        <v>71</v>
      </c>
      <c r="D22" s="903">
        <v>94128</v>
      </c>
      <c r="E22" s="904">
        <v>2.8405682000000003</v>
      </c>
      <c r="F22" s="905"/>
      <c r="G22" s="906">
        <v>0.24454559999999997</v>
      </c>
      <c r="H22" s="907">
        <v>0.20725679999999999</v>
      </c>
      <c r="I22" s="908" t="s">
        <v>1511</v>
      </c>
      <c r="J22" s="909">
        <v>0.20174880000000001</v>
      </c>
      <c r="K22" s="910" t="s">
        <v>1512</v>
      </c>
      <c r="L22" s="905"/>
      <c r="M22" s="911">
        <v>37.469799999999999</v>
      </c>
      <c r="N22" s="912">
        <v>44.211500000000001</v>
      </c>
      <c r="O22" s="913">
        <v>45.418599999999998</v>
      </c>
      <c r="P22" s="912">
        <v>84.751400000000004</v>
      </c>
      <c r="Q22" s="913">
        <v>82.498800000000003</v>
      </c>
      <c r="R22" s="912">
        <v>117.9922</v>
      </c>
      <c r="S22" s="914">
        <v>121.2139</v>
      </c>
      <c r="U22" s="434">
        <f t="shared" si="0"/>
        <v>267377</v>
      </c>
    </row>
    <row r="23" spans="1:21" ht="15" customHeight="1">
      <c r="A23" s="900" t="s">
        <v>1513</v>
      </c>
      <c r="B23" s="901" t="s">
        <v>1272</v>
      </c>
      <c r="C23" s="902">
        <v>71</v>
      </c>
      <c r="D23" s="903">
        <v>93967</v>
      </c>
      <c r="E23" s="904">
        <v>1.4543900000000001</v>
      </c>
      <c r="F23" s="905"/>
      <c r="G23" s="906">
        <v>7.9442399999999996E-2</v>
      </c>
      <c r="H23" s="907">
        <v>6.1852799999999999E-2</v>
      </c>
      <c r="I23" s="908" t="s">
        <v>1514</v>
      </c>
      <c r="J23" s="909">
        <v>5.2238399999999997E-2</v>
      </c>
      <c r="K23" s="910" t="s">
        <v>1515</v>
      </c>
      <c r="L23" s="905"/>
      <c r="M23" s="911">
        <v>61.025399999999998</v>
      </c>
      <c r="N23" s="912">
        <v>78.378</v>
      </c>
      <c r="O23" s="913">
        <v>92.806399999999996</v>
      </c>
      <c r="P23" s="912">
        <v>77.860299999999995</v>
      </c>
      <c r="Q23" s="913">
        <v>65.755600000000001</v>
      </c>
      <c r="R23" s="912">
        <v>128.43510000000001</v>
      </c>
      <c r="S23" s="914">
        <v>152.07839999999999</v>
      </c>
      <c r="U23" s="434">
        <f t="shared" si="0"/>
        <v>136665</v>
      </c>
    </row>
    <row r="24" spans="1:21" ht="15" customHeight="1">
      <c r="A24" s="900" t="s">
        <v>1516</v>
      </c>
      <c r="B24" s="901" t="s">
        <v>1272</v>
      </c>
      <c r="C24" s="902">
        <v>71</v>
      </c>
      <c r="D24" s="903">
        <v>93926</v>
      </c>
      <c r="E24" s="904">
        <v>1.0713912999999999</v>
      </c>
      <c r="F24" s="905"/>
      <c r="G24" s="906">
        <v>5.2492799999999992E-2</v>
      </c>
      <c r="H24" s="907">
        <v>3.9693600000000002E-2</v>
      </c>
      <c r="I24" s="908" t="s">
        <v>1517</v>
      </c>
      <c r="J24" s="909">
        <v>3.7773600000000004E-2</v>
      </c>
      <c r="K24" s="910" t="s">
        <v>1518</v>
      </c>
      <c r="L24" s="905"/>
      <c r="M24" s="911">
        <v>65.839799999999997</v>
      </c>
      <c r="N24" s="912">
        <v>87.071200000000005</v>
      </c>
      <c r="O24" s="913">
        <v>91.497699999999995</v>
      </c>
      <c r="P24" s="912">
        <v>75.616100000000003</v>
      </c>
      <c r="Q24" s="913">
        <v>71.957899999999995</v>
      </c>
      <c r="R24" s="912">
        <v>132.24700000000001</v>
      </c>
      <c r="S24" s="914">
        <v>138.97020000000001</v>
      </c>
      <c r="U24" s="434">
        <f t="shared" si="0"/>
        <v>100631</v>
      </c>
    </row>
    <row r="25" spans="1:21" ht="15" customHeight="1">
      <c r="A25" s="900" t="s">
        <v>1519</v>
      </c>
      <c r="B25" s="901" t="s">
        <v>1272</v>
      </c>
      <c r="C25" s="902">
        <v>71</v>
      </c>
      <c r="D25" s="903">
        <v>93968</v>
      </c>
      <c r="E25" s="904">
        <v>1.0564287999999999</v>
      </c>
      <c r="F25" s="905"/>
      <c r="G25" s="906">
        <v>5.3846399999999989E-2</v>
      </c>
      <c r="H25" s="907">
        <v>4.0353600000000003E-2</v>
      </c>
      <c r="I25" s="908" t="s">
        <v>1520</v>
      </c>
      <c r="J25" s="909">
        <v>3.1298400000000004E-2</v>
      </c>
      <c r="K25" s="910" t="s">
        <v>1521</v>
      </c>
      <c r="L25" s="905"/>
      <c r="M25" s="911">
        <v>63.2883</v>
      </c>
      <c r="N25" s="912">
        <v>84.447500000000005</v>
      </c>
      <c r="O25" s="913">
        <v>108.8836</v>
      </c>
      <c r="P25" s="912">
        <v>74.943899999999999</v>
      </c>
      <c r="Q25" s="913">
        <v>58.124699999999997</v>
      </c>
      <c r="R25" s="912">
        <v>133.4331</v>
      </c>
      <c r="S25" s="914">
        <v>172.0438</v>
      </c>
      <c r="U25" s="434">
        <f t="shared" si="0"/>
        <v>99271</v>
      </c>
    </row>
    <row r="26" spans="1:21" ht="15" customHeight="1">
      <c r="A26" s="900" t="s">
        <v>1522</v>
      </c>
      <c r="B26" s="901" t="s">
        <v>1272</v>
      </c>
      <c r="C26" s="902">
        <v>71</v>
      </c>
      <c r="D26" s="903">
        <v>94083</v>
      </c>
      <c r="E26" s="904">
        <v>1.346476</v>
      </c>
      <c r="F26" s="905"/>
      <c r="G26" s="906">
        <v>8.61648E-2</v>
      </c>
      <c r="H26" s="907">
        <v>6.1531200000000008E-2</v>
      </c>
      <c r="I26" s="908" t="s">
        <v>1523</v>
      </c>
      <c r="J26" s="909">
        <v>6.1531200000000008E-2</v>
      </c>
      <c r="K26" s="910" t="s">
        <v>1523</v>
      </c>
      <c r="L26" s="905"/>
      <c r="M26" s="911">
        <v>52.089100000000002</v>
      </c>
      <c r="N26" s="912">
        <v>72.942400000000006</v>
      </c>
      <c r="O26" s="913">
        <v>72.942400000000006</v>
      </c>
      <c r="P26" s="912">
        <v>71.411299999999997</v>
      </c>
      <c r="Q26" s="913">
        <v>71.411299999999997</v>
      </c>
      <c r="R26" s="912">
        <v>140.03380000000001</v>
      </c>
      <c r="S26" s="914">
        <v>140.03380000000001</v>
      </c>
      <c r="U26" s="434">
        <f t="shared" si="0"/>
        <v>126681</v>
      </c>
    </row>
    <row r="27" spans="1:21" ht="15" customHeight="1">
      <c r="A27" s="900" t="s">
        <v>1524</v>
      </c>
      <c r="B27" s="901" t="s">
        <v>1272</v>
      </c>
      <c r="C27" s="902">
        <v>69</v>
      </c>
      <c r="D27" s="903">
        <v>94337</v>
      </c>
      <c r="E27" s="904">
        <v>2.8149178999999998</v>
      </c>
      <c r="F27" s="905"/>
      <c r="G27" s="906">
        <v>0.22400400000000004</v>
      </c>
      <c r="H27" s="907">
        <v>0.19218479999999999</v>
      </c>
      <c r="I27" s="908" t="s">
        <v>1525</v>
      </c>
      <c r="J27" s="909">
        <v>0.19218479999999999</v>
      </c>
      <c r="K27" s="910" t="s">
        <v>1525</v>
      </c>
      <c r="L27" s="905"/>
      <c r="M27" s="911">
        <v>40.5366</v>
      </c>
      <c r="N27" s="912">
        <v>47.248199999999997</v>
      </c>
      <c r="O27" s="913">
        <v>47.248199999999997</v>
      </c>
      <c r="P27" s="912">
        <v>85.795199999999994</v>
      </c>
      <c r="Q27" s="913">
        <v>85.795199999999994</v>
      </c>
      <c r="R27" s="912">
        <v>116.55670000000001</v>
      </c>
      <c r="S27" s="914">
        <v>116.55670000000001</v>
      </c>
      <c r="U27" s="434">
        <f t="shared" si="0"/>
        <v>265551</v>
      </c>
    </row>
    <row r="28" spans="1:21" ht="15" customHeight="1">
      <c r="A28" s="900" t="s">
        <v>1526</v>
      </c>
      <c r="B28" s="901" t="s">
        <v>1272</v>
      </c>
      <c r="C28" s="902">
        <v>71</v>
      </c>
      <c r="D28" s="903">
        <v>94642</v>
      </c>
      <c r="E28" s="904">
        <v>6.5309017999999996</v>
      </c>
      <c r="F28" s="905"/>
      <c r="G28" s="906">
        <v>0.38359919999999997</v>
      </c>
      <c r="H28" s="907">
        <v>0.36390479999999997</v>
      </c>
      <c r="I28" s="908" t="s">
        <v>1527</v>
      </c>
      <c r="J28" s="909">
        <v>0.24484799999999998</v>
      </c>
      <c r="K28" s="910" t="s">
        <v>1528</v>
      </c>
      <c r="L28" s="905"/>
      <c r="M28" s="911">
        <v>56.751199999999997</v>
      </c>
      <c r="N28" s="912">
        <v>59.822499999999998</v>
      </c>
      <c r="O28" s="913">
        <v>88.911100000000005</v>
      </c>
      <c r="P28" s="912">
        <v>94.865899999999996</v>
      </c>
      <c r="Q28" s="913">
        <v>63.829099999999997</v>
      </c>
      <c r="R28" s="912">
        <v>105.41200000000001</v>
      </c>
      <c r="S28" s="914">
        <v>156.66839999999999</v>
      </c>
      <c r="U28" s="434">
        <f t="shared" si="0"/>
        <v>618098</v>
      </c>
    </row>
    <row r="29" spans="1:21" ht="15" customHeight="1" thickBot="1">
      <c r="A29" s="915" t="s">
        <v>1529</v>
      </c>
      <c r="B29" s="916" t="s">
        <v>1272</v>
      </c>
      <c r="C29" s="917">
        <v>71</v>
      </c>
      <c r="D29" s="1023">
        <v>94893</v>
      </c>
      <c r="E29" s="918">
        <v>11.088225700000001</v>
      </c>
      <c r="F29" s="905"/>
      <c r="G29" s="919">
        <v>0.60543600000000009</v>
      </c>
      <c r="H29" s="920">
        <v>0.60313680000000003</v>
      </c>
      <c r="I29" s="921" t="s">
        <v>1530</v>
      </c>
      <c r="J29" s="1024">
        <v>0.49050719999999998</v>
      </c>
      <c r="K29" s="922" t="s">
        <v>1531</v>
      </c>
      <c r="L29" s="905"/>
      <c r="M29" s="923">
        <v>59.078800000000001</v>
      </c>
      <c r="N29" s="924">
        <v>59.304000000000002</v>
      </c>
      <c r="O29" s="925">
        <v>72.921599999999998</v>
      </c>
      <c r="P29" s="924">
        <v>99.6203</v>
      </c>
      <c r="Q29" s="925">
        <v>81.016900000000007</v>
      </c>
      <c r="R29" s="924">
        <v>100.3811</v>
      </c>
      <c r="S29" s="926">
        <v>123.431</v>
      </c>
      <c r="U29" s="434">
        <f t="shared" si="0"/>
        <v>1052195</v>
      </c>
    </row>
    <row r="30" spans="1:21">
      <c r="A30" s="927"/>
      <c r="B30" s="928"/>
      <c r="C30" s="928"/>
      <c r="D30" s="929"/>
      <c r="E30" s="930"/>
      <c r="F30" s="930"/>
      <c r="G30" s="931"/>
      <c r="H30" s="931"/>
      <c r="I30" s="932"/>
      <c r="J30" s="931"/>
      <c r="K30" s="932"/>
      <c r="L30" s="933"/>
      <c r="M30" s="934"/>
      <c r="N30" s="934"/>
      <c r="O30" s="934"/>
      <c r="P30" s="934"/>
      <c r="Q30" s="934"/>
      <c r="R30" s="934"/>
      <c r="S30" s="934"/>
      <c r="U30" s="434">
        <f>SUM(U18:U29)</f>
        <v>5806543</v>
      </c>
    </row>
    <row r="31" spans="1:21">
      <c r="A31" s="935"/>
      <c r="B31" s="936"/>
      <c r="C31" s="936"/>
      <c r="D31" s="937"/>
      <c r="E31" s="905"/>
      <c r="F31" s="935"/>
      <c r="G31" s="938"/>
      <c r="H31" s="939"/>
      <c r="I31" s="939"/>
      <c r="J31" s="939"/>
      <c r="K31" s="940"/>
      <c r="L31" s="933"/>
      <c r="M31" s="934"/>
      <c r="N31" s="934"/>
      <c r="O31" s="934"/>
      <c r="P31" s="934"/>
      <c r="Q31" s="934"/>
      <c r="R31" s="934"/>
      <c r="S31" s="934"/>
    </row>
    <row r="32" spans="1:21">
      <c r="A32" s="935" t="s">
        <v>1273</v>
      </c>
      <c r="B32" s="936"/>
      <c r="C32" s="936"/>
      <c r="D32" s="937"/>
      <c r="E32" s="905"/>
      <c r="F32" s="935"/>
      <c r="G32" s="938"/>
      <c r="H32" s="939"/>
      <c r="I32" s="939"/>
      <c r="J32" s="939"/>
      <c r="K32" s="940"/>
      <c r="L32" s="933"/>
      <c r="M32" s="934"/>
      <c r="N32" s="934"/>
      <c r="O32" s="934"/>
      <c r="P32" s="934"/>
      <c r="Q32" s="934"/>
      <c r="R32" s="934"/>
      <c r="S32" s="934"/>
    </row>
    <row r="33" spans="1:19">
      <c r="A33" s="935" t="s">
        <v>1092</v>
      </c>
      <c r="B33" s="936"/>
      <c r="C33" s="936"/>
      <c r="D33" s="937"/>
      <c r="E33" s="905"/>
      <c r="F33" s="935"/>
      <c r="G33" s="938"/>
      <c r="H33" s="939"/>
      <c r="I33" s="939"/>
      <c r="J33" s="939"/>
      <c r="K33" s="940"/>
      <c r="L33" s="933"/>
      <c r="M33" s="934"/>
      <c r="N33" s="934"/>
      <c r="O33" s="934"/>
      <c r="P33" s="934"/>
      <c r="Q33" s="934"/>
      <c r="R33" s="934"/>
      <c r="S33" s="934"/>
    </row>
    <row r="34" spans="1:19">
      <c r="A34" s="935" t="s">
        <v>1274</v>
      </c>
      <c r="B34" s="936"/>
      <c r="C34" s="936"/>
      <c r="D34" s="937"/>
      <c r="E34" s="905"/>
      <c r="F34" s="935"/>
      <c r="G34" s="938"/>
      <c r="H34" s="939"/>
      <c r="I34" s="939"/>
      <c r="J34" s="939"/>
      <c r="K34" s="940"/>
      <c r="L34" s="933"/>
      <c r="M34" s="934"/>
      <c r="N34" s="934"/>
      <c r="O34" s="934"/>
      <c r="P34" s="934"/>
      <c r="Q34" s="934"/>
      <c r="R34" s="934"/>
      <c r="S34" s="934"/>
    </row>
    <row r="35" spans="1:19">
      <c r="A35" s="941" t="s">
        <v>1275</v>
      </c>
      <c r="B35" s="936"/>
      <c r="C35" s="936"/>
      <c r="D35" s="942"/>
      <c r="E35" s="942"/>
      <c r="F35" s="943"/>
      <c r="G35" s="944"/>
      <c r="H35" s="944"/>
      <c r="I35" s="944"/>
      <c r="J35" s="944"/>
      <c r="K35" s="944"/>
      <c r="L35" s="945"/>
      <c r="M35" s="945"/>
      <c r="N35" s="945"/>
      <c r="O35" s="945"/>
      <c r="P35" s="945"/>
      <c r="Q35" s="945"/>
      <c r="R35" s="945"/>
      <c r="S35" s="945"/>
    </row>
    <row r="36" spans="1:19">
      <c r="A36" s="77" t="s">
        <v>1543</v>
      </c>
    </row>
    <row r="38" spans="1:19" s="77" customFormat="1">
      <c r="A38" s="195" t="str">
        <f>co_name</f>
        <v>DUKE ENERGY KENTUCKY, INC.</v>
      </c>
      <c r="B38" s="78"/>
      <c r="C38" s="79"/>
      <c r="D38" s="80"/>
      <c r="E38" s="80"/>
      <c r="F38" s="81"/>
      <c r="G38" s="80"/>
      <c r="H38" s="81"/>
      <c r="I38" s="82"/>
      <c r="J38" s="82"/>
      <c r="L38" s="82"/>
      <c r="O38" s="82"/>
      <c r="Q38" s="198" t="str">
        <f>Q1</f>
        <v>WP FR-16(7)(v)</v>
      </c>
    </row>
    <row r="39" spans="1:19" s="77" customFormat="1">
      <c r="A39" s="195" t="str">
        <f>coss_type</f>
        <v xml:space="preserve">GAS COST OF SERVICE STUDY </v>
      </c>
      <c r="B39" s="78"/>
      <c r="C39" s="79"/>
      <c r="D39" s="80"/>
      <c r="E39" s="80"/>
      <c r="F39" s="81"/>
      <c r="G39" s="80"/>
      <c r="H39" s="81"/>
      <c r="I39" s="82"/>
      <c r="J39" s="82"/>
      <c r="L39" s="82"/>
      <c r="O39" s="82"/>
      <c r="Q39" s="198" t="str">
        <f>'Alloc Factors Summary'!G2</f>
        <v>Witness Responsible:</v>
      </c>
    </row>
    <row r="40" spans="1:19" s="77" customFormat="1">
      <c r="A40" s="195" t="str">
        <f>case_name</f>
        <v>CASE NO: 2021-00190</v>
      </c>
      <c r="B40" s="78"/>
      <c r="C40" s="79"/>
      <c r="D40" s="80"/>
      <c r="E40" s="80"/>
      <c r="F40" s="81"/>
      <c r="G40" s="83"/>
      <c r="H40" s="81"/>
      <c r="I40" s="82"/>
      <c r="J40" s="82"/>
      <c r="L40" s="82"/>
      <c r="O40" s="82"/>
      <c r="Q40" s="198" t="str">
        <f>'Alloc Factors Summary'!G3</f>
        <v>James E. Ziolkowski</v>
      </c>
    </row>
    <row r="41" spans="1:19" s="77" customFormat="1">
      <c r="A41" s="10" t="str">
        <f>alloc_factors</f>
        <v>ALLOCATION FACTORS FOR COST OF SERVICE STUDY</v>
      </c>
      <c r="B41" s="78"/>
      <c r="C41" s="79"/>
      <c r="D41" s="80"/>
      <c r="E41" s="203"/>
      <c r="F41" s="203"/>
      <c r="G41" s="203"/>
      <c r="H41" s="203"/>
      <c r="I41" s="203"/>
      <c r="J41" s="82"/>
      <c r="L41" s="82"/>
      <c r="O41" s="82"/>
      <c r="Q41" s="198" t="s">
        <v>1048</v>
      </c>
    </row>
    <row r="42" spans="1:19" s="77" customFormat="1" ht="15.5">
      <c r="A42" s="10" t="str">
        <f>time_period</f>
        <v>TWELVE MONTHS ENDING DECEMBER 31, 2020</v>
      </c>
      <c r="B42" s="78"/>
      <c r="C42" s="79"/>
      <c r="D42" s="80"/>
      <c r="E42" s="80"/>
      <c r="F42" s="81"/>
      <c r="G42" s="86"/>
      <c r="H42" s="81"/>
      <c r="I42" s="82"/>
      <c r="J42" s="82"/>
      <c r="L42" s="82"/>
      <c r="M42" s="82"/>
      <c r="N42" s="82"/>
      <c r="O42" s="82"/>
      <c r="Q42" s="1277">
        <f ca="1">TODAY()</f>
        <v>44420</v>
      </c>
    </row>
    <row r="43" spans="1:19" s="77" customFormat="1">
      <c r="A43" s="197" t="s">
        <v>827</v>
      </c>
      <c r="B43" s="78"/>
      <c r="C43" s="79"/>
      <c r="D43" s="80"/>
      <c r="E43" s="80"/>
      <c r="H43" s="81"/>
      <c r="I43" s="82"/>
      <c r="J43" s="82"/>
      <c r="K43" s="82"/>
      <c r="L43" s="82"/>
      <c r="M43" s="82"/>
      <c r="N43" s="82"/>
      <c r="O43" s="82"/>
    </row>
    <row r="44" spans="1:19" s="77" customFormat="1" ht="15.5">
      <c r="A44" s="197"/>
      <c r="B44" s="78"/>
      <c r="C44" s="79"/>
      <c r="D44" s="80"/>
      <c r="E44" s="80"/>
      <c r="F44" s="81"/>
      <c r="G44" s="86"/>
      <c r="H44" s="81"/>
      <c r="I44" s="82"/>
      <c r="J44" s="82"/>
      <c r="K44" s="82"/>
      <c r="L44" s="82"/>
      <c r="M44" s="82"/>
      <c r="N44" s="82"/>
      <c r="O44" s="82"/>
    </row>
    <row r="45" spans="1:19" s="77" customFormat="1">
      <c r="A45" s="946" t="s">
        <v>1542</v>
      </c>
      <c r="B45" s="946"/>
      <c r="C45" s="946"/>
      <c r="D45" s="946"/>
      <c r="E45" s="946"/>
      <c r="F45" s="946"/>
      <c r="G45" s="946"/>
      <c r="H45" s="946"/>
      <c r="I45" s="946"/>
      <c r="J45" s="946"/>
      <c r="K45" s="946"/>
      <c r="L45" s="946"/>
      <c r="M45" s="946"/>
      <c r="N45" s="946"/>
      <c r="O45" s="946"/>
      <c r="P45" s="946"/>
      <c r="Q45" s="946"/>
      <c r="R45" s="946"/>
      <c r="S45" s="946"/>
    </row>
    <row r="46" spans="1:19" s="87" customFormat="1">
      <c r="A46" s="946" t="s">
        <v>1054</v>
      </c>
      <c r="B46" s="946"/>
      <c r="C46" s="946"/>
      <c r="D46" s="946"/>
      <c r="E46" s="946"/>
      <c r="F46" s="946"/>
      <c r="G46" s="946"/>
      <c r="H46" s="946"/>
      <c r="I46" s="946"/>
      <c r="J46" s="946"/>
      <c r="K46" s="946"/>
      <c r="L46" s="946"/>
      <c r="M46" s="946"/>
      <c r="N46" s="946"/>
      <c r="O46" s="946"/>
      <c r="P46" s="946"/>
      <c r="Q46" s="946"/>
      <c r="R46" s="946"/>
      <c r="S46" s="946"/>
    </row>
    <row r="47" spans="1:19" s="77" customFormat="1" ht="12" customHeight="1">
      <c r="A47" s="946"/>
      <c r="B47" s="946"/>
      <c r="C47" s="946"/>
      <c r="D47" s="946"/>
      <c r="E47" s="946"/>
      <c r="F47" s="946"/>
      <c r="G47" s="946"/>
      <c r="H47" s="946"/>
      <c r="I47" s="946"/>
      <c r="J47" s="946"/>
      <c r="K47" s="946"/>
      <c r="L47" s="946"/>
      <c r="M47" s="946"/>
      <c r="N47" s="946"/>
      <c r="O47" s="946"/>
      <c r="P47" s="946"/>
      <c r="Q47" s="946"/>
      <c r="R47" s="946"/>
      <c r="S47" s="946"/>
    </row>
    <row r="48" spans="1:19" s="77" customFormat="1" ht="17.649999999999999" customHeight="1">
      <c r="A48" s="950" t="s">
        <v>1263</v>
      </c>
      <c r="B48" s="946"/>
      <c r="C48" s="946"/>
      <c r="D48" s="946"/>
      <c r="E48" s="946"/>
      <c r="F48" s="946"/>
      <c r="G48" s="946"/>
      <c r="H48" s="946"/>
      <c r="I48" s="946"/>
      <c r="J48" s="946"/>
      <c r="K48" s="946"/>
      <c r="L48" s="946"/>
      <c r="M48" s="946"/>
      <c r="N48" s="946"/>
      <c r="O48" s="946"/>
      <c r="P48" s="946"/>
      <c r="Q48" s="946"/>
      <c r="R48" s="946"/>
      <c r="S48" s="946"/>
    </row>
    <row r="49" spans="1:19" s="88" customFormat="1">
      <c r="A49" s="947"/>
      <c r="B49" s="947"/>
      <c r="C49" s="947"/>
      <c r="D49" s="947"/>
      <c r="E49" s="947"/>
      <c r="F49" s="947"/>
      <c r="G49" s="947"/>
      <c r="H49" s="947"/>
      <c r="I49" s="947"/>
      <c r="J49" s="947"/>
      <c r="K49" s="947"/>
      <c r="L49" s="947"/>
      <c r="M49" s="947"/>
      <c r="N49" s="947"/>
      <c r="O49" s="947"/>
      <c r="P49" s="947"/>
      <c r="Q49" s="947"/>
      <c r="R49" s="947"/>
      <c r="S49" s="947"/>
    </row>
    <row r="50" spans="1:19" s="89" customFormat="1" thickBot="1">
      <c r="A50" s="866" t="s">
        <v>1056</v>
      </c>
      <c r="B50" s="866" t="s">
        <v>1057</v>
      </c>
      <c r="C50" s="866" t="s">
        <v>1058</v>
      </c>
      <c r="D50" s="866" t="s">
        <v>1059</v>
      </c>
      <c r="E50" s="866" t="s">
        <v>1060</v>
      </c>
      <c r="F50" s="866"/>
      <c r="G50" s="866" t="s">
        <v>1061</v>
      </c>
      <c r="H50" s="866" t="s">
        <v>1062</v>
      </c>
      <c r="I50" s="866" t="s">
        <v>1063</v>
      </c>
      <c r="J50" s="866" t="s">
        <v>1064</v>
      </c>
      <c r="K50" s="866" t="s">
        <v>1065</v>
      </c>
      <c r="L50" s="866"/>
      <c r="M50" s="866" t="s">
        <v>1066</v>
      </c>
      <c r="N50" s="866" t="s">
        <v>1067</v>
      </c>
      <c r="O50" s="866" t="s">
        <v>1068</v>
      </c>
      <c r="P50" s="866" t="s">
        <v>1069</v>
      </c>
      <c r="Q50" s="866" t="s">
        <v>1070</v>
      </c>
      <c r="R50" s="866" t="s">
        <v>1071</v>
      </c>
      <c r="S50" s="866" t="s">
        <v>1072</v>
      </c>
    </row>
    <row r="51" spans="1:19" ht="26">
      <c r="A51" s="948" t="s">
        <v>1277</v>
      </c>
      <c r="B51" s="949"/>
      <c r="C51" s="867" t="s">
        <v>1073</v>
      </c>
      <c r="D51" s="867" t="s">
        <v>1074</v>
      </c>
      <c r="E51" s="868" t="s">
        <v>621</v>
      </c>
      <c r="F51" s="869"/>
      <c r="G51" s="870" t="s">
        <v>1075</v>
      </c>
      <c r="H51" s="871" t="s">
        <v>1076</v>
      </c>
      <c r="I51" s="872" t="s">
        <v>477</v>
      </c>
      <c r="J51" s="871" t="s">
        <v>1076</v>
      </c>
      <c r="K51" s="873" t="s">
        <v>1077</v>
      </c>
      <c r="L51" s="869"/>
      <c r="M51" s="870" t="s">
        <v>1078</v>
      </c>
      <c r="N51" s="871" t="s">
        <v>1078</v>
      </c>
      <c r="O51" s="872" t="s">
        <v>1078</v>
      </c>
      <c r="P51" s="871" t="s">
        <v>1079</v>
      </c>
      <c r="Q51" s="872" t="s">
        <v>1079</v>
      </c>
      <c r="R51" s="871" t="s">
        <v>1080</v>
      </c>
      <c r="S51" s="873" t="s">
        <v>1080</v>
      </c>
    </row>
    <row r="52" spans="1:19" s="92" customFormat="1" ht="26">
      <c r="A52" s="874"/>
      <c r="B52" s="875"/>
      <c r="C52" s="876" t="s">
        <v>954</v>
      </c>
      <c r="D52" s="876" t="s">
        <v>1081</v>
      </c>
      <c r="E52" s="877" t="s">
        <v>1082</v>
      </c>
      <c r="F52" s="869"/>
      <c r="G52" s="878" t="s">
        <v>1044</v>
      </c>
      <c r="H52" s="879" t="s">
        <v>1044</v>
      </c>
      <c r="I52" s="880" t="s">
        <v>1083</v>
      </c>
      <c r="J52" s="879" t="s">
        <v>1044</v>
      </c>
      <c r="K52" s="881" t="s">
        <v>1083</v>
      </c>
      <c r="L52" s="869"/>
      <c r="M52" s="878" t="s">
        <v>641</v>
      </c>
      <c r="N52" s="879" t="s">
        <v>1084</v>
      </c>
      <c r="O52" s="880" t="s">
        <v>1084</v>
      </c>
      <c r="P52" s="879" t="s">
        <v>642</v>
      </c>
      <c r="Q52" s="880" t="s">
        <v>642</v>
      </c>
      <c r="R52" s="879" t="s">
        <v>642</v>
      </c>
      <c r="S52" s="881" t="s">
        <v>642</v>
      </c>
    </row>
    <row r="53" spans="1:19" ht="37.5">
      <c r="A53" s="882"/>
      <c r="B53" s="875"/>
      <c r="C53" s="883" t="s">
        <v>1085</v>
      </c>
      <c r="D53" s="883"/>
      <c r="E53" s="884" t="s">
        <v>1086</v>
      </c>
      <c r="F53" s="885"/>
      <c r="G53" s="886"/>
      <c r="H53" s="887" t="s">
        <v>1087</v>
      </c>
      <c r="I53" s="888"/>
      <c r="J53" s="887" t="s">
        <v>1088</v>
      </c>
      <c r="K53" s="889"/>
      <c r="L53" s="885"/>
      <c r="M53" s="878"/>
      <c r="N53" s="887" t="s">
        <v>1087</v>
      </c>
      <c r="O53" s="890" t="s">
        <v>1088</v>
      </c>
      <c r="P53" s="887" t="s">
        <v>1087</v>
      </c>
      <c r="Q53" s="890" t="s">
        <v>1088</v>
      </c>
      <c r="R53" s="887" t="s">
        <v>1087</v>
      </c>
      <c r="S53" s="891" t="s">
        <v>1088</v>
      </c>
    </row>
    <row r="54" spans="1:19" ht="26.5" thickBot="1">
      <c r="A54" s="892" t="s">
        <v>1089</v>
      </c>
      <c r="B54" s="893" t="s">
        <v>972</v>
      </c>
      <c r="C54" s="894"/>
      <c r="D54" s="894"/>
      <c r="E54" s="895" t="s">
        <v>1090</v>
      </c>
      <c r="F54" s="869"/>
      <c r="G54" s="896" t="s">
        <v>1091</v>
      </c>
      <c r="H54" s="897" t="s">
        <v>1091</v>
      </c>
      <c r="I54" s="898"/>
      <c r="J54" s="897" t="s">
        <v>1091</v>
      </c>
      <c r="K54" s="899"/>
      <c r="L54" s="869"/>
      <c r="M54" s="896"/>
      <c r="N54" s="897"/>
      <c r="O54" s="898"/>
      <c r="P54" s="897"/>
      <c r="Q54" s="898"/>
      <c r="R54" s="897"/>
      <c r="S54" s="899"/>
    </row>
    <row r="55" spans="1:19" ht="15" customHeight="1">
      <c r="A55" s="900" t="s">
        <v>1501</v>
      </c>
      <c r="B55" s="901" t="s">
        <v>1278</v>
      </c>
      <c r="C55" s="902">
        <v>85</v>
      </c>
      <c r="D55" s="903">
        <v>7212</v>
      </c>
      <c r="E55" s="904">
        <v>80.4855819</v>
      </c>
      <c r="F55" s="905"/>
      <c r="G55" s="906">
        <v>4.4958863999999998</v>
      </c>
      <c r="H55" s="907">
        <v>3.7996151999999999</v>
      </c>
      <c r="I55" s="908" t="s">
        <v>1532</v>
      </c>
      <c r="J55" s="909">
        <v>3.7905864</v>
      </c>
      <c r="K55" s="910" t="s">
        <v>1502</v>
      </c>
      <c r="L55" s="905"/>
      <c r="M55" s="1532">
        <v>57.7485</v>
      </c>
      <c r="N55" s="1533">
        <v>68.3309</v>
      </c>
      <c r="O55" s="1534">
        <v>68.493600000000001</v>
      </c>
      <c r="P55" s="1533">
        <v>84.513099999999994</v>
      </c>
      <c r="Q55" s="1534">
        <v>84.312299999999993</v>
      </c>
      <c r="R55" s="1533">
        <v>118.3248</v>
      </c>
      <c r="S55" s="1535">
        <v>118.6066</v>
      </c>
    </row>
    <row r="56" spans="1:19" ht="15" customHeight="1">
      <c r="A56" s="900" t="s">
        <v>1503</v>
      </c>
      <c r="B56" s="901" t="s">
        <v>1278</v>
      </c>
      <c r="C56" s="902">
        <v>85</v>
      </c>
      <c r="D56" s="903">
        <v>7209</v>
      </c>
      <c r="E56" s="904">
        <v>75.233169599999997</v>
      </c>
      <c r="F56" s="905"/>
      <c r="G56" s="906">
        <v>3.9722855999999998</v>
      </c>
      <c r="H56" s="907">
        <v>3.4252007999999998</v>
      </c>
      <c r="I56" s="908" t="s">
        <v>1504</v>
      </c>
      <c r="J56" s="909">
        <v>3.4252007999999998</v>
      </c>
      <c r="K56" s="910" t="s">
        <v>1504</v>
      </c>
      <c r="L56" s="905"/>
      <c r="M56" s="1532">
        <v>65.308700000000002</v>
      </c>
      <c r="N56" s="1533">
        <v>75.739999999999995</v>
      </c>
      <c r="O56" s="1534">
        <v>75.739999999999995</v>
      </c>
      <c r="P56" s="1533">
        <v>86.227400000000003</v>
      </c>
      <c r="Q56" s="1534">
        <v>86.227400000000003</v>
      </c>
      <c r="R56" s="1533">
        <v>115.97239999999999</v>
      </c>
      <c r="S56" s="1535">
        <v>115.97239999999999</v>
      </c>
    </row>
    <row r="57" spans="1:19" ht="15" customHeight="1">
      <c r="A57" s="900" t="s">
        <v>1505</v>
      </c>
      <c r="B57" s="901" t="s">
        <v>1278</v>
      </c>
      <c r="C57" s="902">
        <v>84</v>
      </c>
      <c r="D57" s="903">
        <v>7149</v>
      </c>
      <c r="E57" s="904">
        <v>52.4163949</v>
      </c>
      <c r="F57" s="905"/>
      <c r="G57" s="906">
        <v>3.2467584</v>
      </c>
      <c r="H57" s="907">
        <v>2.8300272</v>
      </c>
      <c r="I57" s="908" t="s">
        <v>1507</v>
      </c>
      <c r="J57" s="909">
        <v>2.8300272</v>
      </c>
      <c r="K57" s="910" t="s">
        <v>1507</v>
      </c>
      <c r="L57" s="905"/>
      <c r="M57" s="1532">
        <v>52.078099999999999</v>
      </c>
      <c r="N57" s="1533">
        <v>59.7468</v>
      </c>
      <c r="O57" s="1534">
        <v>59.7468</v>
      </c>
      <c r="P57" s="1533">
        <v>87.164699999999996</v>
      </c>
      <c r="Q57" s="1534">
        <v>87.164699999999996</v>
      </c>
      <c r="R57" s="1533">
        <v>114.72539999999999</v>
      </c>
      <c r="S57" s="1535">
        <v>114.72539999999999</v>
      </c>
    </row>
    <row r="58" spans="1:19" ht="15" customHeight="1">
      <c r="A58" s="900" t="s">
        <v>1508</v>
      </c>
      <c r="B58" s="901" t="s">
        <v>1278</v>
      </c>
      <c r="C58" s="902">
        <v>83</v>
      </c>
      <c r="D58" s="903">
        <v>7056</v>
      </c>
      <c r="E58" s="904">
        <v>31.220648799999999</v>
      </c>
      <c r="F58" s="905"/>
      <c r="G58" s="906">
        <v>2.1860688000000001</v>
      </c>
      <c r="H58" s="907">
        <v>1.9480872</v>
      </c>
      <c r="I58" s="908" t="s">
        <v>1509</v>
      </c>
      <c r="J58" s="909">
        <v>1.9480872</v>
      </c>
      <c r="K58" s="910" t="s">
        <v>1509</v>
      </c>
      <c r="L58" s="905"/>
      <c r="M58" s="1532">
        <v>47.605499999999999</v>
      </c>
      <c r="N58" s="1533">
        <v>53.420999999999999</v>
      </c>
      <c r="O58" s="1534">
        <v>53.420999999999999</v>
      </c>
      <c r="P58" s="1533">
        <v>89.113699999999994</v>
      </c>
      <c r="Q58" s="1534">
        <v>89.113699999999994</v>
      </c>
      <c r="R58" s="1533">
        <v>112.2162</v>
      </c>
      <c r="S58" s="1535">
        <v>112.2162</v>
      </c>
    </row>
    <row r="59" spans="1:19" ht="15" customHeight="1">
      <c r="A59" s="900" t="s">
        <v>1510</v>
      </c>
      <c r="B59" s="901" t="s">
        <v>1278</v>
      </c>
      <c r="C59" s="902">
        <v>87</v>
      </c>
      <c r="D59" s="903">
        <v>6976</v>
      </c>
      <c r="E59" s="904">
        <v>19.6646787</v>
      </c>
      <c r="F59" s="905"/>
      <c r="G59" s="906">
        <v>1.4487311999999999</v>
      </c>
      <c r="H59" s="907">
        <v>1.2105287999999998</v>
      </c>
      <c r="I59" s="908" t="s">
        <v>1512</v>
      </c>
      <c r="J59" s="909">
        <v>1.2105287999999998</v>
      </c>
      <c r="K59" s="910" t="s">
        <v>1512</v>
      </c>
      <c r="L59" s="905"/>
      <c r="M59" s="1532">
        <v>43.786200000000001</v>
      </c>
      <c r="N59" s="1533">
        <v>52.402299999999997</v>
      </c>
      <c r="O59" s="1534">
        <v>52.402299999999997</v>
      </c>
      <c r="P59" s="1533">
        <v>83.557900000000004</v>
      </c>
      <c r="Q59" s="1534">
        <v>83.557900000000004</v>
      </c>
      <c r="R59" s="1533">
        <v>119.67749999999999</v>
      </c>
      <c r="S59" s="1535">
        <v>119.67749999999999</v>
      </c>
    </row>
    <row r="60" spans="1:19" ht="15" customHeight="1">
      <c r="A60" s="900" t="s">
        <v>1513</v>
      </c>
      <c r="B60" s="901" t="s">
        <v>1278</v>
      </c>
      <c r="C60" s="902">
        <v>92</v>
      </c>
      <c r="D60" s="903">
        <v>6911</v>
      </c>
      <c r="E60" s="904">
        <v>11.394733</v>
      </c>
      <c r="F60" s="905"/>
      <c r="G60" s="906">
        <v>0.60629759999999999</v>
      </c>
      <c r="H60" s="907">
        <v>0.43552079999999993</v>
      </c>
      <c r="I60" s="908" t="s">
        <v>1514</v>
      </c>
      <c r="J60" s="909">
        <v>0.38258879999999995</v>
      </c>
      <c r="K60" s="910" t="s">
        <v>1515</v>
      </c>
      <c r="L60" s="905"/>
      <c r="M60" s="1532">
        <v>62.646599999999999</v>
      </c>
      <c r="N60" s="1533">
        <v>87.211699999999993</v>
      </c>
      <c r="O60" s="1534">
        <v>99.277699999999996</v>
      </c>
      <c r="P60" s="1533">
        <v>71.832899999999995</v>
      </c>
      <c r="Q60" s="1534">
        <v>63.102400000000003</v>
      </c>
      <c r="R60" s="1533">
        <v>139.21209999999999</v>
      </c>
      <c r="S60" s="1535">
        <v>158.4725</v>
      </c>
    </row>
    <row r="61" spans="1:19" ht="15" customHeight="1">
      <c r="A61" s="900" t="s">
        <v>1516</v>
      </c>
      <c r="B61" s="901" t="s">
        <v>1278</v>
      </c>
      <c r="C61" s="902">
        <v>94</v>
      </c>
      <c r="D61" s="903">
        <v>6880</v>
      </c>
      <c r="E61" s="904">
        <v>9.8333366000000009</v>
      </c>
      <c r="F61" s="905"/>
      <c r="G61" s="906">
        <v>0.42172319999999996</v>
      </c>
      <c r="H61" s="907">
        <v>0.34995600000000004</v>
      </c>
      <c r="I61" s="908" t="s">
        <v>1544</v>
      </c>
      <c r="J61" s="909">
        <v>0.32873520000000001</v>
      </c>
      <c r="K61" s="910" t="s">
        <v>1518</v>
      </c>
      <c r="L61" s="905"/>
      <c r="M61" s="1532">
        <v>75.216300000000004</v>
      </c>
      <c r="N61" s="1533">
        <v>90.641000000000005</v>
      </c>
      <c r="O61" s="1534">
        <v>96.492099999999994</v>
      </c>
      <c r="P61" s="1533">
        <v>82.982699999999994</v>
      </c>
      <c r="Q61" s="1534">
        <v>77.950699999999998</v>
      </c>
      <c r="R61" s="1533">
        <v>120.50709999999999</v>
      </c>
      <c r="S61" s="1535">
        <v>128.28620000000001</v>
      </c>
    </row>
    <row r="62" spans="1:19" ht="15" customHeight="1">
      <c r="A62" s="900" t="s">
        <v>1519</v>
      </c>
      <c r="B62" s="901" t="s">
        <v>1278</v>
      </c>
      <c r="C62" s="902">
        <v>95</v>
      </c>
      <c r="D62" s="903">
        <v>6867</v>
      </c>
      <c r="E62" s="904">
        <v>9.0093335000000003</v>
      </c>
      <c r="F62" s="905"/>
      <c r="G62" s="906">
        <v>0.38968799999999992</v>
      </c>
      <c r="H62" s="907">
        <v>0.3324048</v>
      </c>
      <c r="I62" s="908" t="s">
        <v>1545</v>
      </c>
      <c r="J62" s="909">
        <v>0.27965040000000002</v>
      </c>
      <c r="K62" s="910" t="s">
        <v>1521</v>
      </c>
      <c r="L62" s="905"/>
      <c r="M62" s="1532">
        <v>74.578500000000005</v>
      </c>
      <c r="N62" s="1533">
        <v>87.430800000000005</v>
      </c>
      <c r="O62" s="1534">
        <v>103.9243</v>
      </c>
      <c r="P62" s="1533">
        <v>85.3</v>
      </c>
      <c r="Q62" s="1534">
        <v>71.762299999999996</v>
      </c>
      <c r="R62" s="1533">
        <v>117.2332</v>
      </c>
      <c r="S62" s="1535">
        <v>139.34899999999999</v>
      </c>
    </row>
    <row r="63" spans="1:19" ht="15" customHeight="1">
      <c r="A63" s="900" t="s">
        <v>1522</v>
      </c>
      <c r="B63" s="901" t="s">
        <v>1278</v>
      </c>
      <c r="C63" s="902">
        <v>92</v>
      </c>
      <c r="D63" s="903">
        <v>6899</v>
      </c>
      <c r="E63" s="904">
        <v>10.560673300000001</v>
      </c>
      <c r="F63" s="905"/>
      <c r="G63" s="906">
        <v>0.5996496</v>
      </c>
      <c r="H63" s="907">
        <v>0.50500080000000003</v>
      </c>
      <c r="I63" s="908" t="s">
        <v>1539</v>
      </c>
      <c r="J63" s="909">
        <v>0.49502640000000003</v>
      </c>
      <c r="K63" s="910" t="s">
        <v>1523</v>
      </c>
      <c r="L63" s="905"/>
      <c r="M63" s="1532">
        <v>58.704700000000003</v>
      </c>
      <c r="N63" s="1533">
        <v>69.707499999999996</v>
      </c>
      <c r="O63" s="1534">
        <v>71.111900000000006</v>
      </c>
      <c r="P63" s="1533">
        <v>84.215900000000005</v>
      </c>
      <c r="Q63" s="1534">
        <v>82.552700000000002</v>
      </c>
      <c r="R63" s="1533">
        <v>118.7424</v>
      </c>
      <c r="S63" s="1535">
        <v>121.1348</v>
      </c>
    </row>
    <row r="64" spans="1:19" ht="15" customHeight="1">
      <c r="A64" s="900" t="s">
        <v>1524</v>
      </c>
      <c r="B64" s="901" t="s">
        <v>1278</v>
      </c>
      <c r="C64" s="902">
        <v>87</v>
      </c>
      <c r="D64" s="903">
        <v>6983</v>
      </c>
      <c r="E64" s="904">
        <v>21.152290799999999</v>
      </c>
      <c r="F64" s="905"/>
      <c r="G64" s="906">
        <v>1.351008</v>
      </c>
      <c r="H64" s="907">
        <v>1.2431592</v>
      </c>
      <c r="I64" s="908" t="s">
        <v>1525</v>
      </c>
      <c r="J64" s="909">
        <v>1.2431592</v>
      </c>
      <c r="K64" s="910" t="s">
        <v>1525</v>
      </c>
      <c r="L64" s="905"/>
      <c r="M64" s="1532">
        <v>50.505400000000002</v>
      </c>
      <c r="N64" s="1533">
        <v>54.886899999999997</v>
      </c>
      <c r="O64" s="1534">
        <v>54.886899999999997</v>
      </c>
      <c r="P64" s="1533">
        <v>92.017300000000006</v>
      </c>
      <c r="Q64" s="1534">
        <v>92.017300000000006</v>
      </c>
      <c r="R64" s="1533">
        <v>108.67529999999999</v>
      </c>
      <c r="S64" s="1535">
        <v>108.67529999999999</v>
      </c>
    </row>
    <row r="65" spans="1:19" ht="15" customHeight="1">
      <c r="A65" s="900" t="s">
        <v>1526</v>
      </c>
      <c r="B65" s="901" t="s">
        <v>1278</v>
      </c>
      <c r="C65" s="902">
        <v>110</v>
      </c>
      <c r="D65" s="903">
        <v>7070</v>
      </c>
      <c r="E65" s="904">
        <v>47.218458300000002</v>
      </c>
      <c r="F65" s="905"/>
      <c r="G65" s="906">
        <v>3.0579264000000004</v>
      </c>
      <c r="H65" s="907">
        <v>2.4172008000000003</v>
      </c>
      <c r="I65" s="908" t="s">
        <v>1527</v>
      </c>
      <c r="J65" s="909">
        <v>1.9429872000000001</v>
      </c>
      <c r="K65" s="910" t="s">
        <v>1528</v>
      </c>
      <c r="L65" s="905"/>
      <c r="M65" s="1532">
        <v>51.4711</v>
      </c>
      <c r="N65" s="1533">
        <v>65.114500000000007</v>
      </c>
      <c r="O65" s="1534">
        <v>81.006600000000006</v>
      </c>
      <c r="P65" s="1533">
        <v>79.0471</v>
      </c>
      <c r="Q65" s="1534">
        <v>63.539400000000001</v>
      </c>
      <c r="R65" s="1533">
        <v>126.5069</v>
      </c>
      <c r="S65" s="1535">
        <v>157.3827</v>
      </c>
    </row>
    <row r="66" spans="1:19" ht="15" customHeight="1" thickBot="1">
      <c r="A66" s="915" t="s">
        <v>1529</v>
      </c>
      <c r="B66" s="916" t="s">
        <v>1278</v>
      </c>
      <c r="C66" s="917">
        <v>108</v>
      </c>
      <c r="D66" s="1023">
        <v>7127</v>
      </c>
      <c r="E66" s="918">
        <v>79.483092499999998</v>
      </c>
      <c r="F66" s="905"/>
      <c r="G66" s="919">
        <v>4.1637143999999999</v>
      </c>
      <c r="H66" s="920">
        <v>3.8303783999999998</v>
      </c>
      <c r="I66" s="921" t="s">
        <v>1530</v>
      </c>
      <c r="J66" s="1024">
        <v>3.3460752000000005</v>
      </c>
      <c r="K66" s="922" t="s">
        <v>1531</v>
      </c>
      <c r="L66" s="905"/>
      <c r="M66" s="1536">
        <v>61.578899999999997</v>
      </c>
      <c r="N66" s="1537">
        <v>66.937799999999996</v>
      </c>
      <c r="O66" s="1538">
        <v>76.626199999999997</v>
      </c>
      <c r="P66" s="1537">
        <v>91.994299999999996</v>
      </c>
      <c r="Q66" s="1538">
        <v>80.362799999999993</v>
      </c>
      <c r="R66" s="1537">
        <v>108.7024</v>
      </c>
      <c r="S66" s="1539">
        <v>124.4358</v>
      </c>
    </row>
    <row r="67" spans="1:19">
      <c r="A67" s="927"/>
      <c r="B67" s="928"/>
      <c r="C67" s="928"/>
      <c r="D67" s="929"/>
      <c r="E67" s="930"/>
      <c r="F67" s="930"/>
      <c r="G67" s="931"/>
      <c r="H67" s="931"/>
      <c r="I67" s="932"/>
      <c r="J67" s="931"/>
      <c r="K67" s="932"/>
      <c r="L67" s="933"/>
      <c r="M67" s="934"/>
      <c r="N67" s="934"/>
      <c r="O67" s="934"/>
      <c r="P67" s="934"/>
      <c r="Q67" s="934"/>
      <c r="R67" s="934"/>
      <c r="S67" s="934"/>
    </row>
    <row r="68" spans="1:19">
      <c r="A68" s="935"/>
      <c r="B68" s="936"/>
      <c r="C68" s="936"/>
      <c r="D68" s="937"/>
      <c r="E68" s="905"/>
      <c r="F68" s="935"/>
      <c r="G68" s="938"/>
      <c r="H68" s="939"/>
      <c r="I68" s="939"/>
      <c r="J68" s="939"/>
      <c r="K68" s="940"/>
      <c r="L68" s="933"/>
      <c r="M68" s="934"/>
      <c r="N68" s="934"/>
      <c r="O68" s="934"/>
      <c r="P68" s="934"/>
      <c r="Q68" s="934"/>
      <c r="R68" s="934"/>
      <c r="S68" s="934"/>
    </row>
    <row r="69" spans="1:19">
      <c r="A69" s="935" t="s">
        <v>1273</v>
      </c>
      <c r="B69" s="936"/>
      <c r="C69" s="936"/>
      <c r="D69" s="937"/>
      <c r="E69" s="905"/>
      <c r="F69" s="935"/>
      <c r="G69" s="938"/>
      <c r="H69" s="939"/>
      <c r="I69" s="939"/>
      <c r="J69" s="939"/>
      <c r="K69" s="940"/>
      <c r="L69" s="933"/>
      <c r="M69" s="934"/>
      <c r="N69" s="934"/>
      <c r="O69" s="934"/>
      <c r="P69" s="934"/>
      <c r="Q69" s="934"/>
      <c r="R69" s="934"/>
      <c r="S69" s="934"/>
    </row>
    <row r="70" spans="1:19">
      <c r="A70" s="935" t="s">
        <v>1092</v>
      </c>
      <c r="B70" s="936"/>
      <c r="C70" s="936"/>
      <c r="D70" s="937"/>
      <c r="E70" s="905"/>
      <c r="F70" s="935"/>
      <c r="G70" s="938"/>
      <c r="H70" s="939"/>
      <c r="I70" s="939"/>
      <c r="J70" s="939"/>
      <c r="K70" s="940"/>
      <c r="L70" s="933"/>
      <c r="M70" s="934"/>
      <c r="N70" s="934"/>
      <c r="O70" s="934"/>
      <c r="P70" s="934"/>
      <c r="Q70" s="934"/>
      <c r="R70" s="934"/>
      <c r="S70" s="934"/>
    </row>
    <row r="71" spans="1:19">
      <c r="A71" s="935" t="s">
        <v>1274</v>
      </c>
      <c r="B71" s="936"/>
      <c r="C71" s="936"/>
      <c r="D71" s="937"/>
      <c r="E71" s="905"/>
      <c r="F71" s="935"/>
      <c r="G71" s="938"/>
      <c r="H71" s="939"/>
      <c r="I71" s="939"/>
      <c r="J71" s="939"/>
      <c r="K71" s="940"/>
      <c r="L71" s="933"/>
      <c r="M71" s="934"/>
      <c r="N71" s="934"/>
      <c r="O71" s="934"/>
      <c r="P71" s="934"/>
      <c r="Q71" s="934"/>
      <c r="R71" s="934"/>
      <c r="S71" s="934"/>
    </row>
    <row r="72" spans="1:19">
      <c r="A72" s="941" t="s">
        <v>1275</v>
      </c>
      <c r="B72" s="936"/>
      <c r="C72" s="936"/>
      <c r="D72" s="942"/>
      <c r="E72" s="942"/>
      <c r="F72" s="943"/>
      <c r="G72" s="944"/>
      <c r="H72" s="944"/>
      <c r="I72" s="944"/>
      <c r="J72" s="944"/>
      <c r="K72" s="944"/>
      <c r="L72" s="945"/>
      <c r="M72" s="945"/>
      <c r="N72" s="945"/>
      <c r="O72" s="945"/>
      <c r="P72" s="945"/>
      <c r="Q72" s="945"/>
      <c r="R72" s="945"/>
      <c r="S72" s="945"/>
    </row>
    <row r="73" spans="1:19">
      <c r="A73" s="77" t="s">
        <v>1276</v>
      </c>
    </row>
    <row r="75" spans="1:19">
      <c r="A75" s="195" t="str">
        <f>co_name</f>
        <v>DUKE ENERGY KENTUCKY, INC.</v>
      </c>
      <c r="B75" s="78"/>
      <c r="C75" s="79"/>
      <c r="D75" s="80"/>
      <c r="E75" s="80"/>
      <c r="F75" s="81"/>
      <c r="G75" s="80"/>
      <c r="H75" s="81"/>
      <c r="I75" s="82"/>
      <c r="J75" s="82"/>
      <c r="K75" s="91"/>
      <c r="L75" s="82"/>
      <c r="M75" s="91"/>
      <c r="O75" s="82"/>
      <c r="P75" s="77"/>
      <c r="Q75" s="198" t="str">
        <f>Q38</f>
        <v>WP FR-16(7)(v)</v>
      </c>
    </row>
    <row r="76" spans="1:19">
      <c r="A76" s="195" t="str">
        <f>coss_type</f>
        <v xml:space="preserve">GAS COST OF SERVICE STUDY </v>
      </c>
      <c r="B76" s="78"/>
      <c r="C76" s="79"/>
      <c r="D76" s="80"/>
      <c r="E76" s="80"/>
      <c r="F76" s="81"/>
      <c r="G76" s="80"/>
      <c r="H76" s="81"/>
      <c r="I76" s="82"/>
      <c r="J76" s="82"/>
      <c r="K76" s="91"/>
      <c r="L76" s="82"/>
      <c r="M76" s="91"/>
      <c r="O76" s="82"/>
      <c r="P76" s="77"/>
      <c r="Q76" s="198" t="str">
        <f>'Alloc Factors Summary'!G2</f>
        <v>Witness Responsible:</v>
      </c>
    </row>
    <row r="77" spans="1:19">
      <c r="A77" s="195" t="str">
        <f>case_name</f>
        <v>CASE NO: 2021-00190</v>
      </c>
      <c r="B77" s="78"/>
      <c r="C77" s="79"/>
      <c r="D77" s="80"/>
      <c r="E77" s="80"/>
      <c r="F77" s="81"/>
      <c r="G77" s="83"/>
      <c r="H77" s="81"/>
      <c r="I77" s="82"/>
      <c r="J77" s="82"/>
      <c r="K77" s="91"/>
      <c r="L77" s="82"/>
      <c r="M77" s="91"/>
      <c r="O77" s="82"/>
      <c r="P77" s="77"/>
      <c r="Q77" s="198" t="str">
        <f>'Alloc Factors Summary'!G3</f>
        <v>James E. Ziolkowski</v>
      </c>
    </row>
    <row r="78" spans="1:19">
      <c r="A78" s="10" t="str">
        <f>alloc_factors</f>
        <v>ALLOCATION FACTORS FOR COST OF SERVICE STUDY</v>
      </c>
      <c r="B78" s="78"/>
      <c r="C78" s="79"/>
      <c r="D78" s="80"/>
      <c r="E78" s="80"/>
      <c r="F78" s="81"/>
      <c r="G78" s="84"/>
      <c r="H78" s="84"/>
      <c r="I78" s="84"/>
      <c r="J78" s="84"/>
      <c r="K78" s="91"/>
      <c r="L78" s="82"/>
      <c r="M78" s="91"/>
      <c r="O78" s="82"/>
      <c r="P78" s="77"/>
      <c r="Q78" s="198" t="s">
        <v>1049</v>
      </c>
    </row>
    <row r="79" spans="1:19" ht="15.5">
      <c r="A79" s="10" t="str">
        <f>time_period</f>
        <v>TWELVE MONTHS ENDING DECEMBER 31, 2020</v>
      </c>
      <c r="B79" s="78"/>
      <c r="C79" s="79"/>
      <c r="D79" s="80"/>
      <c r="E79" s="80"/>
      <c r="F79" s="81"/>
      <c r="G79" s="86"/>
      <c r="H79" s="81"/>
      <c r="I79" s="82"/>
      <c r="J79" s="82"/>
      <c r="K79" s="91"/>
      <c r="L79" s="82"/>
      <c r="M79" s="82"/>
      <c r="N79" s="82"/>
      <c r="O79" s="82"/>
      <c r="P79" s="77"/>
      <c r="Q79" s="1277">
        <f ca="1">TODAY()</f>
        <v>44420</v>
      </c>
    </row>
    <row r="80" spans="1:19">
      <c r="A80" s="197" t="s">
        <v>827</v>
      </c>
      <c r="B80" s="78"/>
      <c r="C80" s="79"/>
      <c r="D80" s="80"/>
      <c r="E80" s="80"/>
      <c r="F80" s="81"/>
      <c r="G80" s="91"/>
      <c r="H80" s="81"/>
      <c r="I80" s="82"/>
      <c r="J80" s="82"/>
      <c r="K80" s="82"/>
      <c r="L80" s="82"/>
      <c r="M80" s="82"/>
      <c r="N80" s="82"/>
      <c r="O80" s="82"/>
      <c r="P80" s="77"/>
    </row>
    <row r="81" spans="1:19" ht="15.5">
      <c r="A81" s="197"/>
      <c r="B81" s="78"/>
      <c r="C81" s="79"/>
      <c r="D81" s="80"/>
      <c r="E81" s="80"/>
      <c r="F81" s="81"/>
      <c r="G81" s="86"/>
      <c r="H81" s="81"/>
      <c r="I81" s="82"/>
      <c r="J81" s="82"/>
      <c r="K81" s="82"/>
      <c r="L81" s="82"/>
      <c r="M81" s="82"/>
      <c r="N81" s="82"/>
      <c r="O81" s="82"/>
      <c r="P81" s="77"/>
    </row>
    <row r="82" spans="1:19" s="951" customFormat="1">
      <c r="A82" s="946" t="s">
        <v>1542</v>
      </c>
      <c r="B82" s="946"/>
      <c r="C82" s="946"/>
      <c r="D82" s="946"/>
      <c r="E82" s="946"/>
      <c r="F82" s="946"/>
      <c r="G82" s="946"/>
      <c r="H82" s="946"/>
      <c r="I82" s="946"/>
      <c r="J82" s="946"/>
      <c r="K82" s="946"/>
      <c r="L82" s="946"/>
      <c r="M82" s="946"/>
      <c r="N82" s="946"/>
      <c r="O82" s="946"/>
      <c r="P82" s="946"/>
      <c r="Q82" s="946"/>
      <c r="R82" s="946"/>
      <c r="S82" s="946"/>
    </row>
    <row r="83" spans="1:19" s="951" customFormat="1">
      <c r="A83" s="946" t="s">
        <v>1054</v>
      </c>
      <c r="B83" s="946"/>
      <c r="C83" s="946"/>
      <c r="D83" s="946"/>
      <c r="E83" s="946"/>
      <c r="F83" s="946"/>
      <c r="G83" s="946"/>
      <c r="H83" s="946"/>
      <c r="I83" s="946"/>
      <c r="J83" s="946"/>
      <c r="K83" s="946"/>
      <c r="L83" s="946"/>
      <c r="M83" s="946"/>
      <c r="N83" s="946"/>
      <c r="O83" s="946"/>
      <c r="P83" s="946"/>
      <c r="Q83" s="946"/>
      <c r="R83" s="946"/>
      <c r="S83" s="946"/>
    </row>
    <row r="84" spans="1:19" s="951" customFormat="1" ht="13.15" customHeight="1">
      <c r="A84" s="946"/>
      <c r="B84" s="946"/>
      <c r="C84" s="946"/>
      <c r="D84" s="946"/>
      <c r="E84" s="946"/>
      <c r="F84" s="946"/>
      <c r="G84" s="946"/>
      <c r="H84" s="946"/>
      <c r="I84" s="946"/>
      <c r="J84" s="946"/>
      <c r="K84" s="946"/>
      <c r="L84" s="946"/>
      <c r="M84" s="946"/>
      <c r="N84" s="946"/>
      <c r="O84" s="946"/>
      <c r="P84" s="946"/>
      <c r="Q84" s="946"/>
      <c r="R84" s="946"/>
      <c r="S84" s="946"/>
    </row>
    <row r="85" spans="1:19" s="951" customFormat="1" ht="18" customHeight="1">
      <c r="A85" s="950" t="s">
        <v>1279</v>
      </c>
      <c r="B85" s="946"/>
      <c r="C85" s="946"/>
      <c r="D85" s="946"/>
      <c r="E85" s="946"/>
      <c r="F85" s="946"/>
      <c r="G85" s="946"/>
      <c r="H85" s="946"/>
      <c r="I85" s="946"/>
      <c r="J85" s="946"/>
      <c r="K85" s="946"/>
      <c r="L85" s="946"/>
      <c r="M85" s="946"/>
      <c r="N85" s="946"/>
      <c r="O85" s="946"/>
      <c r="P85" s="946"/>
      <c r="Q85" s="946"/>
      <c r="R85" s="946"/>
      <c r="S85" s="946"/>
    </row>
    <row r="86" spans="1:19" s="951" customFormat="1">
      <c r="A86" s="947"/>
      <c r="B86" s="947"/>
      <c r="C86" s="947"/>
      <c r="D86" s="947"/>
      <c r="E86" s="947"/>
      <c r="F86" s="947"/>
      <c r="G86" s="947"/>
      <c r="H86" s="947"/>
      <c r="I86" s="947"/>
      <c r="J86" s="947"/>
      <c r="K86" s="947"/>
      <c r="L86" s="947"/>
      <c r="M86" s="947"/>
      <c r="N86" s="947"/>
      <c r="O86" s="947"/>
      <c r="P86" s="947"/>
      <c r="Q86" s="947"/>
      <c r="R86" s="947"/>
      <c r="S86" s="947"/>
    </row>
    <row r="87" spans="1:19" s="951" customFormat="1" thickBot="1">
      <c r="A87" s="866" t="s">
        <v>1056</v>
      </c>
      <c r="B87" s="866" t="s">
        <v>1057</v>
      </c>
      <c r="C87" s="866" t="s">
        <v>1058</v>
      </c>
      <c r="D87" s="866" t="s">
        <v>1059</v>
      </c>
      <c r="E87" s="866" t="s">
        <v>1060</v>
      </c>
      <c r="F87" s="866"/>
      <c r="G87" s="866" t="s">
        <v>1061</v>
      </c>
      <c r="H87" s="866" t="s">
        <v>1062</v>
      </c>
      <c r="I87" s="866" t="s">
        <v>1063</v>
      </c>
      <c r="J87" s="866" t="s">
        <v>1064</v>
      </c>
      <c r="K87" s="866" t="s">
        <v>1065</v>
      </c>
      <c r="L87" s="866"/>
      <c r="M87" s="866" t="s">
        <v>1066</v>
      </c>
      <c r="N87" s="866" t="s">
        <v>1067</v>
      </c>
      <c r="O87" s="866" t="s">
        <v>1068</v>
      </c>
      <c r="P87" s="866" t="s">
        <v>1069</v>
      </c>
      <c r="Q87" s="866" t="s">
        <v>1070</v>
      </c>
      <c r="R87" s="866" t="s">
        <v>1071</v>
      </c>
      <c r="S87" s="866" t="s">
        <v>1072</v>
      </c>
    </row>
    <row r="88" spans="1:19" s="951" customFormat="1" ht="26">
      <c r="A88" s="948" t="s">
        <v>1280</v>
      </c>
      <c r="B88" s="949"/>
      <c r="C88" s="867" t="s">
        <v>1073</v>
      </c>
      <c r="D88" s="867" t="s">
        <v>1074</v>
      </c>
      <c r="E88" s="868" t="s">
        <v>621</v>
      </c>
      <c r="F88" s="869"/>
      <c r="G88" s="870" t="s">
        <v>1075</v>
      </c>
      <c r="H88" s="871" t="s">
        <v>1076</v>
      </c>
      <c r="I88" s="872" t="s">
        <v>477</v>
      </c>
      <c r="J88" s="871" t="s">
        <v>1076</v>
      </c>
      <c r="K88" s="873" t="s">
        <v>1077</v>
      </c>
      <c r="L88" s="869"/>
      <c r="M88" s="870" t="s">
        <v>1078</v>
      </c>
      <c r="N88" s="871" t="s">
        <v>1078</v>
      </c>
      <c r="O88" s="872" t="s">
        <v>1078</v>
      </c>
      <c r="P88" s="871" t="s">
        <v>1079</v>
      </c>
      <c r="Q88" s="872" t="s">
        <v>1079</v>
      </c>
      <c r="R88" s="871" t="s">
        <v>1080</v>
      </c>
      <c r="S88" s="873" t="s">
        <v>1080</v>
      </c>
    </row>
    <row r="89" spans="1:19" ht="26">
      <c r="A89" s="874"/>
      <c r="B89" s="875"/>
      <c r="C89" s="876" t="s">
        <v>954</v>
      </c>
      <c r="D89" s="876" t="s">
        <v>1081</v>
      </c>
      <c r="E89" s="877" t="s">
        <v>1082</v>
      </c>
      <c r="F89" s="869"/>
      <c r="G89" s="878" t="s">
        <v>1044</v>
      </c>
      <c r="H89" s="879" t="s">
        <v>1044</v>
      </c>
      <c r="I89" s="880" t="s">
        <v>1083</v>
      </c>
      <c r="J89" s="879" t="s">
        <v>1044</v>
      </c>
      <c r="K89" s="881" t="s">
        <v>1083</v>
      </c>
      <c r="L89" s="869"/>
      <c r="M89" s="878" t="s">
        <v>641</v>
      </c>
      <c r="N89" s="879" t="s">
        <v>1084</v>
      </c>
      <c r="O89" s="880" t="s">
        <v>1084</v>
      </c>
      <c r="P89" s="879" t="s">
        <v>642</v>
      </c>
      <c r="Q89" s="880" t="s">
        <v>642</v>
      </c>
      <c r="R89" s="879" t="s">
        <v>642</v>
      </c>
      <c r="S89" s="881" t="s">
        <v>642</v>
      </c>
    </row>
    <row r="90" spans="1:19" ht="37.5">
      <c r="A90" s="882"/>
      <c r="B90" s="875"/>
      <c r="C90" s="883" t="s">
        <v>1085</v>
      </c>
      <c r="D90" s="883"/>
      <c r="E90" s="884" t="s">
        <v>1086</v>
      </c>
      <c r="F90" s="885"/>
      <c r="G90" s="886"/>
      <c r="H90" s="887" t="s">
        <v>1087</v>
      </c>
      <c r="I90" s="888"/>
      <c r="J90" s="887" t="s">
        <v>1088</v>
      </c>
      <c r="K90" s="889"/>
      <c r="L90" s="885"/>
      <c r="M90" s="878"/>
      <c r="N90" s="887" t="s">
        <v>1087</v>
      </c>
      <c r="O90" s="890" t="s">
        <v>1088</v>
      </c>
      <c r="P90" s="887" t="s">
        <v>1087</v>
      </c>
      <c r="Q90" s="890" t="s">
        <v>1088</v>
      </c>
      <c r="R90" s="887" t="s">
        <v>1087</v>
      </c>
      <c r="S90" s="891" t="s">
        <v>1088</v>
      </c>
    </row>
    <row r="91" spans="1:19" ht="26.5" thickBot="1">
      <c r="A91" s="892" t="s">
        <v>1089</v>
      </c>
      <c r="B91" s="893" t="s">
        <v>972</v>
      </c>
      <c r="C91" s="894" t="s">
        <v>1094</v>
      </c>
      <c r="D91" s="894"/>
      <c r="E91" s="895" t="s">
        <v>1090</v>
      </c>
      <c r="F91" s="869"/>
      <c r="G91" s="896" t="s">
        <v>1091</v>
      </c>
      <c r="H91" s="897" t="s">
        <v>1091</v>
      </c>
      <c r="I91" s="898"/>
      <c r="J91" s="897" t="s">
        <v>1091</v>
      </c>
      <c r="K91" s="899"/>
      <c r="L91" s="869"/>
      <c r="M91" s="896"/>
      <c r="N91" s="897"/>
      <c r="O91" s="898"/>
      <c r="P91" s="897"/>
      <c r="Q91" s="898"/>
      <c r="R91" s="897"/>
      <c r="S91" s="899"/>
    </row>
    <row r="92" spans="1:19" ht="15" customHeight="1">
      <c r="A92" s="900" t="s">
        <v>1501</v>
      </c>
      <c r="B92" s="901" t="s">
        <v>1281</v>
      </c>
      <c r="C92" s="902"/>
      <c r="D92" s="903">
        <v>95</v>
      </c>
      <c r="E92" s="904">
        <v>3101.3368421</v>
      </c>
      <c r="F92" s="905"/>
      <c r="G92" s="906">
        <v>142.45263120000001</v>
      </c>
      <c r="H92" s="907">
        <v>128.021052</v>
      </c>
      <c r="I92" s="908" t="s">
        <v>1532</v>
      </c>
      <c r="J92" s="909">
        <v>120.23157839999999</v>
      </c>
      <c r="K92" s="910" t="s">
        <v>1502</v>
      </c>
      <c r="L92" s="905"/>
      <c r="M92" s="1532">
        <v>70.228999999999999</v>
      </c>
      <c r="N92" s="1533">
        <v>78.145799999999994</v>
      </c>
      <c r="O92" s="1534">
        <v>83.208699999999993</v>
      </c>
      <c r="P92" s="1533">
        <v>89.869200000000006</v>
      </c>
      <c r="Q92" s="1534">
        <v>84.4011</v>
      </c>
      <c r="R92" s="1533">
        <v>111.2728</v>
      </c>
      <c r="S92" s="1535">
        <v>118.4819</v>
      </c>
    </row>
    <row r="93" spans="1:19" ht="15" customHeight="1">
      <c r="A93" s="900" t="s">
        <v>1503</v>
      </c>
      <c r="B93" s="901" t="s">
        <v>1281</v>
      </c>
      <c r="C93" s="902"/>
      <c r="D93" s="903">
        <v>95</v>
      </c>
      <c r="E93" s="904">
        <v>2997.1052632000001</v>
      </c>
      <c r="F93" s="905"/>
      <c r="G93" s="906">
        <v>140.70526319999999</v>
      </c>
      <c r="H93" s="907">
        <v>127.17894720000001</v>
      </c>
      <c r="I93" s="908" t="s">
        <v>1533</v>
      </c>
      <c r="J93" s="909">
        <v>126.47368319999998</v>
      </c>
      <c r="K93" s="910" t="s">
        <v>1504</v>
      </c>
      <c r="L93" s="905"/>
      <c r="M93" s="1532">
        <v>73.450299999999999</v>
      </c>
      <c r="N93" s="1533">
        <v>81.262200000000007</v>
      </c>
      <c r="O93" s="1534">
        <v>81.715400000000002</v>
      </c>
      <c r="P93" s="1533">
        <v>90.386799999999994</v>
      </c>
      <c r="Q93" s="1534">
        <v>89.885499999999993</v>
      </c>
      <c r="R93" s="1533">
        <v>110.6357</v>
      </c>
      <c r="S93" s="1535">
        <v>111.2526</v>
      </c>
    </row>
    <row r="94" spans="1:19" ht="15" customHeight="1">
      <c r="A94" s="900" t="s">
        <v>1505</v>
      </c>
      <c r="B94" s="901" t="s">
        <v>1281</v>
      </c>
      <c r="C94" s="902"/>
      <c r="D94" s="903">
        <v>96</v>
      </c>
      <c r="E94" s="904">
        <v>2411.6041667</v>
      </c>
      <c r="F94" s="905"/>
      <c r="G94" s="906">
        <v>119.18749920000002</v>
      </c>
      <c r="H94" s="907">
        <v>104.66666640000001</v>
      </c>
      <c r="I94" s="908" t="s">
        <v>1507</v>
      </c>
      <c r="J94" s="909">
        <v>104.66666640000001</v>
      </c>
      <c r="K94" s="910" t="s">
        <v>1507</v>
      </c>
      <c r="L94" s="905"/>
      <c r="M94" s="1532">
        <v>65.27</v>
      </c>
      <c r="N94" s="1533">
        <v>74.325199999999995</v>
      </c>
      <c r="O94" s="1534">
        <v>74.325199999999995</v>
      </c>
      <c r="P94" s="1533">
        <v>87.816800000000001</v>
      </c>
      <c r="Q94" s="1534">
        <v>87.816800000000001</v>
      </c>
      <c r="R94" s="1533">
        <v>113.8734</v>
      </c>
      <c r="S94" s="1535">
        <v>113.8734</v>
      </c>
    </row>
    <row r="95" spans="1:19" ht="15" customHeight="1">
      <c r="A95" s="900" t="s">
        <v>1508</v>
      </c>
      <c r="B95" s="901" t="s">
        <v>1281</v>
      </c>
      <c r="C95" s="902"/>
      <c r="D95" s="903">
        <v>96</v>
      </c>
      <c r="E95" s="904">
        <v>1702.9166667</v>
      </c>
      <c r="F95" s="905"/>
      <c r="G95" s="906">
        <v>92.260416000000006</v>
      </c>
      <c r="H95" s="907">
        <v>80.312500800000009</v>
      </c>
      <c r="I95" s="908" t="s">
        <v>1509</v>
      </c>
      <c r="J95" s="909">
        <v>80.312500800000009</v>
      </c>
      <c r="K95" s="910" t="s">
        <v>1509</v>
      </c>
      <c r="L95" s="905"/>
      <c r="M95" s="1532">
        <v>61.525700000000001</v>
      </c>
      <c r="N95" s="1533">
        <v>70.678799999999995</v>
      </c>
      <c r="O95" s="1534">
        <v>70.678799999999995</v>
      </c>
      <c r="P95" s="1533">
        <v>87.049800000000005</v>
      </c>
      <c r="Q95" s="1534">
        <v>87.049800000000005</v>
      </c>
      <c r="R95" s="1533">
        <v>114.8768</v>
      </c>
      <c r="S95" s="1535">
        <v>114.8768</v>
      </c>
    </row>
    <row r="96" spans="1:19" ht="15" customHeight="1">
      <c r="A96" s="900" t="s">
        <v>1510</v>
      </c>
      <c r="B96" s="901" t="s">
        <v>1281</v>
      </c>
      <c r="C96" s="902"/>
      <c r="D96" s="903">
        <v>97</v>
      </c>
      <c r="E96" s="904">
        <v>1374.9484536</v>
      </c>
      <c r="F96" s="905"/>
      <c r="G96" s="906">
        <v>78.484535999999991</v>
      </c>
      <c r="H96" s="907">
        <v>70.65979440000001</v>
      </c>
      <c r="I96" s="908" t="s">
        <v>1512</v>
      </c>
      <c r="J96" s="909">
        <v>70.65979440000001</v>
      </c>
      <c r="K96" s="910" t="s">
        <v>1512</v>
      </c>
      <c r="L96" s="905"/>
      <c r="M96" s="1532">
        <v>56.512</v>
      </c>
      <c r="N96" s="1533">
        <v>62.77</v>
      </c>
      <c r="O96" s="1534">
        <v>62.77</v>
      </c>
      <c r="P96" s="1533">
        <v>90.030199999999994</v>
      </c>
      <c r="Q96" s="1534">
        <v>90.030199999999994</v>
      </c>
      <c r="R96" s="1533">
        <v>111.07380000000001</v>
      </c>
      <c r="S96" s="1535">
        <v>111.07380000000001</v>
      </c>
    </row>
    <row r="97" spans="1:19" ht="15" customHeight="1">
      <c r="A97" s="900" t="s">
        <v>1513</v>
      </c>
      <c r="B97" s="901" t="s">
        <v>1281</v>
      </c>
      <c r="C97" s="902"/>
      <c r="D97" s="903">
        <v>97</v>
      </c>
      <c r="E97" s="904">
        <v>1182.1237113000002</v>
      </c>
      <c r="F97" s="905"/>
      <c r="G97" s="906">
        <v>58.824741600000003</v>
      </c>
      <c r="H97" s="907">
        <v>46.268042399999999</v>
      </c>
      <c r="I97" s="908" t="s">
        <v>1546</v>
      </c>
      <c r="J97" s="909">
        <v>45.360825599999998</v>
      </c>
      <c r="K97" s="910" t="s">
        <v>1515</v>
      </c>
      <c r="L97" s="905"/>
      <c r="M97" s="1532">
        <v>66.985600000000005</v>
      </c>
      <c r="N97" s="1533">
        <v>85.164900000000003</v>
      </c>
      <c r="O97" s="1534">
        <v>86.868200000000002</v>
      </c>
      <c r="P97" s="1533">
        <v>78.653999999999996</v>
      </c>
      <c r="Q97" s="1534">
        <v>77.111800000000002</v>
      </c>
      <c r="R97" s="1533">
        <v>127.139</v>
      </c>
      <c r="S97" s="1535">
        <v>129.68180000000001</v>
      </c>
    </row>
    <row r="98" spans="1:19" ht="15" customHeight="1">
      <c r="A98" s="900" t="s">
        <v>1516</v>
      </c>
      <c r="B98" s="901" t="s">
        <v>1281</v>
      </c>
      <c r="C98" s="902"/>
      <c r="D98" s="903">
        <v>97</v>
      </c>
      <c r="E98" s="904">
        <v>1121.5154639</v>
      </c>
      <c r="F98" s="905"/>
      <c r="G98" s="906">
        <v>50.690721600000003</v>
      </c>
      <c r="H98" s="907">
        <v>43.268042399999999</v>
      </c>
      <c r="I98" s="908" t="s">
        <v>1547</v>
      </c>
      <c r="J98" s="909">
        <v>40.835051999999997</v>
      </c>
      <c r="K98" s="910" t="s">
        <v>1518</v>
      </c>
      <c r="L98" s="905"/>
      <c r="M98" s="1532">
        <v>71.369900000000001</v>
      </c>
      <c r="N98" s="1533">
        <v>83.613500000000002</v>
      </c>
      <c r="O98" s="1534">
        <v>88.595299999999995</v>
      </c>
      <c r="P98" s="1533">
        <v>85.356899999999996</v>
      </c>
      <c r="Q98" s="1534">
        <v>80.557299999999998</v>
      </c>
      <c r="R98" s="1533">
        <v>117.1551</v>
      </c>
      <c r="S98" s="1535">
        <v>124.1353</v>
      </c>
    </row>
    <row r="99" spans="1:19" ht="15" customHeight="1">
      <c r="A99" s="900" t="s">
        <v>1519</v>
      </c>
      <c r="B99" s="901" t="s">
        <v>1281</v>
      </c>
      <c r="C99" s="902"/>
      <c r="D99" s="903">
        <v>97</v>
      </c>
      <c r="E99" s="904">
        <v>1157.0721649</v>
      </c>
      <c r="F99" s="905"/>
      <c r="G99" s="906">
        <v>54.237112799999998</v>
      </c>
      <c r="H99" s="907">
        <v>46.938144000000001</v>
      </c>
      <c r="I99" s="908" t="s">
        <v>1548</v>
      </c>
      <c r="J99" s="909">
        <v>42.948453600000001</v>
      </c>
      <c r="K99" s="910" t="s">
        <v>1521</v>
      </c>
      <c r="L99" s="905"/>
      <c r="M99" s="1532">
        <v>68.817999999999998</v>
      </c>
      <c r="N99" s="1533">
        <v>79.519400000000005</v>
      </c>
      <c r="O99" s="1534">
        <v>86.906300000000002</v>
      </c>
      <c r="P99" s="1533">
        <v>86.542500000000004</v>
      </c>
      <c r="Q99" s="1534">
        <v>79.186499999999995</v>
      </c>
      <c r="R99" s="1533">
        <v>115.5502</v>
      </c>
      <c r="S99" s="1535">
        <v>126.2842</v>
      </c>
    </row>
    <row r="100" spans="1:19" ht="15" customHeight="1">
      <c r="A100" s="900" t="s">
        <v>1522</v>
      </c>
      <c r="B100" s="901" t="s">
        <v>1281</v>
      </c>
      <c r="C100" s="902"/>
      <c r="D100" s="903">
        <v>97</v>
      </c>
      <c r="E100" s="904">
        <v>1264.5257732</v>
      </c>
      <c r="F100" s="905"/>
      <c r="G100" s="906">
        <v>65.721650399999987</v>
      </c>
      <c r="H100" s="907">
        <v>52.896907200000001</v>
      </c>
      <c r="I100" s="908" t="s">
        <v>1549</v>
      </c>
      <c r="J100" s="909">
        <v>52.752578400000004</v>
      </c>
      <c r="K100" s="910" t="s">
        <v>1523</v>
      </c>
      <c r="L100" s="905"/>
      <c r="M100" s="1532">
        <v>64.135400000000004</v>
      </c>
      <c r="N100" s="1533">
        <v>79.684899999999999</v>
      </c>
      <c r="O100" s="1534">
        <v>79.902900000000002</v>
      </c>
      <c r="P100" s="1533">
        <v>80.4863</v>
      </c>
      <c r="Q100" s="1534">
        <v>80.2667</v>
      </c>
      <c r="R100" s="1533">
        <v>124.2448</v>
      </c>
      <c r="S100" s="1535">
        <v>124.5847</v>
      </c>
    </row>
    <row r="101" spans="1:19" ht="15" customHeight="1">
      <c r="A101" s="900" t="s">
        <v>1524</v>
      </c>
      <c r="B101" s="901" t="s">
        <v>1281</v>
      </c>
      <c r="C101" s="902"/>
      <c r="D101" s="903">
        <v>97</v>
      </c>
      <c r="E101" s="904">
        <v>1652.7113402</v>
      </c>
      <c r="F101" s="905"/>
      <c r="G101" s="906">
        <v>86.6701032</v>
      </c>
      <c r="H101" s="907">
        <v>73.731957600000001</v>
      </c>
      <c r="I101" s="908" t="s">
        <v>1550</v>
      </c>
      <c r="J101" s="909">
        <v>71.371135199999998</v>
      </c>
      <c r="K101" s="910" t="s">
        <v>1525</v>
      </c>
      <c r="L101" s="905"/>
      <c r="M101" s="1532">
        <v>61.512900000000002</v>
      </c>
      <c r="N101" s="1533">
        <v>72.306899999999999</v>
      </c>
      <c r="O101" s="1534">
        <v>74.698599999999999</v>
      </c>
      <c r="P101" s="1533">
        <v>85.072000000000003</v>
      </c>
      <c r="Q101" s="1534">
        <v>82.347999999999999</v>
      </c>
      <c r="R101" s="1533">
        <v>117.5475</v>
      </c>
      <c r="S101" s="1535">
        <v>121.4358</v>
      </c>
    </row>
    <row r="102" spans="1:19" ht="15" customHeight="1">
      <c r="A102" s="900" t="s">
        <v>1526</v>
      </c>
      <c r="B102" s="901" t="s">
        <v>1281</v>
      </c>
      <c r="C102" s="902"/>
      <c r="D102" s="903">
        <v>97</v>
      </c>
      <c r="E102" s="904">
        <v>1946.2886598</v>
      </c>
      <c r="F102" s="905"/>
      <c r="G102" s="906">
        <v>108.876288</v>
      </c>
      <c r="H102" s="907">
        <v>99.855669599999999</v>
      </c>
      <c r="I102" s="908" t="s">
        <v>1528</v>
      </c>
      <c r="J102" s="909">
        <v>99.855669599999999</v>
      </c>
      <c r="K102" s="910" t="s">
        <v>1528</v>
      </c>
      <c r="L102" s="905"/>
      <c r="M102" s="1532">
        <v>59.587200000000003</v>
      </c>
      <c r="N102" s="1533">
        <v>64.970100000000002</v>
      </c>
      <c r="O102" s="1534">
        <v>64.970100000000002</v>
      </c>
      <c r="P102" s="1533">
        <v>91.714799999999997</v>
      </c>
      <c r="Q102" s="1534">
        <v>91.714799999999997</v>
      </c>
      <c r="R102" s="1533">
        <v>109.0337</v>
      </c>
      <c r="S102" s="1535">
        <v>109.0337</v>
      </c>
    </row>
    <row r="103" spans="1:19" ht="15" customHeight="1" thickBot="1">
      <c r="A103" s="915" t="s">
        <v>1529</v>
      </c>
      <c r="B103" s="916" t="s">
        <v>1281</v>
      </c>
      <c r="C103" s="917"/>
      <c r="D103" s="1023">
        <v>98</v>
      </c>
      <c r="E103" s="918">
        <v>2817.5510203999997</v>
      </c>
      <c r="F103" s="905"/>
      <c r="G103" s="919">
        <v>131.3571432</v>
      </c>
      <c r="H103" s="920">
        <v>108.58163279999999</v>
      </c>
      <c r="I103" s="921" t="s">
        <v>1551</v>
      </c>
      <c r="J103" s="1024">
        <v>85.163265600000003</v>
      </c>
      <c r="K103" s="922" t="s">
        <v>1531</v>
      </c>
      <c r="L103" s="905"/>
      <c r="M103" s="1536">
        <v>69.192099999999996</v>
      </c>
      <c r="N103" s="1537">
        <v>83.705399999999997</v>
      </c>
      <c r="O103" s="1538">
        <v>106.7229</v>
      </c>
      <c r="P103" s="1537">
        <v>82.6614</v>
      </c>
      <c r="Q103" s="1538">
        <v>64.833399999999997</v>
      </c>
      <c r="R103" s="1537">
        <v>120.9755</v>
      </c>
      <c r="S103" s="1539">
        <v>154.24160000000001</v>
      </c>
    </row>
    <row r="104" spans="1:19">
      <c r="A104" s="927"/>
      <c r="B104" s="928"/>
      <c r="C104" s="928"/>
      <c r="D104" s="929"/>
      <c r="E104" s="930"/>
      <c r="F104" s="930"/>
      <c r="G104" s="931"/>
      <c r="H104" s="931"/>
      <c r="I104" s="932"/>
      <c r="J104" s="931"/>
      <c r="K104" s="932"/>
      <c r="L104" s="933"/>
      <c r="M104" s="934"/>
      <c r="N104" s="934"/>
      <c r="O104" s="934"/>
      <c r="P104" s="934"/>
      <c r="Q104" s="934"/>
      <c r="R104" s="934"/>
      <c r="S104" s="934"/>
    </row>
    <row r="105" spans="1:19">
      <c r="A105" s="935"/>
      <c r="B105" s="936"/>
      <c r="C105" s="936"/>
      <c r="D105" s="937"/>
      <c r="E105" s="905"/>
      <c r="F105" s="935"/>
      <c r="G105" s="938"/>
      <c r="H105" s="939"/>
      <c r="I105" s="939"/>
      <c r="J105" s="939"/>
      <c r="K105" s="940"/>
      <c r="L105" s="933"/>
      <c r="M105" s="934"/>
      <c r="N105" s="934"/>
      <c r="O105" s="934"/>
      <c r="P105" s="934"/>
      <c r="Q105" s="934"/>
      <c r="R105" s="934"/>
      <c r="S105" s="934"/>
    </row>
    <row r="106" spans="1:19">
      <c r="A106" s="935" t="s">
        <v>1273</v>
      </c>
      <c r="B106" s="936"/>
      <c r="C106" s="936"/>
      <c r="D106" s="937"/>
      <c r="E106" s="905"/>
      <c r="F106" s="935"/>
      <c r="G106" s="938"/>
      <c r="H106" s="939"/>
      <c r="I106" s="939"/>
      <c r="J106" s="939"/>
      <c r="K106" s="940"/>
      <c r="L106" s="933"/>
      <c r="M106" s="934"/>
      <c r="N106" s="934"/>
      <c r="O106" s="934"/>
      <c r="P106" s="934"/>
      <c r="Q106" s="934"/>
      <c r="R106" s="934"/>
      <c r="S106" s="934"/>
    </row>
    <row r="107" spans="1:19">
      <c r="A107" s="935" t="s">
        <v>1092</v>
      </c>
      <c r="B107" s="936"/>
      <c r="C107" s="936"/>
      <c r="D107" s="937"/>
      <c r="E107" s="905"/>
      <c r="F107" s="935"/>
      <c r="G107" s="938"/>
      <c r="H107" s="939"/>
      <c r="I107" s="939"/>
      <c r="J107" s="939"/>
      <c r="K107" s="940"/>
      <c r="L107" s="933"/>
      <c r="M107" s="934"/>
      <c r="N107" s="934"/>
      <c r="O107" s="934"/>
      <c r="P107" s="934"/>
      <c r="Q107" s="934"/>
      <c r="R107" s="934"/>
      <c r="S107" s="934"/>
    </row>
    <row r="108" spans="1:19">
      <c r="A108" s="935" t="s">
        <v>1274</v>
      </c>
      <c r="B108" s="936"/>
      <c r="C108" s="936"/>
      <c r="D108" s="937"/>
      <c r="E108" s="905"/>
      <c r="F108" s="935"/>
      <c r="G108" s="938"/>
      <c r="H108" s="939"/>
      <c r="I108" s="939"/>
      <c r="J108" s="939"/>
      <c r="K108" s="940"/>
      <c r="L108" s="933"/>
      <c r="M108" s="934"/>
      <c r="N108" s="934"/>
      <c r="O108" s="934"/>
      <c r="P108" s="934"/>
      <c r="Q108" s="934"/>
      <c r="R108" s="934"/>
      <c r="S108" s="934"/>
    </row>
    <row r="109" spans="1:19">
      <c r="A109" s="941" t="s">
        <v>1275</v>
      </c>
      <c r="B109" s="936"/>
      <c r="C109" s="936"/>
      <c r="D109" s="942"/>
      <c r="E109" s="942"/>
      <c r="F109" s="943"/>
      <c r="G109" s="944"/>
      <c r="H109" s="944"/>
      <c r="I109" s="944"/>
      <c r="J109" s="944"/>
      <c r="K109" s="944"/>
      <c r="L109" s="945"/>
      <c r="M109" s="945"/>
      <c r="N109" s="945"/>
      <c r="O109" s="945"/>
      <c r="P109" s="945"/>
      <c r="Q109" s="945"/>
      <c r="R109" s="945"/>
      <c r="S109" s="945"/>
    </row>
    <row r="110" spans="1:19">
      <c r="A110" s="77" t="s">
        <v>1276</v>
      </c>
    </row>
    <row r="112" spans="1:19">
      <c r="A112" s="195" t="str">
        <f>co_name</f>
        <v>DUKE ENERGY KENTUCKY, INC.</v>
      </c>
      <c r="B112" s="78"/>
      <c r="C112" s="79"/>
      <c r="D112" s="80"/>
      <c r="E112" s="80"/>
      <c r="F112" s="81"/>
      <c r="G112" s="80"/>
      <c r="H112" s="81"/>
      <c r="I112" s="82"/>
      <c r="J112" s="82"/>
      <c r="K112" s="91"/>
      <c r="L112" s="82"/>
      <c r="O112" s="82"/>
      <c r="P112" s="77"/>
      <c r="Q112" s="198" t="str">
        <f>Q75</f>
        <v>WP FR-16(7)(v)</v>
      </c>
    </row>
    <row r="113" spans="1:20">
      <c r="A113" s="195" t="str">
        <f>coss_type</f>
        <v xml:space="preserve">GAS COST OF SERVICE STUDY </v>
      </c>
      <c r="B113" s="78"/>
      <c r="C113" s="79"/>
      <c r="D113" s="80"/>
      <c r="E113" s="80"/>
      <c r="F113" s="81"/>
      <c r="G113" s="80"/>
      <c r="H113" s="81"/>
      <c r="I113" s="82"/>
      <c r="J113" s="82"/>
      <c r="K113" s="91"/>
      <c r="L113" s="82"/>
      <c r="O113" s="82"/>
      <c r="P113" s="77"/>
      <c r="Q113" s="198" t="str">
        <f>'Alloc Factors Summary'!G2</f>
        <v>Witness Responsible:</v>
      </c>
    </row>
    <row r="114" spans="1:20">
      <c r="A114" s="195" t="str">
        <f>case_name</f>
        <v>CASE NO: 2021-00190</v>
      </c>
      <c r="B114" s="78"/>
      <c r="C114" s="79"/>
      <c r="D114" s="80"/>
      <c r="E114" s="80"/>
      <c r="F114" s="81"/>
      <c r="G114" s="83"/>
      <c r="H114" s="81"/>
      <c r="I114" s="82"/>
      <c r="J114" s="82"/>
      <c r="K114" s="91"/>
      <c r="L114" s="82"/>
      <c r="O114" s="82"/>
      <c r="P114" s="77"/>
      <c r="Q114" s="198" t="str">
        <f>'Alloc Factors Summary'!G3</f>
        <v>James E. Ziolkowski</v>
      </c>
    </row>
    <row r="115" spans="1:20">
      <c r="A115" s="10" t="str">
        <f>alloc_factors</f>
        <v>ALLOCATION FACTORS FOR COST OF SERVICE STUDY</v>
      </c>
      <c r="B115" s="78"/>
      <c r="C115" s="79"/>
      <c r="D115" s="80"/>
      <c r="E115" s="80"/>
      <c r="F115" s="81"/>
      <c r="G115" s="84"/>
      <c r="H115" s="81"/>
      <c r="I115" s="82"/>
      <c r="J115" s="82"/>
      <c r="K115" s="91"/>
      <c r="L115" s="82"/>
      <c r="O115" s="82"/>
      <c r="P115" s="77"/>
      <c r="Q115" s="198" t="s">
        <v>1050</v>
      </c>
    </row>
    <row r="116" spans="1:20" ht="15.5">
      <c r="A116" s="10" t="str">
        <f>time_period</f>
        <v>TWELVE MONTHS ENDING DECEMBER 31, 2020</v>
      </c>
      <c r="B116" s="78"/>
      <c r="C116" s="79"/>
      <c r="D116" s="80"/>
      <c r="E116" s="80"/>
      <c r="F116" s="81"/>
      <c r="G116" s="86"/>
      <c r="H116" s="81"/>
      <c r="I116" s="82"/>
      <c r="J116" s="82"/>
      <c r="K116" s="91"/>
      <c r="L116" s="82"/>
      <c r="M116" s="82"/>
      <c r="N116" s="82"/>
      <c r="O116" s="82"/>
      <c r="P116" s="77"/>
      <c r="Q116" s="1277">
        <f ca="1">TODAY()</f>
        <v>44420</v>
      </c>
    </row>
    <row r="117" spans="1:20">
      <c r="A117" s="197" t="s">
        <v>827</v>
      </c>
      <c r="B117" s="78"/>
      <c r="C117" s="79"/>
      <c r="D117" s="80"/>
      <c r="E117" s="80"/>
      <c r="F117" s="81"/>
      <c r="G117" s="91"/>
      <c r="H117" s="81"/>
      <c r="I117" s="82"/>
      <c r="J117" s="82"/>
      <c r="K117" s="91"/>
      <c r="L117" s="82"/>
      <c r="M117" s="82"/>
      <c r="N117" s="82"/>
      <c r="O117" s="82"/>
      <c r="P117" s="77"/>
      <c r="Q117" s="82"/>
    </row>
    <row r="118" spans="1:20" ht="15.5">
      <c r="A118" s="197"/>
      <c r="B118" s="78"/>
      <c r="C118" s="79"/>
      <c r="D118" s="80"/>
      <c r="E118" s="80"/>
      <c r="F118" s="81"/>
      <c r="G118" s="86"/>
      <c r="H118" s="81"/>
      <c r="I118" s="82"/>
      <c r="J118" s="82"/>
      <c r="K118" s="82"/>
      <c r="L118" s="82"/>
      <c r="M118" s="82"/>
      <c r="N118" s="82"/>
      <c r="O118" s="82"/>
      <c r="P118" s="77"/>
    </row>
    <row r="119" spans="1:20">
      <c r="A119" s="946" t="s">
        <v>1542</v>
      </c>
      <c r="B119" s="946"/>
      <c r="C119" s="946"/>
      <c r="D119" s="946"/>
      <c r="E119" s="946"/>
      <c r="F119" s="946"/>
      <c r="G119" s="946"/>
      <c r="H119" s="946"/>
      <c r="I119" s="946"/>
      <c r="J119" s="946"/>
      <c r="K119" s="946"/>
      <c r="L119" s="946"/>
      <c r="M119" s="946"/>
      <c r="N119" s="946"/>
      <c r="O119" s="946"/>
      <c r="P119" s="946"/>
      <c r="Q119" s="946"/>
      <c r="R119" s="946"/>
      <c r="S119" s="946"/>
      <c r="T119" s="951"/>
    </row>
    <row r="120" spans="1:20">
      <c r="A120" s="946" t="s">
        <v>1054</v>
      </c>
      <c r="B120" s="946"/>
      <c r="C120" s="946"/>
      <c r="D120" s="946"/>
      <c r="E120" s="946"/>
      <c r="F120" s="946"/>
      <c r="G120" s="946"/>
      <c r="H120" s="946"/>
      <c r="I120" s="946"/>
      <c r="J120" s="946"/>
      <c r="K120" s="946"/>
      <c r="L120" s="946"/>
      <c r="M120" s="946"/>
      <c r="N120" s="946"/>
      <c r="O120" s="946"/>
      <c r="P120" s="946"/>
      <c r="Q120" s="946"/>
      <c r="R120" s="946"/>
      <c r="S120" s="946"/>
      <c r="T120" s="951"/>
    </row>
    <row r="121" spans="1:20" ht="12.65" customHeight="1">
      <c r="A121" s="946"/>
      <c r="B121" s="946"/>
      <c r="C121" s="946"/>
      <c r="D121" s="946"/>
      <c r="E121" s="946"/>
      <c r="F121" s="946"/>
      <c r="G121" s="946"/>
      <c r="H121" s="946"/>
      <c r="I121" s="946"/>
      <c r="J121" s="946"/>
      <c r="K121" s="946"/>
      <c r="L121" s="946"/>
      <c r="M121" s="946"/>
      <c r="N121" s="946"/>
      <c r="O121" s="946"/>
      <c r="P121" s="946"/>
      <c r="Q121" s="946"/>
      <c r="R121" s="946"/>
      <c r="S121" s="946"/>
      <c r="T121" s="951"/>
    </row>
    <row r="122" spans="1:20" ht="21" customHeight="1">
      <c r="A122" s="950" t="s">
        <v>1093</v>
      </c>
      <c r="B122" s="946"/>
      <c r="C122" s="946"/>
      <c r="D122" s="946"/>
      <c r="E122" s="946"/>
      <c r="F122" s="946"/>
      <c r="G122" s="946"/>
      <c r="H122" s="946"/>
      <c r="I122" s="946"/>
      <c r="J122" s="946"/>
      <c r="K122" s="946"/>
      <c r="L122" s="946"/>
      <c r="M122" s="946"/>
      <c r="N122" s="946"/>
      <c r="O122" s="946"/>
      <c r="P122" s="946"/>
      <c r="Q122" s="946"/>
      <c r="R122" s="946"/>
      <c r="S122" s="946"/>
      <c r="T122" s="951"/>
    </row>
    <row r="123" spans="1:20">
      <c r="A123" s="947"/>
      <c r="B123" s="947"/>
      <c r="C123" s="947"/>
      <c r="D123" s="947"/>
      <c r="E123" s="947"/>
      <c r="F123" s="947"/>
      <c r="G123" s="947"/>
      <c r="H123" s="947"/>
      <c r="I123" s="947"/>
      <c r="J123" s="947"/>
      <c r="K123" s="947"/>
      <c r="L123" s="947"/>
      <c r="M123" s="947"/>
      <c r="N123" s="947"/>
      <c r="O123" s="947"/>
      <c r="P123" s="947"/>
      <c r="Q123" s="947"/>
      <c r="R123" s="947"/>
      <c r="S123" s="947"/>
      <c r="T123" s="951"/>
    </row>
    <row r="124" spans="1:20" thickBot="1">
      <c r="A124" s="866" t="s">
        <v>1056</v>
      </c>
      <c r="B124" s="866" t="s">
        <v>1057</v>
      </c>
      <c r="C124" s="866" t="s">
        <v>1058</v>
      </c>
      <c r="D124" s="866" t="s">
        <v>1059</v>
      </c>
      <c r="E124" s="866" t="s">
        <v>1060</v>
      </c>
      <c r="F124" s="866"/>
      <c r="G124" s="866" t="s">
        <v>1061</v>
      </c>
      <c r="H124" s="866" t="s">
        <v>1062</v>
      </c>
      <c r="I124" s="866" t="s">
        <v>1063</v>
      </c>
      <c r="J124" s="866" t="s">
        <v>1064</v>
      </c>
      <c r="K124" s="866" t="s">
        <v>1065</v>
      </c>
      <c r="L124" s="866"/>
      <c r="M124" s="866" t="s">
        <v>1066</v>
      </c>
      <c r="N124" s="866" t="s">
        <v>1067</v>
      </c>
      <c r="O124" s="866" t="s">
        <v>1068</v>
      </c>
      <c r="P124" s="866" t="s">
        <v>1069</v>
      </c>
      <c r="Q124" s="866" t="s">
        <v>1070</v>
      </c>
      <c r="R124" s="866" t="s">
        <v>1071</v>
      </c>
      <c r="S124" s="866" t="s">
        <v>1072</v>
      </c>
      <c r="T124" s="951"/>
    </row>
    <row r="125" spans="1:20" ht="26">
      <c r="A125" s="948" t="s">
        <v>1282</v>
      </c>
      <c r="B125" s="949"/>
      <c r="C125" s="867" t="s">
        <v>1073</v>
      </c>
      <c r="D125" s="867" t="s">
        <v>1074</v>
      </c>
      <c r="E125" s="868" t="s">
        <v>621</v>
      </c>
      <c r="F125" s="869"/>
      <c r="G125" s="870" t="s">
        <v>1075</v>
      </c>
      <c r="H125" s="871" t="s">
        <v>1076</v>
      </c>
      <c r="I125" s="872" t="s">
        <v>477</v>
      </c>
      <c r="J125" s="871" t="s">
        <v>1076</v>
      </c>
      <c r="K125" s="873" t="s">
        <v>1077</v>
      </c>
      <c r="L125" s="869"/>
      <c r="M125" s="870" t="s">
        <v>1078</v>
      </c>
      <c r="N125" s="871" t="s">
        <v>1078</v>
      </c>
      <c r="O125" s="872" t="s">
        <v>1078</v>
      </c>
      <c r="P125" s="871" t="s">
        <v>1079</v>
      </c>
      <c r="Q125" s="872" t="s">
        <v>1079</v>
      </c>
      <c r="R125" s="871" t="s">
        <v>1080</v>
      </c>
      <c r="S125" s="873" t="s">
        <v>1080</v>
      </c>
      <c r="T125" s="951"/>
    </row>
    <row r="126" spans="1:20" ht="26">
      <c r="A126" s="874"/>
      <c r="B126" s="875"/>
      <c r="C126" s="876" t="s">
        <v>954</v>
      </c>
      <c r="D126" s="876" t="s">
        <v>1081</v>
      </c>
      <c r="E126" s="877" t="s">
        <v>1082</v>
      </c>
      <c r="F126" s="869"/>
      <c r="G126" s="878" t="s">
        <v>1044</v>
      </c>
      <c r="H126" s="879" t="s">
        <v>1044</v>
      </c>
      <c r="I126" s="880" t="s">
        <v>1083</v>
      </c>
      <c r="J126" s="879" t="s">
        <v>1044</v>
      </c>
      <c r="K126" s="881" t="s">
        <v>1083</v>
      </c>
      <c r="L126" s="869"/>
      <c r="M126" s="878" t="s">
        <v>641</v>
      </c>
      <c r="N126" s="879" t="s">
        <v>1084</v>
      </c>
      <c r="O126" s="880" t="s">
        <v>1084</v>
      </c>
      <c r="P126" s="879" t="s">
        <v>642</v>
      </c>
      <c r="Q126" s="880" t="s">
        <v>642</v>
      </c>
      <c r="R126" s="879" t="s">
        <v>642</v>
      </c>
      <c r="S126" s="881" t="s">
        <v>642</v>
      </c>
      <c r="T126" s="951"/>
    </row>
    <row r="127" spans="1:20" ht="37.5">
      <c r="A127" s="882"/>
      <c r="B127" s="875"/>
      <c r="C127" s="883" t="s">
        <v>1085</v>
      </c>
      <c r="D127" s="883"/>
      <c r="E127" s="884" t="s">
        <v>1086</v>
      </c>
      <c r="F127" s="885"/>
      <c r="G127" s="886"/>
      <c r="H127" s="887" t="s">
        <v>1087</v>
      </c>
      <c r="I127" s="888"/>
      <c r="J127" s="887" t="s">
        <v>1088</v>
      </c>
      <c r="K127" s="889"/>
      <c r="L127" s="885"/>
      <c r="M127" s="878"/>
      <c r="N127" s="887" t="s">
        <v>1087</v>
      </c>
      <c r="O127" s="890" t="s">
        <v>1088</v>
      </c>
      <c r="P127" s="887" t="s">
        <v>1087</v>
      </c>
      <c r="Q127" s="890" t="s">
        <v>1088</v>
      </c>
      <c r="R127" s="887" t="s">
        <v>1087</v>
      </c>
      <c r="S127" s="891" t="s">
        <v>1088</v>
      </c>
    </row>
    <row r="128" spans="1:20" ht="26.5" thickBot="1">
      <c r="A128" s="892" t="s">
        <v>1089</v>
      </c>
      <c r="B128" s="893" t="s">
        <v>972</v>
      </c>
      <c r="C128" s="894" t="s">
        <v>1094</v>
      </c>
      <c r="D128" s="894"/>
      <c r="E128" s="895" t="s">
        <v>1090</v>
      </c>
      <c r="F128" s="869"/>
      <c r="G128" s="896" t="s">
        <v>1091</v>
      </c>
      <c r="H128" s="897" t="s">
        <v>1091</v>
      </c>
      <c r="I128" s="898"/>
      <c r="J128" s="897" t="s">
        <v>1091</v>
      </c>
      <c r="K128" s="899"/>
      <c r="L128" s="869"/>
      <c r="M128" s="896"/>
      <c r="N128" s="897"/>
      <c r="O128" s="898"/>
      <c r="P128" s="897"/>
      <c r="Q128" s="898"/>
      <c r="R128" s="897"/>
      <c r="S128" s="899"/>
    </row>
    <row r="129" spans="1:19" ht="15" customHeight="1">
      <c r="A129" s="900" t="s">
        <v>1501</v>
      </c>
      <c r="B129" s="901" t="s">
        <v>1283</v>
      </c>
      <c r="C129" s="902"/>
      <c r="D129" s="903">
        <v>23</v>
      </c>
      <c r="E129" s="904">
        <v>7102.1304782999996</v>
      </c>
      <c r="F129" s="905"/>
      <c r="G129" s="906">
        <v>328.56521759999998</v>
      </c>
      <c r="H129" s="907">
        <v>285.695652</v>
      </c>
      <c r="I129" s="908" t="s">
        <v>1532</v>
      </c>
      <c r="J129" s="909">
        <v>221.95652159999997</v>
      </c>
      <c r="K129" s="910" t="s">
        <v>1502</v>
      </c>
      <c r="L129" s="905"/>
      <c r="M129" s="911">
        <v>69.727699999999999</v>
      </c>
      <c r="N129" s="912">
        <v>80.190600000000003</v>
      </c>
      <c r="O129" s="913">
        <v>103.2189</v>
      </c>
      <c r="P129" s="912">
        <v>86.952500000000001</v>
      </c>
      <c r="Q129" s="913">
        <v>67.553299999999993</v>
      </c>
      <c r="R129" s="912">
        <v>115.00530000000001</v>
      </c>
      <c r="S129" s="914">
        <v>148.03129999999999</v>
      </c>
    </row>
    <row r="130" spans="1:19" ht="15" customHeight="1">
      <c r="A130" s="900" t="s">
        <v>1503</v>
      </c>
      <c r="B130" s="901" t="s">
        <v>1283</v>
      </c>
      <c r="C130" s="902"/>
      <c r="D130" s="903">
        <v>23</v>
      </c>
      <c r="E130" s="904">
        <v>6623.9130434999997</v>
      </c>
      <c r="F130" s="905"/>
      <c r="G130" s="906">
        <v>300.86956559999999</v>
      </c>
      <c r="H130" s="907">
        <v>282.65217359999997</v>
      </c>
      <c r="I130" s="908" t="s">
        <v>1533</v>
      </c>
      <c r="J130" s="909">
        <v>280.34782560000002</v>
      </c>
      <c r="K130" s="910" t="s">
        <v>1504</v>
      </c>
      <c r="L130" s="905"/>
      <c r="M130" s="911">
        <v>75.916899999999998</v>
      </c>
      <c r="N130" s="912">
        <v>80.809799999999996</v>
      </c>
      <c r="O130" s="913">
        <v>81.474100000000007</v>
      </c>
      <c r="P130" s="912">
        <v>93.945099999999996</v>
      </c>
      <c r="Q130" s="913">
        <v>93.179199999999994</v>
      </c>
      <c r="R130" s="912">
        <v>106.4452</v>
      </c>
      <c r="S130" s="914">
        <v>107.3201</v>
      </c>
    </row>
    <row r="131" spans="1:19" ht="15" customHeight="1">
      <c r="A131" s="900" t="s">
        <v>1505</v>
      </c>
      <c r="B131" s="901" t="s">
        <v>1283</v>
      </c>
      <c r="C131" s="902"/>
      <c r="D131" s="903">
        <v>23</v>
      </c>
      <c r="E131" s="904">
        <v>5940.2173913000006</v>
      </c>
      <c r="F131" s="905"/>
      <c r="G131" s="906">
        <v>291</v>
      </c>
      <c r="H131" s="907">
        <v>238.99999919999999</v>
      </c>
      <c r="I131" s="908" t="s">
        <v>1507</v>
      </c>
      <c r="J131" s="909">
        <v>238.99999919999999</v>
      </c>
      <c r="K131" s="910" t="s">
        <v>1507</v>
      </c>
      <c r="L131" s="905"/>
      <c r="M131" s="911">
        <v>65.848799999999997</v>
      </c>
      <c r="N131" s="912">
        <v>80.175700000000006</v>
      </c>
      <c r="O131" s="913">
        <v>80.175700000000006</v>
      </c>
      <c r="P131" s="912">
        <v>82.130600000000001</v>
      </c>
      <c r="Q131" s="913">
        <v>82.130600000000001</v>
      </c>
      <c r="R131" s="912">
        <v>121.7573</v>
      </c>
      <c r="S131" s="914">
        <v>121.7573</v>
      </c>
    </row>
    <row r="132" spans="1:19" ht="15" customHeight="1">
      <c r="A132" s="900" t="s">
        <v>1508</v>
      </c>
      <c r="B132" s="901" t="s">
        <v>1283</v>
      </c>
      <c r="C132" s="902"/>
      <c r="D132" s="903">
        <v>23</v>
      </c>
      <c r="E132" s="904">
        <v>6164.7826086999994</v>
      </c>
      <c r="F132" s="905"/>
      <c r="G132" s="906">
        <v>346.39130399999999</v>
      </c>
      <c r="H132" s="907">
        <v>265.13043359999995</v>
      </c>
      <c r="I132" s="908" t="s">
        <v>1534</v>
      </c>
      <c r="J132" s="909">
        <v>260.95652159999997</v>
      </c>
      <c r="K132" s="910" t="s">
        <v>1509</v>
      </c>
      <c r="L132" s="905"/>
      <c r="M132" s="911">
        <v>59.323900000000002</v>
      </c>
      <c r="N132" s="912">
        <v>77.506299999999996</v>
      </c>
      <c r="O132" s="913">
        <v>78.745999999999995</v>
      </c>
      <c r="P132" s="912">
        <v>76.540700000000001</v>
      </c>
      <c r="Q132" s="913">
        <v>75.335800000000006</v>
      </c>
      <c r="R132" s="912">
        <v>130.64940000000001</v>
      </c>
      <c r="S132" s="914">
        <v>132.73910000000001</v>
      </c>
    </row>
    <row r="133" spans="1:19" ht="15" customHeight="1">
      <c r="A133" s="900" t="s">
        <v>1510</v>
      </c>
      <c r="B133" s="901" t="s">
        <v>1283</v>
      </c>
      <c r="C133" s="902"/>
      <c r="D133" s="903">
        <v>23</v>
      </c>
      <c r="E133" s="904">
        <v>6221.9565216999999</v>
      </c>
      <c r="F133" s="905"/>
      <c r="G133" s="906">
        <v>373.65217439999998</v>
      </c>
      <c r="H133" s="907">
        <v>304.39130399999999</v>
      </c>
      <c r="I133" s="908" t="s">
        <v>1535</v>
      </c>
      <c r="J133" s="909">
        <v>285.30434880000001</v>
      </c>
      <c r="K133" s="910" t="s">
        <v>1512</v>
      </c>
      <c r="L133" s="905"/>
      <c r="M133" s="911">
        <v>53.715299999999999</v>
      </c>
      <c r="N133" s="912">
        <v>65.937600000000003</v>
      </c>
      <c r="O133" s="913">
        <v>70.348799999999997</v>
      </c>
      <c r="P133" s="912">
        <v>81.463800000000006</v>
      </c>
      <c r="Q133" s="913">
        <v>76.355599999999995</v>
      </c>
      <c r="R133" s="912">
        <v>122.7539</v>
      </c>
      <c r="S133" s="914">
        <v>130.96619999999999</v>
      </c>
    </row>
    <row r="134" spans="1:19" ht="15" customHeight="1">
      <c r="A134" s="900" t="s">
        <v>1513</v>
      </c>
      <c r="B134" s="901" t="s">
        <v>1283</v>
      </c>
      <c r="C134" s="902"/>
      <c r="D134" s="903">
        <v>23</v>
      </c>
      <c r="E134" s="904">
        <v>6478.2608695999998</v>
      </c>
      <c r="F134" s="905"/>
      <c r="G134" s="906">
        <v>331.08695760000001</v>
      </c>
      <c r="H134" s="907">
        <v>270.695652</v>
      </c>
      <c r="I134" s="908" t="s">
        <v>1536</v>
      </c>
      <c r="J134" s="909">
        <v>261.43478160000006</v>
      </c>
      <c r="K134" s="910" t="s">
        <v>1515</v>
      </c>
      <c r="L134" s="905"/>
      <c r="M134" s="911">
        <v>65.222099999999998</v>
      </c>
      <c r="N134" s="912">
        <v>79.772999999999996</v>
      </c>
      <c r="O134" s="913">
        <v>82.598799999999997</v>
      </c>
      <c r="P134" s="912">
        <v>81.759699999999995</v>
      </c>
      <c r="Q134" s="913">
        <v>78.962599999999995</v>
      </c>
      <c r="R134" s="912">
        <v>122.30970000000001</v>
      </c>
      <c r="S134" s="914">
        <v>126.64230000000001</v>
      </c>
    </row>
    <row r="135" spans="1:19" ht="15" customHeight="1">
      <c r="A135" s="900" t="s">
        <v>1516</v>
      </c>
      <c r="B135" s="901" t="s">
        <v>1283</v>
      </c>
      <c r="C135" s="902"/>
      <c r="D135" s="903">
        <v>23</v>
      </c>
      <c r="E135" s="904">
        <v>5731.7894782999992</v>
      </c>
      <c r="F135" s="905"/>
      <c r="G135" s="906">
        <v>288.43478160000006</v>
      </c>
      <c r="H135" s="907">
        <v>246.78260880000002</v>
      </c>
      <c r="I135" s="908" t="s">
        <v>1537</v>
      </c>
      <c r="J135" s="909">
        <v>208.65217439999998</v>
      </c>
      <c r="K135" s="910" t="s">
        <v>1518</v>
      </c>
      <c r="L135" s="905"/>
      <c r="M135" s="911">
        <v>64.103399999999993</v>
      </c>
      <c r="N135" s="912">
        <v>74.922799999999995</v>
      </c>
      <c r="O135" s="913">
        <v>88.614699999999999</v>
      </c>
      <c r="P135" s="912">
        <v>85.559200000000004</v>
      </c>
      <c r="Q135" s="913">
        <v>72.339500000000001</v>
      </c>
      <c r="R135" s="912">
        <v>116.8781</v>
      </c>
      <c r="S135" s="914">
        <v>138.2371</v>
      </c>
    </row>
    <row r="136" spans="1:19" ht="15" customHeight="1">
      <c r="A136" s="900" t="s">
        <v>1519</v>
      </c>
      <c r="B136" s="901" t="s">
        <v>1283</v>
      </c>
      <c r="C136" s="902"/>
      <c r="D136" s="903">
        <v>23</v>
      </c>
      <c r="E136" s="904">
        <v>6535.9130434999997</v>
      </c>
      <c r="F136" s="905"/>
      <c r="G136" s="906">
        <v>333.56521679999997</v>
      </c>
      <c r="H136" s="907">
        <v>282.47825999999998</v>
      </c>
      <c r="I136" s="908" t="s">
        <v>1538</v>
      </c>
      <c r="J136" s="909">
        <v>242.47826159999997</v>
      </c>
      <c r="K136" s="910" t="s">
        <v>1521</v>
      </c>
      <c r="L136" s="905"/>
      <c r="M136" s="911">
        <v>63.206800000000001</v>
      </c>
      <c r="N136" s="912">
        <v>74.637900000000002</v>
      </c>
      <c r="O136" s="913">
        <v>86.950400000000002</v>
      </c>
      <c r="P136" s="912">
        <v>84.684600000000003</v>
      </c>
      <c r="Q136" s="913">
        <v>72.692899999999995</v>
      </c>
      <c r="R136" s="912">
        <v>118.0853</v>
      </c>
      <c r="S136" s="914">
        <v>137.565</v>
      </c>
    </row>
    <row r="137" spans="1:19" ht="15" customHeight="1">
      <c r="A137" s="900" t="s">
        <v>1522</v>
      </c>
      <c r="B137" s="901" t="s">
        <v>1283</v>
      </c>
      <c r="C137" s="902"/>
      <c r="D137" s="903">
        <v>23</v>
      </c>
      <c r="E137" s="904">
        <v>6399.6521739</v>
      </c>
      <c r="F137" s="905"/>
      <c r="G137" s="906">
        <v>344.82608640000001</v>
      </c>
      <c r="H137" s="907">
        <v>283.3043472</v>
      </c>
      <c r="I137" s="908" t="s">
        <v>1539</v>
      </c>
      <c r="J137" s="909">
        <v>263.304348</v>
      </c>
      <c r="K137" s="910" t="s">
        <v>1523</v>
      </c>
      <c r="L137" s="905"/>
      <c r="M137" s="911">
        <v>61.863599999999998</v>
      </c>
      <c r="N137" s="912">
        <v>75.297700000000006</v>
      </c>
      <c r="O137" s="913">
        <v>81.017200000000003</v>
      </c>
      <c r="P137" s="912">
        <v>82.158600000000007</v>
      </c>
      <c r="Q137" s="913">
        <v>76.358599999999996</v>
      </c>
      <c r="R137" s="912">
        <v>121.7158</v>
      </c>
      <c r="S137" s="914">
        <v>130.96100000000001</v>
      </c>
    </row>
    <row r="138" spans="1:19" ht="15" customHeight="1">
      <c r="A138" s="900" t="s">
        <v>1524</v>
      </c>
      <c r="B138" s="901" t="s">
        <v>1283</v>
      </c>
      <c r="C138" s="902"/>
      <c r="D138" s="903">
        <v>23</v>
      </c>
      <c r="E138" s="904">
        <v>6697</v>
      </c>
      <c r="F138" s="905"/>
      <c r="G138" s="906">
        <v>366.86956559999999</v>
      </c>
      <c r="H138" s="907">
        <v>283.17391200000003</v>
      </c>
      <c r="I138" s="908" t="s">
        <v>1525</v>
      </c>
      <c r="J138" s="909">
        <v>283.17391200000003</v>
      </c>
      <c r="K138" s="910" t="s">
        <v>1525</v>
      </c>
      <c r="L138" s="905"/>
      <c r="M138" s="911">
        <v>58.885300000000001</v>
      </c>
      <c r="N138" s="912">
        <v>76.289599999999993</v>
      </c>
      <c r="O138" s="913">
        <v>76.289599999999993</v>
      </c>
      <c r="P138" s="912">
        <v>77.186499999999995</v>
      </c>
      <c r="Q138" s="913">
        <v>77.186499999999995</v>
      </c>
      <c r="R138" s="912">
        <v>129.55629999999999</v>
      </c>
      <c r="S138" s="914">
        <v>129.55629999999999</v>
      </c>
    </row>
    <row r="139" spans="1:19" ht="15" customHeight="1">
      <c r="A139" s="900" t="s">
        <v>1526</v>
      </c>
      <c r="B139" s="901" t="s">
        <v>1283</v>
      </c>
      <c r="C139" s="902"/>
      <c r="D139" s="903">
        <v>23</v>
      </c>
      <c r="E139" s="904">
        <v>6962.3478261</v>
      </c>
      <c r="F139" s="905"/>
      <c r="G139" s="906">
        <v>393.30434879999996</v>
      </c>
      <c r="H139" s="907">
        <v>307.99999919999999</v>
      </c>
      <c r="I139" s="908" t="s">
        <v>1540</v>
      </c>
      <c r="J139" s="909">
        <v>256.6956528</v>
      </c>
      <c r="K139" s="910" t="s">
        <v>1528</v>
      </c>
      <c r="L139" s="905"/>
      <c r="M139" s="911">
        <v>59.007300000000001</v>
      </c>
      <c r="N139" s="912">
        <v>75.350099999999998</v>
      </c>
      <c r="O139" s="913">
        <v>90.409899999999993</v>
      </c>
      <c r="P139" s="912">
        <v>78.310900000000004</v>
      </c>
      <c r="Q139" s="913">
        <v>65.266400000000004</v>
      </c>
      <c r="R139" s="912">
        <v>127.6962</v>
      </c>
      <c r="S139" s="914">
        <v>153.2182</v>
      </c>
    </row>
    <row r="140" spans="1:19" ht="15" customHeight="1" thickBot="1">
      <c r="A140" s="915" t="s">
        <v>1529</v>
      </c>
      <c r="B140" s="916" t="s">
        <v>1283</v>
      </c>
      <c r="C140" s="917"/>
      <c r="D140" s="1023">
        <v>23</v>
      </c>
      <c r="E140" s="918">
        <v>7032.4782609000004</v>
      </c>
      <c r="F140" s="905"/>
      <c r="G140" s="919">
        <v>349.91304239999999</v>
      </c>
      <c r="H140" s="920">
        <v>300.04347840000003</v>
      </c>
      <c r="I140" s="921" t="s">
        <v>1541</v>
      </c>
      <c r="J140" s="1024">
        <v>152.52174000000002</v>
      </c>
      <c r="K140" s="922" t="s">
        <v>1531</v>
      </c>
      <c r="L140" s="905"/>
      <c r="M140" s="923">
        <v>64.831599999999995</v>
      </c>
      <c r="N140" s="924">
        <v>75.607100000000003</v>
      </c>
      <c r="O140" s="925">
        <v>148.73560000000001</v>
      </c>
      <c r="P140" s="924">
        <v>85.748000000000005</v>
      </c>
      <c r="Q140" s="925">
        <v>43.588500000000003</v>
      </c>
      <c r="R140" s="924">
        <v>116.6208</v>
      </c>
      <c r="S140" s="926">
        <v>229.41849999999999</v>
      </c>
    </row>
    <row r="141" spans="1:19">
      <c r="A141" s="927"/>
      <c r="B141" s="928"/>
      <c r="C141" s="928"/>
      <c r="D141" s="929"/>
      <c r="E141" s="930"/>
      <c r="F141" s="930"/>
      <c r="G141" s="931"/>
      <c r="H141" s="931"/>
      <c r="I141" s="932"/>
      <c r="J141" s="931"/>
      <c r="K141" s="932"/>
      <c r="L141" s="933"/>
      <c r="M141" s="934"/>
      <c r="N141" s="934"/>
      <c r="O141" s="934"/>
      <c r="P141" s="934"/>
      <c r="Q141" s="934"/>
      <c r="R141" s="934"/>
      <c r="S141" s="934"/>
    </row>
    <row r="142" spans="1:19">
      <c r="A142" s="935"/>
      <c r="B142" s="936"/>
      <c r="C142" s="936"/>
      <c r="D142" s="937"/>
      <c r="E142" s="905"/>
      <c r="F142" s="935"/>
      <c r="G142" s="938"/>
      <c r="H142" s="939"/>
      <c r="I142" s="939"/>
      <c r="J142" s="939"/>
      <c r="K142" s="940"/>
      <c r="L142" s="933"/>
      <c r="M142" s="934"/>
      <c r="N142" s="934"/>
      <c r="O142" s="934"/>
      <c r="P142" s="934"/>
      <c r="Q142" s="934"/>
      <c r="R142" s="934"/>
      <c r="S142" s="934"/>
    </row>
    <row r="143" spans="1:19">
      <c r="A143" s="935" t="s">
        <v>1273</v>
      </c>
      <c r="B143" s="936"/>
      <c r="C143" s="936"/>
      <c r="D143" s="937"/>
      <c r="E143" s="905"/>
      <c r="F143" s="935"/>
      <c r="G143" s="938"/>
      <c r="H143" s="939"/>
      <c r="I143" s="939"/>
      <c r="J143" s="939"/>
      <c r="K143" s="940"/>
      <c r="L143" s="933"/>
      <c r="M143" s="934"/>
      <c r="N143" s="934"/>
      <c r="O143" s="934"/>
      <c r="P143" s="934"/>
      <c r="Q143" s="934"/>
      <c r="R143" s="934"/>
      <c r="S143" s="934"/>
    </row>
    <row r="144" spans="1:19">
      <c r="A144" s="935" t="s">
        <v>1092</v>
      </c>
      <c r="B144" s="936"/>
      <c r="C144" s="936"/>
      <c r="D144" s="937"/>
      <c r="E144" s="905"/>
      <c r="F144" s="935"/>
      <c r="G144" s="938"/>
      <c r="H144" s="939"/>
      <c r="I144" s="939"/>
      <c r="J144" s="939"/>
      <c r="K144" s="940"/>
      <c r="L144" s="933"/>
      <c r="M144" s="934"/>
      <c r="N144" s="934"/>
      <c r="O144" s="934"/>
      <c r="P144" s="934"/>
      <c r="Q144" s="934"/>
      <c r="R144" s="934"/>
      <c r="S144" s="934"/>
    </row>
    <row r="145" spans="1:19">
      <c r="A145" s="935" t="s">
        <v>1274</v>
      </c>
      <c r="B145" s="936"/>
      <c r="C145" s="936"/>
      <c r="D145" s="937"/>
      <c r="E145" s="905"/>
      <c r="F145" s="935"/>
      <c r="G145" s="938"/>
      <c r="H145" s="939"/>
      <c r="I145" s="939"/>
      <c r="J145" s="939"/>
      <c r="K145" s="940"/>
      <c r="L145" s="933"/>
      <c r="M145" s="934"/>
      <c r="N145" s="934"/>
      <c r="O145" s="934"/>
      <c r="P145" s="934"/>
      <c r="Q145" s="934"/>
      <c r="R145" s="934"/>
      <c r="S145" s="934"/>
    </row>
    <row r="146" spans="1:19">
      <c r="A146" s="941" t="s">
        <v>1275</v>
      </c>
      <c r="B146" s="936"/>
      <c r="C146" s="936"/>
      <c r="D146" s="942"/>
      <c r="E146" s="942"/>
      <c r="F146" s="943"/>
      <c r="G146" s="944"/>
      <c r="H146" s="944"/>
      <c r="I146" s="944"/>
      <c r="J146" s="944"/>
      <c r="K146" s="944"/>
      <c r="L146" s="945"/>
      <c r="M146" s="945"/>
      <c r="N146" s="945"/>
      <c r="O146" s="945"/>
      <c r="P146" s="945"/>
      <c r="Q146" s="945"/>
      <c r="R146" s="945"/>
      <c r="S146" s="945"/>
    </row>
    <row r="147" spans="1:19">
      <c r="A147" s="77" t="s">
        <v>1543</v>
      </c>
    </row>
    <row r="150" spans="1:19" ht="12.5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</row>
  </sheetData>
  <printOptions horizontalCentered="1"/>
  <pageMargins left="0.47" right="0.25" top="1" bottom="1" header="0.24" footer="0.5"/>
  <pageSetup scale="70" orientation="landscape" r:id="rId1"/>
  <headerFooter alignWithMargins="0"/>
  <rowBreaks count="3" manualBreakCount="3">
    <brk id="37" max="16383" man="1"/>
    <brk id="74" max="16383" man="1"/>
    <brk id="111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9">
    <tabColor rgb="FF92D050"/>
    <pageSetUpPr fitToPage="1"/>
  </sheetPr>
  <dimension ref="A1:T68"/>
  <sheetViews>
    <sheetView workbookViewId="0">
      <selection sqref="A1:G19"/>
    </sheetView>
  </sheetViews>
  <sheetFormatPr defaultColWidth="6.07421875" defaultRowHeight="12.5"/>
  <cols>
    <col min="1" max="1" width="19.07421875" style="100" customWidth="1"/>
    <col min="2" max="2" width="8.765625" style="100" customWidth="1"/>
    <col min="3" max="4" width="11.765625" style="44" customWidth="1"/>
    <col min="5" max="5" width="2.07421875" style="44" customWidth="1"/>
    <col min="6" max="6" width="13.53515625" style="44" customWidth="1"/>
    <col min="7" max="7" width="8.53515625" style="44" customWidth="1"/>
    <col min="8" max="8" width="9" style="44" customWidth="1"/>
    <col min="9" max="12" width="8.53515625" style="44" customWidth="1"/>
    <col min="13" max="13" width="10.4609375" style="44" customWidth="1"/>
    <col min="14" max="14" width="9.53515625" style="44" customWidth="1"/>
    <col min="15" max="15" width="9.765625" style="44" customWidth="1"/>
    <col min="16" max="16" width="10.53515625" style="44" customWidth="1"/>
    <col min="17" max="16384" width="6.07421875" style="44"/>
  </cols>
  <sheetData>
    <row r="1" spans="1:20" ht="13">
      <c r="A1" s="195" t="str">
        <f>co_name</f>
        <v>DUKE ENERGY KENTUCKY, INC.</v>
      </c>
      <c r="B1" s="51"/>
      <c r="C1" s="51"/>
      <c r="D1" s="51"/>
      <c r="E1" s="51"/>
      <c r="F1" s="10" t="s">
        <v>1465</v>
      </c>
      <c r="G1" s="51"/>
      <c r="H1" s="51"/>
      <c r="I1" s="98"/>
      <c r="J1" s="98"/>
      <c r="K1" s="98"/>
      <c r="L1" s="98"/>
    </row>
    <row r="2" spans="1:20" ht="13">
      <c r="A2" s="195" t="str">
        <f>coss_type</f>
        <v xml:space="preserve">GAS COST OF SERVICE STUDY </v>
      </c>
      <c r="B2" s="51"/>
      <c r="C2" s="51"/>
      <c r="D2" s="51"/>
      <c r="E2" s="51"/>
      <c r="F2" s="10" t="str">
        <f>'Alloc Factors Summary'!G2</f>
        <v>Witness Responsible:</v>
      </c>
      <c r="G2" s="51"/>
      <c r="H2" s="51"/>
      <c r="I2" s="98"/>
      <c r="J2" s="98"/>
      <c r="K2" s="98"/>
      <c r="L2" s="98"/>
    </row>
    <row r="3" spans="1:20" ht="13">
      <c r="A3" s="195" t="str">
        <f>case_name</f>
        <v>CASE NO: 2021-00190</v>
      </c>
      <c r="B3" s="51"/>
      <c r="C3" s="51"/>
      <c r="D3" s="51"/>
      <c r="E3" s="51"/>
      <c r="F3" s="10" t="str">
        <f>'Alloc Factors Summary'!G3</f>
        <v>James E. Ziolkowski</v>
      </c>
      <c r="G3" s="51"/>
      <c r="H3" s="51"/>
      <c r="I3" s="98"/>
      <c r="J3" s="98"/>
      <c r="K3" s="98"/>
      <c r="L3" s="98"/>
    </row>
    <row r="4" spans="1:20" ht="13">
      <c r="A4" s="10" t="str">
        <f>alloc_factors</f>
        <v>ALLOCATION FACTORS FOR COST OF SERVICE STUDY</v>
      </c>
      <c r="B4" s="51"/>
      <c r="C4" s="51"/>
      <c r="D4" s="51"/>
      <c r="E4" s="51"/>
      <c r="F4" s="10" t="s">
        <v>601</v>
      </c>
      <c r="G4" s="51"/>
      <c r="H4" s="51"/>
      <c r="I4" s="98"/>
      <c r="J4" s="98"/>
      <c r="K4" s="98"/>
      <c r="L4" s="98"/>
    </row>
    <row r="5" spans="1:20" ht="13">
      <c r="A5" s="10" t="str">
        <f>time_period</f>
        <v>TWELVE MONTHS ENDING DECEMBER 31, 2020</v>
      </c>
      <c r="B5" s="51"/>
      <c r="C5" s="51"/>
      <c r="D5" s="51"/>
      <c r="E5" s="51"/>
      <c r="F5" s="1274">
        <f ca="1">TODAY()</f>
        <v>44420</v>
      </c>
      <c r="G5" s="51"/>
      <c r="H5" s="51"/>
      <c r="I5" s="98"/>
      <c r="J5" s="98"/>
      <c r="K5" s="98"/>
      <c r="L5" s="98"/>
    </row>
    <row r="6" spans="1:20" ht="13">
      <c r="A6" s="197" t="s">
        <v>1207</v>
      </c>
      <c r="B6" s="44"/>
      <c r="E6" s="98"/>
      <c r="F6" s="98"/>
      <c r="G6" s="98"/>
      <c r="H6" s="98"/>
      <c r="I6" s="98"/>
      <c r="J6" s="98"/>
      <c r="K6" s="98"/>
      <c r="L6" s="98"/>
    </row>
    <row r="7" spans="1:20" ht="13">
      <c r="A7" s="1206" t="s">
        <v>1208</v>
      </c>
      <c r="B7" s="44"/>
      <c r="E7" s="98"/>
      <c r="F7" s="98"/>
      <c r="G7" s="98"/>
      <c r="H7" s="98"/>
      <c r="I7" s="98"/>
      <c r="J7" s="98"/>
      <c r="K7" s="98"/>
      <c r="L7" s="98"/>
    </row>
    <row r="8" spans="1:20" ht="13">
      <c r="A8" s="99"/>
      <c r="B8" s="44"/>
      <c r="E8" s="98"/>
      <c r="F8" s="98"/>
      <c r="G8" s="98"/>
      <c r="H8" s="98"/>
      <c r="I8" s="98"/>
      <c r="J8" s="98"/>
      <c r="K8" s="98"/>
      <c r="L8" s="98"/>
    </row>
    <row r="9" spans="1:20" ht="13">
      <c r="E9" s="98"/>
      <c r="F9" s="31"/>
      <c r="G9" s="98"/>
      <c r="H9" s="98"/>
      <c r="I9" s="98"/>
      <c r="J9" s="98"/>
      <c r="K9" s="98"/>
      <c r="L9" s="98"/>
    </row>
    <row r="10" spans="1:20" ht="13">
      <c r="E10" s="98"/>
      <c r="F10" s="31"/>
      <c r="G10" s="98"/>
      <c r="H10" s="98"/>
      <c r="I10" s="98"/>
      <c r="J10" s="98"/>
      <c r="K10" s="98"/>
      <c r="L10" s="98"/>
    </row>
    <row r="11" spans="1:20" ht="13">
      <c r="A11" s="101" t="s">
        <v>477</v>
      </c>
      <c r="B11" s="102"/>
      <c r="D11" s="1185" t="s">
        <v>561</v>
      </c>
      <c r="F11" s="103" t="s">
        <v>562</v>
      </c>
      <c r="G11" s="98"/>
      <c r="H11" s="98"/>
      <c r="I11" s="98"/>
      <c r="J11" s="98"/>
      <c r="K11" s="98"/>
      <c r="L11" s="98"/>
    </row>
    <row r="12" spans="1:20" ht="13">
      <c r="A12" s="102"/>
      <c r="B12" s="102"/>
      <c r="D12" s="31"/>
      <c r="F12" s="31" t="s">
        <v>593</v>
      </c>
      <c r="G12" s="98"/>
      <c r="H12" s="98"/>
      <c r="I12" s="98"/>
      <c r="J12" s="98"/>
      <c r="K12" s="98"/>
      <c r="L12" s="98"/>
    </row>
    <row r="13" spans="1:20">
      <c r="A13" s="100" t="s">
        <v>974</v>
      </c>
      <c r="C13" s="1480" t="s">
        <v>1486</v>
      </c>
      <c r="D13" s="1029">
        <f>'Alloc Factors Summary'!D32</f>
        <v>2289963</v>
      </c>
      <c r="F13" s="27">
        <f>1-SUM(F14:F15)</f>
        <v>0.58291999999999999</v>
      </c>
      <c r="I13" s="104"/>
    </row>
    <row r="14" spans="1:20">
      <c r="A14" s="100" t="s">
        <v>563</v>
      </c>
      <c r="C14" s="1480" t="s">
        <v>1486</v>
      </c>
      <c r="D14" s="1029">
        <f>'Alloc Factors Summary'!D33</f>
        <v>1638450</v>
      </c>
      <c r="F14" s="27">
        <f>ROUND(D14/D$16,5)</f>
        <v>0.41708000000000001</v>
      </c>
      <c r="G14" s="106"/>
      <c r="H14" s="106"/>
      <c r="I14" s="1002"/>
      <c r="J14" s="106"/>
      <c r="K14" s="106"/>
      <c r="L14" s="106"/>
      <c r="M14" s="106"/>
      <c r="N14" s="106"/>
      <c r="O14" s="106"/>
      <c r="P14" s="46"/>
    </row>
    <row r="15" spans="1:20">
      <c r="A15" s="100" t="s">
        <v>343</v>
      </c>
      <c r="D15" s="107" t="s">
        <v>343</v>
      </c>
      <c r="F15" s="27" t="s">
        <v>343</v>
      </c>
      <c r="G15" s="108"/>
      <c r="H15" s="109"/>
      <c r="I15" s="109"/>
      <c r="J15" s="108"/>
      <c r="K15" s="108"/>
      <c r="L15" s="108"/>
      <c r="M15" s="108"/>
      <c r="N15" s="108"/>
      <c r="O15" s="108"/>
      <c r="P15" s="108"/>
      <c r="Q15" s="110"/>
      <c r="R15" s="110"/>
      <c r="S15" s="110"/>
      <c r="T15" s="110"/>
    </row>
    <row r="16" spans="1:20" ht="13" thickBot="1">
      <c r="A16" s="106" t="s">
        <v>643</v>
      </c>
      <c r="D16" s="111">
        <f>SUM(D13:D15)</f>
        <v>3928413</v>
      </c>
      <c r="F16" s="112">
        <f>SUM(F13:F15)</f>
        <v>1</v>
      </c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10"/>
      <c r="R16" s="110"/>
      <c r="S16" s="110"/>
      <c r="T16" s="110"/>
    </row>
    <row r="17" spans="1:20" ht="13" thickTop="1">
      <c r="C17" s="113"/>
      <c r="D17" s="113"/>
      <c r="E17" s="114"/>
      <c r="F17" s="114"/>
      <c r="G17" s="115"/>
      <c r="H17" s="108"/>
      <c r="I17" s="108"/>
      <c r="J17" s="108"/>
      <c r="K17" s="108"/>
      <c r="L17" s="108"/>
      <c r="M17" s="108"/>
      <c r="N17" s="108"/>
      <c r="O17" s="108"/>
      <c r="P17" s="108"/>
      <c r="Q17" s="110"/>
      <c r="R17" s="110"/>
      <c r="S17" s="110"/>
      <c r="T17" s="110"/>
    </row>
    <row r="18" spans="1:20">
      <c r="C18" s="113"/>
      <c r="D18" s="113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10"/>
      <c r="R18" s="110"/>
      <c r="S18" s="110"/>
      <c r="T18" s="110"/>
    </row>
    <row r="19" spans="1:20">
      <c r="A19" s="100" t="s">
        <v>1479</v>
      </c>
      <c r="C19" s="109"/>
      <c r="D19" s="109"/>
      <c r="E19" s="114"/>
      <c r="F19" s="114"/>
      <c r="G19" s="115"/>
      <c r="H19" s="108"/>
      <c r="I19" s="108"/>
      <c r="J19" s="108"/>
      <c r="K19" s="108"/>
      <c r="L19" s="108"/>
      <c r="M19" s="108"/>
      <c r="N19" s="108"/>
      <c r="O19" s="108"/>
      <c r="P19" s="108"/>
      <c r="Q19" s="110"/>
      <c r="R19" s="110"/>
      <c r="S19" s="110"/>
      <c r="T19" s="110"/>
    </row>
    <row r="20" spans="1:20">
      <c r="C20" s="109"/>
      <c r="D20" s="109"/>
      <c r="E20" s="114"/>
      <c r="F20" s="114"/>
      <c r="G20" s="115"/>
      <c r="H20" s="108"/>
      <c r="I20" s="108"/>
      <c r="J20" s="108"/>
      <c r="K20" s="108"/>
      <c r="L20" s="108"/>
      <c r="M20" s="108"/>
      <c r="N20" s="108"/>
      <c r="O20" s="108"/>
      <c r="P20" s="108"/>
      <c r="Q20" s="110"/>
      <c r="R20" s="110"/>
      <c r="S20" s="110"/>
      <c r="T20" s="110"/>
    </row>
    <row r="21" spans="1:20">
      <c r="C21" s="116"/>
      <c r="D21" s="116"/>
      <c r="E21" s="116"/>
      <c r="F21" s="116"/>
      <c r="G21" s="116"/>
      <c r="H21" s="117"/>
      <c r="I21" s="117"/>
      <c r="J21" s="116"/>
      <c r="K21" s="116"/>
      <c r="L21" s="116"/>
      <c r="M21" s="116"/>
      <c r="N21" s="116"/>
      <c r="O21" s="116"/>
      <c r="P21" s="116"/>
      <c r="Q21" s="110"/>
      <c r="R21" s="110"/>
      <c r="S21" s="110"/>
      <c r="T21" s="110"/>
    </row>
    <row r="22" spans="1:20"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0"/>
      <c r="R22" s="110"/>
      <c r="S22" s="110"/>
      <c r="T22" s="110"/>
    </row>
    <row r="23" spans="1:20">
      <c r="C23" s="116"/>
      <c r="D23" s="116"/>
      <c r="E23" s="118"/>
      <c r="F23" s="118"/>
      <c r="G23" s="119"/>
      <c r="H23" s="116"/>
      <c r="I23" s="116"/>
      <c r="J23" s="116"/>
      <c r="K23" s="116"/>
      <c r="L23" s="116"/>
      <c r="M23" s="116"/>
      <c r="N23" s="116"/>
      <c r="O23" s="116"/>
      <c r="P23" s="116"/>
      <c r="Q23" s="110"/>
      <c r="R23" s="110"/>
      <c r="S23" s="110"/>
      <c r="T23" s="110"/>
    </row>
    <row r="24" spans="1:20"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0"/>
      <c r="R24" s="110"/>
      <c r="S24" s="110"/>
      <c r="T24" s="110"/>
    </row>
    <row r="25" spans="1:20">
      <c r="P25" s="120"/>
    </row>
    <row r="28" spans="1:20">
      <c r="F28" s="121"/>
      <c r="G28" s="121"/>
      <c r="H28" s="121"/>
      <c r="I28" s="121"/>
      <c r="J28" s="121"/>
      <c r="K28" s="121"/>
      <c r="L28" s="121"/>
      <c r="M28" s="121"/>
      <c r="N28" s="121"/>
      <c r="O28" s="121"/>
    </row>
    <row r="29" spans="1:20"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</row>
    <row r="31" spans="1:20" ht="13">
      <c r="E31" s="122"/>
    </row>
    <row r="32" spans="1:20" ht="13">
      <c r="C32" s="47"/>
      <c r="D32" s="47"/>
      <c r="E32" s="122"/>
      <c r="F32" s="31"/>
      <c r="G32" s="31"/>
    </row>
    <row r="33" spans="1:7" ht="13">
      <c r="E33" s="123"/>
      <c r="F33" s="21"/>
      <c r="G33" s="21"/>
    </row>
    <row r="34" spans="1:7" ht="13">
      <c r="A34" s="124"/>
      <c r="B34" s="124"/>
    </row>
    <row r="35" spans="1:7" ht="13">
      <c r="E35" s="125"/>
      <c r="F35" s="27"/>
      <c r="G35" s="26"/>
    </row>
    <row r="36" spans="1:7" ht="13">
      <c r="E36" s="126"/>
      <c r="F36" s="27"/>
      <c r="G36" s="26"/>
    </row>
    <row r="37" spans="1:7" ht="13">
      <c r="E37" s="126"/>
      <c r="F37" s="27"/>
      <c r="G37" s="26"/>
    </row>
    <row r="38" spans="1:7" ht="13">
      <c r="E38" s="126"/>
      <c r="F38" s="27"/>
      <c r="G38" s="26"/>
    </row>
    <row r="39" spans="1:7" ht="13">
      <c r="E39" s="126"/>
      <c r="F39" s="27"/>
      <c r="G39" s="26"/>
    </row>
    <row r="40" spans="1:7" ht="13">
      <c r="E40" s="125"/>
      <c r="F40" s="27"/>
      <c r="G40" s="26"/>
    </row>
    <row r="41" spans="1:7" ht="13">
      <c r="E41" s="125"/>
      <c r="F41" s="26"/>
      <c r="G41" s="27"/>
    </row>
    <row r="43" spans="1:7" ht="13">
      <c r="A43" s="124"/>
      <c r="B43" s="124"/>
    </row>
    <row r="44" spans="1:7" ht="13">
      <c r="E44" s="125"/>
      <c r="F44" s="27"/>
      <c r="G44" s="26"/>
    </row>
    <row r="45" spans="1:7" ht="13">
      <c r="E45" s="125"/>
      <c r="F45" s="27"/>
      <c r="G45" s="26"/>
    </row>
    <row r="46" spans="1:7" ht="13">
      <c r="E46" s="125"/>
      <c r="F46" s="27"/>
      <c r="G46" s="26"/>
    </row>
    <row r="47" spans="1:7" ht="13">
      <c r="E47" s="125"/>
      <c r="F47" s="27"/>
      <c r="G47" s="26"/>
    </row>
    <row r="48" spans="1:7" ht="13">
      <c r="E48" s="125"/>
      <c r="F48" s="27"/>
      <c r="G48" s="26"/>
    </row>
    <row r="49" spans="1:10" ht="13">
      <c r="E49" s="125"/>
      <c r="F49" s="26"/>
      <c r="G49" s="27"/>
    </row>
    <row r="50" spans="1:10">
      <c r="F50" s="127"/>
      <c r="G50" s="127"/>
    </row>
    <row r="51" spans="1:10">
      <c r="E51" s="126"/>
      <c r="F51" s="27"/>
    </row>
    <row r="55" spans="1:10">
      <c r="E55" s="46"/>
      <c r="F55" s="46"/>
      <c r="G55" s="46"/>
    </row>
    <row r="56" spans="1:10" ht="13">
      <c r="C56" s="128"/>
      <c r="D56" s="128"/>
      <c r="E56" s="46"/>
      <c r="F56" s="105"/>
      <c r="G56" s="105"/>
      <c r="I56" s="31"/>
      <c r="J56" s="31"/>
    </row>
    <row r="57" spans="1:10" ht="13">
      <c r="C57" s="129"/>
      <c r="D57" s="129"/>
      <c r="E57" s="46"/>
      <c r="F57" s="46"/>
      <c r="G57" s="46"/>
      <c r="H57" s="46"/>
      <c r="I57" s="21"/>
      <c r="J57" s="21"/>
    </row>
    <row r="58" spans="1:10" ht="13">
      <c r="A58" s="130"/>
      <c r="B58" s="130"/>
      <c r="C58" s="128"/>
      <c r="D58" s="128"/>
    </row>
    <row r="59" spans="1:10">
      <c r="E59" s="131"/>
      <c r="F59" s="131"/>
      <c r="G59" s="125"/>
    </row>
    <row r="60" spans="1:10">
      <c r="E60" s="131"/>
      <c r="F60" s="131"/>
      <c r="G60" s="125"/>
    </row>
    <row r="61" spans="1:10">
      <c r="C61" s="132"/>
      <c r="D61" s="132"/>
      <c r="E61" s="131"/>
      <c r="F61" s="131"/>
      <c r="G61" s="125"/>
    </row>
    <row r="62" spans="1:10">
      <c r="C62" s="132"/>
      <c r="D62" s="132"/>
      <c r="E62" s="131"/>
      <c r="F62" s="131"/>
      <c r="G62" s="125"/>
    </row>
    <row r="63" spans="1:10">
      <c r="E63" s="131"/>
      <c r="F63" s="131"/>
      <c r="G63" s="125"/>
    </row>
    <row r="64" spans="1:10" ht="13">
      <c r="C64" s="129"/>
      <c r="D64" s="129"/>
      <c r="E64" s="131"/>
      <c r="F64" s="131"/>
      <c r="G64" s="125"/>
      <c r="H64" s="126"/>
      <c r="I64" s="26"/>
      <c r="J64" s="26"/>
    </row>
    <row r="65" spans="1:10" ht="13">
      <c r="A65" s="124"/>
      <c r="B65" s="124"/>
      <c r="E65" s="131"/>
      <c r="F65" s="131"/>
      <c r="G65" s="125"/>
      <c r="J65" s="27"/>
    </row>
    <row r="66" spans="1:10">
      <c r="C66" s="104"/>
      <c r="D66" s="104"/>
      <c r="E66" s="131"/>
      <c r="F66" s="131"/>
      <c r="G66" s="125"/>
      <c r="J66" s="27"/>
    </row>
    <row r="67" spans="1:10" ht="13">
      <c r="C67" s="49"/>
      <c r="D67" s="49"/>
      <c r="E67" s="131"/>
      <c r="F67" s="131"/>
      <c r="G67" s="125"/>
      <c r="H67" s="126"/>
      <c r="I67" s="26"/>
      <c r="J67" s="26"/>
    </row>
    <row r="68" spans="1:10" ht="13">
      <c r="C68" s="129"/>
      <c r="D68" s="129"/>
      <c r="E68" s="125"/>
      <c r="F68" s="125"/>
      <c r="G68" s="125"/>
      <c r="H68" s="126"/>
      <c r="I68" s="133"/>
    </row>
  </sheetData>
  <pageMargins left="1" right="1" top="1" bottom="1" header="0.5" footer="0.5"/>
  <pageSetup scale="91" orientation="portrait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0">
    <tabColor rgb="FF92D050"/>
    <pageSetUpPr fitToPage="1"/>
  </sheetPr>
  <dimension ref="A1:AC126"/>
  <sheetViews>
    <sheetView topLeftCell="A13" zoomScale="60" zoomScaleNormal="60" zoomScaleSheetLayoutView="100" workbookViewId="0">
      <selection activeCell="H37" sqref="H37"/>
    </sheetView>
  </sheetViews>
  <sheetFormatPr defaultColWidth="8.765625" defaultRowHeight="12.5"/>
  <cols>
    <col min="1" max="1" width="10.23046875" style="215" customWidth="1"/>
    <col min="2" max="2" width="8.765625" style="215"/>
    <col min="3" max="3" width="11.4609375" style="215" customWidth="1"/>
    <col min="4" max="4" width="15.23046875" style="215" customWidth="1"/>
    <col min="5" max="5" width="5" style="215" customWidth="1"/>
    <col min="6" max="6" width="17" style="215" customWidth="1"/>
    <col min="7" max="7" width="8.765625" style="215"/>
    <col min="8" max="8" width="19.765625" style="215" customWidth="1"/>
    <col min="9" max="9" width="10.23046875" style="215" customWidth="1"/>
    <col min="10" max="10" width="10.53515625" style="215" customWidth="1"/>
    <col min="11" max="11" width="12.23046875" style="215" hidden="1" customWidth="1"/>
    <col min="12" max="12" width="14.4609375" style="215" hidden="1" customWidth="1"/>
    <col min="13" max="13" width="13.765625" style="215" hidden="1" customWidth="1"/>
    <col min="14" max="14" width="15.765625" style="215" hidden="1" customWidth="1"/>
    <col min="15" max="15" width="13.765625" style="215" hidden="1" customWidth="1"/>
    <col min="16" max="16" width="16.23046875" style="215" hidden="1" customWidth="1"/>
    <col min="17" max="17" width="10.765625" style="215" hidden="1" customWidth="1"/>
    <col min="18" max="18" width="13.23046875" style="215" hidden="1" customWidth="1"/>
    <col min="19" max="19" width="13.53515625" style="215" hidden="1" customWidth="1"/>
    <col min="20" max="20" width="8.765625" style="215"/>
    <col min="21" max="21" width="25.765625" style="215" customWidth="1"/>
    <col min="22" max="25" width="8.765625" style="215"/>
    <col min="26" max="26" width="13.23046875" style="215" customWidth="1"/>
    <col min="27" max="16384" width="8.765625" style="215"/>
  </cols>
  <sheetData>
    <row r="1" spans="1:17" ht="13">
      <c r="A1" s="195" t="str">
        <f>co_name</f>
        <v>DUKE ENERGY KENTUCKY, INC.</v>
      </c>
      <c r="H1" s="10" t="s">
        <v>1465</v>
      </c>
      <c r="K1" s="217" t="s">
        <v>514</v>
      </c>
      <c r="Q1" s="10" t="s">
        <v>644</v>
      </c>
    </row>
    <row r="2" spans="1:17" ht="13">
      <c r="A2" s="195" t="str">
        <f>coss_type</f>
        <v xml:space="preserve">GAS COST OF SERVICE STUDY </v>
      </c>
      <c r="D2" s="217"/>
      <c r="H2" s="10" t="str">
        <f>'Alloc Factors Summary'!G2</f>
        <v>Witness Responsible:</v>
      </c>
      <c r="K2" s="10" t="str">
        <f>'Alloc Factors Summary'!$A$2</f>
        <v xml:space="preserve">GAS COST OF SERVICE STUDY </v>
      </c>
      <c r="Q2" s="10" t="s">
        <v>645</v>
      </c>
    </row>
    <row r="3" spans="1:17" ht="13">
      <c r="A3" s="195" t="str">
        <f>case_name</f>
        <v>CASE NO: 2021-00190</v>
      </c>
      <c r="H3" s="10" t="s">
        <v>434</v>
      </c>
      <c r="K3" s="263" t="s">
        <v>646</v>
      </c>
      <c r="Q3" s="10" t="s">
        <v>647</v>
      </c>
    </row>
    <row r="4" spans="1:17" ht="13">
      <c r="A4" s="10" t="str">
        <f>alloc_factors</f>
        <v>ALLOCATION FACTORS FOR COST OF SERVICE STUDY</v>
      </c>
      <c r="H4" s="1274">
        <f ca="1">TODAY()</f>
        <v>44420</v>
      </c>
      <c r="K4" s="215" t="s">
        <v>648</v>
      </c>
    </row>
    <row r="5" spans="1:17" ht="13">
      <c r="A5" s="10" t="str">
        <f>time_period</f>
        <v>TWELVE MONTHS ENDING DECEMBER 31, 2020</v>
      </c>
      <c r="K5" s="215" t="s">
        <v>544</v>
      </c>
    </row>
    <row r="6" spans="1:17" ht="13">
      <c r="A6" s="197" t="s">
        <v>830</v>
      </c>
      <c r="F6" s="774" t="s">
        <v>1486</v>
      </c>
    </row>
    <row r="7" spans="1:17" ht="13">
      <c r="A7" s="256"/>
    </row>
    <row r="8" spans="1:17">
      <c r="F8" s="147" t="s">
        <v>649</v>
      </c>
    </row>
    <row r="9" spans="1:17">
      <c r="A9" s="264" t="s">
        <v>650</v>
      </c>
      <c r="B9" s="265"/>
      <c r="C9" s="266" t="s">
        <v>651</v>
      </c>
      <c r="D9" s="266" t="s">
        <v>652</v>
      </c>
      <c r="E9" s="265"/>
      <c r="F9" s="266" t="s">
        <v>653</v>
      </c>
    </row>
    <row r="10" spans="1:17">
      <c r="A10" s="267" t="s">
        <v>656</v>
      </c>
      <c r="B10" s="269"/>
      <c r="C10" s="178">
        <v>0</v>
      </c>
      <c r="D10" s="178">
        <v>0</v>
      </c>
      <c r="F10" s="212">
        <f>IF(D10=0,0,ROUND(+D10/C10,2))</f>
        <v>0</v>
      </c>
    </row>
    <row r="11" spans="1:17">
      <c r="A11" s="267" t="s">
        <v>702</v>
      </c>
      <c r="B11" s="269"/>
      <c r="C11" s="178">
        <f t="shared" ref="C11:C25" si="0">IF(ISNA(VLOOKUP(A11,Mains,2,FALSE)=TRUE),0,VLOOKUP(A11,Mains,2,FALSE))</f>
        <v>381596</v>
      </c>
      <c r="D11" s="178">
        <f t="shared" ref="D11:D25" si="1">IF(ISNA(VLOOKUP(A11,Mains,3,FALSE)=TRUE),0,VLOOKUP(A11,Mains,3,FALSE))</f>
        <v>1650156.44</v>
      </c>
      <c r="F11" s="212">
        <f t="shared" ref="F11:F25" si="2">IF(D11=0,0,ROUND(+D11/C11,2))</f>
        <v>4.32</v>
      </c>
      <c r="K11" s="215" t="s">
        <v>654</v>
      </c>
    </row>
    <row r="12" spans="1:17" ht="13" thickBot="1">
      <c r="A12" s="267" t="s">
        <v>701</v>
      </c>
      <c r="B12" s="269"/>
      <c r="C12" s="178">
        <f t="shared" si="0"/>
        <v>21180</v>
      </c>
      <c r="D12" s="178">
        <f t="shared" si="1"/>
        <v>186294.33000000005</v>
      </c>
      <c r="F12" s="212">
        <f t="shared" si="2"/>
        <v>8.8000000000000007</v>
      </c>
      <c r="H12" s="44"/>
      <c r="I12" s="44"/>
      <c r="J12" s="44"/>
    </row>
    <row r="13" spans="1:17" ht="13">
      <c r="A13" s="267" t="s">
        <v>704</v>
      </c>
      <c r="B13" s="269"/>
      <c r="C13" s="178">
        <f t="shared" si="0"/>
        <v>1833242</v>
      </c>
      <c r="D13" s="178">
        <f t="shared" si="1"/>
        <v>22496177.629999999</v>
      </c>
      <c r="F13" s="212">
        <f t="shared" si="2"/>
        <v>12.27</v>
      </c>
      <c r="H13" s="270"/>
      <c r="I13" s="270"/>
      <c r="J13" s="270"/>
      <c r="K13" s="271" t="s">
        <v>655</v>
      </c>
      <c r="L13" s="271"/>
    </row>
    <row r="14" spans="1:17">
      <c r="A14" s="267">
        <v>2.5</v>
      </c>
      <c r="B14" s="269"/>
      <c r="C14" s="178">
        <f t="shared" si="0"/>
        <v>0</v>
      </c>
      <c r="D14" s="178">
        <f t="shared" si="1"/>
        <v>0</v>
      </c>
      <c r="F14" s="212">
        <f t="shared" si="2"/>
        <v>0</v>
      </c>
      <c r="H14" s="272"/>
      <c r="I14" s="272"/>
      <c r="J14" s="272"/>
      <c r="K14" s="272" t="s">
        <v>657</v>
      </c>
      <c r="L14" s="272">
        <v>0.83411629227158457</v>
      </c>
    </row>
    <row r="15" spans="1:17">
      <c r="A15" s="267" t="s">
        <v>705</v>
      </c>
      <c r="B15" s="269"/>
      <c r="C15" s="178">
        <f t="shared" si="0"/>
        <v>61034</v>
      </c>
      <c r="D15" s="178">
        <f t="shared" si="1"/>
        <v>410343.4800000001</v>
      </c>
      <c r="F15" s="212">
        <f t="shared" si="2"/>
        <v>6.72</v>
      </c>
      <c r="H15" s="272"/>
      <c r="I15" s="272"/>
      <c r="J15" s="272"/>
      <c r="K15" s="272" t="s">
        <v>658</v>
      </c>
      <c r="L15" s="272">
        <v>0.80646900765018203</v>
      </c>
    </row>
    <row r="16" spans="1:17">
      <c r="A16" s="267" t="s">
        <v>706</v>
      </c>
      <c r="B16" s="269"/>
      <c r="C16" s="178">
        <f t="shared" si="0"/>
        <v>1506612</v>
      </c>
      <c r="D16" s="178">
        <f t="shared" si="1"/>
        <v>38170097.490000002</v>
      </c>
      <c r="F16" s="212">
        <f t="shared" si="2"/>
        <v>25.34</v>
      </c>
      <c r="H16" s="272"/>
      <c r="I16" s="272"/>
      <c r="J16" s="272"/>
      <c r="K16" s="272" t="s">
        <v>659</v>
      </c>
      <c r="L16" s="272">
        <v>10.032893465827213</v>
      </c>
    </row>
    <row r="17" spans="1:19" ht="13" thickBot="1">
      <c r="A17" s="267" t="s">
        <v>707</v>
      </c>
      <c r="B17" s="269"/>
      <c r="C17" s="178">
        <f t="shared" si="0"/>
        <v>534685</v>
      </c>
      <c r="D17" s="178">
        <f t="shared" si="1"/>
        <v>19700828.649999999</v>
      </c>
      <c r="F17" s="212">
        <f t="shared" si="2"/>
        <v>36.85</v>
      </c>
      <c r="H17" s="272"/>
      <c r="I17" s="272"/>
      <c r="J17" s="272"/>
      <c r="K17" s="273" t="s">
        <v>660</v>
      </c>
      <c r="L17" s="273">
        <v>8</v>
      </c>
    </row>
    <row r="18" spans="1:19">
      <c r="A18" s="267" t="s">
        <v>708</v>
      </c>
      <c r="B18" s="269"/>
      <c r="C18" s="178">
        <f t="shared" si="0"/>
        <v>195586</v>
      </c>
      <c r="D18" s="178">
        <f t="shared" si="1"/>
        <v>13786094.08</v>
      </c>
      <c r="F18" s="212">
        <f t="shared" si="2"/>
        <v>70.489999999999995</v>
      </c>
      <c r="H18" s="44"/>
      <c r="I18" s="44"/>
      <c r="J18" s="44"/>
    </row>
    <row r="19" spans="1:19" ht="13" thickBot="1">
      <c r="A19" s="274" t="s">
        <v>736</v>
      </c>
      <c r="B19" s="269"/>
      <c r="C19" s="178">
        <f t="shared" si="0"/>
        <v>0</v>
      </c>
      <c r="D19" s="178">
        <f t="shared" si="1"/>
        <v>0</v>
      </c>
      <c r="F19" s="212">
        <f t="shared" si="2"/>
        <v>0</v>
      </c>
      <c r="H19" s="44"/>
      <c r="I19" s="44"/>
      <c r="J19" s="44"/>
      <c r="K19" s="215" t="s">
        <v>661</v>
      </c>
    </row>
    <row r="20" spans="1:19" ht="13">
      <c r="A20" s="274" t="s">
        <v>703</v>
      </c>
      <c r="B20" s="269"/>
      <c r="C20" s="178">
        <f>IF(ISNA(VLOOKUP(A20,Mains,2,FALSE)=TRUE),0,VLOOKUP(A20,Mains,2,FALSE))</f>
        <v>25638</v>
      </c>
      <c r="D20" s="178">
        <f>IF(ISNA(VLOOKUP(A20,Mains,3,FALSE)=TRUE),0,VLOOKUP(A20,Mains,3,FALSE))</f>
        <v>3018449.5500000003</v>
      </c>
      <c r="F20" s="212">
        <f t="shared" si="2"/>
        <v>117.73</v>
      </c>
      <c r="H20" s="44"/>
      <c r="I20" s="44"/>
      <c r="J20" s="44"/>
      <c r="K20" s="275"/>
      <c r="L20" s="275" t="s">
        <v>662</v>
      </c>
      <c r="M20" s="275" t="s">
        <v>663</v>
      </c>
      <c r="N20" s="275" t="s">
        <v>664</v>
      </c>
      <c r="O20" s="275" t="s">
        <v>665</v>
      </c>
      <c r="P20" s="275" t="s">
        <v>666</v>
      </c>
    </row>
    <row r="21" spans="1:19">
      <c r="A21" s="274" t="s">
        <v>737</v>
      </c>
      <c r="B21" s="268"/>
      <c r="C21" s="178">
        <f t="shared" si="0"/>
        <v>0</v>
      </c>
      <c r="D21" s="178">
        <f t="shared" si="1"/>
        <v>0</v>
      </c>
      <c r="F21" s="212">
        <f t="shared" si="2"/>
        <v>0</v>
      </c>
      <c r="H21" s="44"/>
      <c r="I21" s="44"/>
      <c r="J21" s="44"/>
      <c r="K21" s="272" t="s">
        <v>667</v>
      </c>
      <c r="L21" s="272">
        <v>1</v>
      </c>
      <c r="M21" s="272">
        <v>3036.8722422201704</v>
      </c>
      <c r="N21" s="272">
        <v>3036.8722422201704</v>
      </c>
      <c r="O21" s="272">
        <v>30.169917360559566</v>
      </c>
      <c r="P21" s="272">
        <v>1.5251955493839568E-3</v>
      </c>
    </row>
    <row r="22" spans="1:19">
      <c r="A22" s="274" t="s">
        <v>896</v>
      </c>
      <c r="B22" s="268" t="s">
        <v>343</v>
      </c>
      <c r="C22" s="178">
        <f t="shared" si="0"/>
        <v>0</v>
      </c>
      <c r="D22" s="178">
        <f t="shared" si="1"/>
        <v>0</v>
      </c>
      <c r="F22" s="212">
        <f t="shared" si="2"/>
        <v>0</v>
      </c>
      <c r="H22" s="44"/>
      <c r="I22" s="44"/>
      <c r="J22" s="44"/>
      <c r="K22" s="272" t="s">
        <v>668</v>
      </c>
      <c r="L22" s="272">
        <v>6</v>
      </c>
      <c r="M22" s="272">
        <v>603.95370777983032</v>
      </c>
      <c r="N22" s="272">
        <v>100.65895129663839</v>
      </c>
      <c r="O22" s="272"/>
      <c r="P22" s="272"/>
    </row>
    <row r="23" spans="1:19" ht="13.5" thickBot="1">
      <c r="A23" s="274" t="s">
        <v>897</v>
      </c>
      <c r="B23" s="268"/>
      <c r="C23" s="178">
        <f t="shared" si="0"/>
        <v>0</v>
      </c>
      <c r="D23" s="178">
        <f t="shared" si="1"/>
        <v>0</v>
      </c>
      <c r="F23" s="212">
        <f t="shared" si="2"/>
        <v>0</v>
      </c>
      <c r="H23" s="276"/>
      <c r="I23" s="276"/>
      <c r="J23" s="276"/>
      <c r="K23" s="273" t="s">
        <v>579</v>
      </c>
      <c r="L23" s="273">
        <v>7</v>
      </c>
      <c r="M23" s="273">
        <v>3640.8259500000008</v>
      </c>
      <c r="N23" s="273"/>
      <c r="O23" s="273"/>
      <c r="P23" s="273"/>
    </row>
    <row r="24" spans="1:19" ht="13" thickBot="1">
      <c r="A24" s="274" t="s">
        <v>898</v>
      </c>
      <c r="B24" s="268"/>
      <c r="C24" s="178">
        <f t="shared" si="0"/>
        <v>0</v>
      </c>
      <c r="D24" s="178">
        <f t="shared" si="1"/>
        <v>0</v>
      </c>
      <c r="F24" s="212">
        <f t="shared" si="2"/>
        <v>0</v>
      </c>
      <c r="H24" s="272"/>
      <c r="I24" s="272"/>
      <c r="J24" s="272"/>
    </row>
    <row r="25" spans="1:19" ht="13">
      <c r="A25" s="274" t="s">
        <v>899</v>
      </c>
      <c r="B25" s="268"/>
      <c r="C25" s="178">
        <f t="shared" si="0"/>
        <v>0</v>
      </c>
      <c r="D25" s="178">
        <f t="shared" si="1"/>
        <v>0</v>
      </c>
      <c r="F25" s="212">
        <f t="shared" si="2"/>
        <v>0</v>
      </c>
      <c r="H25" s="272"/>
      <c r="I25" s="272"/>
      <c r="J25" s="272"/>
      <c r="K25" s="275"/>
      <c r="L25" s="275" t="s">
        <v>669</v>
      </c>
      <c r="M25" s="275" t="s">
        <v>659</v>
      </c>
      <c r="N25" s="275" t="s">
        <v>670</v>
      </c>
      <c r="O25" s="275" t="s">
        <v>671</v>
      </c>
      <c r="P25" s="275" t="s">
        <v>672</v>
      </c>
      <c r="Q25" s="275" t="s">
        <v>673</v>
      </c>
      <c r="R25" s="275" t="s">
        <v>674</v>
      </c>
      <c r="S25" s="275" t="s">
        <v>675</v>
      </c>
    </row>
    <row r="26" spans="1:19">
      <c r="C26" s="277" t="s">
        <v>343</v>
      </c>
      <c r="D26" s="277" t="s">
        <v>343</v>
      </c>
      <c r="F26" s="210"/>
      <c r="H26" s="272"/>
      <c r="I26" s="272"/>
      <c r="J26" s="272"/>
      <c r="K26" s="272" t="s">
        <v>676</v>
      </c>
      <c r="L26" s="272">
        <v>1.8892899889176213</v>
      </c>
      <c r="M26" s="272">
        <v>5.7158085309626347</v>
      </c>
      <c r="N26" s="272">
        <v>0.3305376621143456</v>
      </c>
      <c r="O26" s="272">
        <v>0.75223082509179595</v>
      </c>
      <c r="P26" s="272">
        <v>-12.096789617435837</v>
      </c>
      <c r="Q26" s="272">
        <v>15.87536959527108</v>
      </c>
      <c r="R26" s="272">
        <v>-12.096789617435837</v>
      </c>
      <c r="S26" s="272">
        <v>15.87536959527108</v>
      </c>
    </row>
    <row r="27" spans="1:19" ht="13" thickBot="1">
      <c r="C27" s="148">
        <f>SUM(C10:C26)</f>
        <v>4559573</v>
      </c>
      <c r="D27" s="218">
        <f>SUM(D10:D26)</f>
        <v>99418441.650000006</v>
      </c>
      <c r="F27" s="210"/>
      <c r="J27" s="44"/>
      <c r="K27" s="273" t="s">
        <v>677</v>
      </c>
      <c r="L27" s="273">
        <v>5.3590661248614699</v>
      </c>
      <c r="M27" s="273">
        <v>0.97566798713915237</v>
      </c>
      <c r="N27" s="273">
        <v>5.4927149353083626</v>
      </c>
      <c r="O27" s="273">
        <v>1.5251955493839565E-3</v>
      </c>
      <c r="P27" s="273">
        <v>2.971692568945548</v>
      </c>
      <c r="Q27" s="273">
        <v>7.7464396807773923</v>
      </c>
      <c r="R27" s="273">
        <v>2.971692568945548</v>
      </c>
      <c r="S27" s="273">
        <v>7.7464396807773923</v>
      </c>
    </row>
    <row r="28" spans="1:19">
      <c r="A28" s="278" t="s">
        <v>343</v>
      </c>
      <c r="C28" s="37">
        <v>0</v>
      </c>
      <c r="D28" s="39">
        <v>0</v>
      </c>
      <c r="F28" s="210"/>
    </row>
    <row r="29" spans="1:19" ht="13" thickBot="1">
      <c r="C29" s="40">
        <f>C27+C28</f>
        <v>4559573</v>
      </c>
      <c r="D29" s="175">
        <f>D27+D28</f>
        <v>99418441.650000006</v>
      </c>
      <c r="F29" s="210"/>
    </row>
    <row r="30" spans="1:19" ht="13" thickTop="1">
      <c r="F30" s="210"/>
      <c r="J30" s="215" t="s">
        <v>343</v>
      </c>
    </row>
    <row r="31" spans="1:19">
      <c r="A31" s="217" t="s">
        <v>678</v>
      </c>
      <c r="F31" s="1207">
        <f>F11</f>
        <v>4.32</v>
      </c>
      <c r="G31" s="217" t="s">
        <v>679</v>
      </c>
    </row>
    <row r="33" spans="1:25" ht="13">
      <c r="A33" s="217" t="s">
        <v>680</v>
      </c>
      <c r="D33" s="279">
        <f>F31</f>
        <v>4.32</v>
      </c>
      <c r="E33" s="217" t="s">
        <v>681</v>
      </c>
      <c r="F33" s="1554">
        <v>0</v>
      </c>
      <c r="G33" s="217" t="s">
        <v>682</v>
      </c>
      <c r="H33" s="1555">
        <f>ROUND(D33*F33,2)</f>
        <v>0</v>
      </c>
      <c r="I33" s="145"/>
      <c r="K33" s="276"/>
      <c r="L33" s="276"/>
      <c r="M33" s="276"/>
    </row>
    <row r="34" spans="1:25">
      <c r="C34" s="148"/>
      <c r="D34" s="218"/>
      <c r="H34" s="371"/>
      <c r="K34" s="272"/>
      <c r="L34" s="272"/>
      <c r="M34" s="272"/>
    </row>
    <row r="35" spans="1:25">
      <c r="A35" s="217" t="s">
        <v>683</v>
      </c>
      <c r="C35" s="148"/>
      <c r="D35" s="148">
        <f>D27</f>
        <v>99418441.650000006</v>
      </c>
      <c r="H35" s="371"/>
      <c r="K35" s="272"/>
      <c r="L35" s="272"/>
      <c r="M35" s="272"/>
    </row>
    <row r="36" spans="1:25">
      <c r="C36" s="148"/>
      <c r="D36" s="218"/>
      <c r="H36" s="371"/>
      <c r="K36" s="272"/>
      <c r="L36" s="272"/>
      <c r="M36" s="272"/>
    </row>
    <row r="37" spans="1:25">
      <c r="A37" s="217" t="s">
        <v>684</v>
      </c>
      <c r="C37" s="148"/>
      <c r="D37" s="148">
        <f>H33</f>
        <v>0</v>
      </c>
      <c r="E37" s="217" t="s">
        <v>685</v>
      </c>
      <c r="F37" s="148">
        <f>D35</f>
        <v>99418441.650000006</v>
      </c>
      <c r="G37" s="217" t="s">
        <v>682</v>
      </c>
      <c r="H37" s="1556">
        <f>D37/F37</f>
        <v>0</v>
      </c>
      <c r="I37" s="280"/>
      <c r="K37" s="272"/>
      <c r="L37" s="272"/>
      <c r="M37" s="272"/>
    </row>
    <row r="38" spans="1:25">
      <c r="C38" s="148"/>
      <c r="D38" s="218"/>
      <c r="H38" s="1557"/>
      <c r="I38" s="281"/>
      <c r="K38" s="272"/>
      <c r="L38" s="272"/>
      <c r="M38" s="272"/>
    </row>
    <row r="39" spans="1:25">
      <c r="A39" s="217" t="s">
        <v>686</v>
      </c>
      <c r="C39" s="148"/>
      <c r="D39" s="282">
        <v>1</v>
      </c>
      <c r="E39" s="282" t="s">
        <v>687</v>
      </c>
      <c r="F39" s="280">
        <f>H37</f>
        <v>0</v>
      </c>
      <c r="G39" s="217" t="s">
        <v>682</v>
      </c>
      <c r="H39" s="1558">
        <f>D39-F39</f>
        <v>1</v>
      </c>
      <c r="I39" s="283"/>
      <c r="K39" s="272"/>
      <c r="L39" s="272"/>
      <c r="M39" s="272"/>
    </row>
    <row r="40" spans="1:25">
      <c r="C40" s="148"/>
      <c r="D40" s="218"/>
      <c r="K40" s="272"/>
      <c r="L40" s="272"/>
      <c r="M40" s="272"/>
    </row>
    <row r="41" spans="1:25" ht="15.5">
      <c r="C41" s="148"/>
      <c r="D41" s="218"/>
      <c r="F41" s="218"/>
      <c r="K41" s="272"/>
      <c r="L41" s="272"/>
      <c r="M41" s="272"/>
      <c r="U41"/>
      <c r="V41"/>
      <c r="W41"/>
      <c r="X41"/>
      <c r="Y41"/>
    </row>
    <row r="42" spans="1:25" ht="15.5">
      <c r="K42" s="272"/>
      <c r="L42" s="272"/>
      <c r="M42" s="272"/>
      <c r="U42"/>
      <c r="V42"/>
      <c r="W42"/>
      <c r="X42"/>
      <c r="Y42"/>
    </row>
    <row r="43" spans="1:25" ht="15.5">
      <c r="K43" s="272"/>
      <c r="L43" s="272"/>
      <c r="M43" s="272"/>
      <c r="U43"/>
      <c r="V43"/>
      <c r="W43"/>
      <c r="X43"/>
      <c r="Y43"/>
    </row>
    <row r="44" spans="1:25" ht="15.5">
      <c r="A44" s="371"/>
      <c r="B44" s="1249" t="s">
        <v>649</v>
      </c>
      <c r="C44" s="371"/>
      <c r="D44" s="371"/>
      <c r="K44" s="272"/>
      <c r="L44" s="272"/>
      <c r="M44" s="272"/>
      <c r="U44"/>
      <c r="V44"/>
      <c r="W44"/>
      <c r="X44"/>
      <c r="Y44"/>
    </row>
    <row r="45" spans="1:25" ht="15.5">
      <c r="A45" s="1250" t="s">
        <v>650</v>
      </c>
      <c r="B45" s="1250" t="s">
        <v>653</v>
      </c>
      <c r="C45" s="1250" t="s">
        <v>688</v>
      </c>
      <c r="D45" s="371"/>
      <c r="F45" s="218"/>
      <c r="K45" s="272" t="s">
        <v>688</v>
      </c>
      <c r="L45" s="272"/>
      <c r="M45" s="272"/>
      <c r="U45"/>
      <c r="V45"/>
      <c r="W45"/>
      <c r="X45"/>
      <c r="Y45"/>
    </row>
    <row r="46" spans="1:25" ht="15.5">
      <c r="A46" s="1251">
        <v>0</v>
      </c>
      <c r="B46" s="1252">
        <v>0</v>
      </c>
      <c r="C46" s="1253">
        <f t="shared" ref="C46:C55" si="3">ROUND(RegressionConstant+(A46*RegressionXcoefficient),2)</f>
        <v>-12.27</v>
      </c>
      <c r="D46" s="371"/>
      <c r="K46" s="215" t="s">
        <v>343</v>
      </c>
      <c r="U46"/>
      <c r="V46"/>
      <c r="W46"/>
      <c r="X46"/>
      <c r="Y46"/>
    </row>
    <row r="47" spans="1:25" ht="15.5">
      <c r="A47" s="1254">
        <v>0.75</v>
      </c>
      <c r="B47" s="1255">
        <f>F10</f>
        <v>0</v>
      </c>
      <c r="C47" s="1253">
        <f t="shared" si="3"/>
        <v>-4.6100000000000003</v>
      </c>
      <c r="D47" s="371"/>
      <c r="K47" s="215">
        <v>3.33</v>
      </c>
      <c r="U47"/>
      <c r="V47"/>
      <c r="W47"/>
      <c r="X47"/>
      <c r="Y47"/>
    </row>
    <row r="48" spans="1:25" ht="15.5">
      <c r="A48" s="1251">
        <v>1</v>
      </c>
      <c r="B48" s="1255">
        <f>F11</f>
        <v>4.32</v>
      </c>
      <c r="C48" s="1253">
        <f t="shared" si="3"/>
        <v>-2.0499999999999998</v>
      </c>
      <c r="D48" s="371"/>
      <c r="K48" s="215">
        <v>7.22</v>
      </c>
      <c r="U48"/>
      <c r="V48"/>
      <c r="W48"/>
      <c r="X48"/>
      <c r="Y48"/>
    </row>
    <row r="49" spans="1:25" ht="15.5">
      <c r="A49" s="1251">
        <v>1.25</v>
      </c>
      <c r="B49" s="1255">
        <f>F12</f>
        <v>8.8000000000000007</v>
      </c>
      <c r="C49" s="1253">
        <f t="shared" si="3"/>
        <v>0.5</v>
      </c>
      <c r="D49" s="371"/>
      <c r="K49" s="215">
        <v>8.52</v>
      </c>
      <c r="U49"/>
      <c r="V49"/>
      <c r="W49"/>
      <c r="X49"/>
      <c r="Y49"/>
    </row>
    <row r="50" spans="1:25" ht="15.5">
      <c r="A50" s="1251">
        <v>2</v>
      </c>
      <c r="B50" s="1255">
        <f>F13</f>
        <v>12.27</v>
      </c>
      <c r="C50" s="1253">
        <f t="shared" si="3"/>
        <v>8.17</v>
      </c>
      <c r="D50" s="371"/>
      <c r="K50" s="215">
        <v>9.82</v>
      </c>
      <c r="U50"/>
      <c r="V50"/>
      <c r="W50"/>
      <c r="X50"/>
      <c r="Y50"/>
    </row>
    <row r="51" spans="1:25" ht="15.5">
      <c r="A51" s="1251">
        <v>3</v>
      </c>
      <c r="B51" s="1255">
        <f>F15</f>
        <v>6.72</v>
      </c>
      <c r="C51" s="1253">
        <f t="shared" si="3"/>
        <v>18.39</v>
      </c>
      <c r="D51" s="371"/>
      <c r="K51" s="215">
        <v>13.71</v>
      </c>
      <c r="U51"/>
      <c r="V51"/>
      <c r="W51"/>
      <c r="X51"/>
      <c r="Y51"/>
    </row>
    <row r="52" spans="1:25" ht="15.5">
      <c r="A52" s="1251">
        <v>4</v>
      </c>
      <c r="B52" s="1255">
        <f>F16</f>
        <v>25.34</v>
      </c>
      <c r="C52" s="1253">
        <f t="shared" si="3"/>
        <v>28.61</v>
      </c>
      <c r="D52" s="371"/>
      <c r="K52" s="215">
        <v>18.899999999999999</v>
      </c>
      <c r="U52"/>
      <c r="V52"/>
      <c r="W52"/>
      <c r="X52"/>
      <c r="Y52"/>
    </row>
    <row r="53" spans="1:25" ht="15.5">
      <c r="A53" s="1251">
        <v>6</v>
      </c>
      <c r="B53" s="1255">
        <f>F17</f>
        <v>36.85</v>
      </c>
      <c r="C53" s="1253">
        <f t="shared" si="3"/>
        <v>49.05</v>
      </c>
      <c r="D53" s="371"/>
      <c r="K53" s="215">
        <v>24.09</v>
      </c>
      <c r="U53"/>
      <c r="V53"/>
      <c r="W53"/>
      <c r="X53"/>
      <c r="Y53"/>
    </row>
    <row r="54" spans="1:25" ht="15.5">
      <c r="A54" s="1251">
        <v>8</v>
      </c>
      <c r="B54" s="1255">
        <f>F18</f>
        <v>70.489999999999995</v>
      </c>
      <c r="C54" s="1253">
        <f t="shared" si="3"/>
        <v>69.489999999999995</v>
      </c>
      <c r="D54" s="371"/>
      <c r="K54" s="215">
        <v>34.47</v>
      </c>
      <c r="U54"/>
      <c r="V54"/>
      <c r="W54"/>
      <c r="X54"/>
      <c r="Y54"/>
    </row>
    <row r="55" spans="1:25" ht="15.5">
      <c r="A55" s="1251">
        <v>12</v>
      </c>
      <c r="B55" s="1255">
        <f>F20</f>
        <v>117.73</v>
      </c>
      <c r="C55" s="1253">
        <f t="shared" si="3"/>
        <v>110.37</v>
      </c>
      <c r="D55" s="371"/>
      <c r="K55" s="215">
        <v>44.85</v>
      </c>
      <c r="U55"/>
      <c r="V55"/>
      <c r="W55"/>
      <c r="X55"/>
      <c r="Y55"/>
    </row>
    <row r="56" spans="1:25" ht="15.5">
      <c r="A56" s="371"/>
      <c r="B56" s="371"/>
      <c r="C56" s="371"/>
      <c r="D56" s="371"/>
      <c r="K56" s="215">
        <v>65.62</v>
      </c>
      <c r="U56"/>
      <c r="V56"/>
      <c r="W56"/>
      <c r="X56"/>
      <c r="Y56"/>
    </row>
    <row r="57" spans="1:25" ht="15.5">
      <c r="A57" s="1256" t="s">
        <v>343</v>
      </c>
      <c r="B57" s="371"/>
      <c r="C57" s="1253" t="s">
        <v>343</v>
      </c>
      <c r="D57" s="1253" t="s">
        <v>343</v>
      </c>
      <c r="U57"/>
      <c r="V57"/>
      <c r="W57"/>
      <c r="X57"/>
      <c r="Y57"/>
    </row>
    <row r="58" spans="1:25" ht="15.5">
      <c r="A58" s="371"/>
      <c r="B58" s="1257" t="s">
        <v>689</v>
      </c>
      <c r="C58" s="371"/>
      <c r="D58" s="371"/>
      <c r="U58"/>
      <c r="V58"/>
      <c r="W58"/>
      <c r="X58"/>
      <c r="Y58"/>
    </row>
    <row r="59" spans="1:25" ht="15.5">
      <c r="A59" s="1257" t="s">
        <v>690</v>
      </c>
      <c r="B59" s="371"/>
      <c r="C59" s="371"/>
      <c r="D59" s="1253">
        <f>INTERCEPT($B$48:$B$55,$A$48:$A$55)</f>
        <v>-12.273634763981327</v>
      </c>
      <c r="F59" s="279"/>
      <c r="U59"/>
      <c r="V59"/>
      <c r="W59"/>
      <c r="X59"/>
      <c r="Y59"/>
    </row>
    <row r="60" spans="1:25">
      <c r="A60" s="1257" t="s">
        <v>691</v>
      </c>
      <c r="B60" s="371"/>
      <c r="C60" s="371"/>
      <c r="D60" s="1253">
        <f>STEYX(B48:B55,A48:A55)</f>
        <v>8.9170742799889009</v>
      </c>
    </row>
    <row r="61" spans="1:25">
      <c r="A61" s="1257" t="s">
        <v>692</v>
      </c>
      <c r="B61" s="371"/>
      <c r="C61" s="371"/>
      <c r="D61" s="1253">
        <f>RSQ(A48:A55,B48:B55)</f>
        <v>0.95718847261247153</v>
      </c>
    </row>
    <row r="62" spans="1:25">
      <c r="A62" s="1257" t="s">
        <v>693</v>
      </c>
      <c r="B62" s="371"/>
      <c r="C62" s="371"/>
      <c r="D62" s="1253">
        <v>8</v>
      </c>
    </row>
    <row r="63" spans="1:25">
      <c r="A63" s="1257" t="s">
        <v>694</v>
      </c>
      <c r="B63" s="371"/>
      <c r="C63" s="371"/>
      <c r="D63" s="1253">
        <v>7</v>
      </c>
    </row>
    <row r="64" spans="1:25">
      <c r="A64" s="371"/>
      <c r="B64" s="371"/>
      <c r="C64" s="371"/>
      <c r="D64" s="371"/>
    </row>
    <row r="65" spans="1:29">
      <c r="A65" s="1257" t="s">
        <v>695</v>
      </c>
      <c r="B65" s="371"/>
      <c r="C65" s="1253">
        <f>INDEX(LINEST(B48:B55,A48:A55),1)</f>
        <v>10.220377935888608</v>
      </c>
      <c r="D65" s="1253"/>
    </row>
    <row r="66" spans="1:29">
      <c r="A66" s="1257" t="s">
        <v>696</v>
      </c>
      <c r="B66" s="371"/>
      <c r="C66" s="1253">
        <f>PEARSON(A48:A55,B48:B55)</f>
        <v>0.97836009353022535</v>
      </c>
      <c r="D66" s="371"/>
    </row>
    <row r="68" spans="1:29">
      <c r="U68" s="44"/>
      <c r="V68" s="44"/>
      <c r="W68" s="44"/>
      <c r="X68" s="44"/>
      <c r="Y68" s="44"/>
      <c r="Z68" s="44"/>
      <c r="AA68" s="44"/>
      <c r="AB68" s="44"/>
    </row>
    <row r="69" spans="1:29">
      <c r="U69" s="44"/>
      <c r="V69" s="44"/>
      <c r="W69" s="44"/>
      <c r="X69" s="44"/>
      <c r="Y69" s="44"/>
      <c r="Z69" s="44"/>
      <c r="AA69" s="44"/>
      <c r="AB69" s="44"/>
    </row>
    <row r="70" spans="1:29" ht="15.5">
      <c r="U70" s="3"/>
      <c r="V70" s="3"/>
      <c r="W70" s="3"/>
      <c r="X70" s="3"/>
      <c r="Y70" s="3"/>
      <c r="Z70" s="3"/>
      <c r="AA70" s="3"/>
      <c r="AB70" s="3"/>
      <c r="AC70"/>
    </row>
    <row r="71" spans="1:29" ht="15.5">
      <c r="U71" s="3"/>
      <c r="V71" s="3"/>
      <c r="W71" s="3"/>
      <c r="X71" s="3"/>
      <c r="Y71" s="3"/>
      <c r="Z71" s="3"/>
      <c r="AA71" s="3"/>
      <c r="AB71" s="3"/>
      <c r="AC71"/>
    </row>
    <row r="72" spans="1:29" ht="15.5">
      <c r="U72" s="772"/>
      <c r="V72" s="772"/>
      <c r="W72" s="3"/>
      <c r="X72" s="3"/>
      <c r="Y72" s="3"/>
      <c r="Z72" s="3"/>
      <c r="AA72" s="3"/>
      <c r="AB72" s="3"/>
      <c r="AC72"/>
    </row>
    <row r="73" spans="1:29" ht="15.5">
      <c r="U73" s="435"/>
      <c r="V73" s="435"/>
      <c r="W73" s="3"/>
      <c r="X73" s="3"/>
      <c r="Y73" s="3"/>
      <c r="Z73" s="3"/>
      <c r="AA73" s="3"/>
      <c r="AB73" s="3"/>
      <c r="AC73"/>
    </row>
    <row r="74" spans="1:29" ht="15.5">
      <c r="U74" s="435"/>
      <c r="V74" s="435"/>
      <c r="W74" s="3"/>
      <c r="X74" s="3"/>
      <c r="Y74" s="3"/>
      <c r="Z74" s="3"/>
      <c r="AA74" s="3"/>
      <c r="AB74" s="3"/>
      <c r="AC74"/>
    </row>
    <row r="75" spans="1:29" ht="15.5">
      <c r="U75" s="435"/>
      <c r="V75" s="435"/>
      <c r="W75" s="3"/>
      <c r="X75" s="3"/>
      <c r="Y75" s="3"/>
      <c r="Z75" s="3"/>
      <c r="AA75" s="3"/>
      <c r="AB75" s="3"/>
      <c r="AC75"/>
    </row>
    <row r="76" spans="1:29" ht="15.5">
      <c r="U76" s="435"/>
      <c r="V76" s="435"/>
      <c r="W76" s="3"/>
      <c r="X76" s="3"/>
      <c r="Y76" s="3"/>
      <c r="Z76" s="3"/>
      <c r="AA76" s="3"/>
      <c r="AB76" s="3"/>
      <c r="AC76"/>
    </row>
    <row r="77" spans="1:29" ht="15.5">
      <c r="U77" s="435"/>
      <c r="V77" s="435"/>
      <c r="W77" s="3"/>
      <c r="X77" s="3"/>
      <c r="Y77" s="3"/>
      <c r="Z77" s="3"/>
      <c r="AA77" s="3"/>
      <c r="AB77" s="3"/>
      <c r="AC77"/>
    </row>
    <row r="78" spans="1:29" ht="15.5">
      <c r="U78" s="3"/>
      <c r="V78" s="3"/>
      <c r="W78" s="3"/>
      <c r="X78" s="3"/>
      <c r="Y78" s="3"/>
      <c r="Z78" s="3"/>
      <c r="AA78" s="3"/>
      <c r="AB78" s="3"/>
      <c r="AC78"/>
    </row>
    <row r="79" spans="1:29" ht="15.5">
      <c r="U79"/>
      <c r="V79"/>
      <c r="W79"/>
      <c r="X79"/>
      <c r="Y79"/>
      <c r="Z79"/>
      <c r="AA79"/>
      <c r="AB79"/>
      <c r="AC79"/>
    </row>
    <row r="80" spans="1:29" ht="15.5">
      <c r="U80"/>
      <c r="V80"/>
      <c r="W80"/>
      <c r="X80"/>
      <c r="Y80"/>
      <c r="Z80"/>
      <c r="AA80"/>
      <c r="AB80"/>
      <c r="AC80"/>
    </row>
    <row r="81" spans="1:29" ht="15.5">
      <c r="U81"/>
      <c r="V81"/>
      <c r="W81"/>
      <c r="X81"/>
      <c r="Y81"/>
      <c r="Z81"/>
      <c r="AA81"/>
      <c r="AB81"/>
      <c r="AC81"/>
    </row>
    <row r="82" spans="1:29" ht="15.5">
      <c r="A82" s="217"/>
      <c r="U82"/>
      <c r="V82"/>
      <c r="W82"/>
      <c r="X82"/>
      <c r="Y82"/>
      <c r="Z82"/>
      <c r="AA82"/>
      <c r="AB82"/>
      <c r="AC82"/>
    </row>
    <row r="83" spans="1:29" ht="15.5">
      <c r="U83"/>
      <c r="V83"/>
      <c r="W83"/>
      <c r="X83"/>
      <c r="Y83"/>
      <c r="Z83"/>
      <c r="AA83"/>
      <c r="AB83"/>
      <c r="AC83"/>
    </row>
    <row r="84" spans="1:29" ht="15.5">
      <c r="U84"/>
      <c r="V84"/>
      <c r="W84"/>
      <c r="X84"/>
      <c r="Y84"/>
      <c r="Z84"/>
      <c r="AA84"/>
      <c r="AB84"/>
      <c r="AC84"/>
    </row>
    <row r="85" spans="1:29" ht="15.5">
      <c r="U85"/>
      <c r="V85"/>
      <c r="W85"/>
      <c r="X85"/>
      <c r="Y85"/>
      <c r="Z85"/>
      <c r="AA85"/>
      <c r="AB85"/>
      <c r="AC85"/>
    </row>
    <row r="86" spans="1:29" ht="15.5">
      <c r="U86"/>
      <c r="V86"/>
      <c r="W86"/>
      <c r="X86"/>
      <c r="Y86"/>
      <c r="Z86"/>
      <c r="AA86"/>
      <c r="AB86"/>
      <c r="AC86"/>
    </row>
    <row r="87" spans="1:29" ht="15.5">
      <c r="A87" s="147"/>
      <c r="U87"/>
      <c r="V87"/>
      <c r="W87"/>
      <c r="X87"/>
      <c r="Y87"/>
      <c r="Z87"/>
      <c r="AA87"/>
      <c r="AB87"/>
      <c r="AC87"/>
    </row>
    <row r="88" spans="1:29" ht="15.5">
      <c r="A88" s="279"/>
      <c r="U88"/>
      <c r="V88"/>
      <c r="W88"/>
      <c r="X88"/>
      <c r="Y88"/>
      <c r="Z88"/>
      <c r="AA88"/>
      <c r="AB88"/>
      <c r="AC88"/>
    </row>
    <row r="89" spans="1:29" ht="15.5">
      <c r="U89"/>
      <c r="V89"/>
      <c r="W89"/>
      <c r="X89"/>
      <c r="Y89"/>
      <c r="Z89"/>
      <c r="AA89"/>
      <c r="AB89"/>
      <c r="AC89"/>
    </row>
    <row r="90" spans="1:29" ht="15.5">
      <c r="U90"/>
      <c r="V90"/>
      <c r="W90"/>
      <c r="X90"/>
      <c r="Y90"/>
      <c r="Z90"/>
      <c r="AA90"/>
      <c r="AB90"/>
      <c r="AC90"/>
    </row>
    <row r="91" spans="1:29" ht="15.5">
      <c r="U91"/>
      <c r="V91"/>
      <c r="W91"/>
      <c r="X91"/>
      <c r="Y91"/>
      <c r="Z91"/>
      <c r="AA91"/>
      <c r="AB91"/>
      <c r="AC91"/>
    </row>
    <row r="92" spans="1:29" ht="15.5">
      <c r="U92"/>
      <c r="V92"/>
      <c r="W92"/>
      <c r="X92"/>
      <c r="Y92"/>
      <c r="Z92"/>
      <c r="AA92"/>
      <c r="AB92"/>
      <c r="AC92"/>
    </row>
    <row r="93" spans="1:29" ht="15.5">
      <c r="U93"/>
      <c r="V93"/>
      <c r="W93"/>
      <c r="X93"/>
      <c r="Y93"/>
      <c r="Z93"/>
      <c r="AA93"/>
      <c r="AB93"/>
      <c r="AC93"/>
    </row>
    <row r="94" spans="1:29" ht="15.5">
      <c r="U94"/>
      <c r="V94"/>
      <c r="W94"/>
      <c r="X94"/>
      <c r="Y94"/>
      <c r="Z94"/>
      <c r="AA94"/>
      <c r="AB94"/>
      <c r="AC94"/>
    </row>
    <row r="95" spans="1:29" ht="15.5">
      <c r="U95"/>
      <c r="V95"/>
      <c r="W95"/>
      <c r="X95"/>
      <c r="Y95"/>
      <c r="Z95"/>
      <c r="AA95"/>
      <c r="AB95"/>
      <c r="AC95"/>
    </row>
    <row r="96" spans="1:29" ht="15.5">
      <c r="U96"/>
      <c r="V96"/>
      <c r="W96"/>
      <c r="X96"/>
      <c r="Y96"/>
      <c r="Z96"/>
      <c r="AA96"/>
      <c r="AB96"/>
      <c r="AC96"/>
    </row>
    <row r="97" spans="11:29" ht="15.5">
      <c r="U97"/>
      <c r="V97"/>
      <c r="W97"/>
      <c r="X97"/>
      <c r="Y97"/>
      <c r="Z97"/>
      <c r="AA97"/>
      <c r="AB97"/>
      <c r="AC97"/>
    </row>
    <row r="98" spans="11:29" ht="15.5">
      <c r="U98"/>
      <c r="V98"/>
      <c r="W98"/>
      <c r="X98"/>
      <c r="Y98"/>
      <c r="Z98"/>
      <c r="AA98"/>
      <c r="AB98"/>
      <c r="AC98"/>
    </row>
    <row r="99" spans="11:29" ht="15.5">
      <c r="U99"/>
      <c r="V99"/>
      <c r="W99"/>
      <c r="X99"/>
      <c r="Y99"/>
      <c r="Z99"/>
      <c r="AA99"/>
      <c r="AB99"/>
      <c r="AC99"/>
    </row>
    <row r="100" spans="11:29" ht="15.5">
      <c r="U100"/>
      <c r="V100"/>
      <c r="W100"/>
      <c r="X100"/>
      <c r="Y100"/>
      <c r="Z100"/>
      <c r="AA100"/>
      <c r="AB100"/>
      <c r="AC100"/>
    </row>
    <row r="101" spans="11:29" ht="15.5">
      <c r="U101"/>
      <c r="V101"/>
      <c r="W101"/>
      <c r="X101"/>
      <c r="Y101"/>
      <c r="Z101"/>
      <c r="AA101"/>
      <c r="AB101"/>
      <c r="AC101"/>
    </row>
    <row r="102" spans="11:29" ht="15.5">
      <c r="U102"/>
      <c r="V102"/>
      <c r="W102"/>
      <c r="X102"/>
      <c r="Y102"/>
      <c r="Z102"/>
      <c r="AA102"/>
      <c r="AB102"/>
      <c r="AC102"/>
    </row>
    <row r="103" spans="11:29" ht="16" thickBot="1">
      <c r="U103"/>
      <c r="V103"/>
      <c r="W103"/>
      <c r="X103"/>
      <c r="Y103"/>
      <c r="Z103"/>
      <c r="AA103"/>
      <c r="AB103"/>
      <c r="AC103"/>
    </row>
    <row r="104" spans="11:29" ht="15.5">
      <c r="K104" s="275" t="s">
        <v>675</v>
      </c>
      <c r="U104"/>
      <c r="V104"/>
      <c r="W104"/>
      <c r="X104"/>
      <c r="Y104"/>
      <c r="Z104"/>
      <c r="AA104"/>
      <c r="AB104"/>
      <c r="AC104"/>
    </row>
    <row r="105" spans="11:29" ht="15.5">
      <c r="K105" s="272">
        <v>3.3313955643927513</v>
      </c>
      <c r="U105"/>
      <c r="V105"/>
      <c r="W105"/>
      <c r="X105"/>
      <c r="Y105"/>
      <c r="Z105"/>
      <c r="AA105"/>
      <c r="AB105"/>
      <c r="AC105"/>
    </row>
    <row r="106" spans="11:29" ht="16" thickBot="1">
      <c r="K106" s="273">
        <v>5.1912552593634409</v>
      </c>
      <c r="U106"/>
      <c r="V106"/>
      <c r="W106"/>
      <c r="X106"/>
      <c r="Y106"/>
      <c r="Z106"/>
      <c r="AA106"/>
      <c r="AB106"/>
      <c r="AC106"/>
    </row>
    <row r="107" spans="11:29" ht="15.5">
      <c r="U107"/>
      <c r="V107"/>
      <c r="W107"/>
      <c r="X107"/>
      <c r="Y107"/>
      <c r="Z107"/>
      <c r="AA107"/>
      <c r="AB107"/>
      <c r="AC107"/>
    </row>
    <row r="108" spans="11:29" ht="15.5">
      <c r="U108"/>
      <c r="V108"/>
      <c r="W108"/>
      <c r="X108"/>
      <c r="Y108"/>
      <c r="Z108"/>
      <c r="AA108"/>
      <c r="AB108"/>
      <c r="AC108"/>
    </row>
    <row r="109" spans="11:29" ht="15.5">
      <c r="U109"/>
      <c r="V109"/>
      <c r="W109"/>
      <c r="X109"/>
      <c r="Y109"/>
      <c r="Z109"/>
      <c r="AA109"/>
      <c r="AB109"/>
      <c r="AC109"/>
    </row>
    <row r="110" spans="11:29" ht="15.5">
      <c r="U110"/>
      <c r="V110"/>
      <c r="W110"/>
      <c r="X110"/>
      <c r="Y110"/>
      <c r="Z110"/>
      <c r="AA110"/>
      <c r="AB110"/>
      <c r="AC110"/>
    </row>
    <row r="111" spans="11:29" ht="15.5">
      <c r="U111"/>
      <c r="V111"/>
      <c r="W111"/>
      <c r="X111"/>
      <c r="Y111"/>
      <c r="Z111"/>
      <c r="AA111"/>
      <c r="AB111"/>
      <c r="AC111"/>
    </row>
    <row r="112" spans="11:29" ht="15.5">
      <c r="U112"/>
      <c r="V112"/>
      <c r="W112"/>
      <c r="X112"/>
      <c r="Y112"/>
      <c r="Z112"/>
      <c r="AA112"/>
      <c r="AB112"/>
      <c r="AC112"/>
    </row>
    <row r="113" spans="21:29" ht="15.5">
      <c r="U113"/>
      <c r="V113"/>
      <c r="W113"/>
      <c r="X113"/>
      <c r="Y113"/>
      <c r="Z113"/>
      <c r="AA113"/>
      <c r="AB113"/>
      <c r="AC113"/>
    </row>
    <row r="114" spans="21:29" ht="15.5">
      <c r="U114"/>
      <c r="V114"/>
      <c r="W114"/>
      <c r="X114"/>
      <c r="Y114"/>
      <c r="Z114"/>
      <c r="AA114"/>
      <c r="AB114"/>
      <c r="AC114"/>
    </row>
    <row r="115" spans="21:29" ht="15.5">
      <c r="U115"/>
      <c r="V115"/>
      <c r="W115"/>
      <c r="X115"/>
      <c r="Y115"/>
      <c r="Z115"/>
      <c r="AA115"/>
      <c r="AB115"/>
      <c r="AC115"/>
    </row>
    <row r="116" spans="21:29" ht="15.5">
      <c r="U116" s="773"/>
      <c r="V116" s="773"/>
      <c r="W116" s="773"/>
      <c r="X116" s="773"/>
      <c r="Y116" s="773"/>
      <c r="Z116" s="773"/>
      <c r="AA116" s="3"/>
      <c r="AB116" s="3"/>
      <c r="AC116"/>
    </row>
    <row r="117" spans="21:29" ht="15.5">
      <c r="U117" s="435"/>
      <c r="V117" s="435"/>
      <c r="W117" s="435"/>
      <c r="X117" s="435"/>
      <c r="Y117" s="435"/>
      <c r="Z117" s="435"/>
      <c r="AA117" s="3"/>
      <c r="AB117" s="3"/>
      <c r="AC117"/>
    </row>
    <row r="118" spans="21:29" ht="15.5">
      <c r="U118" s="435"/>
      <c r="V118" s="435"/>
      <c r="W118" s="435"/>
      <c r="X118" s="435"/>
      <c r="Y118" s="435"/>
      <c r="Z118" s="435"/>
      <c r="AA118" s="3"/>
      <c r="AB118" s="3"/>
      <c r="AC118"/>
    </row>
    <row r="119" spans="21:29" ht="15.5">
      <c r="U119" s="435"/>
      <c r="V119" s="435"/>
      <c r="W119" s="435"/>
      <c r="X119" s="435"/>
      <c r="Y119" s="435"/>
      <c r="Z119" s="435"/>
      <c r="AA119" s="3"/>
      <c r="AB119" s="3"/>
      <c r="AC119"/>
    </row>
    <row r="120" spans="21:29" ht="16" thickBot="1">
      <c r="U120" s="3"/>
      <c r="V120" s="3"/>
      <c r="W120" s="3"/>
      <c r="X120" s="3"/>
      <c r="Y120" s="3"/>
      <c r="Z120" s="3"/>
      <c r="AA120" s="3"/>
      <c r="AB120" s="3"/>
      <c r="AC120"/>
    </row>
    <row r="121" spans="21:29" ht="15.5">
      <c r="U121" s="773"/>
      <c r="V121" s="773"/>
      <c r="W121" s="773"/>
      <c r="X121" s="773"/>
      <c r="Y121" s="773"/>
      <c r="Z121" s="773"/>
      <c r="AA121" s="773"/>
      <c r="AB121" s="773"/>
      <c r="AC121" s="437" t="s">
        <v>675</v>
      </c>
    </row>
    <row r="122" spans="21:29" ht="15.5">
      <c r="U122" s="435"/>
      <c r="V122" s="435"/>
      <c r="W122" s="435"/>
      <c r="X122" s="435"/>
      <c r="Y122" s="435"/>
      <c r="Z122" s="435"/>
      <c r="AA122" s="435"/>
      <c r="AB122" s="435"/>
      <c r="AC122" s="435">
        <v>3.037129104498856</v>
      </c>
    </row>
    <row r="123" spans="21:29" ht="16" thickBot="1">
      <c r="U123" s="435"/>
      <c r="V123" s="435"/>
      <c r="W123" s="435"/>
      <c r="X123" s="435"/>
      <c r="Y123" s="435"/>
      <c r="Z123" s="435"/>
      <c r="AA123" s="435"/>
      <c r="AB123" s="435"/>
      <c r="AC123" s="436">
        <v>14.132179261512068</v>
      </c>
    </row>
    <row r="124" spans="21:29" ht="15.5">
      <c r="U124" s="3"/>
      <c r="V124" s="3"/>
      <c r="W124" s="3"/>
      <c r="X124" s="3"/>
      <c r="Y124" s="3"/>
      <c r="Z124" s="3"/>
      <c r="AA124" s="3"/>
      <c r="AB124" s="3"/>
      <c r="AC124"/>
    </row>
    <row r="125" spans="21:29" ht="15.5">
      <c r="U125"/>
      <c r="V125"/>
      <c r="W125"/>
      <c r="X125"/>
      <c r="Y125"/>
      <c r="Z125"/>
      <c r="AA125"/>
      <c r="AB125"/>
      <c r="AC125"/>
    </row>
    <row r="126" spans="21:29" ht="15.5">
      <c r="U126"/>
      <c r="V126"/>
      <c r="W126"/>
      <c r="X126"/>
      <c r="Y126"/>
      <c r="Z126"/>
      <c r="AA126"/>
      <c r="AB126"/>
      <c r="AC126"/>
    </row>
  </sheetData>
  <pageMargins left="1" right="1" top="1" bottom="1" header="0.5" footer="0.5"/>
  <pageSetup scale="72" orientation="portrait" blackAndWhite="1" horizontalDpi="300" verticalDpi="300" r:id="rId1"/>
  <headerFooter alignWithMargins="0"/>
  <colBreaks count="1" manualBreakCount="1">
    <brk id="10" max="104857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41">
    <tabColor rgb="FF92D050"/>
    <pageSetUpPr fitToPage="1"/>
  </sheetPr>
  <dimension ref="A1:L33"/>
  <sheetViews>
    <sheetView topLeftCell="A7" workbookViewId="0">
      <selection activeCell="B12" sqref="B12"/>
    </sheetView>
  </sheetViews>
  <sheetFormatPr defaultColWidth="7.07421875" defaultRowHeight="12.5"/>
  <cols>
    <col min="1" max="1" width="10.23046875" style="251" bestFit="1" customWidth="1"/>
    <col min="2" max="2" width="13" style="251" customWidth="1"/>
    <col min="3" max="3" width="13.765625" style="251" customWidth="1"/>
    <col min="4" max="4" width="12.765625" style="251" bestFit="1" customWidth="1"/>
    <col min="5" max="5" width="7.07421875" style="251" customWidth="1"/>
    <col min="6" max="6" width="8.23046875" style="251" customWidth="1"/>
    <col min="7" max="7" width="8.53515625" style="251" customWidth="1"/>
    <col min="8" max="8" width="9.765625" style="251" customWidth="1"/>
    <col min="9" max="16384" width="7.07421875" style="251"/>
  </cols>
  <sheetData>
    <row r="1" spans="1:9" ht="13">
      <c r="A1" s="195" t="str">
        <f>co_name</f>
        <v>DUKE ENERGY KENTUCKY, INC.</v>
      </c>
      <c r="B1" s="215"/>
      <c r="C1" s="215"/>
      <c r="D1" s="215"/>
      <c r="E1" s="215"/>
      <c r="F1" s="10" t="s">
        <v>1465</v>
      </c>
      <c r="G1" s="215"/>
      <c r="I1" s="215"/>
    </row>
    <row r="2" spans="1:9" ht="13">
      <c r="A2" s="195" t="str">
        <f>coss_type</f>
        <v xml:space="preserve">GAS COST OF SERVICE STUDY </v>
      </c>
      <c r="B2" s="215"/>
      <c r="C2" s="215"/>
      <c r="D2" s="217"/>
      <c r="E2" s="215"/>
      <c r="F2" s="10" t="str">
        <f>'Alloc Factors Summary'!G2</f>
        <v>Witness Responsible:</v>
      </c>
      <c r="G2" s="215"/>
      <c r="I2" s="215"/>
    </row>
    <row r="3" spans="1:9" ht="13">
      <c r="A3" s="195" t="str">
        <f>case_name</f>
        <v>CASE NO: 2021-00190</v>
      </c>
      <c r="B3" s="215"/>
      <c r="C3" s="215"/>
      <c r="D3" s="215"/>
      <c r="E3" s="215"/>
      <c r="F3" s="10" t="str">
        <f>'Alloc Factors Summary'!G3</f>
        <v>James E. Ziolkowski</v>
      </c>
      <c r="G3" s="215"/>
      <c r="I3" s="215"/>
    </row>
    <row r="4" spans="1:9" ht="13">
      <c r="A4" s="10" t="str">
        <f>alloc_factors</f>
        <v>ALLOCATION FACTORS FOR COST OF SERVICE STUDY</v>
      </c>
      <c r="B4" s="215"/>
      <c r="C4" s="215"/>
      <c r="D4" s="215"/>
      <c r="E4" s="215"/>
      <c r="F4" s="10" t="s">
        <v>571</v>
      </c>
      <c r="G4" s="215"/>
      <c r="I4" s="215"/>
    </row>
    <row r="5" spans="1:9" ht="13">
      <c r="A5" s="10" t="str">
        <f>time_period</f>
        <v>TWELVE MONTHS ENDING DECEMBER 31, 2020</v>
      </c>
      <c r="B5" s="215"/>
      <c r="C5" s="215"/>
      <c r="D5" s="215"/>
      <c r="E5" s="215"/>
      <c r="F5" s="1274">
        <f ca="1">TODAY()</f>
        <v>44420</v>
      </c>
      <c r="G5" s="215"/>
      <c r="H5" s="215"/>
      <c r="I5" s="215"/>
    </row>
    <row r="6" spans="1:9" ht="13">
      <c r="A6" s="197" t="s">
        <v>829</v>
      </c>
    </row>
    <row r="8" spans="1:9">
      <c r="C8" s="774" t="s">
        <v>1486</v>
      </c>
    </row>
    <row r="10" spans="1:9" ht="13">
      <c r="A10" s="320" t="s">
        <v>697</v>
      </c>
      <c r="B10" s="321" t="s">
        <v>698</v>
      </c>
      <c r="C10" s="322" t="s">
        <v>699</v>
      </c>
      <c r="D10" s="321" t="s">
        <v>700</v>
      </c>
    </row>
    <row r="11" spans="1:9">
      <c r="A11" s="1258" t="s">
        <v>701</v>
      </c>
      <c r="B11" s="1259">
        <f t="shared" ref="B11:B18" si="0">VLOOKUP(A11,Mains,2,FALSE)</f>
        <v>21180</v>
      </c>
      <c r="C11" s="1260">
        <f t="shared" ref="C11:C18" si="1">VLOOKUP(A11,Mains,3,FALSE)</f>
        <v>186294.33000000005</v>
      </c>
      <c r="D11" s="1261">
        <f>ROUND(C11/B11,2)</f>
        <v>8.8000000000000007</v>
      </c>
    </row>
    <row r="12" spans="1:9">
      <c r="A12" s="1258" t="s">
        <v>702</v>
      </c>
      <c r="B12" s="1259">
        <f t="shared" si="0"/>
        <v>381596</v>
      </c>
      <c r="C12" s="1259">
        <f t="shared" si="1"/>
        <v>1650156.44</v>
      </c>
      <c r="D12" s="1261">
        <f t="shared" ref="D12:D18" si="2">ROUND(C12/B12,2)</f>
        <v>4.32</v>
      </c>
    </row>
    <row r="13" spans="1:9">
      <c r="A13" s="1258" t="s">
        <v>703</v>
      </c>
      <c r="B13" s="1259">
        <f t="shared" si="0"/>
        <v>25638</v>
      </c>
      <c r="C13" s="1259">
        <f t="shared" si="1"/>
        <v>3018449.5500000003</v>
      </c>
      <c r="D13" s="1261">
        <f t="shared" si="2"/>
        <v>117.73</v>
      </c>
    </row>
    <row r="14" spans="1:9">
      <c r="A14" s="1258" t="s">
        <v>704</v>
      </c>
      <c r="B14" s="1259">
        <f t="shared" si="0"/>
        <v>1833242</v>
      </c>
      <c r="C14" s="1259">
        <f t="shared" si="1"/>
        <v>22496177.629999999</v>
      </c>
      <c r="D14" s="1261">
        <f t="shared" si="2"/>
        <v>12.27</v>
      </c>
    </row>
    <row r="15" spans="1:9">
      <c r="A15" s="1258" t="s">
        <v>705</v>
      </c>
      <c r="B15" s="1259">
        <f t="shared" si="0"/>
        <v>61034</v>
      </c>
      <c r="C15" s="1259">
        <f t="shared" si="1"/>
        <v>410343.4800000001</v>
      </c>
      <c r="D15" s="1261">
        <f t="shared" si="2"/>
        <v>6.72</v>
      </c>
    </row>
    <row r="16" spans="1:9">
      <c r="A16" s="1258" t="s">
        <v>706</v>
      </c>
      <c r="B16" s="1259">
        <f t="shared" si="0"/>
        <v>1506612</v>
      </c>
      <c r="C16" s="1259">
        <f t="shared" si="1"/>
        <v>38170097.490000002</v>
      </c>
      <c r="D16" s="1261">
        <f t="shared" si="2"/>
        <v>25.34</v>
      </c>
    </row>
    <row r="17" spans="1:12">
      <c r="A17" s="1258" t="s">
        <v>707</v>
      </c>
      <c r="B17" s="1259">
        <f t="shared" si="0"/>
        <v>534685</v>
      </c>
      <c r="C17" s="1259">
        <f t="shared" si="1"/>
        <v>19700828.649999999</v>
      </c>
      <c r="D17" s="1261">
        <f t="shared" si="2"/>
        <v>36.85</v>
      </c>
    </row>
    <row r="18" spans="1:12">
      <c r="A18" s="1258" t="s">
        <v>708</v>
      </c>
      <c r="B18" s="1259">
        <f t="shared" si="0"/>
        <v>195586</v>
      </c>
      <c r="C18" s="1259">
        <f t="shared" si="1"/>
        <v>13786094.08</v>
      </c>
      <c r="D18" s="1261">
        <f t="shared" si="2"/>
        <v>70.489999999999995</v>
      </c>
    </row>
    <row r="19" spans="1:12" ht="13">
      <c r="A19" s="320" t="s">
        <v>709</v>
      </c>
      <c r="B19" s="323">
        <f>SUM(B11:B18)</f>
        <v>4559573</v>
      </c>
      <c r="C19" s="324">
        <f>SUM(C11:C18)</f>
        <v>99418441.649999991</v>
      </c>
      <c r="D19" s="325"/>
    </row>
    <row r="22" spans="1:12">
      <c r="A22" s="251" t="s">
        <v>710</v>
      </c>
      <c r="D22" s="1208">
        <f>MIN(D11:D18)</f>
        <v>4.32</v>
      </c>
      <c r="I22" s="774" t="s">
        <v>1035</v>
      </c>
      <c r="J22" s="774"/>
      <c r="K22" s="774"/>
      <c r="L22" s="774"/>
    </row>
    <row r="24" spans="1:12">
      <c r="A24" s="251" t="s">
        <v>711</v>
      </c>
      <c r="C24" s="134" t="s">
        <v>712</v>
      </c>
      <c r="D24" s="257">
        <f>B19</f>
        <v>4559573</v>
      </c>
    </row>
    <row r="26" spans="1:12">
      <c r="A26" s="251" t="s">
        <v>713</v>
      </c>
      <c r="D26" s="258">
        <f>ROUND(D22*D24,0)</f>
        <v>19697355</v>
      </c>
    </row>
    <row r="28" spans="1:12">
      <c r="A28" s="251" t="s">
        <v>714</v>
      </c>
      <c r="C28" s="134" t="s">
        <v>715</v>
      </c>
      <c r="D28" s="259">
        <f>C19</f>
        <v>99418441.649999991</v>
      </c>
    </row>
    <row r="30" spans="1:12" ht="13.5" thickBot="1">
      <c r="A30" s="251" t="s">
        <v>716</v>
      </c>
      <c r="D30" s="135">
        <f>ROUND(D26/D28,4)</f>
        <v>0.1981</v>
      </c>
    </row>
    <row r="31" spans="1:12" ht="13" thickTop="1"/>
    <row r="33" spans="1:1">
      <c r="A33" s="251" t="s">
        <v>960</v>
      </c>
    </row>
  </sheetData>
  <pageMargins left="0.75" right="0.75" top="1" bottom="1" header="0.5" footer="0.5"/>
  <pageSetup orientation="portrait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2">
    <tabColor rgb="FF92D050"/>
    <pageSetUpPr fitToPage="1"/>
  </sheetPr>
  <dimension ref="A1:I876"/>
  <sheetViews>
    <sheetView topLeftCell="A4" workbookViewId="0">
      <selection activeCell="E11" sqref="E11"/>
    </sheetView>
  </sheetViews>
  <sheetFormatPr defaultColWidth="7.07421875" defaultRowHeight="12.5"/>
  <cols>
    <col min="1" max="1" width="6.765625" style="251" customWidth="1"/>
    <col min="2" max="2" width="18" style="251" customWidth="1"/>
    <col min="3" max="3" width="17.4609375" style="251" customWidth="1"/>
    <col min="4" max="4" width="9.765625" style="251" customWidth="1"/>
    <col min="5" max="5" width="19.07421875" style="251" customWidth="1"/>
    <col min="6" max="6" width="17.765625" style="251" customWidth="1"/>
    <col min="7" max="7" width="22.23046875" style="251" customWidth="1"/>
    <col min="8" max="8" width="15.07421875" style="251" customWidth="1"/>
    <col min="9" max="9" width="11.765625" style="251" bestFit="1" customWidth="1"/>
    <col min="10" max="16384" width="7.07421875" style="251"/>
  </cols>
  <sheetData>
    <row r="1" spans="1:9" ht="13">
      <c r="A1" s="195" t="str">
        <f>co_name</f>
        <v>DUKE ENERGY KENTUCKY, INC.</v>
      </c>
      <c r="B1" s="215"/>
      <c r="F1" s="215"/>
      <c r="G1" s="10" t="s">
        <v>1465</v>
      </c>
      <c r="I1" s="215"/>
    </row>
    <row r="2" spans="1:9" ht="13">
      <c r="A2" s="195" t="str">
        <f>coss_type</f>
        <v xml:space="preserve">GAS COST OF SERVICE STUDY </v>
      </c>
      <c r="B2" s="215"/>
      <c r="F2" s="215"/>
      <c r="G2" s="10" t="str">
        <f>'Alloc Factors Summary'!G2</f>
        <v>Witness Responsible:</v>
      </c>
      <c r="I2" s="215"/>
    </row>
    <row r="3" spans="1:9" ht="13">
      <c r="A3" s="195" t="str">
        <f>case_name</f>
        <v>CASE NO: 2021-00190</v>
      </c>
      <c r="B3" s="215"/>
      <c r="F3" s="215"/>
      <c r="G3" s="10" t="str">
        <f>'Alloc Factors Summary'!G3</f>
        <v>James E. Ziolkowski</v>
      </c>
      <c r="I3" s="215"/>
    </row>
    <row r="4" spans="1:9" ht="13">
      <c r="A4" s="10" t="str">
        <f>alloc_factors</f>
        <v>ALLOCATION FACTORS FOR COST OF SERVICE STUDY</v>
      </c>
      <c r="B4" s="215"/>
      <c r="F4" s="215"/>
      <c r="G4" s="10" t="s">
        <v>584</v>
      </c>
      <c r="H4" s="136"/>
      <c r="I4" s="215"/>
    </row>
    <row r="5" spans="1:9" ht="13">
      <c r="A5" s="10" t="str">
        <f>time_period</f>
        <v>TWELVE MONTHS ENDING DECEMBER 31, 2020</v>
      </c>
      <c r="B5" s="215"/>
      <c r="C5" s="215"/>
      <c r="D5" s="215"/>
      <c r="F5" s="215"/>
      <c r="G5" s="1274">
        <f ca="1">TODAY()</f>
        <v>44420</v>
      </c>
      <c r="H5" s="215"/>
      <c r="I5" s="215"/>
    </row>
    <row r="6" spans="1:9" ht="13">
      <c r="A6" s="197" t="s">
        <v>831</v>
      </c>
    </row>
    <row r="7" spans="1:9">
      <c r="A7" s="252"/>
      <c r="B7" s="252"/>
      <c r="C7" s="252"/>
      <c r="D7" s="252"/>
      <c r="E7" s="252"/>
      <c r="F7" s="252"/>
    </row>
    <row r="8" spans="1:9">
      <c r="A8" s="215"/>
      <c r="B8" s="215"/>
      <c r="C8" s="774" t="s">
        <v>1486</v>
      </c>
      <c r="D8" s="215"/>
    </row>
    <row r="9" spans="1:9" ht="15.5">
      <c r="A9" s="215"/>
      <c r="B9" s="215"/>
      <c r="C9" s="215"/>
      <c r="D9" s="215"/>
      <c r="F9" s="214"/>
      <c r="G9" s="214"/>
      <c r="H9" s="214"/>
    </row>
    <row r="10" spans="1:9" ht="15.5">
      <c r="A10" s="262" t="s">
        <v>697</v>
      </c>
      <c r="B10" s="262" t="s">
        <v>801</v>
      </c>
      <c r="C10" s="262" t="s">
        <v>895</v>
      </c>
      <c r="D10" s="46"/>
      <c r="E10" s="214" t="s">
        <v>1341</v>
      </c>
      <c r="F10" s="214" t="s">
        <v>1342</v>
      </c>
      <c r="G10" s="214" t="s">
        <v>1343</v>
      </c>
      <c r="H10" s="214"/>
    </row>
    <row r="11" spans="1:9" ht="15.5">
      <c r="A11" s="261" t="s">
        <v>701</v>
      </c>
      <c r="B11" s="1209">
        <f t="shared" ref="B11:C15" si="0">F11+F20</f>
        <v>21180</v>
      </c>
      <c r="C11" s="1481">
        <f t="shared" si="0"/>
        <v>186294.33000000005</v>
      </c>
      <c r="D11" s="1210"/>
      <c r="E11" s="1350" t="s">
        <v>1344</v>
      </c>
      <c r="F11" s="1342">
        <v>21065</v>
      </c>
      <c r="G11" s="1343">
        <v>178705.92000000004</v>
      </c>
      <c r="H11" s="214"/>
    </row>
    <row r="12" spans="1:9" ht="15.5">
      <c r="A12" s="261" t="s">
        <v>702</v>
      </c>
      <c r="B12" s="1209">
        <f t="shared" si="0"/>
        <v>381596</v>
      </c>
      <c r="C12" s="1481">
        <f t="shared" si="0"/>
        <v>1650156.44</v>
      </c>
      <c r="D12" s="1210"/>
      <c r="E12" s="1350" t="s">
        <v>1345</v>
      </c>
      <c r="F12" s="1342">
        <v>315975</v>
      </c>
      <c r="G12" s="1343">
        <v>882504.89</v>
      </c>
      <c r="H12" s="214"/>
    </row>
    <row r="13" spans="1:9" ht="15.5">
      <c r="A13" s="261" t="s">
        <v>703</v>
      </c>
      <c r="B13" s="1209">
        <f t="shared" si="0"/>
        <v>25638</v>
      </c>
      <c r="C13" s="1481">
        <f t="shared" si="0"/>
        <v>3018449.5500000003</v>
      </c>
      <c r="D13" s="1210"/>
      <c r="E13" s="1350" t="s">
        <v>1346</v>
      </c>
      <c r="F13" s="1342">
        <v>578</v>
      </c>
      <c r="G13" s="1343">
        <v>94551.24</v>
      </c>
      <c r="H13" s="214"/>
    </row>
    <row r="14" spans="1:9" ht="15.5">
      <c r="A14" s="261" t="s">
        <v>704</v>
      </c>
      <c r="B14" s="1209">
        <f t="shared" si="0"/>
        <v>1833242</v>
      </c>
      <c r="C14" s="1481">
        <f t="shared" si="0"/>
        <v>22496177.629999999</v>
      </c>
      <c r="D14" s="1210"/>
      <c r="E14" s="1350" t="s">
        <v>1347</v>
      </c>
      <c r="F14" s="1342">
        <v>1556320</v>
      </c>
      <c r="G14" s="1343">
        <v>11861756.800000001</v>
      </c>
      <c r="H14" s="214"/>
    </row>
    <row r="15" spans="1:9" ht="15.5">
      <c r="A15" s="261" t="s">
        <v>705</v>
      </c>
      <c r="B15" s="1209">
        <f t="shared" si="0"/>
        <v>61034</v>
      </c>
      <c r="C15" s="1481">
        <f t="shared" si="0"/>
        <v>410343.4800000001</v>
      </c>
      <c r="D15" s="1210"/>
      <c r="E15" s="1350" t="s">
        <v>1348</v>
      </c>
      <c r="F15" s="1342">
        <v>60900</v>
      </c>
      <c r="G15" s="1343">
        <v>378725.88000000012</v>
      </c>
      <c r="H15" s="214"/>
    </row>
    <row r="16" spans="1:9" ht="15.5">
      <c r="A16" s="261" t="s">
        <v>656</v>
      </c>
      <c r="B16" s="1209">
        <f>F16</f>
        <v>135</v>
      </c>
      <c r="C16" s="1481">
        <f>G16</f>
        <v>1.4</v>
      </c>
      <c r="D16" s="1210"/>
      <c r="E16" s="1350" t="s">
        <v>1349</v>
      </c>
      <c r="F16" s="1342">
        <v>135</v>
      </c>
      <c r="G16" s="1343">
        <v>1.4</v>
      </c>
      <c r="H16" s="214"/>
    </row>
    <row r="17" spans="1:9" ht="15.5">
      <c r="A17" s="261" t="s">
        <v>706</v>
      </c>
      <c r="B17" s="1209">
        <f t="shared" ref="B17:C19" si="1">F17+F25</f>
        <v>1506612</v>
      </c>
      <c r="C17" s="1481">
        <f t="shared" si="1"/>
        <v>38170097.490000002</v>
      </c>
      <c r="D17" s="1210"/>
      <c r="E17" s="1350" t="s">
        <v>1350</v>
      </c>
      <c r="F17" s="1342">
        <v>1161342</v>
      </c>
      <c r="G17" s="1343">
        <v>20177553.250000004</v>
      </c>
      <c r="H17" s="214"/>
    </row>
    <row r="18" spans="1:9" ht="15.5">
      <c r="A18" s="261" t="s">
        <v>707</v>
      </c>
      <c r="B18" s="1209">
        <f t="shared" si="1"/>
        <v>534685</v>
      </c>
      <c r="C18" s="1481">
        <f t="shared" si="1"/>
        <v>19700828.649999999</v>
      </c>
      <c r="D18" s="1210"/>
      <c r="E18" s="1350" t="s">
        <v>1351</v>
      </c>
      <c r="F18" s="1342">
        <v>414362</v>
      </c>
      <c r="G18" s="1343">
        <v>9603519</v>
      </c>
      <c r="H18" s="214"/>
    </row>
    <row r="19" spans="1:9" ht="15.5">
      <c r="A19" s="261" t="s">
        <v>708</v>
      </c>
      <c r="B19" s="1209">
        <f t="shared" si="1"/>
        <v>195586</v>
      </c>
      <c r="C19" s="1481">
        <f t="shared" si="1"/>
        <v>13786094.08</v>
      </c>
      <c r="D19" s="1210"/>
      <c r="E19" s="1350" t="s">
        <v>1352</v>
      </c>
      <c r="F19" s="1342">
        <v>107599</v>
      </c>
      <c r="G19" s="1343">
        <v>5506148.1600000001</v>
      </c>
      <c r="H19" s="214"/>
    </row>
    <row r="20" spans="1:9" ht="15.5">
      <c r="A20" s="260" t="s">
        <v>564</v>
      </c>
      <c r="B20" s="767">
        <f>SUM(B11:B19)</f>
        <v>4559708</v>
      </c>
      <c r="C20" s="768">
        <f>SUM(C11:C19)</f>
        <v>99418443.049999997</v>
      </c>
      <c r="D20" s="1211"/>
      <c r="E20" s="1350" t="s">
        <v>1487</v>
      </c>
      <c r="F20" s="1342">
        <v>115</v>
      </c>
      <c r="G20" s="1343">
        <v>7588.41</v>
      </c>
      <c r="H20" s="214"/>
    </row>
    <row r="21" spans="1:9" ht="15.5">
      <c r="A21" s="215"/>
      <c r="B21" s="215"/>
      <c r="C21" s="215"/>
      <c r="D21" s="215"/>
      <c r="E21" s="1350" t="s">
        <v>1353</v>
      </c>
      <c r="F21" s="1342">
        <v>65621</v>
      </c>
      <c r="G21" s="1343">
        <v>767651.55</v>
      </c>
      <c r="H21" s="214"/>
    </row>
    <row r="22" spans="1:9" ht="15.5">
      <c r="A22" s="215"/>
      <c r="B22" s="215"/>
      <c r="C22" s="215"/>
      <c r="D22" s="215"/>
      <c r="E22" s="1350" t="s">
        <v>1354</v>
      </c>
      <c r="F22" s="1342">
        <v>25060</v>
      </c>
      <c r="G22" s="1343">
        <v>2923898.31</v>
      </c>
      <c r="H22" s="214"/>
    </row>
    <row r="23" spans="1:9" ht="15.5">
      <c r="A23" s="215"/>
      <c r="B23" s="215"/>
      <c r="C23" s="215"/>
      <c r="D23" s="215"/>
      <c r="E23" s="1350" t="s">
        <v>1355</v>
      </c>
      <c r="F23" s="1342">
        <v>276922</v>
      </c>
      <c r="G23" s="1343">
        <v>10634420.829999998</v>
      </c>
      <c r="H23" s="214"/>
    </row>
    <row r="24" spans="1:9" ht="15.5">
      <c r="A24" s="215"/>
      <c r="B24" s="215"/>
      <c r="C24" s="215"/>
      <c r="D24" s="215"/>
      <c r="E24" s="1350" t="s">
        <v>1356</v>
      </c>
      <c r="F24" s="1342">
        <v>134</v>
      </c>
      <c r="G24" s="1343">
        <v>31617.600000000002</v>
      </c>
      <c r="H24" s="214"/>
    </row>
    <row r="25" spans="1:9" ht="15.5">
      <c r="A25" s="253"/>
      <c r="E25" s="1350" t="s">
        <v>1357</v>
      </c>
      <c r="F25" s="1342">
        <v>345270</v>
      </c>
      <c r="G25" s="1343">
        <v>17992544.239999998</v>
      </c>
      <c r="H25" s="214"/>
    </row>
    <row r="26" spans="1:9" ht="15.5">
      <c r="A26" s="253"/>
      <c r="E26" s="1350" t="s">
        <v>1358</v>
      </c>
      <c r="F26" s="1342">
        <v>120323</v>
      </c>
      <c r="G26" s="1343">
        <v>10097309.649999999</v>
      </c>
      <c r="H26" s="765"/>
      <c r="I26" s="766"/>
    </row>
    <row r="27" spans="1:9" ht="15.5">
      <c r="A27" s="253"/>
      <c r="E27" s="1350" t="s">
        <v>1359</v>
      </c>
      <c r="F27" s="1342">
        <v>87987</v>
      </c>
      <c r="G27" s="1343">
        <v>8279945.9199999999</v>
      </c>
      <c r="H27" s="765"/>
      <c r="I27" s="766"/>
    </row>
    <row r="28" spans="1:9" ht="15.5">
      <c r="A28" s="253"/>
      <c r="E28" s="1350" t="s">
        <v>709</v>
      </c>
      <c r="F28" s="1342">
        <v>4559708</v>
      </c>
      <c r="G28" s="1343">
        <v>99418443.049999997</v>
      </c>
    </row>
    <row r="29" spans="1:9">
      <c r="A29" s="253"/>
    </row>
    <row r="30" spans="1:9">
      <c r="A30" s="253"/>
    </row>
    <row r="31" spans="1:9">
      <c r="A31" s="253"/>
    </row>
    <row r="32" spans="1:9">
      <c r="A32" s="253"/>
    </row>
    <row r="33" spans="1:1">
      <c r="A33" s="253"/>
    </row>
    <row r="34" spans="1:1">
      <c r="A34" s="253"/>
    </row>
    <row r="35" spans="1:1">
      <c r="A35" s="253"/>
    </row>
    <row r="36" spans="1:1">
      <c r="A36" s="253"/>
    </row>
    <row r="37" spans="1:1">
      <c r="A37" s="253"/>
    </row>
    <row r="38" spans="1:1">
      <c r="A38" s="253"/>
    </row>
    <row r="39" spans="1:1">
      <c r="A39" s="253"/>
    </row>
    <row r="40" spans="1:1">
      <c r="A40" s="253"/>
    </row>
    <row r="41" spans="1:1">
      <c r="A41" s="253"/>
    </row>
    <row r="42" spans="1:1">
      <c r="A42" s="253"/>
    </row>
    <row r="43" spans="1:1">
      <c r="A43" s="253"/>
    </row>
    <row r="44" spans="1:1">
      <c r="A44" s="253"/>
    </row>
    <row r="45" spans="1:1">
      <c r="A45" s="253"/>
    </row>
    <row r="46" spans="1:1">
      <c r="A46" s="253"/>
    </row>
    <row r="47" spans="1:1">
      <c r="A47" s="253"/>
    </row>
    <row r="48" spans="1:1">
      <c r="A48" s="253"/>
    </row>
    <row r="49" spans="1:1">
      <c r="A49" s="253"/>
    </row>
    <row r="50" spans="1:1">
      <c r="A50" s="253"/>
    </row>
    <row r="51" spans="1:1">
      <c r="A51" s="253"/>
    </row>
    <row r="52" spans="1:1">
      <c r="A52" s="253"/>
    </row>
    <row r="53" spans="1:1">
      <c r="A53" s="253"/>
    </row>
    <row r="54" spans="1:1">
      <c r="A54" s="253"/>
    </row>
    <row r="55" spans="1:1">
      <c r="A55" s="253"/>
    </row>
    <row r="56" spans="1:1">
      <c r="A56" s="253"/>
    </row>
    <row r="57" spans="1:1">
      <c r="A57" s="253"/>
    </row>
    <row r="58" spans="1:1">
      <c r="A58" s="253"/>
    </row>
    <row r="59" spans="1:1">
      <c r="A59" s="253"/>
    </row>
    <row r="60" spans="1:1">
      <c r="A60" s="253"/>
    </row>
    <row r="61" spans="1:1">
      <c r="A61" s="253"/>
    </row>
    <row r="62" spans="1:1">
      <c r="A62" s="253"/>
    </row>
    <row r="63" spans="1:1">
      <c r="A63" s="253"/>
    </row>
    <row r="64" spans="1:1">
      <c r="A64" s="253"/>
    </row>
    <row r="65" spans="1:8">
      <c r="A65" s="253"/>
    </row>
    <row r="66" spans="1:8">
      <c r="A66" s="253"/>
    </row>
    <row r="67" spans="1:8">
      <c r="A67" s="253"/>
    </row>
    <row r="68" spans="1:8">
      <c r="A68" s="253"/>
    </row>
    <row r="69" spans="1:8" ht="13">
      <c r="A69" s="254"/>
      <c r="B69" s="215"/>
      <c r="C69" s="215"/>
      <c r="D69" s="215"/>
      <c r="E69" s="10"/>
      <c r="F69" s="215"/>
      <c r="G69" s="215"/>
    </row>
    <row r="70" spans="1:8" ht="13">
      <c r="A70" s="138"/>
      <c r="B70" s="215"/>
      <c r="C70" s="217"/>
      <c r="D70" s="217"/>
      <c r="E70" s="15"/>
      <c r="F70" s="215"/>
      <c r="G70" s="215"/>
    </row>
    <row r="71" spans="1:8" ht="13">
      <c r="A71" s="255"/>
      <c r="B71" s="215"/>
      <c r="C71" s="215"/>
      <c r="D71" s="215"/>
      <c r="E71" s="10"/>
      <c r="F71" s="215"/>
      <c r="G71" s="215"/>
    </row>
    <row r="72" spans="1:8" ht="13">
      <c r="A72" s="256"/>
      <c r="B72" s="215"/>
      <c r="C72" s="215"/>
      <c r="D72" s="215"/>
      <c r="E72" s="215"/>
      <c r="F72" s="215"/>
      <c r="G72" s="215"/>
      <c r="H72" s="136"/>
    </row>
    <row r="73" spans="1:8" ht="13">
      <c r="A73" s="256"/>
      <c r="B73" s="215"/>
      <c r="C73" s="215"/>
      <c r="D73" s="215"/>
      <c r="E73" s="215"/>
      <c r="F73" s="215"/>
      <c r="G73" s="215"/>
      <c r="H73" s="215"/>
    </row>
    <row r="74" spans="1:8">
      <c r="A74" s="252"/>
      <c r="B74" s="252"/>
      <c r="C74" s="252"/>
      <c r="D74" s="252"/>
      <c r="E74" s="252"/>
      <c r="F74" s="252"/>
    </row>
    <row r="75" spans="1:8">
      <c r="A75" s="253"/>
    </row>
    <row r="76" spans="1:8">
      <c r="A76" s="253"/>
    </row>
    <row r="77" spans="1:8">
      <c r="A77" s="253"/>
    </row>
    <row r="78" spans="1:8">
      <c r="A78" s="253"/>
    </row>
    <row r="79" spans="1:8">
      <c r="A79" s="253"/>
    </row>
    <row r="80" spans="1:8">
      <c r="A80" s="253"/>
    </row>
    <row r="81" spans="1:1">
      <c r="A81" s="253"/>
    </row>
    <row r="82" spans="1:1">
      <c r="A82" s="253"/>
    </row>
    <row r="83" spans="1:1">
      <c r="A83" s="253"/>
    </row>
    <row r="84" spans="1:1">
      <c r="A84" s="253"/>
    </row>
    <row r="85" spans="1:1">
      <c r="A85" s="253"/>
    </row>
    <row r="86" spans="1:1">
      <c r="A86" s="253"/>
    </row>
    <row r="87" spans="1:1">
      <c r="A87" s="253"/>
    </row>
    <row r="88" spans="1:1">
      <c r="A88" s="253"/>
    </row>
    <row r="89" spans="1:1">
      <c r="A89" s="253"/>
    </row>
    <row r="90" spans="1:1">
      <c r="A90" s="253"/>
    </row>
    <row r="91" spans="1:1">
      <c r="A91" s="253"/>
    </row>
    <row r="92" spans="1:1">
      <c r="A92" s="253"/>
    </row>
    <row r="93" spans="1:1">
      <c r="A93" s="253"/>
    </row>
    <row r="94" spans="1:1">
      <c r="A94" s="253"/>
    </row>
    <row r="95" spans="1:1">
      <c r="A95" s="253"/>
    </row>
    <row r="96" spans="1:1">
      <c r="A96" s="253"/>
    </row>
    <row r="97" spans="1:1">
      <c r="A97" s="253"/>
    </row>
    <row r="98" spans="1:1">
      <c r="A98" s="253"/>
    </row>
    <row r="99" spans="1:1">
      <c r="A99" s="253"/>
    </row>
    <row r="100" spans="1:1">
      <c r="A100" s="253"/>
    </row>
    <row r="101" spans="1:1">
      <c r="A101" s="253"/>
    </row>
    <row r="102" spans="1:1">
      <c r="A102" s="253"/>
    </row>
    <row r="103" spans="1:1">
      <c r="A103" s="253"/>
    </row>
    <row r="104" spans="1:1">
      <c r="A104" s="253"/>
    </row>
    <row r="105" spans="1:1">
      <c r="A105" s="253"/>
    </row>
    <row r="106" spans="1:1">
      <c r="A106" s="253"/>
    </row>
    <row r="107" spans="1:1">
      <c r="A107" s="253"/>
    </row>
    <row r="108" spans="1:1">
      <c r="A108" s="253"/>
    </row>
    <row r="109" spans="1:1">
      <c r="A109" s="253"/>
    </row>
    <row r="110" spans="1:1">
      <c r="A110" s="253"/>
    </row>
    <row r="111" spans="1:1">
      <c r="A111" s="253"/>
    </row>
    <row r="112" spans="1:1">
      <c r="A112" s="253"/>
    </row>
    <row r="113" spans="1:1">
      <c r="A113" s="253"/>
    </row>
    <row r="114" spans="1:1">
      <c r="A114" s="253"/>
    </row>
    <row r="115" spans="1:1">
      <c r="A115" s="253"/>
    </row>
    <row r="116" spans="1:1">
      <c r="A116" s="253"/>
    </row>
    <row r="117" spans="1:1">
      <c r="A117" s="253"/>
    </row>
    <row r="118" spans="1:1">
      <c r="A118" s="253"/>
    </row>
    <row r="119" spans="1:1">
      <c r="A119" s="253"/>
    </row>
    <row r="120" spans="1:1">
      <c r="A120" s="253"/>
    </row>
    <row r="121" spans="1:1">
      <c r="A121" s="253"/>
    </row>
    <row r="122" spans="1:1">
      <c r="A122" s="253"/>
    </row>
    <row r="123" spans="1:1">
      <c r="A123" s="253"/>
    </row>
    <row r="124" spans="1:1">
      <c r="A124" s="253"/>
    </row>
    <row r="125" spans="1:1">
      <c r="A125" s="253"/>
    </row>
    <row r="126" spans="1:1">
      <c r="A126" s="253"/>
    </row>
    <row r="127" spans="1:1">
      <c r="A127" s="253"/>
    </row>
    <row r="128" spans="1:1">
      <c r="A128" s="253"/>
    </row>
    <row r="129" spans="1:1">
      <c r="A129" s="253"/>
    </row>
    <row r="130" spans="1:1">
      <c r="A130" s="253"/>
    </row>
    <row r="131" spans="1:1">
      <c r="A131" s="253"/>
    </row>
    <row r="132" spans="1:1">
      <c r="A132" s="253"/>
    </row>
    <row r="133" spans="1:1">
      <c r="A133" s="253"/>
    </row>
    <row r="134" spans="1:1">
      <c r="A134" s="253"/>
    </row>
    <row r="135" spans="1:1">
      <c r="A135" s="253"/>
    </row>
    <row r="136" spans="1:1">
      <c r="A136" s="253"/>
    </row>
    <row r="137" spans="1:1">
      <c r="A137" s="253"/>
    </row>
    <row r="138" spans="1:1">
      <c r="A138" s="253"/>
    </row>
    <row r="139" spans="1:1">
      <c r="A139" s="253"/>
    </row>
    <row r="140" spans="1:1">
      <c r="A140" s="253"/>
    </row>
    <row r="141" spans="1:1">
      <c r="A141" s="253"/>
    </row>
    <row r="142" spans="1:1">
      <c r="A142" s="253"/>
    </row>
    <row r="143" spans="1:1">
      <c r="A143" s="253"/>
    </row>
    <row r="144" spans="1:1">
      <c r="A144" s="253"/>
    </row>
    <row r="145" spans="1:8">
      <c r="A145" s="253"/>
    </row>
    <row r="146" spans="1:8">
      <c r="A146" s="253"/>
    </row>
    <row r="147" spans="1:8">
      <c r="A147" s="253"/>
    </row>
    <row r="148" spans="1:8">
      <c r="A148" s="253"/>
    </row>
    <row r="149" spans="1:8" ht="13">
      <c r="A149" s="254"/>
      <c r="B149" s="215"/>
      <c r="C149" s="215"/>
      <c r="D149" s="215"/>
      <c r="E149" s="10"/>
      <c r="F149" s="215"/>
      <c r="G149" s="215"/>
    </row>
    <row r="150" spans="1:8" ht="13">
      <c r="A150" s="138"/>
      <c r="B150" s="215"/>
      <c r="C150" s="217"/>
      <c r="D150" s="217"/>
      <c r="E150" s="15"/>
      <c r="F150" s="215"/>
      <c r="G150" s="215"/>
    </row>
    <row r="151" spans="1:8" ht="13">
      <c r="A151" s="255"/>
      <c r="B151" s="215"/>
      <c r="C151" s="215"/>
      <c r="D151" s="215"/>
      <c r="E151" s="10"/>
      <c r="F151" s="215"/>
      <c r="G151" s="215"/>
    </row>
    <row r="152" spans="1:8" ht="13">
      <c r="A152" s="256"/>
      <c r="B152" s="215"/>
      <c r="C152" s="215"/>
      <c r="D152" s="215"/>
      <c r="E152" s="215"/>
      <c r="F152" s="215"/>
      <c r="G152" s="215"/>
      <c r="H152" s="136"/>
    </row>
    <row r="153" spans="1:8" ht="13">
      <c r="A153" s="256"/>
      <c r="B153" s="215"/>
      <c r="C153" s="215"/>
      <c r="D153" s="215"/>
      <c r="E153" s="215"/>
      <c r="F153" s="215"/>
      <c r="G153" s="215"/>
      <c r="H153" s="215"/>
    </row>
    <row r="154" spans="1:8">
      <c r="A154" s="252"/>
      <c r="B154" s="252"/>
      <c r="C154" s="252"/>
      <c r="D154" s="252"/>
      <c r="E154" s="252"/>
      <c r="F154" s="252"/>
    </row>
    <row r="155" spans="1:8">
      <c r="A155" s="253"/>
    </row>
    <row r="156" spans="1:8">
      <c r="A156" s="253"/>
    </row>
    <row r="157" spans="1:8">
      <c r="A157" s="253"/>
    </row>
    <row r="158" spans="1:8">
      <c r="A158" s="253"/>
    </row>
    <row r="159" spans="1:8">
      <c r="A159" s="253"/>
    </row>
    <row r="160" spans="1:8">
      <c r="A160" s="253"/>
    </row>
    <row r="161" spans="1:1">
      <c r="A161" s="253"/>
    </row>
    <row r="162" spans="1:1">
      <c r="A162" s="253"/>
    </row>
    <row r="163" spans="1:1">
      <c r="A163" s="253"/>
    </row>
    <row r="164" spans="1:1">
      <c r="A164" s="253"/>
    </row>
    <row r="165" spans="1:1">
      <c r="A165" s="253"/>
    </row>
    <row r="166" spans="1:1">
      <c r="A166" s="253"/>
    </row>
    <row r="167" spans="1:1">
      <c r="A167" s="253"/>
    </row>
    <row r="168" spans="1:1">
      <c r="A168" s="253"/>
    </row>
    <row r="169" spans="1:1">
      <c r="A169" s="253"/>
    </row>
    <row r="170" spans="1:1">
      <c r="A170" s="253"/>
    </row>
    <row r="171" spans="1:1">
      <c r="A171" s="253"/>
    </row>
    <row r="172" spans="1:1">
      <c r="A172" s="253"/>
    </row>
    <row r="173" spans="1:1">
      <c r="A173" s="253"/>
    </row>
    <row r="174" spans="1:1">
      <c r="A174" s="253"/>
    </row>
    <row r="175" spans="1:1">
      <c r="A175" s="253"/>
    </row>
    <row r="176" spans="1:1">
      <c r="A176" s="253"/>
    </row>
    <row r="177" spans="1:1">
      <c r="A177" s="253"/>
    </row>
    <row r="178" spans="1:1">
      <c r="A178" s="253"/>
    </row>
    <row r="179" spans="1:1">
      <c r="A179" s="253"/>
    </row>
    <row r="180" spans="1:1">
      <c r="A180" s="253"/>
    </row>
    <row r="181" spans="1:1">
      <c r="A181" s="253"/>
    </row>
    <row r="182" spans="1:1">
      <c r="A182" s="253"/>
    </row>
    <row r="183" spans="1:1">
      <c r="A183" s="253"/>
    </row>
    <row r="184" spans="1:1">
      <c r="A184" s="253"/>
    </row>
    <row r="185" spans="1:1">
      <c r="A185" s="253"/>
    </row>
    <row r="186" spans="1:1">
      <c r="A186" s="253"/>
    </row>
    <row r="187" spans="1:1">
      <c r="A187" s="253"/>
    </row>
    <row r="188" spans="1:1">
      <c r="A188" s="253"/>
    </row>
    <row r="189" spans="1:1">
      <c r="A189" s="253"/>
    </row>
    <row r="190" spans="1:1">
      <c r="A190" s="253"/>
    </row>
    <row r="191" spans="1:1">
      <c r="A191" s="253"/>
    </row>
    <row r="192" spans="1:1">
      <c r="A192" s="253"/>
    </row>
    <row r="193" spans="1:1">
      <c r="A193" s="253"/>
    </row>
    <row r="194" spans="1:1">
      <c r="A194" s="253"/>
    </row>
    <row r="195" spans="1:1">
      <c r="A195" s="253"/>
    </row>
    <row r="196" spans="1:1">
      <c r="A196" s="253"/>
    </row>
    <row r="197" spans="1:1">
      <c r="A197" s="253"/>
    </row>
    <row r="198" spans="1:1">
      <c r="A198" s="253"/>
    </row>
    <row r="199" spans="1:1">
      <c r="A199" s="253"/>
    </row>
    <row r="200" spans="1:1">
      <c r="A200" s="253"/>
    </row>
    <row r="201" spans="1:1">
      <c r="A201" s="253"/>
    </row>
    <row r="202" spans="1:1">
      <c r="A202" s="253"/>
    </row>
    <row r="203" spans="1:1">
      <c r="A203" s="253"/>
    </row>
    <row r="204" spans="1:1">
      <c r="A204" s="253"/>
    </row>
    <row r="205" spans="1:1">
      <c r="A205" s="253"/>
    </row>
    <row r="206" spans="1:1">
      <c r="A206" s="253"/>
    </row>
    <row r="207" spans="1:1">
      <c r="A207" s="253"/>
    </row>
    <row r="208" spans="1:1">
      <c r="A208" s="253"/>
    </row>
    <row r="209" spans="1:1">
      <c r="A209" s="253"/>
    </row>
    <row r="210" spans="1:1">
      <c r="A210" s="253"/>
    </row>
    <row r="211" spans="1:1">
      <c r="A211" s="253"/>
    </row>
    <row r="212" spans="1:1">
      <c r="A212" s="253"/>
    </row>
    <row r="213" spans="1:1">
      <c r="A213" s="253"/>
    </row>
    <row r="214" spans="1:1">
      <c r="A214" s="253"/>
    </row>
    <row r="215" spans="1:1">
      <c r="A215" s="253"/>
    </row>
    <row r="216" spans="1:1">
      <c r="A216" s="253"/>
    </row>
    <row r="217" spans="1:1">
      <c r="A217" s="253"/>
    </row>
    <row r="218" spans="1:1">
      <c r="A218" s="253"/>
    </row>
    <row r="219" spans="1:1">
      <c r="A219" s="253"/>
    </row>
    <row r="220" spans="1:1">
      <c r="A220" s="253"/>
    </row>
    <row r="221" spans="1:1">
      <c r="A221" s="253"/>
    </row>
    <row r="222" spans="1:1">
      <c r="A222" s="253"/>
    </row>
    <row r="223" spans="1:1">
      <c r="A223" s="253"/>
    </row>
    <row r="224" spans="1:1">
      <c r="A224" s="253"/>
    </row>
    <row r="225" spans="1:8">
      <c r="A225" s="253"/>
    </row>
    <row r="226" spans="1:8">
      <c r="A226" s="253"/>
    </row>
    <row r="227" spans="1:8">
      <c r="A227" s="253"/>
    </row>
    <row r="228" spans="1:8">
      <c r="A228" s="253"/>
    </row>
    <row r="229" spans="1:8" ht="13">
      <c r="A229" s="254"/>
      <c r="B229" s="215"/>
      <c r="C229" s="215"/>
      <c r="D229" s="215"/>
      <c r="E229" s="10"/>
      <c r="F229" s="215"/>
      <c r="G229" s="215"/>
    </row>
    <row r="230" spans="1:8" ht="13">
      <c r="A230" s="138"/>
      <c r="B230" s="215"/>
      <c r="C230" s="217"/>
      <c r="D230" s="217"/>
      <c r="E230" s="15"/>
      <c r="F230" s="215"/>
      <c r="G230" s="215"/>
    </row>
    <row r="231" spans="1:8" ht="13">
      <c r="A231" s="255"/>
      <c r="B231" s="215"/>
      <c r="C231" s="215"/>
      <c r="D231" s="215"/>
      <c r="E231" s="10"/>
      <c r="F231" s="215"/>
      <c r="G231" s="215"/>
    </row>
    <row r="232" spans="1:8" ht="13">
      <c r="A232" s="256"/>
      <c r="B232" s="215"/>
      <c r="C232" s="215"/>
      <c r="D232" s="215"/>
      <c r="E232" s="215"/>
      <c r="F232" s="215"/>
      <c r="G232" s="215"/>
      <c r="H232" s="136"/>
    </row>
    <row r="233" spans="1:8" ht="13">
      <c r="A233" s="256"/>
      <c r="B233" s="215"/>
      <c r="C233" s="215"/>
      <c r="D233" s="215"/>
      <c r="E233" s="215"/>
      <c r="F233" s="215"/>
      <c r="G233" s="215"/>
      <c r="H233" s="215"/>
    </row>
    <row r="234" spans="1:8">
      <c r="A234" s="252"/>
      <c r="B234" s="252"/>
      <c r="C234" s="252"/>
      <c r="D234" s="252"/>
      <c r="E234" s="252"/>
      <c r="F234" s="252"/>
    </row>
    <row r="235" spans="1:8">
      <c r="A235" s="253"/>
    </row>
    <row r="236" spans="1:8">
      <c r="A236" s="253"/>
    </row>
    <row r="237" spans="1:8">
      <c r="A237" s="253"/>
    </row>
    <row r="238" spans="1:8">
      <c r="A238" s="253"/>
    </row>
    <row r="239" spans="1:8">
      <c r="A239" s="253"/>
    </row>
    <row r="240" spans="1:8">
      <c r="A240" s="253"/>
    </row>
    <row r="241" spans="1:1">
      <c r="A241" s="253"/>
    </row>
    <row r="242" spans="1:1">
      <c r="A242" s="253"/>
    </row>
    <row r="243" spans="1:1">
      <c r="A243" s="253"/>
    </row>
    <row r="244" spans="1:1">
      <c r="A244" s="253"/>
    </row>
    <row r="245" spans="1:1">
      <c r="A245" s="253"/>
    </row>
    <row r="246" spans="1:1">
      <c r="A246" s="253"/>
    </row>
    <row r="247" spans="1:1">
      <c r="A247" s="253"/>
    </row>
    <row r="248" spans="1:1">
      <c r="A248" s="253"/>
    </row>
    <row r="249" spans="1:1">
      <c r="A249" s="253"/>
    </row>
    <row r="250" spans="1:1">
      <c r="A250" s="253"/>
    </row>
    <row r="251" spans="1:1">
      <c r="A251" s="253"/>
    </row>
    <row r="252" spans="1:1">
      <c r="A252" s="253"/>
    </row>
    <row r="253" spans="1:1">
      <c r="A253" s="253"/>
    </row>
    <row r="254" spans="1:1">
      <c r="A254" s="253"/>
    </row>
    <row r="255" spans="1:1">
      <c r="A255" s="253"/>
    </row>
    <row r="256" spans="1:1">
      <c r="A256" s="253"/>
    </row>
    <row r="257" spans="1:1">
      <c r="A257" s="253"/>
    </row>
    <row r="258" spans="1:1">
      <c r="A258" s="253"/>
    </row>
    <row r="259" spans="1:1">
      <c r="A259" s="253"/>
    </row>
    <row r="260" spans="1:1">
      <c r="A260" s="253"/>
    </row>
    <row r="261" spans="1:1">
      <c r="A261" s="253"/>
    </row>
    <row r="262" spans="1:1">
      <c r="A262" s="253"/>
    </row>
    <row r="263" spans="1:1">
      <c r="A263" s="253"/>
    </row>
    <row r="264" spans="1:1">
      <c r="A264" s="253"/>
    </row>
    <row r="265" spans="1:1">
      <c r="A265" s="253"/>
    </row>
    <row r="266" spans="1:1">
      <c r="A266" s="253"/>
    </row>
    <row r="267" spans="1:1">
      <c r="A267" s="253"/>
    </row>
    <row r="268" spans="1:1">
      <c r="A268" s="253"/>
    </row>
    <row r="269" spans="1:1">
      <c r="A269" s="253"/>
    </row>
    <row r="270" spans="1:1">
      <c r="A270" s="253"/>
    </row>
    <row r="271" spans="1:1">
      <c r="A271" s="253"/>
    </row>
    <row r="272" spans="1:1">
      <c r="A272" s="253"/>
    </row>
    <row r="273" spans="1:1">
      <c r="A273" s="253"/>
    </row>
    <row r="274" spans="1:1">
      <c r="A274" s="253"/>
    </row>
    <row r="275" spans="1:1">
      <c r="A275" s="253"/>
    </row>
    <row r="276" spans="1:1">
      <c r="A276" s="253"/>
    </row>
    <row r="277" spans="1:1">
      <c r="A277" s="253"/>
    </row>
    <row r="278" spans="1:1">
      <c r="A278" s="253"/>
    </row>
    <row r="279" spans="1:1">
      <c r="A279" s="253"/>
    </row>
    <row r="280" spans="1:1">
      <c r="A280" s="253"/>
    </row>
    <row r="281" spans="1:1">
      <c r="A281" s="253"/>
    </row>
    <row r="282" spans="1:1">
      <c r="A282" s="253"/>
    </row>
    <row r="283" spans="1:1">
      <c r="A283" s="253"/>
    </row>
    <row r="284" spans="1:1">
      <c r="A284" s="253"/>
    </row>
    <row r="285" spans="1:1">
      <c r="A285" s="253"/>
    </row>
    <row r="286" spans="1:1">
      <c r="A286" s="253"/>
    </row>
    <row r="287" spans="1:1">
      <c r="A287" s="253"/>
    </row>
    <row r="288" spans="1:1">
      <c r="A288" s="253"/>
    </row>
    <row r="289" spans="1:1">
      <c r="A289" s="253"/>
    </row>
    <row r="290" spans="1:1">
      <c r="A290" s="253"/>
    </row>
    <row r="291" spans="1:1">
      <c r="A291" s="253"/>
    </row>
    <row r="292" spans="1:1">
      <c r="A292" s="253"/>
    </row>
    <row r="293" spans="1:1">
      <c r="A293" s="253"/>
    </row>
    <row r="294" spans="1:1">
      <c r="A294" s="253"/>
    </row>
    <row r="295" spans="1:1">
      <c r="A295" s="253"/>
    </row>
    <row r="296" spans="1:1">
      <c r="A296" s="253"/>
    </row>
    <row r="297" spans="1:1">
      <c r="A297" s="253"/>
    </row>
    <row r="298" spans="1:1">
      <c r="A298" s="253"/>
    </row>
    <row r="299" spans="1:1">
      <c r="A299" s="253"/>
    </row>
    <row r="300" spans="1:1">
      <c r="A300" s="253"/>
    </row>
    <row r="301" spans="1:1">
      <c r="A301" s="253"/>
    </row>
    <row r="302" spans="1:1">
      <c r="A302" s="253"/>
    </row>
    <row r="303" spans="1:1">
      <c r="A303" s="253"/>
    </row>
    <row r="304" spans="1:1">
      <c r="A304" s="253"/>
    </row>
    <row r="305" spans="1:8">
      <c r="A305" s="253"/>
    </row>
    <row r="306" spans="1:8">
      <c r="A306" s="253"/>
    </row>
    <row r="307" spans="1:8">
      <c r="A307" s="253"/>
    </row>
    <row r="308" spans="1:8">
      <c r="A308" s="253"/>
    </row>
    <row r="309" spans="1:8" ht="13">
      <c r="A309" s="254"/>
      <c r="B309" s="215"/>
      <c r="C309" s="215"/>
      <c r="D309" s="215"/>
      <c r="E309" s="10"/>
      <c r="F309" s="215"/>
      <c r="G309" s="215"/>
    </row>
    <row r="310" spans="1:8" ht="13">
      <c r="A310" s="138"/>
      <c r="B310" s="215"/>
      <c r="C310" s="217"/>
      <c r="D310" s="217"/>
      <c r="E310" s="15"/>
      <c r="F310" s="215"/>
      <c r="G310" s="215"/>
    </row>
    <row r="311" spans="1:8" ht="13">
      <c r="A311" s="255"/>
      <c r="B311" s="215"/>
      <c r="C311" s="215"/>
      <c r="D311" s="215"/>
      <c r="E311" s="10"/>
      <c r="F311" s="215"/>
      <c r="G311" s="215"/>
    </row>
    <row r="312" spans="1:8" ht="13">
      <c r="A312" s="256"/>
      <c r="B312" s="215"/>
      <c r="C312" s="215"/>
      <c r="D312" s="215"/>
      <c r="E312" s="215"/>
      <c r="F312" s="215"/>
      <c r="G312" s="215"/>
      <c r="H312" s="136"/>
    </row>
    <row r="313" spans="1:8" ht="13">
      <c r="A313" s="256"/>
      <c r="B313" s="215"/>
      <c r="C313" s="215"/>
      <c r="D313" s="215"/>
      <c r="E313" s="215"/>
      <c r="F313" s="215"/>
      <c r="G313" s="215"/>
      <c r="H313" s="215"/>
    </row>
    <row r="314" spans="1:8">
      <c r="A314" s="252"/>
      <c r="B314" s="252"/>
      <c r="C314" s="252"/>
      <c r="D314" s="252"/>
      <c r="E314" s="252"/>
      <c r="F314" s="252"/>
    </row>
    <row r="315" spans="1:8">
      <c r="A315" s="253"/>
    </row>
    <row r="316" spans="1:8">
      <c r="A316" s="253"/>
    </row>
    <row r="317" spans="1:8">
      <c r="A317" s="253"/>
    </row>
    <row r="318" spans="1:8">
      <c r="A318" s="253"/>
    </row>
    <row r="319" spans="1:8">
      <c r="A319" s="253"/>
    </row>
    <row r="320" spans="1:8">
      <c r="A320" s="253"/>
    </row>
    <row r="321" spans="1:1">
      <c r="A321" s="253"/>
    </row>
    <row r="322" spans="1:1">
      <c r="A322" s="253"/>
    </row>
    <row r="323" spans="1:1">
      <c r="A323" s="253"/>
    </row>
    <row r="324" spans="1:1">
      <c r="A324" s="253"/>
    </row>
    <row r="325" spans="1:1">
      <c r="A325" s="253"/>
    </row>
    <row r="326" spans="1:1">
      <c r="A326" s="253"/>
    </row>
    <row r="327" spans="1:1">
      <c r="A327" s="253"/>
    </row>
    <row r="328" spans="1:1">
      <c r="A328" s="253"/>
    </row>
    <row r="329" spans="1:1">
      <c r="A329" s="253"/>
    </row>
    <row r="330" spans="1:1">
      <c r="A330" s="253"/>
    </row>
    <row r="331" spans="1:1">
      <c r="A331" s="253"/>
    </row>
    <row r="332" spans="1:1">
      <c r="A332" s="253"/>
    </row>
    <row r="333" spans="1:1">
      <c r="A333" s="253"/>
    </row>
    <row r="334" spans="1:1">
      <c r="A334" s="253"/>
    </row>
    <row r="335" spans="1:1">
      <c r="A335" s="253"/>
    </row>
    <row r="336" spans="1:1">
      <c r="A336" s="253"/>
    </row>
    <row r="337" spans="1:1">
      <c r="A337" s="253"/>
    </row>
    <row r="338" spans="1:1">
      <c r="A338" s="253"/>
    </row>
    <row r="339" spans="1:1">
      <c r="A339" s="253"/>
    </row>
    <row r="340" spans="1:1">
      <c r="A340" s="253"/>
    </row>
    <row r="341" spans="1:1">
      <c r="A341" s="253"/>
    </row>
    <row r="342" spans="1:1">
      <c r="A342" s="253"/>
    </row>
    <row r="343" spans="1:1">
      <c r="A343" s="253"/>
    </row>
    <row r="344" spans="1:1">
      <c r="A344" s="253"/>
    </row>
    <row r="345" spans="1:1">
      <c r="A345" s="253"/>
    </row>
    <row r="346" spans="1:1">
      <c r="A346" s="253"/>
    </row>
    <row r="347" spans="1:1">
      <c r="A347" s="253"/>
    </row>
    <row r="348" spans="1:1">
      <c r="A348" s="253"/>
    </row>
    <row r="349" spans="1:1">
      <c r="A349" s="253"/>
    </row>
    <row r="350" spans="1:1">
      <c r="A350" s="253"/>
    </row>
    <row r="351" spans="1:1">
      <c r="A351" s="253"/>
    </row>
    <row r="352" spans="1:1">
      <c r="A352" s="253"/>
    </row>
    <row r="353" spans="1:1">
      <c r="A353" s="253"/>
    </row>
    <row r="354" spans="1:1">
      <c r="A354" s="253"/>
    </row>
    <row r="355" spans="1:1">
      <c r="A355" s="253"/>
    </row>
    <row r="356" spans="1:1">
      <c r="A356" s="253"/>
    </row>
    <row r="357" spans="1:1">
      <c r="A357" s="253"/>
    </row>
    <row r="358" spans="1:1">
      <c r="A358" s="253"/>
    </row>
    <row r="359" spans="1:1">
      <c r="A359" s="253"/>
    </row>
    <row r="360" spans="1:1">
      <c r="A360" s="253"/>
    </row>
    <row r="361" spans="1:1">
      <c r="A361" s="253"/>
    </row>
    <row r="362" spans="1:1">
      <c r="A362" s="253"/>
    </row>
    <row r="363" spans="1:1">
      <c r="A363" s="253"/>
    </row>
    <row r="364" spans="1:1">
      <c r="A364" s="253"/>
    </row>
    <row r="365" spans="1:1">
      <c r="A365" s="253"/>
    </row>
    <row r="366" spans="1:1">
      <c r="A366" s="253"/>
    </row>
    <row r="367" spans="1:1">
      <c r="A367" s="253"/>
    </row>
    <row r="368" spans="1:1">
      <c r="A368" s="253"/>
    </row>
    <row r="369" spans="1:1">
      <c r="A369" s="253"/>
    </row>
    <row r="370" spans="1:1">
      <c r="A370" s="253"/>
    </row>
    <row r="371" spans="1:1">
      <c r="A371" s="253"/>
    </row>
    <row r="372" spans="1:1">
      <c r="A372" s="253"/>
    </row>
    <row r="373" spans="1:1">
      <c r="A373" s="253"/>
    </row>
    <row r="374" spans="1:1">
      <c r="A374" s="253"/>
    </row>
    <row r="375" spans="1:1">
      <c r="A375" s="253"/>
    </row>
    <row r="376" spans="1:1">
      <c r="A376" s="253"/>
    </row>
    <row r="377" spans="1:1">
      <c r="A377" s="253"/>
    </row>
    <row r="378" spans="1:1">
      <c r="A378" s="253"/>
    </row>
    <row r="379" spans="1:1">
      <c r="A379" s="253"/>
    </row>
    <row r="380" spans="1:1">
      <c r="A380" s="253"/>
    </row>
    <row r="381" spans="1:1">
      <c r="A381" s="253"/>
    </row>
    <row r="382" spans="1:1">
      <c r="A382" s="253"/>
    </row>
    <row r="383" spans="1:1">
      <c r="A383" s="253"/>
    </row>
    <row r="384" spans="1:1">
      <c r="A384" s="253"/>
    </row>
    <row r="385" spans="1:8">
      <c r="A385" s="253"/>
    </row>
    <row r="386" spans="1:8">
      <c r="A386" s="253"/>
    </row>
    <row r="387" spans="1:8">
      <c r="A387" s="253"/>
    </row>
    <row r="388" spans="1:8">
      <c r="A388" s="253"/>
    </row>
    <row r="389" spans="1:8" ht="13">
      <c r="A389" s="254"/>
      <c r="B389" s="215"/>
      <c r="C389" s="215"/>
      <c r="D389" s="215"/>
      <c r="E389" s="10"/>
      <c r="F389" s="215"/>
      <c r="G389" s="215"/>
    </row>
    <row r="390" spans="1:8" ht="13">
      <c r="A390" s="138"/>
      <c r="B390" s="215"/>
      <c r="C390" s="217"/>
      <c r="D390" s="217"/>
      <c r="E390" s="15"/>
      <c r="F390" s="215"/>
      <c r="G390" s="215"/>
    </row>
    <row r="391" spans="1:8" ht="13">
      <c r="A391" s="255"/>
      <c r="B391" s="215"/>
      <c r="C391" s="215"/>
      <c r="D391" s="215"/>
      <c r="E391" s="10"/>
      <c r="F391" s="215"/>
      <c r="G391" s="215"/>
    </row>
    <row r="392" spans="1:8" ht="13">
      <c r="A392" s="256"/>
      <c r="B392" s="215"/>
      <c r="C392" s="215"/>
      <c r="D392" s="215"/>
      <c r="E392" s="215"/>
      <c r="F392" s="215"/>
      <c r="G392" s="215"/>
      <c r="H392" s="136"/>
    </row>
    <row r="393" spans="1:8" ht="13">
      <c r="A393" s="256"/>
      <c r="B393" s="215"/>
      <c r="C393" s="215"/>
      <c r="D393" s="215"/>
      <c r="E393" s="215"/>
      <c r="F393" s="215"/>
      <c r="G393" s="215"/>
      <c r="H393" s="215"/>
    </row>
    <row r="394" spans="1:8">
      <c r="A394" s="252"/>
      <c r="B394" s="252"/>
      <c r="C394" s="252"/>
      <c r="D394" s="252"/>
      <c r="E394" s="252"/>
      <c r="F394" s="252"/>
    </row>
    <row r="395" spans="1:8">
      <c r="A395" s="253"/>
    </row>
    <row r="396" spans="1:8">
      <c r="A396" s="253"/>
    </row>
    <row r="397" spans="1:8">
      <c r="A397" s="253"/>
    </row>
    <row r="398" spans="1:8">
      <c r="A398" s="253"/>
    </row>
    <row r="399" spans="1:8">
      <c r="A399" s="253"/>
    </row>
    <row r="400" spans="1:8">
      <c r="A400" s="253"/>
    </row>
    <row r="401" spans="1:1">
      <c r="A401" s="253"/>
    </row>
    <row r="402" spans="1:1">
      <c r="A402" s="253"/>
    </row>
    <row r="403" spans="1:1">
      <c r="A403" s="253"/>
    </row>
    <row r="404" spans="1:1">
      <c r="A404" s="253"/>
    </row>
    <row r="405" spans="1:1">
      <c r="A405" s="253"/>
    </row>
    <row r="406" spans="1:1">
      <c r="A406" s="253"/>
    </row>
    <row r="407" spans="1:1">
      <c r="A407" s="253"/>
    </row>
    <row r="408" spans="1:1">
      <c r="A408" s="253"/>
    </row>
    <row r="409" spans="1:1">
      <c r="A409" s="253"/>
    </row>
    <row r="410" spans="1:1">
      <c r="A410" s="253"/>
    </row>
    <row r="411" spans="1:1">
      <c r="A411" s="253"/>
    </row>
    <row r="412" spans="1:1">
      <c r="A412" s="253"/>
    </row>
    <row r="413" spans="1:1">
      <c r="A413" s="253"/>
    </row>
    <row r="414" spans="1:1">
      <c r="A414" s="253"/>
    </row>
    <row r="415" spans="1:1">
      <c r="A415" s="253"/>
    </row>
    <row r="416" spans="1:1">
      <c r="A416" s="253"/>
    </row>
    <row r="417" spans="1:1">
      <c r="A417" s="253"/>
    </row>
    <row r="418" spans="1:1">
      <c r="A418" s="253"/>
    </row>
    <row r="419" spans="1:1">
      <c r="A419" s="253"/>
    </row>
    <row r="420" spans="1:1">
      <c r="A420" s="253"/>
    </row>
    <row r="421" spans="1:1">
      <c r="A421" s="253"/>
    </row>
    <row r="422" spans="1:1">
      <c r="A422" s="253"/>
    </row>
    <row r="423" spans="1:1">
      <c r="A423" s="253"/>
    </row>
    <row r="424" spans="1:1">
      <c r="A424" s="253"/>
    </row>
    <row r="425" spans="1:1">
      <c r="A425" s="253"/>
    </row>
    <row r="426" spans="1:1">
      <c r="A426" s="253"/>
    </row>
    <row r="427" spans="1:1">
      <c r="A427" s="253"/>
    </row>
    <row r="428" spans="1:1">
      <c r="A428" s="253"/>
    </row>
    <row r="429" spans="1:1">
      <c r="A429" s="253"/>
    </row>
    <row r="430" spans="1:1">
      <c r="A430" s="253"/>
    </row>
    <row r="431" spans="1:1">
      <c r="A431" s="253"/>
    </row>
    <row r="432" spans="1:1">
      <c r="A432" s="253"/>
    </row>
    <row r="433" spans="1:1">
      <c r="A433" s="253"/>
    </row>
    <row r="434" spans="1:1">
      <c r="A434" s="253"/>
    </row>
    <row r="435" spans="1:1">
      <c r="A435" s="253"/>
    </row>
    <row r="436" spans="1:1">
      <c r="A436" s="253"/>
    </row>
    <row r="437" spans="1:1">
      <c r="A437" s="253"/>
    </row>
    <row r="438" spans="1:1">
      <c r="A438" s="253"/>
    </row>
    <row r="439" spans="1:1">
      <c r="A439" s="253"/>
    </row>
    <row r="440" spans="1:1">
      <c r="A440" s="253"/>
    </row>
    <row r="441" spans="1:1">
      <c r="A441" s="253"/>
    </row>
    <row r="442" spans="1:1">
      <c r="A442" s="253"/>
    </row>
    <row r="443" spans="1:1">
      <c r="A443" s="253"/>
    </row>
    <row r="444" spans="1:1">
      <c r="A444" s="253"/>
    </row>
    <row r="445" spans="1:1">
      <c r="A445" s="253"/>
    </row>
    <row r="446" spans="1:1">
      <c r="A446" s="253"/>
    </row>
    <row r="447" spans="1:1">
      <c r="A447" s="253"/>
    </row>
    <row r="448" spans="1:1">
      <c r="A448" s="253"/>
    </row>
    <row r="449" spans="1:1">
      <c r="A449" s="253"/>
    </row>
    <row r="450" spans="1:1">
      <c r="A450" s="253"/>
    </row>
    <row r="451" spans="1:1">
      <c r="A451" s="253"/>
    </row>
    <row r="452" spans="1:1">
      <c r="A452" s="253"/>
    </row>
    <row r="453" spans="1:1">
      <c r="A453" s="253"/>
    </row>
    <row r="454" spans="1:1">
      <c r="A454" s="253"/>
    </row>
    <row r="455" spans="1:1">
      <c r="A455" s="253"/>
    </row>
    <row r="456" spans="1:1">
      <c r="A456" s="253"/>
    </row>
    <row r="457" spans="1:1">
      <c r="A457" s="253"/>
    </row>
    <row r="458" spans="1:1">
      <c r="A458" s="253"/>
    </row>
    <row r="459" spans="1:1">
      <c r="A459" s="253"/>
    </row>
    <row r="460" spans="1:1">
      <c r="A460" s="253"/>
    </row>
    <row r="461" spans="1:1">
      <c r="A461" s="253"/>
    </row>
    <row r="462" spans="1:1">
      <c r="A462" s="253"/>
    </row>
    <row r="463" spans="1:1">
      <c r="A463" s="253"/>
    </row>
    <row r="464" spans="1:1">
      <c r="A464" s="253"/>
    </row>
    <row r="465" spans="1:8">
      <c r="A465" s="253"/>
    </row>
    <row r="466" spans="1:8">
      <c r="A466" s="253"/>
    </row>
    <row r="467" spans="1:8">
      <c r="A467" s="253"/>
    </row>
    <row r="468" spans="1:8">
      <c r="A468" s="253"/>
    </row>
    <row r="469" spans="1:8" ht="13">
      <c r="A469" s="254"/>
      <c r="B469" s="215"/>
      <c r="C469" s="215"/>
      <c r="D469" s="215"/>
      <c r="E469" s="10"/>
      <c r="F469" s="215"/>
      <c r="G469" s="215"/>
    </row>
    <row r="470" spans="1:8" ht="13">
      <c r="A470" s="138"/>
      <c r="B470" s="215"/>
      <c r="C470" s="217"/>
      <c r="D470" s="217"/>
      <c r="E470" s="15"/>
      <c r="F470" s="215"/>
      <c r="G470" s="215"/>
    </row>
    <row r="471" spans="1:8" ht="13">
      <c r="A471" s="255"/>
      <c r="B471" s="215"/>
      <c r="C471" s="215"/>
      <c r="D471" s="215"/>
      <c r="E471" s="10"/>
      <c r="F471" s="215"/>
      <c r="G471" s="215"/>
    </row>
    <row r="472" spans="1:8" ht="13">
      <c r="A472" s="256"/>
      <c r="B472" s="215"/>
      <c r="C472" s="215"/>
      <c r="D472" s="215"/>
      <c r="E472" s="215"/>
      <c r="F472" s="215"/>
      <c r="G472" s="215"/>
      <c r="H472" s="136"/>
    </row>
    <row r="473" spans="1:8" ht="13">
      <c r="A473" s="256"/>
      <c r="B473" s="215"/>
      <c r="C473" s="215"/>
      <c r="D473" s="215"/>
      <c r="E473" s="215"/>
      <c r="F473" s="215"/>
      <c r="G473" s="215"/>
      <c r="H473" s="215"/>
    </row>
    <row r="474" spans="1:8">
      <c r="A474" s="252"/>
      <c r="B474" s="252"/>
      <c r="C474" s="252"/>
      <c r="D474" s="252"/>
      <c r="E474" s="252"/>
      <c r="F474" s="252"/>
    </row>
    <row r="475" spans="1:8">
      <c r="A475" s="253"/>
    </row>
    <row r="476" spans="1:8">
      <c r="A476" s="253"/>
    </row>
    <row r="477" spans="1:8">
      <c r="A477" s="253"/>
    </row>
    <row r="478" spans="1:8">
      <c r="A478" s="253"/>
    </row>
    <row r="479" spans="1:8">
      <c r="A479" s="253"/>
    </row>
    <row r="480" spans="1:8">
      <c r="A480" s="253"/>
    </row>
    <row r="481" spans="1:1">
      <c r="A481" s="253"/>
    </row>
    <row r="482" spans="1:1">
      <c r="A482" s="253"/>
    </row>
    <row r="483" spans="1:1">
      <c r="A483" s="253"/>
    </row>
    <row r="484" spans="1:1">
      <c r="A484" s="253"/>
    </row>
    <row r="485" spans="1:1">
      <c r="A485" s="253"/>
    </row>
    <row r="486" spans="1:1">
      <c r="A486" s="253"/>
    </row>
    <row r="487" spans="1:1">
      <c r="A487" s="253"/>
    </row>
    <row r="488" spans="1:1">
      <c r="A488" s="253"/>
    </row>
    <row r="489" spans="1:1">
      <c r="A489" s="253"/>
    </row>
    <row r="490" spans="1:1">
      <c r="A490" s="253"/>
    </row>
    <row r="491" spans="1:1">
      <c r="A491" s="253"/>
    </row>
    <row r="492" spans="1:1">
      <c r="A492" s="253"/>
    </row>
    <row r="493" spans="1:1">
      <c r="A493" s="253"/>
    </row>
    <row r="494" spans="1:1">
      <c r="A494" s="253"/>
    </row>
    <row r="495" spans="1:1">
      <c r="A495" s="253"/>
    </row>
    <row r="496" spans="1:1">
      <c r="A496" s="253"/>
    </row>
    <row r="497" spans="1:1">
      <c r="A497" s="253"/>
    </row>
    <row r="498" spans="1:1">
      <c r="A498" s="253"/>
    </row>
    <row r="499" spans="1:1">
      <c r="A499" s="253"/>
    </row>
    <row r="500" spans="1:1">
      <c r="A500" s="253"/>
    </row>
    <row r="501" spans="1:1">
      <c r="A501" s="253"/>
    </row>
    <row r="502" spans="1:1">
      <c r="A502" s="253"/>
    </row>
    <row r="503" spans="1:1">
      <c r="A503" s="253"/>
    </row>
    <row r="504" spans="1:1">
      <c r="A504" s="253"/>
    </row>
    <row r="505" spans="1:1">
      <c r="A505" s="253"/>
    </row>
    <row r="506" spans="1:1">
      <c r="A506" s="253"/>
    </row>
    <row r="507" spans="1:1">
      <c r="A507" s="253"/>
    </row>
    <row r="508" spans="1:1">
      <c r="A508" s="253"/>
    </row>
    <row r="509" spans="1:1">
      <c r="A509" s="253"/>
    </row>
    <row r="510" spans="1:1">
      <c r="A510" s="253"/>
    </row>
    <row r="511" spans="1:1">
      <c r="A511" s="253"/>
    </row>
    <row r="512" spans="1:1">
      <c r="A512" s="253"/>
    </row>
    <row r="513" spans="1:1">
      <c r="A513" s="253"/>
    </row>
    <row r="514" spans="1:1">
      <c r="A514" s="253"/>
    </row>
    <row r="515" spans="1:1">
      <c r="A515" s="253"/>
    </row>
    <row r="516" spans="1:1">
      <c r="A516" s="253"/>
    </row>
    <row r="517" spans="1:1">
      <c r="A517" s="253"/>
    </row>
    <row r="518" spans="1:1">
      <c r="A518" s="253"/>
    </row>
    <row r="519" spans="1:1">
      <c r="A519" s="253"/>
    </row>
    <row r="520" spans="1:1">
      <c r="A520" s="253"/>
    </row>
    <row r="521" spans="1:1">
      <c r="A521" s="253"/>
    </row>
    <row r="522" spans="1:1">
      <c r="A522" s="253"/>
    </row>
    <row r="523" spans="1:1">
      <c r="A523" s="253"/>
    </row>
    <row r="524" spans="1:1">
      <c r="A524" s="253"/>
    </row>
    <row r="525" spans="1:1">
      <c r="A525" s="253"/>
    </row>
    <row r="526" spans="1:1">
      <c r="A526" s="253"/>
    </row>
    <row r="527" spans="1:1">
      <c r="A527" s="253"/>
    </row>
    <row r="528" spans="1:1">
      <c r="A528" s="253"/>
    </row>
    <row r="529" spans="1:1">
      <c r="A529" s="253"/>
    </row>
    <row r="530" spans="1:1">
      <c r="A530" s="253"/>
    </row>
    <row r="531" spans="1:1">
      <c r="A531" s="253"/>
    </row>
    <row r="532" spans="1:1">
      <c r="A532" s="253"/>
    </row>
    <row r="533" spans="1:1">
      <c r="A533" s="253"/>
    </row>
    <row r="534" spans="1:1">
      <c r="A534" s="253"/>
    </row>
    <row r="535" spans="1:1">
      <c r="A535" s="253"/>
    </row>
    <row r="536" spans="1:1">
      <c r="A536" s="253"/>
    </row>
    <row r="537" spans="1:1">
      <c r="A537" s="253"/>
    </row>
    <row r="538" spans="1:1">
      <c r="A538" s="253"/>
    </row>
    <row r="539" spans="1:1">
      <c r="A539" s="253"/>
    </row>
    <row r="540" spans="1:1">
      <c r="A540" s="253"/>
    </row>
    <row r="541" spans="1:1">
      <c r="A541" s="253"/>
    </row>
    <row r="542" spans="1:1">
      <c r="A542" s="253"/>
    </row>
    <row r="543" spans="1:1">
      <c r="A543" s="253"/>
    </row>
    <row r="544" spans="1:1">
      <c r="A544" s="253"/>
    </row>
    <row r="545" spans="1:8">
      <c r="A545" s="253"/>
    </row>
    <row r="546" spans="1:8">
      <c r="A546" s="253"/>
    </row>
    <row r="547" spans="1:8">
      <c r="A547" s="253"/>
    </row>
    <row r="548" spans="1:8">
      <c r="A548" s="253"/>
    </row>
    <row r="549" spans="1:8" ht="13">
      <c r="A549" s="254"/>
      <c r="B549" s="215"/>
      <c r="C549" s="215"/>
      <c r="D549" s="215"/>
      <c r="E549" s="10"/>
      <c r="F549" s="215"/>
      <c r="G549" s="215"/>
    </row>
    <row r="550" spans="1:8" ht="13">
      <c r="A550" s="138"/>
      <c r="B550" s="215"/>
      <c r="C550" s="217"/>
      <c r="D550" s="217"/>
      <c r="E550" s="15"/>
      <c r="F550" s="215"/>
      <c r="G550" s="215"/>
    </row>
    <row r="551" spans="1:8" ht="13">
      <c r="A551" s="255"/>
      <c r="B551" s="215"/>
      <c r="C551" s="215"/>
      <c r="D551" s="215"/>
      <c r="E551" s="10"/>
      <c r="F551" s="215"/>
      <c r="G551" s="215"/>
    </row>
    <row r="552" spans="1:8" ht="13">
      <c r="A552" s="256"/>
      <c r="B552" s="215"/>
      <c r="C552" s="215"/>
      <c r="D552" s="215"/>
      <c r="E552" s="215"/>
      <c r="F552" s="215"/>
      <c r="G552" s="215"/>
      <c r="H552" s="136"/>
    </row>
    <row r="553" spans="1:8" ht="13">
      <c r="A553" s="256"/>
      <c r="B553" s="215"/>
      <c r="C553" s="215"/>
      <c r="D553" s="215"/>
      <c r="E553" s="215"/>
      <c r="F553" s="215"/>
      <c r="G553" s="215"/>
      <c r="H553" s="215"/>
    </row>
    <row r="554" spans="1:8">
      <c r="A554" s="252"/>
      <c r="B554" s="252"/>
      <c r="C554" s="252"/>
      <c r="D554" s="252"/>
      <c r="E554" s="252"/>
      <c r="F554" s="252"/>
    </row>
    <row r="555" spans="1:8">
      <c r="A555" s="253"/>
    </row>
    <row r="556" spans="1:8">
      <c r="A556" s="253"/>
    </row>
    <row r="557" spans="1:8">
      <c r="A557" s="253"/>
    </row>
    <row r="558" spans="1:8">
      <c r="A558" s="253"/>
    </row>
    <row r="559" spans="1:8">
      <c r="A559" s="253"/>
    </row>
    <row r="560" spans="1:8">
      <c r="A560" s="253"/>
    </row>
    <row r="561" spans="1:1">
      <c r="A561" s="253"/>
    </row>
    <row r="562" spans="1:1">
      <c r="A562" s="253"/>
    </row>
    <row r="563" spans="1:1">
      <c r="A563" s="253"/>
    </row>
    <row r="564" spans="1:1">
      <c r="A564" s="253"/>
    </row>
    <row r="565" spans="1:1">
      <c r="A565" s="253"/>
    </row>
    <row r="566" spans="1:1">
      <c r="A566" s="253"/>
    </row>
    <row r="567" spans="1:1">
      <c r="A567" s="253"/>
    </row>
    <row r="568" spans="1:1">
      <c r="A568" s="253"/>
    </row>
    <row r="569" spans="1:1">
      <c r="A569" s="253"/>
    </row>
    <row r="570" spans="1:1">
      <c r="A570" s="253"/>
    </row>
    <row r="571" spans="1:1">
      <c r="A571" s="253"/>
    </row>
    <row r="572" spans="1:1">
      <c r="A572" s="253"/>
    </row>
    <row r="573" spans="1:1">
      <c r="A573" s="253"/>
    </row>
    <row r="574" spans="1:1">
      <c r="A574" s="253"/>
    </row>
    <row r="575" spans="1:1">
      <c r="A575" s="253"/>
    </row>
    <row r="576" spans="1:1">
      <c r="A576" s="253"/>
    </row>
    <row r="577" spans="1:1">
      <c r="A577" s="253"/>
    </row>
    <row r="578" spans="1:1">
      <c r="A578" s="253"/>
    </row>
    <row r="579" spans="1:1">
      <c r="A579" s="253"/>
    </row>
    <row r="580" spans="1:1">
      <c r="A580" s="253"/>
    </row>
    <row r="581" spans="1:1">
      <c r="A581" s="253"/>
    </row>
    <row r="582" spans="1:1">
      <c r="A582" s="253"/>
    </row>
    <row r="583" spans="1:1">
      <c r="A583" s="253"/>
    </row>
    <row r="584" spans="1:1">
      <c r="A584" s="253"/>
    </row>
    <row r="585" spans="1:1">
      <c r="A585" s="253"/>
    </row>
    <row r="586" spans="1:1">
      <c r="A586" s="253"/>
    </row>
    <row r="587" spans="1:1">
      <c r="A587" s="253"/>
    </row>
    <row r="588" spans="1:1">
      <c r="A588" s="253"/>
    </row>
    <row r="589" spans="1:1">
      <c r="A589" s="253"/>
    </row>
    <row r="590" spans="1:1">
      <c r="A590" s="253"/>
    </row>
    <row r="591" spans="1:1">
      <c r="A591" s="253"/>
    </row>
    <row r="592" spans="1:1">
      <c r="A592" s="253"/>
    </row>
    <row r="593" spans="1:1">
      <c r="A593" s="253"/>
    </row>
    <row r="594" spans="1:1">
      <c r="A594" s="253"/>
    </row>
    <row r="595" spans="1:1">
      <c r="A595" s="253"/>
    </row>
    <row r="596" spans="1:1">
      <c r="A596" s="253"/>
    </row>
    <row r="597" spans="1:1">
      <c r="A597" s="253"/>
    </row>
    <row r="598" spans="1:1">
      <c r="A598" s="253"/>
    </row>
    <row r="599" spans="1:1">
      <c r="A599" s="253"/>
    </row>
    <row r="600" spans="1:1">
      <c r="A600" s="253"/>
    </row>
    <row r="601" spans="1:1">
      <c r="A601" s="253"/>
    </row>
    <row r="602" spans="1:1">
      <c r="A602" s="253"/>
    </row>
    <row r="603" spans="1:1">
      <c r="A603" s="253"/>
    </row>
    <row r="604" spans="1:1">
      <c r="A604" s="253"/>
    </row>
    <row r="605" spans="1:1">
      <c r="A605" s="253"/>
    </row>
    <row r="606" spans="1:1">
      <c r="A606" s="253"/>
    </row>
    <row r="607" spans="1:1">
      <c r="A607" s="253"/>
    </row>
    <row r="608" spans="1:1">
      <c r="A608" s="253"/>
    </row>
    <row r="609" spans="1:1">
      <c r="A609" s="253"/>
    </row>
    <row r="610" spans="1:1">
      <c r="A610" s="253"/>
    </row>
    <row r="611" spans="1:1">
      <c r="A611" s="253"/>
    </row>
    <row r="612" spans="1:1">
      <c r="A612" s="253"/>
    </row>
    <row r="613" spans="1:1">
      <c r="A613" s="253"/>
    </row>
    <row r="614" spans="1:1">
      <c r="A614" s="253"/>
    </row>
    <row r="615" spans="1:1">
      <c r="A615" s="253"/>
    </row>
    <row r="616" spans="1:1">
      <c r="A616" s="253"/>
    </row>
    <row r="617" spans="1:1">
      <c r="A617" s="253"/>
    </row>
    <row r="618" spans="1:1">
      <c r="A618" s="253"/>
    </row>
    <row r="619" spans="1:1">
      <c r="A619" s="253"/>
    </row>
    <row r="620" spans="1:1">
      <c r="A620" s="253"/>
    </row>
    <row r="621" spans="1:1">
      <c r="A621" s="253"/>
    </row>
    <row r="622" spans="1:1">
      <c r="A622" s="253"/>
    </row>
    <row r="623" spans="1:1">
      <c r="A623" s="253"/>
    </row>
    <row r="624" spans="1:1">
      <c r="A624" s="253"/>
    </row>
    <row r="625" spans="1:8">
      <c r="A625" s="253"/>
    </row>
    <row r="626" spans="1:8">
      <c r="A626" s="253"/>
    </row>
    <row r="627" spans="1:8">
      <c r="A627" s="253"/>
    </row>
    <row r="628" spans="1:8">
      <c r="A628" s="253"/>
    </row>
    <row r="629" spans="1:8" ht="13">
      <c r="A629" s="254"/>
      <c r="B629" s="215"/>
      <c r="C629" s="215"/>
      <c r="D629" s="215"/>
      <c r="E629" s="10"/>
      <c r="F629" s="215"/>
      <c r="G629" s="215"/>
    </row>
    <row r="630" spans="1:8" ht="13">
      <c r="A630" s="138"/>
      <c r="B630" s="215"/>
      <c r="C630" s="217"/>
      <c r="D630" s="217"/>
      <c r="E630" s="15"/>
      <c r="F630" s="215"/>
      <c r="G630" s="215"/>
    </row>
    <row r="631" spans="1:8" ht="13">
      <c r="A631" s="255"/>
      <c r="B631" s="215"/>
      <c r="C631" s="215"/>
      <c r="D631" s="215"/>
      <c r="E631" s="10"/>
      <c r="F631" s="215"/>
      <c r="G631" s="215"/>
    </row>
    <row r="632" spans="1:8" ht="13">
      <c r="A632" s="256"/>
      <c r="B632" s="215"/>
      <c r="C632" s="215"/>
      <c r="D632" s="215"/>
      <c r="E632" s="215"/>
      <c r="F632" s="215"/>
      <c r="G632" s="215"/>
      <c r="H632" s="136"/>
    </row>
    <row r="633" spans="1:8" ht="13">
      <c r="A633" s="256"/>
      <c r="B633" s="215"/>
      <c r="C633" s="215"/>
      <c r="D633" s="215"/>
      <c r="E633" s="215"/>
      <c r="F633" s="215"/>
      <c r="G633" s="215"/>
      <c r="H633" s="215"/>
    </row>
    <row r="634" spans="1:8">
      <c r="A634" s="252"/>
      <c r="B634" s="252"/>
      <c r="C634" s="252"/>
      <c r="D634" s="252"/>
      <c r="E634" s="252"/>
      <c r="F634" s="252"/>
    </row>
    <row r="635" spans="1:8">
      <c r="A635" s="253"/>
    </row>
    <row r="636" spans="1:8">
      <c r="A636" s="253"/>
    </row>
    <row r="637" spans="1:8">
      <c r="A637" s="253"/>
    </row>
    <row r="638" spans="1:8">
      <c r="A638" s="253"/>
    </row>
    <row r="639" spans="1:8">
      <c r="A639" s="253"/>
    </row>
    <row r="640" spans="1:8">
      <c r="A640" s="253"/>
    </row>
    <row r="641" spans="1:1">
      <c r="A641" s="253"/>
    </row>
    <row r="642" spans="1:1">
      <c r="A642" s="253"/>
    </row>
    <row r="643" spans="1:1">
      <c r="A643" s="253"/>
    </row>
    <row r="644" spans="1:1">
      <c r="A644" s="253"/>
    </row>
    <row r="645" spans="1:1">
      <c r="A645" s="253"/>
    </row>
    <row r="646" spans="1:1">
      <c r="A646" s="253"/>
    </row>
    <row r="647" spans="1:1">
      <c r="A647" s="253"/>
    </row>
    <row r="648" spans="1:1">
      <c r="A648" s="253"/>
    </row>
    <row r="649" spans="1:1">
      <c r="A649" s="253"/>
    </row>
    <row r="650" spans="1:1">
      <c r="A650" s="253"/>
    </row>
    <row r="651" spans="1:1">
      <c r="A651" s="253"/>
    </row>
    <row r="652" spans="1:1">
      <c r="A652" s="253"/>
    </row>
    <row r="653" spans="1:1">
      <c r="A653" s="253"/>
    </row>
    <row r="654" spans="1:1">
      <c r="A654" s="253"/>
    </row>
    <row r="655" spans="1:1">
      <c r="A655" s="253"/>
    </row>
    <row r="656" spans="1:1">
      <c r="A656" s="253"/>
    </row>
    <row r="657" spans="1:1">
      <c r="A657" s="253"/>
    </row>
    <row r="658" spans="1:1">
      <c r="A658" s="253"/>
    </row>
    <row r="659" spans="1:1">
      <c r="A659" s="253"/>
    </row>
    <row r="660" spans="1:1">
      <c r="A660" s="253"/>
    </row>
    <row r="661" spans="1:1">
      <c r="A661" s="253"/>
    </row>
    <row r="662" spans="1:1">
      <c r="A662" s="253"/>
    </row>
    <row r="663" spans="1:1">
      <c r="A663" s="253"/>
    </row>
    <row r="664" spans="1:1">
      <c r="A664" s="253"/>
    </row>
    <row r="665" spans="1:1">
      <c r="A665" s="253"/>
    </row>
    <row r="666" spans="1:1">
      <c r="A666" s="253"/>
    </row>
    <row r="667" spans="1:1">
      <c r="A667" s="253"/>
    </row>
    <row r="668" spans="1:1">
      <c r="A668" s="253"/>
    </row>
    <row r="669" spans="1:1">
      <c r="A669" s="253"/>
    </row>
    <row r="670" spans="1:1">
      <c r="A670" s="253"/>
    </row>
    <row r="671" spans="1:1">
      <c r="A671" s="253"/>
    </row>
    <row r="672" spans="1:1">
      <c r="A672" s="253"/>
    </row>
    <row r="673" spans="1:1">
      <c r="A673" s="253"/>
    </row>
    <row r="674" spans="1:1">
      <c r="A674" s="253"/>
    </row>
    <row r="675" spans="1:1">
      <c r="A675" s="253"/>
    </row>
    <row r="676" spans="1:1">
      <c r="A676" s="253"/>
    </row>
    <row r="677" spans="1:1">
      <c r="A677" s="253"/>
    </row>
    <row r="678" spans="1:1">
      <c r="A678" s="253"/>
    </row>
    <row r="679" spans="1:1">
      <c r="A679" s="253"/>
    </row>
    <row r="680" spans="1:1">
      <c r="A680" s="253"/>
    </row>
    <row r="681" spans="1:1">
      <c r="A681" s="253"/>
    </row>
    <row r="682" spans="1:1">
      <c r="A682" s="253"/>
    </row>
    <row r="683" spans="1:1">
      <c r="A683" s="253"/>
    </row>
    <row r="684" spans="1:1">
      <c r="A684" s="253"/>
    </row>
    <row r="685" spans="1:1">
      <c r="A685" s="253"/>
    </row>
    <row r="686" spans="1:1">
      <c r="A686" s="253"/>
    </row>
    <row r="687" spans="1:1">
      <c r="A687" s="253"/>
    </row>
    <row r="688" spans="1:1">
      <c r="A688" s="253"/>
    </row>
    <row r="689" spans="1:1">
      <c r="A689" s="253"/>
    </row>
    <row r="690" spans="1:1">
      <c r="A690" s="253"/>
    </row>
    <row r="691" spans="1:1">
      <c r="A691" s="253"/>
    </row>
    <row r="692" spans="1:1">
      <c r="A692" s="253"/>
    </row>
    <row r="693" spans="1:1">
      <c r="A693" s="253"/>
    </row>
    <row r="694" spans="1:1">
      <c r="A694" s="253"/>
    </row>
    <row r="695" spans="1:1">
      <c r="A695" s="253"/>
    </row>
    <row r="696" spans="1:1">
      <c r="A696" s="253"/>
    </row>
    <row r="697" spans="1:1">
      <c r="A697" s="253"/>
    </row>
    <row r="698" spans="1:1">
      <c r="A698" s="253"/>
    </row>
    <row r="699" spans="1:1">
      <c r="A699" s="253"/>
    </row>
    <row r="700" spans="1:1">
      <c r="A700" s="253"/>
    </row>
    <row r="701" spans="1:1">
      <c r="A701" s="253"/>
    </row>
    <row r="702" spans="1:1">
      <c r="A702" s="253"/>
    </row>
    <row r="703" spans="1:1">
      <c r="A703" s="253"/>
    </row>
    <row r="704" spans="1:1">
      <c r="A704" s="253"/>
    </row>
    <row r="705" spans="1:8">
      <c r="A705" s="253"/>
    </row>
    <row r="706" spans="1:8">
      <c r="A706" s="253"/>
    </row>
    <row r="707" spans="1:8">
      <c r="A707" s="253"/>
    </row>
    <row r="708" spans="1:8">
      <c r="A708" s="253"/>
    </row>
    <row r="709" spans="1:8" ht="13">
      <c r="A709" s="254"/>
      <c r="B709" s="215"/>
      <c r="C709" s="215"/>
      <c r="D709" s="215"/>
      <c r="E709" s="10"/>
      <c r="F709" s="215"/>
      <c r="G709" s="215"/>
    </row>
    <row r="710" spans="1:8" ht="13">
      <c r="A710" s="138"/>
      <c r="B710" s="215"/>
      <c r="C710" s="217"/>
      <c r="D710" s="217"/>
      <c r="E710" s="15"/>
      <c r="F710" s="215"/>
      <c r="G710" s="215"/>
    </row>
    <row r="711" spans="1:8" ht="13">
      <c r="A711" s="255"/>
      <c r="B711" s="215"/>
      <c r="C711" s="215"/>
      <c r="D711" s="215"/>
      <c r="E711" s="10"/>
      <c r="F711" s="215"/>
      <c r="G711" s="215"/>
    </row>
    <row r="712" spans="1:8" ht="13">
      <c r="A712" s="256"/>
      <c r="B712" s="215"/>
      <c r="C712" s="215"/>
      <c r="D712" s="215"/>
      <c r="E712" s="215"/>
      <c r="F712" s="215"/>
      <c r="G712" s="215"/>
      <c r="H712" s="136"/>
    </row>
    <row r="713" spans="1:8" ht="13">
      <c r="A713" s="256"/>
      <c r="B713" s="215"/>
      <c r="C713" s="215"/>
      <c r="D713" s="215"/>
      <c r="E713" s="215"/>
      <c r="F713" s="215"/>
      <c r="G713" s="215"/>
      <c r="H713" s="215"/>
    </row>
    <row r="714" spans="1:8">
      <c r="A714" s="252"/>
      <c r="B714" s="252"/>
      <c r="C714" s="252"/>
      <c r="D714" s="252"/>
      <c r="E714" s="252"/>
      <c r="F714" s="252"/>
    </row>
    <row r="715" spans="1:8">
      <c r="A715" s="253"/>
    </row>
    <row r="716" spans="1:8">
      <c r="A716" s="253"/>
    </row>
    <row r="717" spans="1:8">
      <c r="A717" s="253"/>
    </row>
    <row r="718" spans="1:8">
      <c r="A718" s="253"/>
    </row>
    <row r="719" spans="1:8">
      <c r="A719" s="253"/>
    </row>
    <row r="720" spans="1:8">
      <c r="A720" s="253"/>
    </row>
    <row r="721" spans="1:1">
      <c r="A721" s="253"/>
    </row>
    <row r="722" spans="1:1">
      <c r="A722" s="253"/>
    </row>
    <row r="723" spans="1:1">
      <c r="A723" s="253"/>
    </row>
    <row r="724" spans="1:1">
      <c r="A724" s="253"/>
    </row>
    <row r="725" spans="1:1">
      <c r="A725" s="253"/>
    </row>
    <row r="726" spans="1:1">
      <c r="A726" s="253"/>
    </row>
    <row r="727" spans="1:1">
      <c r="A727" s="253"/>
    </row>
    <row r="728" spans="1:1">
      <c r="A728" s="253"/>
    </row>
    <row r="729" spans="1:1">
      <c r="A729" s="253"/>
    </row>
    <row r="730" spans="1:1">
      <c r="A730" s="253"/>
    </row>
    <row r="731" spans="1:1">
      <c r="A731" s="253"/>
    </row>
    <row r="732" spans="1:1">
      <c r="A732" s="253"/>
    </row>
    <row r="733" spans="1:1">
      <c r="A733" s="253"/>
    </row>
    <row r="734" spans="1:1">
      <c r="A734" s="253"/>
    </row>
    <row r="735" spans="1:1">
      <c r="A735" s="253"/>
    </row>
    <row r="736" spans="1:1">
      <c r="A736" s="253"/>
    </row>
    <row r="737" spans="1:1">
      <c r="A737" s="253"/>
    </row>
    <row r="738" spans="1:1">
      <c r="A738" s="253"/>
    </row>
    <row r="739" spans="1:1">
      <c r="A739" s="253"/>
    </row>
    <row r="740" spans="1:1">
      <c r="A740" s="253"/>
    </row>
    <row r="741" spans="1:1">
      <c r="A741" s="253"/>
    </row>
    <row r="742" spans="1:1">
      <c r="A742" s="253"/>
    </row>
    <row r="743" spans="1:1">
      <c r="A743" s="253"/>
    </row>
    <row r="744" spans="1:1">
      <c r="A744" s="253"/>
    </row>
    <row r="745" spans="1:1">
      <c r="A745" s="253"/>
    </row>
    <row r="746" spans="1:1">
      <c r="A746" s="253"/>
    </row>
    <row r="747" spans="1:1">
      <c r="A747" s="253"/>
    </row>
    <row r="748" spans="1:1">
      <c r="A748" s="253"/>
    </row>
    <row r="749" spans="1:1">
      <c r="A749" s="253"/>
    </row>
    <row r="750" spans="1:1">
      <c r="A750" s="253"/>
    </row>
    <row r="751" spans="1:1">
      <c r="A751" s="253"/>
    </row>
    <row r="752" spans="1:1">
      <c r="A752" s="253"/>
    </row>
    <row r="753" spans="1:1">
      <c r="A753" s="253"/>
    </row>
    <row r="754" spans="1:1">
      <c r="A754" s="253"/>
    </row>
    <row r="755" spans="1:1">
      <c r="A755" s="253"/>
    </row>
    <row r="756" spans="1:1">
      <c r="A756" s="253"/>
    </row>
    <row r="757" spans="1:1">
      <c r="A757" s="253"/>
    </row>
    <row r="758" spans="1:1">
      <c r="A758" s="253"/>
    </row>
    <row r="759" spans="1:1">
      <c r="A759" s="253"/>
    </row>
    <row r="760" spans="1:1">
      <c r="A760" s="253"/>
    </row>
    <row r="761" spans="1:1">
      <c r="A761" s="253"/>
    </row>
    <row r="762" spans="1:1">
      <c r="A762" s="253"/>
    </row>
    <row r="763" spans="1:1">
      <c r="A763" s="253"/>
    </row>
    <row r="764" spans="1:1">
      <c r="A764" s="253"/>
    </row>
    <row r="765" spans="1:1">
      <c r="A765" s="253"/>
    </row>
    <row r="766" spans="1:1">
      <c r="A766" s="253"/>
    </row>
    <row r="767" spans="1:1">
      <c r="A767" s="253"/>
    </row>
    <row r="768" spans="1:1">
      <c r="A768" s="253"/>
    </row>
    <row r="769" spans="1:1">
      <c r="A769" s="253"/>
    </row>
    <row r="770" spans="1:1">
      <c r="A770" s="253"/>
    </row>
    <row r="771" spans="1:1">
      <c r="A771" s="253"/>
    </row>
    <row r="772" spans="1:1">
      <c r="A772" s="253"/>
    </row>
    <row r="773" spans="1:1">
      <c r="A773" s="253"/>
    </row>
    <row r="774" spans="1:1">
      <c r="A774" s="253"/>
    </row>
    <row r="775" spans="1:1">
      <c r="A775" s="253"/>
    </row>
    <row r="776" spans="1:1">
      <c r="A776" s="253"/>
    </row>
    <row r="777" spans="1:1">
      <c r="A777" s="253"/>
    </row>
    <row r="778" spans="1:1">
      <c r="A778" s="253"/>
    </row>
    <row r="779" spans="1:1">
      <c r="A779" s="253"/>
    </row>
    <row r="780" spans="1:1">
      <c r="A780" s="253"/>
    </row>
    <row r="781" spans="1:1">
      <c r="A781" s="253"/>
    </row>
    <row r="782" spans="1:1">
      <c r="A782" s="253"/>
    </row>
    <row r="783" spans="1:1">
      <c r="A783" s="253"/>
    </row>
    <row r="784" spans="1:1">
      <c r="A784" s="253"/>
    </row>
    <row r="785" spans="1:8">
      <c r="A785" s="253"/>
    </row>
    <row r="786" spans="1:8">
      <c r="A786" s="253"/>
    </row>
    <row r="787" spans="1:8">
      <c r="A787" s="253"/>
    </row>
    <row r="788" spans="1:8">
      <c r="A788" s="253"/>
    </row>
    <row r="789" spans="1:8" ht="13">
      <c r="A789" s="254"/>
      <c r="B789" s="215"/>
      <c r="C789" s="215"/>
      <c r="D789" s="215"/>
      <c r="E789" s="10"/>
      <c r="F789" s="215"/>
      <c r="G789" s="215"/>
    </row>
    <row r="790" spans="1:8" ht="13">
      <c r="A790" s="138"/>
      <c r="B790" s="215"/>
      <c r="C790" s="217"/>
      <c r="D790" s="217"/>
      <c r="E790" s="15"/>
      <c r="F790" s="215"/>
      <c r="G790" s="215"/>
    </row>
    <row r="791" spans="1:8" ht="13">
      <c r="A791" s="255"/>
      <c r="B791" s="215"/>
      <c r="C791" s="215"/>
      <c r="D791" s="215"/>
      <c r="E791" s="10"/>
      <c r="F791" s="215"/>
      <c r="G791" s="215"/>
    </row>
    <row r="792" spans="1:8" ht="13">
      <c r="A792" s="256"/>
      <c r="B792" s="215"/>
      <c r="C792" s="215"/>
      <c r="D792" s="215"/>
      <c r="E792" s="215"/>
      <c r="F792" s="215"/>
      <c r="G792" s="215"/>
      <c r="H792" s="136"/>
    </row>
    <row r="793" spans="1:8" ht="13">
      <c r="A793" s="256"/>
      <c r="B793" s="215"/>
      <c r="C793" s="215"/>
      <c r="D793" s="215"/>
      <c r="E793" s="215"/>
      <c r="F793" s="215"/>
      <c r="G793" s="215"/>
      <c r="H793" s="215"/>
    </row>
    <row r="794" spans="1:8">
      <c r="A794" s="252"/>
      <c r="B794" s="252"/>
      <c r="C794" s="252"/>
      <c r="D794" s="252"/>
      <c r="E794" s="252"/>
      <c r="F794" s="252"/>
    </row>
    <row r="795" spans="1:8">
      <c r="A795" s="253"/>
    </row>
    <row r="796" spans="1:8">
      <c r="A796" s="253"/>
    </row>
    <row r="797" spans="1:8">
      <c r="A797" s="253"/>
    </row>
    <row r="798" spans="1:8">
      <c r="A798" s="253"/>
    </row>
    <row r="799" spans="1:8">
      <c r="A799" s="253"/>
    </row>
    <row r="800" spans="1:8">
      <c r="A800" s="253"/>
    </row>
    <row r="801" spans="1:1">
      <c r="A801" s="253"/>
    </row>
    <row r="802" spans="1:1">
      <c r="A802" s="253"/>
    </row>
    <row r="803" spans="1:1">
      <c r="A803" s="253"/>
    </row>
    <row r="804" spans="1:1">
      <c r="A804" s="253"/>
    </row>
    <row r="805" spans="1:1">
      <c r="A805" s="253"/>
    </row>
    <row r="806" spans="1:1">
      <c r="A806" s="253"/>
    </row>
    <row r="807" spans="1:1">
      <c r="A807" s="253"/>
    </row>
    <row r="808" spans="1:1">
      <c r="A808" s="253"/>
    </row>
    <row r="809" spans="1:1">
      <c r="A809" s="253"/>
    </row>
    <row r="810" spans="1:1">
      <c r="A810" s="253"/>
    </row>
    <row r="811" spans="1:1">
      <c r="A811" s="253"/>
    </row>
    <row r="812" spans="1:1">
      <c r="A812" s="253"/>
    </row>
    <row r="813" spans="1:1">
      <c r="A813" s="253"/>
    </row>
    <row r="814" spans="1:1">
      <c r="A814" s="253"/>
    </row>
    <row r="815" spans="1:1">
      <c r="A815" s="253"/>
    </row>
    <row r="816" spans="1:1">
      <c r="A816" s="253"/>
    </row>
    <row r="817" spans="1:1">
      <c r="A817" s="253"/>
    </row>
    <row r="818" spans="1:1">
      <c r="A818" s="253"/>
    </row>
    <row r="819" spans="1:1">
      <c r="A819" s="253"/>
    </row>
    <row r="820" spans="1:1">
      <c r="A820" s="253"/>
    </row>
    <row r="821" spans="1:1">
      <c r="A821" s="253"/>
    </row>
    <row r="822" spans="1:1">
      <c r="A822" s="253"/>
    </row>
    <row r="823" spans="1:1">
      <c r="A823" s="253"/>
    </row>
    <row r="824" spans="1:1">
      <c r="A824" s="253"/>
    </row>
    <row r="825" spans="1:1">
      <c r="A825" s="253"/>
    </row>
    <row r="826" spans="1:1">
      <c r="A826" s="253"/>
    </row>
    <row r="827" spans="1:1">
      <c r="A827" s="253"/>
    </row>
    <row r="828" spans="1:1">
      <c r="A828" s="253"/>
    </row>
    <row r="829" spans="1:1">
      <c r="A829" s="253"/>
    </row>
    <row r="830" spans="1:1">
      <c r="A830" s="253"/>
    </row>
    <row r="831" spans="1:1">
      <c r="A831" s="253"/>
    </row>
    <row r="832" spans="1:1">
      <c r="A832" s="253"/>
    </row>
    <row r="833" spans="1:1">
      <c r="A833" s="253"/>
    </row>
    <row r="834" spans="1:1">
      <c r="A834" s="253"/>
    </row>
    <row r="835" spans="1:1">
      <c r="A835" s="253"/>
    </row>
    <row r="836" spans="1:1">
      <c r="A836" s="253"/>
    </row>
    <row r="837" spans="1:1">
      <c r="A837" s="253"/>
    </row>
    <row r="838" spans="1:1">
      <c r="A838" s="253"/>
    </row>
    <row r="839" spans="1:1">
      <c r="A839" s="253"/>
    </row>
    <row r="840" spans="1:1">
      <c r="A840" s="253"/>
    </row>
    <row r="841" spans="1:1">
      <c r="A841" s="253"/>
    </row>
    <row r="842" spans="1:1">
      <c r="A842" s="253"/>
    </row>
    <row r="843" spans="1:1">
      <c r="A843" s="253"/>
    </row>
    <row r="844" spans="1:1">
      <c r="A844" s="253"/>
    </row>
    <row r="845" spans="1:1">
      <c r="A845" s="253"/>
    </row>
    <row r="846" spans="1:1">
      <c r="A846" s="253"/>
    </row>
    <row r="847" spans="1:1">
      <c r="A847" s="253"/>
    </row>
    <row r="848" spans="1:1">
      <c r="A848" s="253"/>
    </row>
    <row r="849" spans="1:1">
      <c r="A849" s="253"/>
    </row>
    <row r="850" spans="1:1">
      <c r="A850" s="253"/>
    </row>
    <row r="851" spans="1:1">
      <c r="A851" s="253"/>
    </row>
    <row r="852" spans="1:1">
      <c r="A852" s="253"/>
    </row>
    <row r="853" spans="1:1">
      <c r="A853" s="253"/>
    </row>
    <row r="854" spans="1:1">
      <c r="A854" s="253"/>
    </row>
    <row r="855" spans="1:1">
      <c r="A855" s="253"/>
    </row>
    <row r="856" spans="1:1">
      <c r="A856" s="253"/>
    </row>
    <row r="857" spans="1:1">
      <c r="A857" s="253"/>
    </row>
    <row r="858" spans="1:1">
      <c r="A858" s="253"/>
    </row>
    <row r="859" spans="1:1">
      <c r="A859" s="253"/>
    </row>
    <row r="860" spans="1:1">
      <c r="A860" s="253"/>
    </row>
    <row r="861" spans="1:1">
      <c r="A861" s="253"/>
    </row>
    <row r="862" spans="1:1">
      <c r="A862" s="253"/>
    </row>
    <row r="863" spans="1:1">
      <c r="A863" s="253"/>
    </row>
    <row r="864" spans="1:1">
      <c r="A864" s="253"/>
    </row>
    <row r="865" spans="1:8">
      <c r="A865" s="253"/>
    </row>
    <row r="866" spans="1:8">
      <c r="A866" s="253"/>
    </row>
    <row r="867" spans="1:8">
      <c r="A867" s="253"/>
    </row>
    <row r="868" spans="1:8">
      <c r="A868" s="253"/>
    </row>
    <row r="869" spans="1:8" ht="13">
      <c r="A869" s="254"/>
      <c r="B869" s="215"/>
      <c r="C869" s="215"/>
      <c r="D869" s="215"/>
      <c r="E869" s="10"/>
      <c r="F869" s="215"/>
      <c r="G869" s="215"/>
    </row>
    <row r="870" spans="1:8" ht="13">
      <c r="A870" s="138"/>
      <c r="B870" s="215"/>
      <c r="C870" s="217"/>
      <c r="D870" s="217"/>
      <c r="E870" s="15"/>
      <c r="F870" s="215"/>
      <c r="G870" s="215"/>
    </row>
    <row r="871" spans="1:8" ht="13">
      <c r="A871" s="255"/>
      <c r="B871" s="215"/>
      <c r="C871" s="215"/>
      <c r="D871" s="215"/>
      <c r="E871" s="10"/>
      <c r="F871" s="215"/>
      <c r="G871" s="215"/>
    </row>
    <row r="872" spans="1:8" ht="13">
      <c r="A872" s="256"/>
      <c r="B872" s="215"/>
      <c r="C872" s="215"/>
      <c r="D872" s="215"/>
      <c r="E872" s="215"/>
      <c r="F872" s="215"/>
      <c r="G872" s="215"/>
      <c r="H872" s="136"/>
    </row>
    <row r="873" spans="1:8" ht="13">
      <c r="A873" s="256"/>
      <c r="B873" s="215"/>
      <c r="C873" s="215"/>
      <c r="D873" s="215"/>
      <c r="E873" s="215"/>
      <c r="F873" s="215"/>
      <c r="G873" s="215"/>
      <c r="H873" s="215"/>
    </row>
    <row r="874" spans="1:8">
      <c r="A874" s="252"/>
      <c r="B874" s="252"/>
      <c r="C874" s="252"/>
      <c r="D874" s="252"/>
      <c r="E874" s="252"/>
      <c r="F874" s="252"/>
    </row>
    <row r="875" spans="1:8">
      <c r="A875" s="253"/>
    </row>
    <row r="876" spans="1:8">
      <c r="A876" s="253"/>
    </row>
  </sheetData>
  <pageMargins left="1" right="0.75" top="1" bottom="1" header="0.5" footer="0.5"/>
  <pageSetup scale="64" orientation="portrait" r:id="rId1"/>
  <headerFooter alignWithMargins="0"/>
  <rowBreaks count="11" manualBreakCount="11">
    <brk id="68" max="7" man="1"/>
    <brk id="148" max="7" man="1"/>
    <brk id="228" max="7" man="1"/>
    <brk id="308" max="7" man="1"/>
    <brk id="388" max="7" man="1"/>
    <brk id="468" max="7" man="1"/>
    <brk id="548" max="7" man="1"/>
    <brk id="628" max="7" man="1"/>
    <brk id="708" max="7" man="1"/>
    <brk id="788" max="7" man="1"/>
    <brk id="868" max="7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43">
    <tabColor rgb="FF92D050"/>
    <pageSetUpPr fitToPage="1"/>
  </sheetPr>
  <dimension ref="A1:M161"/>
  <sheetViews>
    <sheetView topLeftCell="A118" zoomScale="70" zoomScaleNormal="70" workbookViewId="0">
      <selection activeCell="A101" sqref="A101:G159"/>
    </sheetView>
  </sheetViews>
  <sheetFormatPr defaultColWidth="8.765625" defaultRowHeight="12.5"/>
  <cols>
    <col min="1" max="1" width="9.765625" style="171" customWidth="1"/>
    <col min="2" max="2" width="10.765625" style="37" customWidth="1"/>
    <col min="3" max="3" width="14.53515625" style="37" customWidth="1"/>
    <col min="4" max="4" width="17" style="38" customWidth="1"/>
    <col min="5" max="5" width="18.765625" style="37" customWidth="1"/>
    <col min="6" max="6" width="10.4609375" style="38" customWidth="1"/>
    <col min="7" max="7" width="13.765625" style="215" customWidth="1"/>
    <col min="8" max="8" width="10.765625" style="216" customWidth="1"/>
    <col min="9" max="9" width="12.07421875" style="215" customWidth="1"/>
    <col min="10" max="10" width="11.765625" style="215" customWidth="1"/>
    <col min="11" max="11" width="12" style="215" customWidth="1"/>
    <col min="12" max="12" width="11.07421875" style="215" customWidth="1"/>
    <col min="13" max="13" width="10.765625" style="215" customWidth="1"/>
    <col min="14" max="16384" width="8.765625" style="215"/>
  </cols>
  <sheetData>
    <row r="1" spans="1:13" ht="13">
      <c r="A1" s="195" t="str">
        <f>co_name</f>
        <v>DUKE ENERGY KENTUCKY, INC.</v>
      </c>
      <c r="B1" s="137"/>
      <c r="C1" s="137"/>
      <c r="D1" s="232"/>
      <c r="E1" s="137"/>
      <c r="F1" s="137"/>
      <c r="G1" s="137"/>
      <c r="H1" s="137"/>
      <c r="I1" s="137"/>
      <c r="J1" s="137"/>
      <c r="K1" s="10" t="s">
        <v>1465</v>
      </c>
      <c r="L1" s="137"/>
      <c r="M1" s="137"/>
    </row>
    <row r="2" spans="1:13" ht="13">
      <c r="A2" s="195" t="str">
        <f>coss_type</f>
        <v xml:space="preserve">GAS COST OF SERVICE STUDY </v>
      </c>
      <c r="B2" s="138"/>
      <c r="C2" s="138"/>
      <c r="D2" s="232"/>
      <c r="E2" s="138"/>
      <c r="F2" s="138"/>
      <c r="G2" s="138"/>
      <c r="H2" s="138"/>
      <c r="I2" s="138"/>
      <c r="J2" s="138"/>
      <c r="K2" s="10" t="str">
        <f>'Alloc Factors Summary'!G2</f>
        <v>Witness Responsible:</v>
      </c>
      <c r="L2" s="138"/>
      <c r="M2" s="138"/>
    </row>
    <row r="3" spans="1:13" ht="13">
      <c r="A3" s="195" t="str">
        <f>case_name</f>
        <v>CASE NO: 2021-00190</v>
      </c>
      <c r="B3" s="138"/>
      <c r="C3" s="138"/>
      <c r="D3" s="232"/>
      <c r="E3" s="138"/>
      <c r="F3" s="138"/>
      <c r="G3" s="138"/>
      <c r="H3" s="138"/>
      <c r="I3" s="138"/>
      <c r="J3" s="138"/>
      <c r="K3" s="10" t="str">
        <f>'Alloc Factors Summary'!G3</f>
        <v>James E. Ziolkowski</v>
      </c>
      <c r="L3" s="138"/>
      <c r="M3" s="138"/>
    </row>
    <row r="4" spans="1:13" s="44" customFormat="1" ht="13">
      <c r="A4" s="10" t="str">
        <f>alloc_factors</f>
        <v>ALLOCATION FACTORS FOR COST OF SERVICE STUDY</v>
      </c>
      <c r="B4" s="138"/>
      <c r="C4" s="138"/>
      <c r="D4" s="232"/>
      <c r="E4" s="138"/>
      <c r="F4" s="138"/>
      <c r="G4" s="138"/>
      <c r="H4" s="138"/>
      <c r="I4" s="138"/>
      <c r="J4" s="138"/>
      <c r="K4" s="10" t="s">
        <v>717</v>
      </c>
      <c r="L4" s="138"/>
      <c r="M4" s="138"/>
    </row>
    <row r="5" spans="1:13" s="44" customFormat="1" ht="13">
      <c r="A5" s="10" t="str">
        <f>time_period</f>
        <v>TWELVE MONTHS ENDING DECEMBER 31, 2020</v>
      </c>
      <c r="B5" s="25"/>
      <c r="C5" s="25"/>
      <c r="D5" s="141"/>
      <c r="E5" s="139"/>
      <c r="F5" s="141"/>
      <c r="G5" s="139"/>
      <c r="H5" s="141"/>
      <c r="I5" s="139"/>
      <c r="J5" s="139"/>
      <c r="K5" s="16">
        <f ca="1">TODAY()</f>
        <v>44420</v>
      </c>
      <c r="L5" s="25"/>
      <c r="M5" s="139"/>
    </row>
    <row r="6" spans="1:13" s="44" customFormat="1" ht="13">
      <c r="A6" s="197" t="s">
        <v>832</v>
      </c>
      <c r="B6" s="25"/>
      <c r="C6" s="25"/>
      <c r="D6" s="141"/>
      <c r="E6" s="139"/>
      <c r="F6" s="141"/>
      <c r="G6" s="139"/>
      <c r="H6" s="141"/>
      <c r="I6" s="139"/>
      <c r="J6" s="139"/>
      <c r="K6" s="139"/>
      <c r="L6" s="25"/>
      <c r="M6" s="139"/>
    </row>
    <row r="7" spans="1:13" s="44" customFormat="1" ht="13">
      <c r="A7" s="25"/>
      <c r="B7" s="25"/>
      <c r="C7" s="25"/>
      <c r="D7" s="141"/>
      <c r="E7" s="1488" t="s">
        <v>1486</v>
      </c>
      <c r="F7" s="141"/>
      <c r="G7" s="139"/>
      <c r="H7" s="141"/>
      <c r="I7" s="139"/>
      <c r="J7" s="139"/>
      <c r="K7" s="139"/>
      <c r="L7" s="25"/>
      <c r="M7" s="139"/>
    </row>
    <row r="8" spans="1:13" s="44" customFormat="1" ht="13">
      <c r="A8" s="138"/>
      <c r="B8" s="25"/>
      <c r="C8" s="25"/>
      <c r="D8" s="141"/>
      <c r="E8" s="139"/>
      <c r="F8" s="141"/>
      <c r="G8" s="139"/>
      <c r="H8" s="141"/>
      <c r="I8" s="139"/>
      <c r="J8" s="139"/>
      <c r="K8" s="139"/>
      <c r="L8" s="25"/>
      <c r="M8" s="139"/>
    </row>
    <row r="9" spans="1:13" s="44" customFormat="1" ht="13">
      <c r="A9" s="25"/>
      <c r="B9" s="25"/>
      <c r="C9" s="25"/>
      <c r="D9" s="140" t="s">
        <v>718</v>
      </c>
      <c r="E9" s="139"/>
      <c r="F9" s="141"/>
      <c r="G9" s="139"/>
      <c r="H9" s="141"/>
      <c r="I9" s="139"/>
      <c r="J9" s="139"/>
      <c r="K9" s="139"/>
      <c r="L9" s="1560" t="s">
        <v>719</v>
      </c>
      <c r="M9" s="1560"/>
    </row>
    <row r="10" spans="1:13" s="44" customFormat="1" ht="13">
      <c r="A10" s="25"/>
      <c r="B10" s="25"/>
      <c r="C10" s="25"/>
      <c r="D10" s="140" t="s">
        <v>720</v>
      </c>
      <c r="E10" s="142" t="s">
        <v>229</v>
      </c>
      <c r="F10" s="1561" t="s">
        <v>721</v>
      </c>
      <c r="G10" s="1561"/>
      <c r="H10" s="1561" t="s">
        <v>1256</v>
      </c>
      <c r="I10" s="1561"/>
      <c r="J10" s="1561" t="s">
        <v>974</v>
      </c>
      <c r="K10" s="1561"/>
      <c r="L10" s="1562" t="s">
        <v>722</v>
      </c>
      <c r="M10" s="1562"/>
    </row>
    <row r="11" spans="1:13" s="44" customFormat="1" ht="13">
      <c r="A11" s="143" t="s">
        <v>650</v>
      </c>
      <c r="B11" s="205" t="s">
        <v>723</v>
      </c>
      <c r="C11" s="25"/>
      <c r="D11" s="206" t="s">
        <v>162</v>
      </c>
      <c r="E11" s="144" t="s">
        <v>652</v>
      </c>
      <c r="F11" s="206" t="s">
        <v>162</v>
      </c>
      <c r="G11" s="144" t="s">
        <v>652</v>
      </c>
      <c r="H11" s="206" t="s">
        <v>162</v>
      </c>
      <c r="I11" s="144" t="s">
        <v>652</v>
      </c>
      <c r="J11" s="144" t="s">
        <v>162</v>
      </c>
      <c r="K11" s="144" t="s">
        <v>652</v>
      </c>
      <c r="L11" s="207" t="s">
        <v>162</v>
      </c>
      <c r="M11" s="144" t="s">
        <v>652</v>
      </c>
    </row>
    <row r="12" spans="1:13" s="44" customFormat="1">
      <c r="A12" s="215"/>
      <c r="B12" s="215"/>
      <c r="C12" s="215"/>
      <c r="D12" s="216"/>
      <c r="E12" s="145"/>
      <c r="F12" s="216"/>
      <c r="G12" s="145"/>
      <c r="H12" s="216"/>
      <c r="I12" s="145"/>
      <c r="J12" s="145"/>
      <c r="K12" s="145"/>
      <c r="L12" s="215"/>
      <c r="M12" s="145"/>
    </row>
    <row r="13" spans="1:13" s="44" customFormat="1">
      <c r="A13" s="217" t="s">
        <v>724</v>
      </c>
      <c r="B13" s="215"/>
      <c r="C13" s="215"/>
      <c r="D13" s="216"/>
      <c r="E13" s="145"/>
      <c r="F13" s="216"/>
      <c r="G13" s="145"/>
      <c r="H13" s="216"/>
      <c r="I13" s="145"/>
      <c r="J13" s="145"/>
      <c r="K13" s="145"/>
      <c r="L13" s="215"/>
      <c r="M13" s="145"/>
    </row>
    <row r="14" spans="1:13" s="44" customFormat="1">
      <c r="A14" s="146" t="s">
        <v>656</v>
      </c>
      <c r="B14" s="147" t="s">
        <v>725</v>
      </c>
      <c r="C14" s="215"/>
      <c r="D14" s="1212">
        <f t="array" ref="D14">SUM(IF(Services_Type=$A$13,IF(Services_Size=A14,IF(Services_Kind=B14,Services_Quantity))))</f>
        <v>8</v>
      </c>
      <c r="E14" s="1213">
        <f t="array" ref="E14">SUM(IF(Services_Type=$A$13,IF(Services_Size=A14,IF(Services_Kind=B14,Services_Cost))))</f>
        <v>2450.7600000000002</v>
      </c>
      <c r="F14" s="148">
        <f t="shared" ref="F14:G23" si="0">D14</f>
        <v>8</v>
      </c>
      <c r="G14" s="218">
        <f t="shared" si="0"/>
        <v>2450.7600000000002</v>
      </c>
      <c r="H14" s="216"/>
      <c r="I14" s="145"/>
      <c r="J14" s="145"/>
      <c r="K14" s="145"/>
      <c r="L14" s="215"/>
      <c r="M14" s="145"/>
    </row>
    <row r="15" spans="1:13" s="44" customFormat="1">
      <c r="A15" s="146" t="s">
        <v>726</v>
      </c>
      <c r="B15" s="147" t="s">
        <v>725</v>
      </c>
      <c r="C15" s="215"/>
      <c r="D15" s="1212">
        <f t="array" ref="D15">SUM(IF(Services_Type=$A$13,IF(Services_Size=A15,IF(Services_Kind=B15,Services_Quantity))))</f>
        <v>0</v>
      </c>
      <c r="E15" s="1214">
        <f t="array" ref="E15">SUM(IF(Services_Type=$A$13,IF(Services_Size=A15,IF(Services_Kind=B15,Services_Cost))))</f>
        <v>0</v>
      </c>
      <c r="F15" s="148">
        <f>D15</f>
        <v>0</v>
      </c>
      <c r="G15" s="218">
        <f>E15</f>
        <v>0</v>
      </c>
      <c r="H15" s="216"/>
      <c r="I15" s="145"/>
      <c r="J15" s="145"/>
      <c r="K15" s="145"/>
      <c r="L15" s="215"/>
      <c r="M15" s="145"/>
    </row>
    <row r="16" spans="1:13" s="44" customFormat="1">
      <c r="A16" s="146" t="s">
        <v>727</v>
      </c>
      <c r="B16" s="147" t="s">
        <v>728</v>
      </c>
      <c r="C16" s="215"/>
      <c r="D16" s="1212">
        <f t="array" ref="D16">SUM(IF(Services_Type=$A$13,IF(Services_Size=A16,IF(Services_Kind=B16,Services_Quantity))))</f>
        <v>1500</v>
      </c>
      <c r="E16" s="1214">
        <f t="array" ref="E16">SUM(IF(Services_Type=$A$13,IF(Services_Size=A16,IF(Services_Kind=B16,Services_Cost))))</f>
        <v>2842838.2899999996</v>
      </c>
      <c r="F16" s="148">
        <f t="shared" si="0"/>
        <v>1500</v>
      </c>
      <c r="G16" s="218">
        <f t="shared" si="0"/>
        <v>2842838.2899999996</v>
      </c>
      <c r="H16" s="216"/>
      <c r="I16" s="145"/>
      <c r="J16" s="145"/>
      <c r="K16" s="145"/>
      <c r="L16" s="215"/>
      <c r="M16" s="145"/>
    </row>
    <row r="17" spans="1:13" s="44" customFormat="1">
      <c r="A17" s="146" t="s">
        <v>656</v>
      </c>
      <c r="B17" s="147" t="s">
        <v>728</v>
      </c>
      <c r="C17" s="215"/>
      <c r="D17" s="1212">
        <f t="array" ref="D17">SUM(IF(Services_Type=$A$13,IF(Services_Size=A17,IF(Services_Kind=B17,Services_Quantity))))</f>
        <v>1248</v>
      </c>
      <c r="E17" s="1214">
        <f t="array" ref="E17">SUM(IF(Services_Type=$A$13,IF(Services_Size=A17,IF(Services_Kind=B17,Services_Cost))))</f>
        <v>23918.000000000007</v>
      </c>
      <c r="F17" s="148">
        <f t="shared" si="0"/>
        <v>1248</v>
      </c>
      <c r="G17" s="218">
        <f t="shared" si="0"/>
        <v>23918.000000000007</v>
      </c>
      <c r="H17" s="216"/>
      <c r="I17" s="145"/>
      <c r="J17" s="145"/>
      <c r="K17" s="145"/>
      <c r="L17" s="215"/>
      <c r="M17" s="145"/>
    </row>
    <row r="18" spans="1:13" s="44" customFormat="1">
      <c r="A18" s="146" t="s">
        <v>726</v>
      </c>
      <c r="B18" s="147" t="s">
        <v>728</v>
      </c>
      <c r="C18" s="215"/>
      <c r="D18" s="1212">
        <f t="array" ref="D18">SUM(IF(Services_Type=$A$13,IF(Services_Size=A18,IF(Services_Kind=B18,Services_Quantity))))</f>
        <v>1</v>
      </c>
      <c r="E18" s="1214">
        <f t="array" ref="E18">SUM(IF(Services_Type=$A$13,IF(Services_Size=A18,IF(Services_Kind=B18,Services_Cost))))</f>
        <v>326.38</v>
      </c>
      <c r="F18" s="148">
        <f t="shared" si="0"/>
        <v>1</v>
      </c>
      <c r="G18" s="218">
        <f t="shared" si="0"/>
        <v>326.38</v>
      </c>
      <c r="H18" s="216"/>
      <c r="I18" s="145"/>
      <c r="J18" s="145"/>
      <c r="K18" s="145"/>
      <c r="L18" s="215"/>
      <c r="M18" s="145"/>
    </row>
    <row r="19" spans="1:13" s="44" customFormat="1">
      <c r="A19" s="146" t="s">
        <v>729</v>
      </c>
      <c r="B19" s="147" t="s">
        <v>728</v>
      </c>
      <c r="C19" s="215"/>
      <c r="D19" s="1212">
        <f t="array" ref="D19">SUM(IF(Services_Type=$A$13,IF(Services_Size=A19,IF(Services_Kind=B19,Services_Quantity))))</f>
        <v>51</v>
      </c>
      <c r="E19" s="1214">
        <f t="array" ref="E19">SUM(IF(Services_Type=$A$13,IF(Services_Size=A19,IF(Services_Kind=B19,Services_Cost))))</f>
        <v>75605.460000000006</v>
      </c>
      <c r="F19" s="148">
        <f t="shared" si="0"/>
        <v>51</v>
      </c>
      <c r="G19" s="218">
        <f t="shared" si="0"/>
        <v>75605.460000000006</v>
      </c>
      <c r="H19" s="216"/>
      <c r="I19" s="145"/>
      <c r="J19" s="145"/>
      <c r="K19" s="145"/>
      <c r="L19" s="215"/>
      <c r="M19" s="145"/>
    </row>
    <row r="20" spans="1:13" s="44" customFormat="1">
      <c r="A20" s="146" t="s">
        <v>730</v>
      </c>
      <c r="B20" s="147" t="s">
        <v>731</v>
      </c>
      <c r="C20" s="215"/>
      <c r="D20" s="1212">
        <f t="array" ref="D20">SUM(IF(Services_Type=$A$13,IF(Services_Size=A20,IF(Services_Kind=B20,Services_Quantity))))</f>
        <v>0</v>
      </c>
      <c r="E20" s="1214">
        <f t="array" ref="E20">SUM(IF(Services_Type=$A$13,IF(Services_Size=A20,IF(Services_Kind=B20,Services_Cost))))</f>
        <v>0</v>
      </c>
      <c r="F20" s="148">
        <f>D20</f>
        <v>0</v>
      </c>
      <c r="G20" s="218">
        <f>E20</f>
        <v>0</v>
      </c>
      <c r="H20" s="216"/>
      <c r="I20" s="145"/>
      <c r="J20" s="145"/>
      <c r="K20" s="145"/>
      <c r="L20" s="215"/>
      <c r="M20" s="145"/>
    </row>
    <row r="21" spans="1:13" s="44" customFormat="1">
      <c r="A21" s="146" t="s">
        <v>656</v>
      </c>
      <c r="B21" s="147" t="s">
        <v>731</v>
      </c>
      <c r="C21" s="215"/>
      <c r="D21" s="1212">
        <f t="array" ref="D21">SUM(IF(Services_Type=$A$13,IF(Services_Size=A21,IF(Services_Kind=B21,Services_Quantity))))</f>
        <v>190</v>
      </c>
      <c r="E21" s="1214">
        <f t="array" ref="E21">SUM(IF(Services_Type=$A$13,IF(Services_Size=A21,IF(Services_Kind=B21,Services_Cost))))</f>
        <v>-2212.8799999999997</v>
      </c>
      <c r="F21" s="148">
        <f t="shared" si="0"/>
        <v>190</v>
      </c>
      <c r="G21" s="218">
        <f t="shared" si="0"/>
        <v>-2212.8799999999997</v>
      </c>
      <c r="H21" s="216"/>
      <c r="I21" s="145"/>
      <c r="J21" s="145"/>
      <c r="K21" s="145"/>
      <c r="L21" s="215"/>
      <c r="M21" s="145"/>
    </row>
    <row r="22" spans="1:13" s="44" customFormat="1">
      <c r="A22" s="146" t="s">
        <v>702</v>
      </c>
      <c r="B22" s="147" t="s">
        <v>725</v>
      </c>
      <c r="C22" s="215"/>
      <c r="D22" s="1212">
        <f t="array" ref="D22">SUM(IF(Services_Type=$A$13,IF(Services_Size=A22,IF(Services_Kind=B22,Services_Quantity))))</f>
        <v>35</v>
      </c>
      <c r="E22" s="1214">
        <f t="array" ref="E22">SUM(IF(Services_Type=$A$13,IF(Services_Size=A22,IF(Services_Kind=B22,Services_Cost))))</f>
        <v>473586.23</v>
      </c>
      <c r="F22" s="148">
        <f t="shared" si="0"/>
        <v>35</v>
      </c>
      <c r="G22" s="218">
        <f t="shared" si="0"/>
        <v>473586.23</v>
      </c>
      <c r="H22" s="216"/>
      <c r="I22" s="145"/>
      <c r="J22" s="145"/>
      <c r="K22" s="145"/>
      <c r="L22" s="215"/>
      <c r="M22" s="145"/>
    </row>
    <row r="23" spans="1:13" s="44" customFormat="1">
      <c r="A23" s="146" t="s">
        <v>702</v>
      </c>
      <c r="B23" s="147" t="s">
        <v>728</v>
      </c>
      <c r="C23" s="215"/>
      <c r="D23" s="1212">
        <f t="array" ref="D23">SUM(IF(Services_Type=$A$13,IF(Services_Size=A23,IF(Services_Kind=B23,Services_Quantity))))</f>
        <v>112810</v>
      </c>
      <c r="E23" s="1214">
        <f t="array" ref="E23">SUM(IF(Services_Type=$A$13,IF(Services_Size=A23,IF(Services_Kind=B23,Services_Cost))))</f>
        <v>107881728.77000001</v>
      </c>
      <c r="F23" s="149">
        <f t="shared" si="0"/>
        <v>112810</v>
      </c>
      <c r="G23" s="150">
        <f t="shared" si="0"/>
        <v>107881728.77000001</v>
      </c>
      <c r="H23" s="216"/>
      <c r="I23" s="145"/>
      <c r="J23" s="145"/>
      <c r="K23" s="145"/>
      <c r="L23" s="215"/>
      <c r="M23" s="145"/>
    </row>
    <row r="24" spans="1:13" s="44" customFormat="1">
      <c r="A24" s="215"/>
      <c r="B24" s="215"/>
      <c r="C24" s="215"/>
      <c r="D24" s="1215"/>
      <c r="E24" s="1216"/>
      <c r="F24" s="216"/>
      <c r="G24" s="145"/>
      <c r="H24" s="216"/>
      <c r="I24" s="145"/>
      <c r="J24" s="145"/>
      <c r="K24" s="145"/>
      <c r="L24" s="215"/>
      <c r="M24" s="145"/>
    </row>
    <row r="25" spans="1:13" s="44" customFormat="1">
      <c r="A25" s="217" t="s">
        <v>229</v>
      </c>
      <c r="B25" s="215"/>
      <c r="C25" s="215"/>
      <c r="D25" s="1217">
        <f>SUM(D12:D24)</f>
        <v>115843</v>
      </c>
      <c r="E25" s="1218">
        <f>SUM(E12:E24)</f>
        <v>111298241.01000001</v>
      </c>
      <c r="F25" s="216"/>
      <c r="G25" s="145"/>
      <c r="H25" s="216"/>
      <c r="I25" s="145"/>
      <c r="J25" s="145"/>
      <c r="K25" s="145"/>
      <c r="L25" s="215"/>
      <c r="M25" s="145"/>
    </row>
    <row r="26" spans="1:13" s="44" customFormat="1">
      <c r="A26" s="215"/>
      <c r="B26" s="215"/>
      <c r="C26" s="215"/>
      <c r="D26" s="1219"/>
      <c r="E26" s="1220"/>
      <c r="F26" s="216"/>
      <c r="G26" s="145"/>
      <c r="H26" s="216"/>
      <c r="I26" s="145"/>
      <c r="J26" s="145"/>
      <c r="K26" s="145"/>
      <c r="L26" s="215"/>
      <c r="M26" s="145"/>
    </row>
    <row r="27" spans="1:13" s="44" customFormat="1">
      <c r="A27" s="217" t="s">
        <v>1337</v>
      </c>
      <c r="B27" s="215"/>
      <c r="C27" s="215"/>
      <c r="D27" s="1219"/>
      <c r="E27" s="1220"/>
      <c r="F27" s="216"/>
      <c r="G27" s="145"/>
      <c r="H27" s="216"/>
      <c r="I27" s="145"/>
      <c r="J27" s="145"/>
      <c r="K27" s="145"/>
      <c r="L27" s="215"/>
      <c r="M27" s="145"/>
    </row>
    <row r="28" spans="1:13" s="44" customFormat="1">
      <c r="A28" s="146" t="s">
        <v>702</v>
      </c>
      <c r="B28" s="147" t="s">
        <v>731</v>
      </c>
      <c r="C28" s="215"/>
      <c r="D28" s="1212">
        <f t="array" ref="D28">SUM(IF(Services_Type=$A$27,IF(Services_Size=A28,IF(Services_Kind=B28,Services_Quantity))))</f>
        <v>1135</v>
      </c>
      <c r="E28" s="1213">
        <f t="array" ref="E28">SUM(IF(Services_Type=$A$27,IF(Services_Size=A28,IF(Services_Kind=B28,Services_Cost))))</f>
        <v>1670537.8800000001</v>
      </c>
      <c r="F28" s="148">
        <f>ROUND(0.75*$D$28,0)</f>
        <v>851</v>
      </c>
      <c r="G28" s="218">
        <f>ROUND(0.75*$E$28,2)</f>
        <v>1252903.4099999999</v>
      </c>
      <c r="H28" s="148">
        <f>ROUND(0.125*$D$28,0)</f>
        <v>142</v>
      </c>
      <c r="I28" s="218">
        <f>ROUND(0.125*$E$28,2)</f>
        <v>208817.24</v>
      </c>
      <c r="J28" s="148">
        <f>ROUND(0.125*$D$28,0)</f>
        <v>142</v>
      </c>
      <c r="K28" s="218">
        <f>ROUND(0.125*$E$28,2)</f>
        <v>208817.24</v>
      </c>
      <c r="L28" s="215"/>
      <c r="M28" s="145"/>
    </row>
    <row r="29" spans="1:13" s="44" customFormat="1">
      <c r="A29" s="215"/>
      <c r="B29" s="215"/>
      <c r="C29" s="215"/>
      <c r="D29" s="1219"/>
      <c r="E29" s="1220"/>
      <c r="F29" s="216"/>
      <c r="G29" s="145"/>
      <c r="H29" s="216"/>
      <c r="I29" s="145"/>
      <c r="J29" s="145"/>
      <c r="K29" s="145"/>
      <c r="L29" s="215"/>
      <c r="M29" s="145"/>
    </row>
    <row r="30" spans="1:13" s="44" customFormat="1">
      <c r="A30" s="151" t="s">
        <v>1338</v>
      </c>
      <c r="B30" s="215"/>
      <c r="C30" s="215"/>
      <c r="D30" s="1219"/>
      <c r="E30" s="1220"/>
      <c r="F30" s="216"/>
      <c r="G30" s="145"/>
      <c r="H30" s="216"/>
      <c r="I30" s="145"/>
      <c r="J30" s="145"/>
      <c r="K30" s="145"/>
      <c r="L30" s="215"/>
      <c r="M30" s="145"/>
    </row>
    <row r="31" spans="1:13" s="44" customFormat="1">
      <c r="A31" s="146" t="s">
        <v>701</v>
      </c>
      <c r="B31" s="147" t="s">
        <v>725</v>
      </c>
      <c r="C31" s="215"/>
      <c r="D31" s="1212">
        <f t="array" ref="D31">SUM(IF(Services_Type=$A$30,IF(Services_Size=A31,IF(Services_Kind=B31,Services_Quantity))))</f>
        <v>1</v>
      </c>
      <c r="E31" s="1213">
        <f t="array" ref="E31">SUM(IF(Services_Type=$A$30,IF(Services_Size=A31,IF(Services_Kind=B31,Services_Cost))))</f>
        <v>273</v>
      </c>
      <c r="F31" s="148">
        <f>ROUND(0.8*D31,0)</f>
        <v>1</v>
      </c>
      <c r="G31" s="218">
        <f>ROUND(0.8*E31,2)</f>
        <v>218.4</v>
      </c>
      <c r="H31" s="148">
        <f>ROUND(0.1*D31,0)</f>
        <v>0</v>
      </c>
      <c r="I31" s="218">
        <f>ROUND(0.1*E31,2)</f>
        <v>27.3</v>
      </c>
      <c r="J31" s="148">
        <f>ROUND(0.1*D31,0)</f>
        <v>0</v>
      </c>
      <c r="K31" s="218">
        <f>ROUND(0.1*E31,2)</f>
        <v>27.3</v>
      </c>
      <c r="L31" s="215"/>
      <c r="M31" s="145"/>
    </row>
    <row r="32" spans="1:13" s="44" customFormat="1">
      <c r="A32" s="219" t="s">
        <v>732</v>
      </c>
      <c r="B32" s="220" t="s">
        <v>725</v>
      </c>
      <c r="C32" s="215"/>
      <c r="D32" s="1212">
        <f t="array" ref="D32">SUM(IF(Services_Type=$A$30,IF(Services_Size=A32,IF(Services_Kind=B32,Services_Quantity))))</f>
        <v>0</v>
      </c>
      <c r="E32" s="1214">
        <f t="array" ref="E32">SUM(IF(Services_Type=$A$30,IF(Services_Size=A32,IF(Services_Kind=B32,Services_Cost))))</f>
        <v>0</v>
      </c>
      <c r="F32" s="148">
        <f>0.8*D32</f>
        <v>0</v>
      </c>
      <c r="G32" s="218">
        <f>ROUND(0.8*E32,2)</f>
        <v>0</v>
      </c>
      <c r="H32" s="148">
        <f>ROUND(0.1*D32,0)</f>
        <v>0</v>
      </c>
      <c r="I32" s="218">
        <f>ROUND(0.1*E32,2)</f>
        <v>0</v>
      </c>
      <c r="J32" s="148">
        <f>ROUND(0.1*D32,0)</f>
        <v>0</v>
      </c>
      <c r="K32" s="218">
        <f>ROUND(0.1*E32,2)</f>
        <v>0</v>
      </c>
      <c r="L32" s="215"/>
      <c r="M32" s="145"/>
    </row>
    <row r="33" spans="1:13" s="44" customFormat="1">
      <c r="A33" s="146" t="s">
        <v>701</v>
      </c>
      <c r="B33" s="147" t="s">
        <v>728</v>
      </c>
      <c r="C33" s="215"/>
      <c r="D33" s="1212">
        <f t="array" ref="D33">SUM(IF(Services_Type=$A$30,IF(Services_Size=A33,IF(Services_Kind=B33,Services_Quantity))))</f>
        <v>7814</v>
      </c>
      <c r="E33" s="1214">
        <f t="array" ref="E33">SUM(IF(Services_Type=$A$30,IF(Services_Size=A33,IF(Services_Kind=B33,Services_Cost))))</f>
        <v>6955763.25</v>
      </c>
      <c r="F33" s="148">
        <f>0.8*D33</f>
        <v>6251.2000000000007</v>
      </c>
      <c r="G33" s="218">
        <f>ROUND(0.8*E33,2)</f>
        <v>5564610.5999999996</v>
      </c>
      <c r="H33" s="148">
        <f>ROUND(0.1*D33,0)</f>
        <v>781</v>
      </c>
      <c r="I33" s="218">
        <f>ROUND(0.1*E33,2)</f>
        <v>695576.33</v>
      </c>
      <c r="J33" s="148">
        <f>ROUND(0.1*D33,0)</f>
        <v>781</v>
      </c>
      <c r="K33" s="218">
        <f>ROUND(0.1*E33,2)</f>
        <v>695576.33</v>
      </c>
      <c r="L33" s="215"/>
      <c r="M33" s="145"/>
    </row>
    <row r="34" spans="1:13" s="44" customFormat="1">
      <c r="A34" s="146" t="s">
        <v>732</v>
      </c>
      <c r="B34" s="147" t="s">
        <v>731</v>
      </c>
      <c r="C34" s="215"/>
      <c r="D34" s="1212">
        <f t="array" ref="D34">SUM(IF(Services_Type=$A$30,IF(Services_Size=A34,IF(Services_Kind=B34,Services_Quantity))))</f>
        <v>166</v>
      </c>
      <c r="E34" s="1214">
        <f t="array" ref="E34">SUM(IF(Services_Type=$A$30,IF(Services_Size=A34,IF(Services_Kind=B34,Services_Cost))))</f>
        <v>2189.14</v>
      </c>
      <c r="F34" s="148">
        <f>0.8*D34</f>
        <v>132.80000000000001</v>
      </c>
      <c r="G34" s="218">
        <f>ROUND(0.8*E34,2)</f>
        <v>1751.31</v>
      </c>
      <c r="H34" s="148">
        <f>ROUND(0.1*D34,0)</f>
        <v>17</v>
      </c>
      <c r="I34" s="218">
        <f>ROUND(0.1*E34,2)</f>
        <v>218.91</v>
      </c>
      <c r="J34" s="148">
        <f>ROUND(0.1*D34,0)</f>
        <v>17</v>
      </c>
      <c r="K34" s="218">
        <f>ROUND(0.1*E34,2)</f>
        <v>218.91</v>
      </c>
      <c r="L34" s="215"/>
      <c r="M34" s="145"/>
    </row>
    <row r="35" spans="1:13" s="44" customFormat="1">
      <c r="A35" s="146" t="s">
        <v>701</v>
      </c>
      <c r="B35" s="147" t="s">
        <v>731</v>
      </c>
      <c r="C35" s="215"/>
      <c r="D35" s="1212">
        <f t="array" ref="D35">SUM(IF(Services_Type=$A$30,IF(Services_Size=A35,IF(Services_Kind=B35,Services_Quantity))))</f>
        <v>2</v>
      </c>
      <c r="E35" s="1214">
        <f t="array" ref="E35">SUM(IF(Services_Type=$A$30,IF(Services_Size=A35,IF(Services_Kind=B35,Services_Cost))))</f>
        <v>6509.74</v>
      </c>
      <c r="F35" s="148">
        <f>0.8*D35</f>
        <v>1.6</v>
      </c>
      <c r="G35" s="218">
        <f>ROUND(0.8*E35,2)</f>
        <v>5207.79</v>
      </c>
      <c r="H35" s="148">
        <f>ROUND(0.1*D35,0)</f>
        <v>0</v>
      </c>
      <c r="I35" s="218">
        <f>ROUND(0.1*E35,2)</f>
        <v>650.97</v>
      </c>
      <c r="J35" s="148">
        <f>ROUND(0.1*D35,0)</f>
        <v>0</v>
      </c>
      <c r="K35" s="218">
        <f>ROUND(0.1*E35,2)</f>
        <v>650.97</v>
      </c>
      <c r="L35" s="215"/>
      <c r="M35" s="145"/>
    </row>
    <row r="36" spans="1:13" s="44" customFormat="1">
      <c r="A36" s="215"/>
      <c r="B36" s="215"/>
      <c r="C36" s="215"/>
      <c r="D36" s="1215"/>
      <c r="E36" s="1216"/>
      <c r="F36" s="216"/>
      <c r="G36" s="145"/>
      <c r="H36" s="216"/>
      <c r="I36" s="145"/>
      <c r="J36" s="145"/>
      <c r="K36" s="145"/>
      <c r="L36" s="215"/>
      <c r="M36" s="145"/>
    </row>
    <row r="37" spans="1:13" s="44" customFormat="1">
      <c r="A37" s="217" t="s">
        <v>229</v>
      </c>
      <c r="B37" s="215"/>
      <c r="C37" s="215"/>
      <c r="D37" s="1217">
        <f>SUM(D29:D36)</f>
        <v>7983</v>
      </c>
      <c r="E37" s="1218">
        <f>SUM(E29:E36)</f>
        <v>6964735.1299999999</v>
      </c>
      <c r="F37" s="216"/>
      <c r="G37" s="145"/>
      <c r="H37" s="216"/>
      <c r="I37" s="145"/>
      <c r="J37" s="145"/>
      <c r="K37" s="145"/>
      <c r="L37" s="215"/>
      <c r="M37" s="145"/>
    </row>
    <row r="38" spans="1:13" s="44" customFormat="1">
      <c r="A38" s="215"/>
      <c r="B38" s="215"/>
      <c r="C38" s="215"/>
      <c r="D38" s="1221"/>
      <c r="E38" s="1222"/>
      <c r="F38" s="216"/>
      <c r="G38" s="145"/>
      <c r="H38" s="216"/>
      <c r="I38" s="145"/>
      <c r="J38" s="145"/>
      <c r="K38" s="145"/>
      <c r="L38" s="215"/>
      <c r="M38" s="145"/>
    </row>
    <row r="39" spans="1:13" s="44" customFormat="1">
      <c r="A39" s="215"/>
      <c r="B39" s="215"/>
      <c r="C39" s="215"/>
      <c r="D39" s="1219"/>
      <c r="E39" s="1220"/>
      <c r="F39" s="216"/>
      <c r="G39" s="145"/>
      <c r="H39" s="216"/>
      <c r="I39" s="145"/>
      <c r="J39" s="145"/>
      <c r="K39" s="145"/>
      <c r="L39" s="215"/>
      <c r="M39" s="145"/>
    </row>
    <row r="40" spans="1:13" s="44" customFormat="1">
      <c r="A40" s="217" t="s">
        <v>1339</v>
      </c>
      <c r="B40" s="215"/>
      <c r="C40" s="215"/>
      <c r="D40" s="1219"/>
      <c r="E40" s="1220"/>
      <c r="F40" s="216"/>
      <c r="G40" s="145"/>
      <c r="H40" s="216"/>
      <c r="I40" s="145"/>
      <c r="J40" s="145"/>
      <c r="K40" s="145"/>
      <c r="L40" s="215"/>
      <c r="M40" s="145"/>
    </row>
    <row r="41" spans="1:13" s="44" customFormat="1">
      <c r="A41" s="146" t="s">
        <v>704</v>
      </c>
      <c r="B41" s="220" t="s">
        <v>725</v>
      </c>
      <c r="C41" s="215"/>
      <c r="D41" s="1212">
        <f t="array" ref="D41">SUM(IF(Services_Type=$A$40,IF(Services_Size=A41,IF(Services_Kind=B41,Services_Quantity))))</f>
        <v>26</v>
      </c>
      <c r="E41" s="1213">
        <f t="array" ref="E41">SUM(IF(Services_Type=$A$40,IF(Services_Size=A41,IF(Services_Kind=B41,Services_Cost))))</f>
        <v>949023.70999999973</v>
      </c>
      <c r="F41" s="216"/>
      <c r="G41" s="145"/>
      <c r="H41" s="148">
        <f>ROUND(0.5*D41,0)</f>
        <v>13</v>
      </c>
      <c r="I41" s="218">
        <f>ROUND(0.5*E41,2)</f>
        <v>474511.86</v>
      </c>
      <c r="J41" s="148">
        <f t="shared" ref="J41:K44" si="1">D41-H41</f>
        <v>13</v>
      </c>
      <c r="K41" s="218">
        <f t="shared" si="1"/>
        <v>474511.84999999974</v>
      </c>
      <c r="L41" s="215"/>
      <c r="M41" s="145"/>
    </row>
    <row r="42" spans="1:13" s="44" customFormat="1">
      <c r="A42" s="146" t="s">
        <v>704</v>
      </c>
      <c r="B42" s="147" t="s">
        <v>728</v>
      </c>
      <c r="C42" s="215"/>
      <c r="D42" s="1212">
        <f t="array" ref="D42">SUM(IF(Services_Type=$A$40,IF(Services_Size=A42,IF(Services_Kind=B42,Services_Quantity))))</f>
        <v>945</v>
      </c>
      <c r="E42" s="1214">
        <f t="array" ref="E42">SUM(IF(Services_Type=$A$40,IF(Services_Size=A42,IF(Services_Kind=B42,Services_Cost))))</f>
        <v>1992184.0100000007</v>
      </c>
      <c r="F42" s="216"/>
      <c r="G42" s="145"/>
      <c r="H42" s="148">
        <f>ROUND(0.5*D42,0)</f>
        <v>473</v>
      </c>
      <c r="I42" s="218">
        <f>ROUND(0.5*E42,2)</f>
        <v>996092.01</v>
      </c>
      <c r="J42" s="148">
        <f t="shared" si="1"/>
        <v>472</v>
      </c>
      <c r="K42" s="218">
        <f t="shared" si="1"/>
        <v>996092.0000000007</v>
      </c>
      <c r="L42" s="215"/>
      <c r="M42" s="145"/>
    </row>
    <row r="43" spans="1:13" s="44" customFormat="1">
      <c r="A43" s="146" t="s">
        <v>704</v>
      </c>
      <c r="B43" s="147" t="s">
        <v>731</v>
      </c>
      <c r="C43" s="215"/>
      <c r="D43" s="1212">
        <f t="array" ref="D43">SUM(IF(Services_Type=$A$40,IF(Services_Size=A43,IF(Services_Kind=B43,Services_Quantity))))</f>
        <v>268</v>
      </c>
      <c r="E43" s="1214">
        <f t="array" ref="E43">SUM(IF(Services_Type=$A$40,IF(Services_Size=A43,IF(Services_Kind=B43,Services_Cost))))</f>
        <v>179331.44000000003</v>
      </c>
      <c r="F43" s="216"/>
      <c r="G43" s="145"/>
      <c r="H43" s="148">
        <f>ROUND(0.5*D43,0)</f>
        <v>134</v>
      </c>
      <c r="I43" s="218">
        <f>ROUND(0.5*E43,2)</f>
        <v>89665.72</v>
      </c>
      <c r="J43" s="148">
        <f t="shared" si="1"/>
        <v>134</v>
      </c>
      <c r="K43" s="218">
        <f t="shared" si="1"/>
        <v>89665.72000000003</v>
      </c>
      <c r="L43" s="215"/>
      <c r="M43" s="145"/>
    </row>
    <row r="44" spans="1:13" s="44" customFormat="1">
      <c r="A44" s="146" t="s">
        <v>733</v>
      </c>
      <c r="B44" s="147" t="s">
        <v>731</v>
      </c>
      <c r="C44" s="215"/>
      <c r="D44" s="1212">
        <f t="array" ref="D44">SUM(IF(Services_Type=$A$40,IF(Services_Size=A44,IF(Services_Kind=B44,Services_Quantity))))</f>
        <v>0</v>
      </c>
      <c r="E44" s="1214">
        <f t="array" ref="E44">SUM(IF(Services_Type=$A$40,IF(Services_Size=A44,IF(Services_Kind=B44,Services_Cost))))</f>
        <v>0</v>
      </c>
      <c r="F44" s="216"/>
      <c r="G44" s="145"/>
      <c r="H44" s="148">
        <f>ROUND(0.5*D44,0)</f>
        <v>0</v>
      </c>
      <c r="I44" s="218">
        <f>IF(H44=1,E44,ROUND(0.5*E44,2))</f>
        <v>0</v>
      </c>
      <c r="J44" s="148">
        <f t="shared" si="1"/>
        <v>0</v>
      </c>
      <c r="K44" s="218">
        <f t="shared" si="1"/>
        <v>0</v>
      </c>
      <c r="L44" s="215"/>
      <c r="M44" s="145"/>
    </row>
    <row r="45" spans="1:13" s="233" customFormat="1">
      <c r="A45" s="219"/>
      <c r="B45" s="220"/>
      <c r="C45" s="210"/>
      <c r="D45" s="221"/>
      <c r="E45" s="222"/>
      <c r="F45" s="211"/>
      <c r="G45" s="213"/>
      <c r="H45" s="209"/>
      <c r="I45" s="212"/>
      <c r="J45" s="209"/>
      <c r="K45" s="212"/>
      <c r="L45" s="210"/>
      <c r="M45" s="213"/>
    </row>
    <row r="46" spans="1:13" s="44" customFormat="1" ht="13">
      <c r="A46" s="195" t="str">
        <f>co_name</f>
        <v>DUKE ENERGY KENTUCKY, INC.</v>
      </c>
      <c r="B46" s="137"/>
      <c r="C46" s="137"/>
      <c r="D46" s="1223"/>
      <c r="E46" s="1224"/>
      <c r="F46" s="137"/>
      <c r="G46" s="137"/>
      <c r="H46" s="137"/>
      <c r="I46" s="137"/>
      <c r="J46" s="137"/>
      <c r="K46" s="10" t="str">
        <f>K1</f>
        <v>WP FR-16(7)(v)</v>
      </c>
      <c r="L46" s="215"/>
      <c r="M46" s="145"/>
    </row>
    <row r="47" spans="1:13" s="44" customFormat="1" ht="13">
      <c r="A47" s="195" t="str">
        <f>coss_type</f>
        <v xml:space="preserve">GAS COST OF SERVICE STUDY </v>
      </c>
      <c r="B47" s="138"/>
      <c r="C47" s="138"/>
      <c r="D47" s="1223"/>
      <c r="E47" s="1225"/>
      <c r="F47" s="138"/>
      <c r="G47" s="138"/>
      <c r="H47" s="138"/>
      <c r="I47" s="138"/>
      <c r="J47" s="138"/>
      <c r="K47" s="10" t="str">
        <f>'Alloc Factors Summary'!G2</f>
        <v>Witness Responsible:</v>
      </c>
      <c r="L47" s="215"/>
      <c r="M47" s="145"/>
    </row>
    <row r="48" spans="1:13" s="44" customFormat="1" ht="13">
      <c r="A48" s="195" t="str">
        <f>case_name</f>
        <v>CASE NO: 2021-00190</v>
      </c>
      <c r="B48" s="138"/>
      <c r="C48" s="138"/>
      <c r="D48" s="1223"/>
      <c r="E48" s="1225"/>
      <c r="F48" s="138"/>
      <c r="G48" s="138"/>
      <c r="H48" s="138"/>
      <c r="I48" s="138"/>
      <c r="J48" s="138"/>
      <c r="K48" s="10" t="str">
        <f>'Alloc Factors Summary'!G3</f>
        <v>James E. Ziolkowski</v>
      </c>
      <c r="L48" s="215"/>
      <c r="M48" s="145"/>
    </row>
    <row r="49" spans="1:13" s="44" customFormat="1" ht="13">
      <c r="A49" s="10" t="str">
        <f>alloc_factors</f>
        <v>ALLOCATION FACTORS FOR COST OF SERVICE STUDY</v>
      </c>
      <c r="B49" s="138"/>
      <c r="C49" s="138"/>
      <c r="D49" s="1223"/>
      <c r="E49" s="1225"/>
      <c r="F49" s="138"/>
      <c r="G49" s="138"/>
      <c r="H49" s="138"/>
      <c r="I49" s="138"/>
      <c r="J49" s="138"/>
      <c r="K49" s="10" t="s">
        <v>734</v>
      </c>
      <c r="L49" s="215"/>
      <c r="M49" s="145"/>
    </row>
    <row r="50" spans="1:13" s="44" customFormat="1" ht="13">
      <c r="A50" s="10" t="str">
        <f>time_period</f>
        <v>TWELVE MONTHS ENDING DECEMBER 31, 2020</v>
      </c>
      <c r="B50" s="147"/>
      <c r="C50" s="215"/>
      <c r="D50" s="221"/>
      <c r="E50" s="222"/>
      <c r="F50" s="216"/>
      <c r="G50" s="145"/>
      <c r="H50" s="148"/>
      <c r="I50" s="218"/>
      <c r="J50" s="148"/>
      <c r="K50" s="16">
        <f ca="1">TODAY()</f>
        <v>44420</v>
      </c>
      <c r="L50" s="215"/>
      <c r="M50" s="145"/>
    </row>
    <row r="51" spans="1:13" s="44" customFormat="1" ht="13">
      <c r="A51" s="197" t="s">
        <v>832</v>
      </c>
      <c r="B51" s="147"/>
      <c r="C51" s="215"/>
      <c r="D51" s="221"/>
      <c r="E51" s="222"/>
      <c r="F51" s="216"/>
      <c r="G51" s="145"/>
      <c r="H51" s="148"/>
      <c r="I51" s="218"/>
      <c r="J51" s="148"/>
      <c r="K51" s="218"/>
      <c r="L51" s="215"/>
      <c r="M51" s="145"/>
    </row>
    <row r="52" spans="1:13" s="44" customFormat="1">
      <c r="A52" s="146"/>
      <c r="B52" s="147"/>
      <c r="C52" s="215"/>
      <c r="D52" s="221"/>
      <c r="E52" s="222"/>
      <c r="F52" s="216"/>
      <c r="G52" s="145"/>
      <c r="H52" s="148"/>
      <c r="I52" s="218"/>
      <c r="J52" s="218"/>
      <c r="K52" s="218"/>
      <c r="L52" s="215"/>
      <c r="M52" s="145"/>
    </row>
    <row r="53" spans="1:13" s="44" customFormat="1" ht="13">
      <c r="A53" s="138"/>
      <c r="B53" s="25"/>
      <c r="C53" s="25"/>
      <c r="D53" s="1226"/>
      <c r="E53" s="1227"/>
      <c r="F53" s="141"/>
      <c r="G53" s="139"/>
      <c r="H53" s="141"/>
      <c r="I53" s="139"/>
      <c r="J53" s="139"/>
      <c r="K53" s="139"/>
      <c r="L53" s="25"/>
      <c r="M53" s="139"/>
    </row>
    <row r="54" spans="1:13" s="44" customFormat="1" ht="13">
      <c r="A54" s="25"/>
      <c r="B54" s="25"/>
      <c r="C54" s="25"/>
      <c r="D54" s="1228" t="s">
        <v>718</v>
      </c>
      <c r="E54" s="1227"/>
      <c r="F54" s="141"/>
      <c r="G54" s="139"/>
      <c r="H54" s="141"/>
      <c r="I54" s="139"/>
      <c r="J54" s="139"/>
      <c r="K54" s="139"/>
      <c r="L54" s="1560" t="s">
        <v>719</v>
      </c>
      <c r="M54" s="1560"/>
    </row>
    <row r="55" spans="1:13" s="44" customFormat="1" ht="13">
      <c r="A55" s="25"/>
      <c r="B55" s="25"/>
      <c r="C55" s="25"/>
      <c r="D55" s="1228" t="s">
        <v>720</v>
      </c>
      <c r="E55" s="1229" t="s">
        <v>229</v>
      </c>
      <c r="F55" s="1561" t="s">
        <v>721</v>
      </c>
      <c r="G55" s="1561"/>
      <c r="H55" s="1561" t="s">
        <v>1256</v>
      </c>
      <c r="I55" s="1561"/>
      <c r="J55" s="1561" t="s">
        <v>974</v>
      </c>
      <c r="K55" s="1561"/>
      <c r="L55" s="1562" t="s">
        <v>722</v>
      </c>
      <c r="M55" s="1562"/>
    </row>
    <row r="56" spans="1:13" s="44" customFormat="1" ht="13">
      <c r="A56" s="143" t="s">
        <v>650</v>
      </c>
      <c r="B56" s="205" t="s">
        <v>723</v>
      </c>
      <c r="C56" s="25"/>
      <c r="D56" s="1230" t="s">
        <v>162</v>
      </c>
      <c r="E56" s="1231" t="s">
        <v>652</v>
      </c>
      <c r="F56" s="1348" t="s">
        <v>162</v>
      </c>
      <c r="G56" s="144" t="s">
        <v>652</v>
      </c>
      <c r="H56" s="1348" t="s">
        <v>162</v>
      </c>
      <c r="I56" s="144" t="s">
        <v>652</v>
      </c>
      <c r="J56" s="144" t="s">
        <v>162</v>
      </c>
      <c r="K56" s="144" t="s">
        <v>652</v>
      </c>
      <c r="L56" s="1349" t="s">
        <v>162</v>
      </c>
      <c r="M56" s="144" t="s">
        <v>652</v>
      </c>
    </row>
    <row r="57" spans="1:13" s="44" customFormat="1">
      <c r="A57" s="215"/>
      <c r="B57" s="215"/>
      <c r="C57" s="215"/>
      <c r="D57" s="211"/>
      <c r="E57" s="213"/>
      <c r="F57" s="216"/>
      <c r="G57" s="145"/>
      <c r="H57" s="216"/>
      <c r="I57" s="145"/>
      <c r="J57" s="145"/>
      <c r="K57" s="145"/>
      <c r="L57" s="215"/>
      <c r="M57" s="145"/>
    </row>
    <row r="58" spans="1:13" s="44" customFormat="1">
      <c r="A58" s="217" t="s">
        <v>1340</v>
      </c>
      <c r="B58" s="147"/>
      <c r="C58" s="215"/>
      <c r="D58" s="221"/>
      <c r="E58" s="222"/>
      <c r="F58" s="216"/>
      <c r="G58" s="145"/>
      <c r="H58" s="148"/>
      <c r="I58" s="218"/>
      <c r="J58" s="218"/>
      <c r="K58" s="218"/>
      <c r="L58" s="215"/>
      <c r="M58" s="145"/>
    </row>
    <row r="59" spans="1:13" s="44" customFormat="1">
      <c r="A59" s="152" t="s">
        <v>705</v>
      </c>
      <c r="B59" s="153" t="s">
        <v>735</v>
      </c>
      <c r="C59" s="154"/>
      <c r="D59" s="1212">
        <f t="array" ref="D59">SUM(IF(Services_Type=$A$58,IF(Services_Size=A59,IF(Services_Kind=B59,Services_Quantity))))</f>
        <v>0</v>
      </c>
      <c r="E59" s="1213">
        <f t="array" ref="E59">SUM(IF(Services_Type=$A$58,IF(Services_Size=A59,IF(Services_Kind=B59,Services_Cost))))</f>
        <v>0</v>
      </c>
      <c r="F59" s="155"/>
      <c r="G59" s="156"/>
      <c r="H59" s="148">
        <f t="shared" ref="H59:H64" si="2">ROUND(0.1*D59,0)</f>
        <v>0</v>
      </c>
      <c r="I59" s="218">
        <f t="shared" ref="I59:I64" si="3">IF(H59=0,0,ROUND(0.1*E59,2))</f>
        <v>0</v>
      </c>
      <c r="J59" s="148">
        <f t="shared" ref="J59:K64" si="4">D59-H59</f>
        <v>0</v>
      </c>
      <c r="K59" s="218">
        <f t="shared" si="4"/>
        <v>0</v>
      </c>
      <c r="L59" s="154"/>
      <c r="M59" s="156"/>
    </row>
    <row r="60" spans="1:13" s="44" customFormat="1">
      <c r="A60" s="152" t="s">
        <v>705</v>
      </c>
      <c r="B60" s="153" t="s">
        <v>725</v>
      </c>
      <c r="C60" s="154"/>
      <c r="D60" s="1212">
        <f t="array" ref="D60">SUM(IF(Services_Type=$A$58,IF(Services_Size=A60,IF(Services_Kind=B60,Services_Quantity))))</f>
        <v>0</v>
      </c>
      <c r="E60" s="1212">
        <f t="array" ref="E60">SUM(IF(Services_Type=$A$58,IF(Services_Size=A60,IF(Services_Kind=B60,Services_Cost))))</f>
        <v>0</v>
      </c>
      <c r="F60" s="155"/>
      <c r="G60" s="156"/>
      <c r="H60" s="148">
        <f t="shared" si="2"/>
        <v>0</v>
      </c>
      <c r="I60" s="218">
        <f t="shared" si="3"/>
        <v>0</v>
      </c>
      <c r="J60" s="148">
        <f t="shared" si="4"/>
        <v>0</v>
      </c>
      <c r="K60" s="218">
        <f t="shared" si="4"/>
        <v>0</v>
      </c>
      <c r="L60" s="154"/>
      <c r="M60" s="156"/>
    </row>
    <row r="61" spans="1:13" s="44" customFormat="1">
      <c r="A61" s="152" t="s">
        <v>706</v>
      </c>
      <c r="B61" s="153" t="s">
        <v>735</v>
      </c>
      <c r="C61" s="154"/>
      <c r="D61" s="1212">
        <f t="array" ref="D61">SUM(IF(Services_Type=$A$58,IF(Services_Size=A61,IF(Services_Kind=B61,Services_Quantity))))</f>
        <v>0</v>
      </c>
      <c r="E61" s="1212">
        <f t="array" ref="E61">SUM(IF(Services_Type=$A$58,IF(Services_Size=A61,IF(Services_Kind=B61,Services_Cost))))</f>
        <v>0</v>
      </c>
      <c r="F61" s="155"/>
      <c r="G61" s="156"/>
      <c r="H61" s="148">
        <f t="shared" si="2"/>
        <v>0</v>
      </c>
      <c r="I61" s="218">
        <f t="shared" si="3"/>
        <v>0</v>
      </c>
      <c r="J61" s="148">
        <f t="shared" si="4"/>
        <v>0</v>
      </c>
      <c r="K61" s="218">
        <f t="shared" si="4"/>
        <v>0</v>
      </c>
      <c r="L61" s="154"/>
      <c r="M61" s="156"/>
    </row>
    <row r="62" spans="1:13" s="44" customFormat="1">
      <c r="A62" s="152" t="s">
        <v>706</v>
      </c>
      <c r="B62" s="153" t="s">
        <v>725</v>
      </c>
      <c r="C62" s="154"/>
      <c r="D62" s="1212">
        <f t="array" ref="D62">SUM(IF(Services_Type=$A$58,IF(Services_Size=A62,IF(Services_Kind=B62,Services_Quantity))))</f>
        <v>0</v>
      </c>
      <c r="E62" s="1212">
        <f t="array" ref="E62">SUM(IF(Services_Type=$A$58,IF(Services_Size=A62,IF(Services_Kind=B62,Services_Cost))))</f>
        <v>0</v>
      </c>
      <c r="F62" s="155"/>
      <c r="G62" s="156"/>
      <c r="H62" s="148">
        <f t="shared" si="2"/>
        <v>0</v>
      </c>
      <c r="I62" s="218">
        <f t="shared" si="3"/>
        <v>0</v>
      </c>
      <c r="J62" s="148">
        <f t="shared" si="4"/>
        <v>0</v>
      </c>
      <c r="K62" s="218">
        <f t="shared" si="4"/>
        <v>0</v>
      </c>
      <c r="L62" s="154"/>
      <c r="M62" s="156"/>
    </row>
    <row r="63" spans="1:13" s="44" customFormat="1">
      <c r="A63" s="152" t="s">
        <v>707</v>
      </c>
      <c r="B63" s="153" t="s">
        <v>735</v>
      </c>
      <c r="C63" s="154"/>
      <c r="D63" s="1212">
        <f t="array" ref="D63">SUM(IF(Services_Type=$A$58,IF(Services_Size=A63,IF(Services_Kind=B63,Services_Quantity))))</f>
        <v>0</v>
      </c>
      <c r="E63" s="1212">
        <f t="array" ref="E63">SUM(IF(Services_Type=$A$58,IF(Services_Size=A63,IF(Services_Kind=B63,Services_Cost))))</f>
        <v>0</v>
      </c>
      <c r="F63" s="155"/>
      <c r="G63" s="156"/>
      <c r="H63" s="148">
        <f t="shared" si="2"/>
        <v>0</v>
      </c>
      <c r="I63" s="218">
        <f t="shared" si="3"/>
        <v>0</v>
      </c>
      <c r="J63" s="148">
        <f t="shared" si="4"/>
        <v>0</v>
      </c>
      <c r="K63" s="218">
        <f t="shared" si="4"/>
        <v>0</v>
      </c>
      <c r="L63" s="154"/>
      <c r="M63" s="156"/>
    </row>
    <row r="64" spans="1:13" s="44" customFormat="1">
      <c r="A64" s="152" t="s">
        <v>707</v>
      </c>
      <c r="B64" s="153" t="s">
        <v>725</v>
      </c>
      <c r="C64" s="154"/>
      <c r="D64" s="1212">
        <f t="array" ref="D64">SUM(IF(Services_Type=$A$58,IF(Services_Size=A64,IF(Services_Kind=B64,Services_Quantity))))</f>
        <v>0</v>
      </c>
      <c r="E64" s="1212">
        <f t="array" ref="E64">SUM(IF(Services_Type=$A$58,IF(Services_Size=A64,IF(Services_Kind=B64,Services_Cost))))</f>
        <v>0</v>
      </c>
      <c r="F64" s="155"/>
      <c r="G64" s="156"/>
      <c r="H64" s="148">
        <f t="shared" si="2"/>
        <v>0</v>
      </c>
      <c r="I64" s="218">
        <f t="shared" si="3"/>
        <v>0</v>
      </c>
      <c r="J64" s="148">
        <f t="shared" si="4"/>
        <v>0</v>
      </c>
      <c r="K64" s="218">
        <f t="shared" si="4"/>
        <v>0</v>
      </c>
      <c r="L64" s="154"/>
      <c r="M64" s="156"/>
    </row>
    <row r="65" spans="1:13" s="44" customFormat="1">
      <c r="A65" s="152" t="s">
        <v>708</v>
      </c>
      <c r="B65" s="153" t="s">
        <v>735</v>
      </c>
      <c r="C65" s="154"/>
      <c r="D65" s="1212">
        <f t="array" ref="D65">SUM(IF(Services_Type=$A$58,IF(Services_Size=A65,IF(Services_Kind=B65,Services_Quantity))))</f>
        <v>0</v>
      </c>
      <c r="E65" s="1212">
        <f t="array" ref="E65">SUM(IF(Services_Type=$A$58,IF(Services_Size=A65,IF(Services_Kind=B65,Services_Cost))))</f>
        <v>0</v>
      </c>
      <c r="F65" s="155"/>
      <c r="G65" s="156"/>
      <c r="H65" s="148" t="s">
        <v>343</v>
      </c>
      <c r="I65" s="218" t="s">
        <v>343</v>
      </c>
      <c r="J65" s="148" t="s">
        <v>343</v>
      </c>
      <c r="K65" s="218" t="s">
        <v>343</v>
      </c>
      <c r="L65" s="157">
        <f>D65</f>
        <v>0</v>
      </c>
      <c r="M65" s="150">
        <f>E65</f>
        <v>0</v>
      </c>
    </row>
    <row r="66" spans="1:13" s="44" customFormat="1">
      <c r="A66" s="146" t="s">
        <v>705</v>
      </c>
      <c r="B66" s="147" t="s">
        <v>728</v>
      </c>
      <c r="C66" s="215"/>
      <c r="D66" s="1212">
        <f t="array" ref="D66">SUM(IF(Services_Type=$A$58,IF(Services_Size=A66,IF(Services_Kind=B66,Services_Quantity))))</f>
        <v>159</v>
      </c>
      <c r="E66" s="1212">
        <f t="array" ref="E66">SUM(IF(Services_Type=$A$58,IF(Services_Size=A66,IF(Services_Kind=B66,Services_Cost))))</f>
        <v>507107.2699999999</v>
      </c>
      <c r="F66" s="216"/>
      <c r="G66" s="145"/>
      <c r="H66" s="148">
        <f t="shared" ref="H66:H72" si="5">ROUND(0.1*D66,0)</f>
        <v>16</v>
      </c>
      <c r="I66" s="218">
        <f t="shared" ref="I66:I72" si="6">IF(H66=0,0,ROUND(0.1*E66,2))</f>
        <v>50710.73</v>
      </c>
      <c r="J66" s="148">
        <f t="shared" ref="J66:J72" si="7">D66-H66</f>
        <v>143</v>
      </c>
      <c r="K66" s="218">
        <f t="shared" ref="K66:K72" si="8">E66-I66</f>
        <v>456396.53999999992</v>
      </c>
      <c r="L66" s="215"/>
      <c r="M66" s="145"/>
    </row>
    <row r="67" spans="1:13" s="44" customFormat="1">
      <c r="A67" s="152" t="s">
        <v>706</v>
      </c>
      <c r="B67" s="153" t="s">
        <v>728</v>
      </c>
      <c r="C67" s="154"/>
      <c r="D67" s="1212">
        <f t="array" ref="D67">SUM(IF(Services_Type=$A$58,IF(Services_Size=A67,IF(Services_Kind=B67,Services_Quantity))))</f>
        <v>139</v>
      </c>
      <c r="E67" s="1212">
        <f t="array" ref="E67">SUM(IF(Services_Type=$A$58,IF(Services_Size=A67,IF(Services_Kind=B67,Services_Cost))))</f>
        <v>375842.66000000015</v>
      </c>
      <c r="F67" s="155"/>
      <c r="G67" s="156"/>
      <c r="H67" s="148">
        <f t="shared" si="5"/>
        <v>14</v>
      </c>
      <c r="I67" s="218">
        <f t="shared" si="6"/>
        <v>37584.269999999997</v>
      </c>
      <c r="J67" s="148">
        <f t="shared" si="7"/>
        <v>125</v>
      </c>
      <c r="K67" s="218">
        <f t="shared" si="8"/>
        <v>338258.39000000013</v>
      </c>
      <c r="L67" s="154"/>
      <c r="M67" s="156"/>
    </row>
    <row r="68" spans="1:13" s="44" customFormat="1">
      <c r="A68" s="152" t="s">
        <v>707</v>
      </c>
      <c r="B68" s="153" t="s">
        <v>728</v>
      </c>
      <c r="C68" s="154"/>
      <c r="D68" s="1212">
        <f t="array" ref="D68">SUM(IF(Services_Type=$A$58,IF(Services_Size=A68,IF(Services_Kind=B68,Services_Quantity))))</f>
        <v>38</v>
      </c>
      <c r="E68" s="1212">
        <f t="array" ref="E68">SUM(IF(Services_Type=$A$58,IF(Services_Size=A68,IF(Services_Kind=B68,Services_Cost))))</f>
        <v>253680.39000000004</v>
      </c>
      <c r="F68" s="155"/>
      <c r="G68" s="156"/>
      <c r="H68" s="148">
        <f t="shared" si="5"/>
        <v>4</v>
      </c>
      <c r="I68" s="218">
        <f t="shared" si="6"/>
        <v>25368.04</v>
      </c>
      <c r="J68" s="148">
        <f t="shared" si="7"/>
        <v>34</v>
      </c>
      <c r="K68" s="218">
        <f t="shared" si="8"/>
        <v>228312.35000000003</v>
      </c>
      <c r="L68" s="154"/>
      <c r="M68" s="156"/>
    </row>
    <row r="69" spans="1:13" s="44" customFormat="1">
      <c r="A69" s="152" t="s">
        <v>708</v>
      </c>
      <c r="B69" s="153" t="s">
        <v>728</v>
      </c>
      <c r="C69" s="154"/>
      <c r="D69" s="1212">
        <f t="array" ref="D69">SUM(IF(Services_Type=$A$58,IF(Services_Size=A69,IF(Services_Kind=B69,Services_Quantity))))</f>
        <v>8</v>
      </c>
      <c r="E69" s="1212">
        <f t="array" ref="E69">SUM(IF(Services_Type=$A$58,IF(Services_Size=A69,IF(Services_Kind=B69,Services_Cost))))</f>
        <v>85878.000000000015</v>
      </c>
      <c r="F69" s="155"/>
      <c r="G69" s="156"/>
      <c r="H69" s="148">
        <f t="shared" si="5"/>
        <v>1</v>
      </c>
      <c r="I69" s="218">
        <f t="shared" si="6"/>
        <v>8587.7999999999993</v>
      </c>
      <c r="J69" s="148">
        <f t="shared" si="7"/>
        <v>7</v>
      </c>
      <c r="K69" s="218">
        <f t="shared" si="8"/>
        <v>77290.200000000012</v>
      </c>
      <c r="L69" s="154"/>
      <c r="M69" s="156"/>
    </row>
    <row r="70" spans="1:13" s="44" customFormat="1">
      <c r="A70" s="146" t="s">
        <v>705</v>
      </c>
      <c r="B70" s="147" t="s">
        <v>731</v>
      </c>
      <c r="C70" s="215"/>
      <c r="D70" s="1212">
        <f t="array" ref="D70">SUM(IF(Services_Type=$A$58,IF(Services_Size=A70,IF(Services_Kind=B70,Services_Quantity))))</f>
        <v>88</v>
      </c>
      <c r="E70" s="1212">
        <f t="array" ref="E70">SUM(IF(Services_Type=$A$58,IF(Services_Size=A70,IF(Services_Kind=B70,Services_Cost))))</f>
        <v>91911.73000000004</v>
      </c>
      <c r="F70" s="216"/>
      <c r="G70" s="145"/>
      <c r="H70" s="148">
        <f t="shared" si="5"/>
        <v>9</v>
      </c>
      <c r="I70" s="218">
        <f t="shared" si="6"/>
        <v>9191.17</v>
      </c>
      <c r="J70" s="148">
        <f t="shared" si="7"/>
        <v>79</v>
      </c>
      <c r="K70" s="218">
        <f t="shared" si="8"/>
        <v>82720.560000000041</v>
      </c>
      <c r="L70" s="215"/>
      <c r="M70" s="145"/>
    </row>
    <row r="71" spans="1:13" s="44" customFormat="1">
      <c r="A71" s="146" t="s">
        <v>706</v>
      </c>
      <c r="B71" s="147" t="s">
        <v>731</v>
      </c>
      <c r="C71" s="215"/>
      <c r="D71" s="1212">
        <f t="array" ref="D71">SUM(IF(Services_Type=$A$58,IF(Services_Size=A71,IF(Services_Kind=B71,Services_Quantity))))</f>
        <v>53</v>
      </c>
      <c r="E71" s="1212">
        <f t="array" ref="E71">SUM(IF(Services_Type=$A$58,IF(Services_Size=A71,IF(Services_Kind=B71,Services_Cost))))</f>
        <v>39643.110000000008</v>
      </c>
      <c r="F71" s="216"/>
      <c r="G71" s="145"/>
      <c r="H71" s="148">
        <f t="shared" si="5"/>
        <v>5</v>
      </c>
      <c r="I71" s="218">
        <f t="shared" si="6"/>
        <v>3964.31</v>
      </c>
      <c r="J71" s="148">
        <f t="shared" si="7"/>
        <v>48</v>
      </c>
      <c r="K71" s="218">
        <f t="shared" si="8"/>
        <v>35678.80000000001</v>
      </c>
      <c r="L71" s="215"/>
      <c r="M71" s="145"/>
    </row>
    <row r="72" spans="1:13" s="44" customFormat="1">
      <c r="A72" s="146" t="s">
        <v>707</v>
      </c>
      <c r="B72" s="147" t="s">
        <v>731</v>
      </c>
      <c r="C72" s="215"/>
      <c r="D72" s="1212">
        <f t="array" ref="D72">SUM(IF(Services_Type=$A$58,IF(Services_Size=A72,IF(Services_Kind=B72,Services_Quantity))))</f>
        <v>25</v>
      </c>
      <c r="E72" s="1212">
        <f t="array" ref="E72">SUM(IF(Services_Type=$A$58,IF(Services_Size=A72,IF(Services_Kind=B72,Services_Cost))))</f>
        <v>39250.140000000007</v>
      </c>
      <c r="F72" s="216"/>
      <c r="G72" s="145"/>
      <c r="H72" s="148">
        <f t="shared" si="5"/>
        <v>3</v>
      </c>
      <c r="I72" s="218">
        <f t="shared" si="6"/>
        <v>3925.01</v>
      </c>
      <c r="J72" s="148">
        <f t="shared" si="7"/>
        <v>22</v>
      </c>
      <c r="K72" s="218">
        <f t="shared" si="8"/>
        <v>35325.130000000005</v>
      </c>
      <c r="L72" s="215"/>
      <c r="M72" s="145"/>
    </row>
    <row r="73" spans="1:13" s="44" customFormat="1">
      <c r="A73" s="146" t="s">
        <v>708</v>
      </c>
      <c r="B73" s="147" t="s">
        <v>731</v>
      </c>
      <c r="C73" s="215"/>
      <c r="D73" s="1212">
        <f t="array" ref="D73">SUM(IF(Services_Type=$A$58,IF(Services_Size=A73,IF(Services_Kind=B73,Services_Quantity))))</f>
        <v>5</v>
      </c>
      <c r="E73" s="1212">
        <f t="array" ref="E73">SUM(IF(Services_Type=$A$58,IF(Services_Size=A73,IF(Services_Kind=B73,Services_Cost))))</f>
        <v>37816.03</v>
      </c>
      <c r="F73" s="42"/>
      <c r="G73" s="158"/>
      <c r="H73" s="42"/>
      <c r="I73" s="158"/>
      <c r="J73" s="158"/>
      <c r="K73" s="158"/>
      <c r="L73" s="157">
        <f t="shared" ref="L73:M76" si="9">D73</f>
        <v>5</v>
      </c>
      <c r="M73" s="150">
        <f t="shared" si="9"/>
        <v>37816.03</v>
      </c>
    </row>
    <row r="74" spans="1:13" s="44" customFormat="1">
      <c r="A74" s="146" t="s">
        <v>736</v>
      </c>
      <c r="B74" s="147" t="s">
        <v>731</v>
      </c>
      <c r="C74" s="215"/>
      <c r="D74" s="1212">
        <f t="array" ref="D74">SUM(IF(Services_Type=$A$58,IF(Services_Size=A74,IF(Services_Kind=B74,Services_Quantity))))</f>
        <v>0</v>
      </c>
      <c r="E74" s="1212">
        <f t="array" ref="E74">SUM(IF(Services_Type=$A$58,IF(Services_Size=A74,IF(Services_Kind=B74,Services_Cost))))</f>
        <v>0</v>
      </c>
      <c r="F74" s="42"/>
      <c r="G74" s="158"/>
      <c r="H74" s="42"/>
      <c r="I74" s="158"/>
      <c r="J74" s="158"/>
      <c r="K74" s="158"/>
      <c r="L74" s="157">
        <f t="shared" si="9"/>
        <v>0</v>
      </c>
      <c r="M74" s="150">
        <f t="shared" si="9"/>
        <v>0</v>
      </c>
    </row>
    <row r="75" spans="1:13" s="44" customFormat="1">
      <c r="A75" s="146" t="s">
        <v>703</v>
      </c>
      <c r="B75" s="147" t="s">
        <v>731</v>
      </c>
      <c r="C75" s="215"/>
      <c r="D75" s="1212">
        <f t="array" ref="D75">SUM(IF(Services_Type=$A$58,IF(Services_Size=A75,IF(Services_Kind=B75,Services_Quantity))))</f>
        <v>0</v>
      </c>
      <c r="E75" s="1212">
        <f t="array" ref="E75">SUM(IF(Services_Type=$A$58,IF(Services_Size=A75,IF(Services_Kind=B75,Services_Cost))))</f>
        <v>0</v>
      </c>
      <c r="F75" s="42"/>
      <c r="G75" s="158"/>
      <c r="H75" s="42"/>
      <c r="I75" s="158"/>
      <c r="J75" s="158"/>
      <c r="K75" s="158"/>
      <c r="L75" s="157">
        <f t="shared" si="9"/>
        <v>0</v>
      </c>
      <c r="M75" s="150">
        <f t="shared" si="9"/>
        <v>0</v>
      </c>
    </row>
    <row r="76" spans="1:13" s="44" customFormat="1">
      <c r="A76" s="146" t="s">
        <v>737</v>
      </c>
      <c r="B76" s="147" t="s">
        <v>731</v>
      </c>
      <c r="C76" s="215"/>
      <c r="D76" s="1212">
        <f t="array" ref="D76">SUM(IF(Services_Type=$A$58,IF(Services_Size=A76,IF(Services_Kind=B76,Services_Quantity))))</f>
        <v>0</v>
      </c>
      <c r="E76" s="1212">
        <f t="array" ref="E76">SUM(IF(Services_Type=$A$58,IF(Services_Size=A76,IF(Services_Kind=B76,Services_Cost))))</f>
        <v>0</v>
      </c>
      <c r="F76" s="42"/>
      <c r="G76" s="158"/>
      <c r="H76" s="42"/>
      <c r="I76" s="158"/>
      <c r="J76" s="158"/>
      <c r="K76" s="158"/>
      <c r="L76" s="157">
        <f t="shared" si="9"/>
        <v>0</v>
      </c>
      <c r="M76" s="150">
        <f t="shared" si="9"/>
        <v>0</v>
      </c>
    </row>
    <row r="77" spans="1:13" s="44" customFormat="1">
      <c r="A77" s="215"/>
      <c r="B77" s="215"/>
      <c r="C77" s="215"/>
      <c r="D77" s="1221"/>
      <c r="E77" s="1222"/>
      <c r="F77" s="159"/>
      <c r="G77" s="160"/>
      <c r="H77" s="159"/>
      <c r="I77" s="160"/>
      <c r="J77" s="160"/>
      <c r="K77" s="160"/>
      <c r="L77" s="146"/>
      <c r="M77" s="160"/>
    </row>
    <row r="78" spans="1:13" s="44" customFormat="1" ht="13" thickBot="1">
      <c r="A78" s="217" t="s">
        <v>229</v>
      </c>
      <c r="B78" s="215"/>
      <c r="C78" s="215"/>
      <c r="D78" s="161">
        <f>SUM(D41:D77)</f>
        <v>1754</v>
      </c>
      <c r="E78" s="763">
        <f>SUM(E41:E77)</f>
        <v>4551668.4900000012</v>
      </c>
      <c r="F78" s="161">
        <f t="shared" ref="F78:M78" si="10">SUM(F14:F44)+SUM(F59:F76)</f>
        <v>123080.6</v>
      </c>
      <c r="G78" s="162">
        <f>SUM(G14:G44)+SUM(G59:G76)</f>
        <v>118122932.52000001</v>
      </c>
      <c r="H78" s="161">
        <f t="shared" si="10"/>
        <v>1612</v>
      </c>
      <c r="I78" s="162">
        <f t="shared" si="10"/>
        <v>2604891.6700000004</v>
      </c>
      <c r="J78" s="161">
        <f t="shared" si="10"/>
        <v>2017</v>
      </c>
      <c r="K78" s="162">
        <f t="shared" si="10"/>
        <v>3719542.290000001</v>
      </c>
      <c r="L78" s="161">
        <f t="shared" si="10"/>
        <v>5</v>
      </c>
      <c r="M78" s="162">
        <f t="shared" si="10"/>
        <v>37816.03</v>
      </c>
    </row>
    <row r="79" spans="1:13" s="44" customFormat="1" ht="13" thickTop="1">
      <c r="A79" s="215"/>
      <c r="B79" s="215"/>
      <c r="C79" s="215"/>
      <c r="D79" s="216"/>
      <c r="E79" s="145"/>
      <c r="F79" s="216"/>
      <c r="G79" s="145"/>
      <c r="H79" s="216"/>
      <c r="I79" s="145"/>
      <c r="J79" s="145"/>
      <c r="K79" s="145"/>
      <c r="L79" s="215"/>
      <c r="M79" s="145"/>
    </row>
    <row r="80" spans="1:13" s="44" customFormat="1" ht="13" thickBot="1">
      <c r="A80" s="217" t="s">
        <v>738</v>
      </c>
      <c r="B80" s="215"/>
      <c r="C80" s="215"/>
      <c r="D80" s="163">
        <f>D78+D37+D28+D25</f>
        <v>126715</v>
      </c>
      <c r="E80" s="764">
        <f>E78+E37+E28+E25</f>
        <v>124485182.51000001</v>
      </c>
      <c r="F80" s="163"/>
      <c r="G80" s="164">
        <f>G78/F78</f>
        <v>959.72015508536686</v>
      </c>
      <c r="H80" s="163"/>
      <c r="I80" s="164">
        <f>I78/H78</f>
        <v>1615.937760545906</v>
      </c>
      <c r="J80" s="164"/>
      <c r="K80" s="164">
        <f>K78/J78</f>
        <v>1844.0963262270704</v>
      </c>
      <c r="L80" s="165"/>
      <c r="M80" s="164">
        <f>M78/L78</f>
        <v>7563.2060000000001</v>
      </c>
    </row>
    <row r="81" spans="1:13" s="44" customFormat="1" ht="13" thickTop="1">
      <c r="A81" s="215"/>
      <c r="B81" s="215"/>
      <c r="C81" s="215"/>
      <c r="D81" s="216"/>
      <c r="E81" s="145"/>
      <c r="F81" s="216"/>
      <c r="G81" s="145"/>
      <c r="H81" s="216"/>
      <c r="I81" s="145"/>
      <c r="J81" s="145"/>
      <c r="K81" s="145"/>
      <c r="L81" s="215"/>
      <c r="M81" s="145"/>
    </row>
    <row r="82" spans="1:13" s="44" customFormat="1">
      <c r="A82" s="217" t="s">
        <v>739</v>
      </c>
      <c r="B82" s="215"/>
      <c r="C82" s="215"/>
      <c r="D82" s="216"/>
      <c r="E82" s="216"/>
      <c r="F82" s="216"/>
      <c r="G82" s="218">
        <f>G80/$G$80</f>
        <v>1</v>
      </c>
      <c r="H82" s="216"/>
      <c r="I82" s="218">
        <f>I80/$G$80</f>
        <v>1.6837593250317524</v>
      </c>
      <c r="J82" s="218"/>
      <c r="K82" s="218">
        <f>K80/G80</f>
        <v>1.921493798432355</v>
      </c>
      <c r="L82" s="215"/>
      <c r="M82" s="218">
        <f>M80/$G$80</f>
        <v>7.8806368293132856</v>
      </c>
    </row>
    <row r="83" spans="1:13" s="44" customFormat="1">
      <c r="A83" s="217"/>
      <c r="B83" s="215"/>
      <c r="C83" s="215"/>
      <c r="D83" s="216"/>
      <c r="E83" s="216"/>
      <c r="F83" s="216"/>
      <c r="G83" s="218"/>
      <c r="H83" s="216"/>
      <c r="I83" s="218"/>
      <c r="J83" s="218"/>
      <c r="K83" s="218"/>
      <c r="L83" s="215"/>
      <c r="M83" s="218"/>
    </row>
    <row r="84" spans="1:13" ht="13">
      <c r="A84" s="195" t="str">
        <f>co_name</f>
        <v>DUKE ENERGY KENTUCKY, INC.</v>
      </c>
      <c r="B84" s="10"/>
      <c r="C84" s="10"/>
      <c r="D84" s="234"/>
      <c r="E84" s="10"/>
      <c r="F84" s="10" t="str">
        <f>K1</f>
        <v>WP FR-16(7)(v)</v>
      </c>
      <c r="H84" s="235"/>
    </row>
    <row r="85" spans="1:13" ht="13">
      <c r="A85" s="195" t="str">
        <f>coss_type</f>
        <v xml:space="preserve">GAS COST OF SERVICE STUDY </v>
      </c>
      <c r="B85" s="10"/>
      <c r="C85" s="10"/>
      <c r="D85" s="234"/>
      <c r="E85" s="10"/>
      <c r="F85" s="10" t="str">
        <f>K2</f>
        <v>Witness Responsible:</v>
      </c>
      <c r="H85" s="235"/>
    </row>
    <row r="86" spans="1:13" ht="13">
      <c r="A86" s="195" t="str">
        <f>case_name</f>
        <v>CASE NO: 2021-00190</v>
      </c>
      <c r="B86" s="10"/>
      <c r="C86" s="10"/>
      <c r="D86" s="234"/>
      <c r="E86" s="10"/>
      <c r="F86" s="10" t="str">
        <f>K3</f>
        <v>James E. Ziolkowski</v>
      </c>
      <c r="H86" s="235"/>
    </row>
    <row r="87" spans="1:13" ht="13">
      <c r="A87" s="10" t="str">
        <f>alloc_factors</f>
        <v>ALLOCATION FACTORS FOR COST OF SERVICE STUDY</v>
      </c>
      <c r="B87" s="10"/>
      <c r="C87" s="10"/>
      <c r="D87" s="234"/>
      <c r="E87" s="10"/>
      <c r="F87" s="10" t="s">
        <v>740</v>
      </c>
      <c r="H87" s="235"/>
    </row>
    <row r="88" spans="1:13" ht="13">
      <c r="A88" s="10" t="str">
        <f>time_period</f>
        <v>TWELVE MONTHS ENDING DECEMBER 31, 2020</v>
      </c>
      <c r="F88" s="16">
        <f ca="1">TODAY()</f>
        <v>44420</v>
      </c>
    </row>
    <row r="89" spans="1:13" ht="13">
      <c r="A89" s="197" t="s">
        <v>832</v>
      </c>
    </row>
    <row r="90" spans="1:13" ht="13">
      <c r="A90" s="10"/>
      <c r="F90" s="49"/>
      <c r="G90" s="166"/>
    </row>
    <row r="91" spans="1:13" ht="13">
      <c r="D91" s="1262" t="s">
        <v>756</v>
      </c>
      <c r="E91" s="1263" t="s">
        <v>575</v>
      </c>
      <c r="G91" s="42"/>
    </row>
    <row r="92" spans="1:13" ht="13">
      <c r="A92" s="1559" t="s">
        <v>477</v>
      </c>
      <c r="B92" s="1559"/>
      <c r="C92" s="204" t="s">
        <v>572</v>
      </c>
      <c r="D92" s="167" t="s">
        <v>805</v>
      </c>
      <c r="E92" s="168" t="s">
        <v>572</v>
      </c>
      <c r="F92" s="204" t="s">
        <v>562</v>
      </c>
      <c r="G92" s="42"/>
    </row>
    <row r="93" spans="1:13" ht="13">
      <c r="A93" s="31"/>
      <c r="B93" s="31"/>
      <c r="C93" s="31"/>
      <c r="D93" s="169"/>
      <c r="E93" s="170"/>
      <c r="F93" s="31"/>
      <c r="G93" s="42"/>
    </row>
    <row r="94" spans="1:13">
      <c r="A94" s="171" t="s">
        <v>742</v>
      </c>
      <c r="C94" s="1013">
        <f>'Alloc Factors Summary'!D60</f>
        <v>93602</v>
      </c>
      <c r="D94" s="172">
        <v>1</v>
      </c>
      <c r="E94" s="34">
        <f>ROUND(D94*C94,0)</f>
        <v>93602</v>
      </c>
      <c r="F94" s="27">
        <f>1-SUM(F95:F97)</f>
        <v>0.87602999999999998</v>
      </c>
      <c r="G94" s="42"/>
    </row>
    <row r="95" spans="1:13">
      <c r="A95" s="1009" t="s">
        <v>1256</v>
      </c>
      <c r="B95" s="307"/>
      <c r="C95" s="1013">
        <f>'Alloc Factors Summary'!D61</f>
        <v>7643</v>
      </c>
      <c r="D95" s="213">
        <f>I82</f>
        <v>1.6837593250317524</v>
      </c>
      <c r="E95" s="34">
        <f>ROUND(D95*C95,0)</f>
        <v>12869</v>
      </c>
      <c r="F95" s="27">
        <f>ROUND(E95/E$99,5)</f>
        <v>0.12044000000000001</v>
      </c>
      <c r="G95" s="42"/>
    </row>
    <row r="96" spans="1:13">
      <c r="A96" s="1009" t="s">
        <v>974</v>
      </c>
      <c r="B96" s="307"/>
      <c r="C96" s="1013">
        <f>'Alloc Factors Summary'!D62</f>
        <v>106</v>
      </c>
      <c r="D96" s="327">
        <f>K82</f>
        <v>1.921493798432355</v>
      </c>
      <c r="E96" s="34">
        <f>ROUND(D96*C96,0)</f>
        <v>204</v>
      </c>
      <c r="F96" s="27">
        <f>ROUND(E96/E$99,5)</f>
        <v>1.91E-3</v>
      </c>
    </row>
    <row r="97" spans="1:9">
      <c r="A97" s="326" t="s">
        <v>612</v>
      </c>
      <c r="B97" s="307"/>
      <c r="C97" s="1014">
        <f>'Alloc Factors Summary'!D63</f>
        <v>22</v>
      </c>
      <c r="D97" s="172">
        <f>M82</f>
        <v>7.8806368293132856</v>
      </c>
      <c r="E97" s="1008">
        <f>ROUND(D97*C97,0)</f>
        <v>173</v>
      </c>
      <c r="F97" s="180">
        <f>ROUND(E97/E$99,5)</f>
        <v>1.6199999999999999E-3</v>
      </c>
    </row>
    <row r="98" spans="1:9">
      <c r="A98" s="171" t="s">
        <v>343</v>
      </c>
      <c r="C98" s="34" t="s">
        <v>343</v>
      </c>
      <c r="D98" s="173" t="s">
        <v>343</v>
      </c>
      <c r="E98" s="37" t="s">
        <v>343</v>
      </c>
      <c r="F98" s="27"/>
      <c r="G98" s="42"/>
    </row>
    <row r="99" spans="1:9" ht="13" thickBot="1">
      <c r="A99" s="171" t="s">
        <v>579</v>
      </c>
      <c r="C99" s="1006">
        <f>SUM(C94:C97)</f>
        <v>101373</v>
      </c>
      <c r="D99" s="173" t="s">
        <v>343</v>
      </c>
      <c r="E99" s="1006">
        <f>SUM(E94:E97)</f>
        <v>106848</v>
      </c>
      <c r="F99" s="1007">
        <f>ROUND(E99/E$99,5)</f>
        <v>1</v>
      </c>
      <c r="G99" s="42"/>
    </row>
    <row r="100" spans="1:9" ht="13.5" thickTop="1">
      <c r="A100" s="236"/>
      <c r="B100" s="237"/>
      <c r="C100" s="237"/>
      <c r="D100" s="238"/>
      <c r="E100" s="239"/>
      <c r="F100" s="240"/>
      <c r="G100" s="122"/>
      <c r="H100" s="238"/>
    </row>
    <row r="101" spans="1:9" ht="13">
      <c r="A101" s="195" t="str">
        <f>co_name</f>
        <v>DUKE ENERGY KENTUCKY, INC.</v>
      </c>
      <c r="B101" s="10"/>
      <c r="C101" s="10"/>
      <c r="D101" s="234"/>
      <c r="E101" s="10"/>
      <c r="F101" s="10" t="str">
        <f>K1</f>
        <v>WP FR-16(7)(v)</v>
      </c>
      <c r="H101" s="235"/>
    </row>
    <row r="102" spans="1:9" ht="13">
      <c r="A102" s="195" t="str">
        <f>coss_type</f>
        <v xml:space="preserve">GAS COST OF SERVICE STUDY </v>
      </c>
      <c r="B102" s="10"/>
      <c r="C102" s="10"/>
      <c r="D102" s="234"/>
      <c r="E102" s="10"/>
      <c r="F102" s="10" t="str">
        <f>K2</f>
        <v>Witness Responsible:</v>
      </c>
      <c r="H102" s="235"/>
    </row>
    <row r="103" spans="1:9" ht="13">
      <c r="A103" s="195" t="str">
        <f>case_name</f>
        <v>CASE NO: 2021-00190</v>
      </c>
      <c r="B103" s="10"/>
      <c r="C103" s="10"/>
      <c r="D103" s="234"/>
      <c r="E103" s="10"/>
      <c r="F103" s="10" t="str">
        <f>K3</f>
        <v>James E. Ziolkowski</v>
      </c>
      <c r="H103" s="235"/>
    </row>
    <row r="104" spans="1:9" ht="13">
      <c r="A104" s="10" t="str">
        <f>alloc_factors</f>
        <v>ALLOCATION FACTORS FOR COST OF SERVICE STUDY</v>
      </c>
      <c r="B104" s="10"/>
      <c r="C104" s="10"/>
      <c r="D104" s="234"/>
      <c r="E104" s="10"/>
      <c r="F104" s="10" t="s">
        <v>743</v>
      </c>
      <c r="H104" s="235"/>
    </row>
    <row r="105" spans="1:9" ht="13">
      <c r="A105" s="10" t="str">
        <f>time_period</f>
        <v>TWELVE MONTHS ENDING DECEMBER 31, 2020</v>
      </c>
      <c r="F105" s="1274">
        <f ca="1">TODAY()</f>
        <v>44420</v>
      </c>
    </row>
    <row r="106" spans="1:9" ht="13">
      <c r="A106" s="197" t="s">
        <v>832</v>
      </c>
      <c r="B106" s="215"/>
      <c r="C106" s="215"/>
      <c r="D106" s="215"/>
      <c r="E106" s="34"/>
      <c r="F106" s="173"/>
      <c r="G106" s="44"/>
      <c r="H106" s="42"/>
    </row>
    <row r="107" spans="1:9">
      <c r="A107" s="215"/>
      <c r="B107" s="215"/>
      <c r="C107" s="215"/>
      <c r="D107" s="215"/>
      <c r="E107" s="241"/>
      <c r="F107" s="173"/>
      <c r="G107" s="105"/>
      <c r="H107" s="173"/>
    </row>
    <row r="108" spans="1:9" ht="13">
      <c r="A108" s="242" t="s">
        <v>744</v>
      </c>
      <c r="B108" s="243" t="s">
        <v>697</v>
      </c>
      <c r="C108" s="244" t="s">
        <v>698</v>
      </c>
      <c r="D108" s="244" t="s">
        <v>699</v>
      </c>
      <c r="E108" s="151" t="s">
        <v>1033</v>
      </c>
      <c r="F108" s="173"/>
      <c r="G108" s="105"/>
      <c r="H108" s="173"/>
      <c r="I108" s="370" t="s">
        <v>1227</v>
      </c>
    </row>
    <row r="109" spans="1:9" ht="13">
      <c r="A109" s="245" t="s">
        <v>735</v>
      </c>
      <c r="B109" s="171"/>
      <c r="C109" s="246"/>
      <c r="D109" s="247"/>
      <c r="E109" s="151"/>
      <c r="F109" s="173"/>
      <c r="G109" s="105"/>
      <c r="H109" s="173"/>
      <c r="I109" s="370" t="s">
        <v>1228</v>
      </c>
    </row>
    <row r="110" spans="1:9" ht="13">
      <c r="A110" s="245" t="s">
        <v>735</v>
      </c>
      <c r="B110" s="174" t="s">
        <v>705</v>
      </c>
      <c r="C110" s="761"/>
      <c r="D110" s="762"/>
      <c r="E110" s="217" t="s">
        <v>1340</v>
      </c>
      <c r="F110" s="173"/>
      <c r="G110" s="44"/>
      <c r="H110" s="173"/>
    </row>
    <row r="111" spans="1:9" ht="13">
      <c r="A111" s="245" t="s">
        <v>735</v>
      </c>
      <c r="B111" s="174" t="s">
        <v>706</v>
      </c>
      <c r="C111" s="761"/>
      <c r="D111" s="762"/>
      <c r="E111" s="217" t="s">
        <v>1340</v>
      </c>
      <c r="F111" s="173"/>
      <c r="G111" s="44"/>
      <c r="H111" s="173"/>
    </row>
    <row r="112" spans="1:9" ht="13">
      <c r="A112" s="245" t="s">
        <v>735</v>
      </c>
      <c r="B112" s="174" t="s">
        <v>707</v>
      </c>
      <c r="C112" s="761"/>
      <c r="D112" s="762"/>
      <c r="E112" s="217" t="s">
        <v>1340</v>
      </c>
      <c r="F112" s="173"/>
      <c r="G112" s="44"/>
      <c r="H112" s="42"/>
    </row>
    <row r="113" spans="1:8" ht="13">
      <c r="A113" s="245" t="s">
        <v>735</v>
      </c>
      <c r="B113" s="174" t="s">
        <v>708</v>
      </c>
      <c r="C113" s="761"/>
      <c r="D113" s="762"/>
      <c r="E113" s="217" t="s">
        <v>1340</v>
      </c>
      <c r="F113" s="173"/>
      <c r="G113" s="122"/>
      <c r="H113" s="238"/>
    </row>
    <row r="114" spans="1:8" ht="13">
      <c r="A114" s="245" t="s">
        <v>745</v>
      </c>
      <c r="B114" s="245"/>
      <c r="C114" s="248">
        <f>SUM(C110:C113)</f>
        <v>0</v>
      </c>
      <c r="D114" s="249">
        <f>SUM(D110:D113)</f>
        <v>0</v>
      </c>
      <c r="E114" s="151"/>
      <c r="F114" s="173"/>
      <c r="G114" s="44"/>
      <c r="H114" s="42"/>
    </row>
    <row r="115" spans="1:8">
      <c r="B115" s="171"/>
      <c r="C115" s="246"/>
      <c r="D115" s="247"/>
      <c r="E115" s="34"/>
      <c r="F115" s="173"/>
      <c r="G115" s="44"/>
      <c r="H115" s="42"/>
    </row>
    <row r="116" spans="1:8" ht="13">
      <c r="A116" s="245" t="s">
        <v>725</v>
      </c>
      <c r="B116" s="171"/>
      <c r="C116" s="246"/>
      <c r="D116" s="247"/>
      <c r="E116" s="239"/>
      <c r="F116" s="173"/>
      <c r="G116" s="122"/>
      <c r="H116" s="238"/>
    </row>
    <row r="117" spans="1:8" ht="13">
      <c r="A117" s="245" t="s">
        <v>725</v>
      </c>
      <c r="B117" s="174" t="s">
        <v>701</v>
      </c>
      <c r="C117" s="761">
        <v>1</v>
      </c>
      <c r="D117" s="1483">
        <v>273</v>
      </c>
      <c r="E117" s="151" t="s">
        <v>1338</v>
      </c>
    </row>
    <row r="118" spans="1:8" ht="13">
      <c r="A118" s="245" t="s">
        <v>725</v>
      </c>
      <c r="B118" s="174" t="s">
        <v>702</v>
      </c>
      <c r="C118" s="1482">
        <v>35</v>
      </c>
      <c r="D118" s="1484">
        <v>473586.23</v>
      </c>
      <c r="E118" s="217" t="s">
        <v>1034</v>
      </c>
    </row>
    <row r="119" spans="1:8" ht="13">
      <c r="A119" s="245" t="s">
        <v>725</v>
      </c>
      <c r="B119" s="174" t="s">
        <v>704</v>
      </c>
      <c r="C119" s="1482">
        <v>26</v>
      </c>
      <c r="D119" s="1484">
        <v>949023.70999999973</v>
      </c>
      <c r="E119" s="217" t="s">
        <v>1339</v>
      </c>
    </row>
    <row r="120" spans="1:8" ht="13">
      <c r="A120" s="245" t="s">
        <v>725</v>
      </c>
      <c r="B120" s="174" t="s">
        <v>705</v>
      </c>
      <c r="C120" s="1482"/>
      <c r="D120" s="1484"/>
      <c r="E120" s="217" t="s">
        <v>1340</v>
      </c>
    </row>
    <row r="121" spans="1:8" ht="13">
      <c r="A121" s="245" t="s">
        <v>725</v>
      </c>
      <c r="B121" s="174" t="s">
        <v>656</v>
      </c>
      <c r="C121" s="1482">
        <v>8</v>
      </c>
      <c r="D121" s="1484">
        <v>2450.7600000000002</v>
      </c>
      <c r="E121" s="217" t="s">
        <v>1034</v>
      </c>
    </row>
    <row r="122" spans="1:8" ht="13">
      <c r="A122" s="245" t="s">
        <v>725</v>
      </c>
      <c r="B122" s="174" t="s">
        <v>726</v>
      </c>
      <c r="C122" s="1482"/>
      <c r="D122" s="1484"/>
      <c r="E122" s="217" t="s">
        <v>1034</v>
      </c>
    </row>
    <row r="123" spans="1:8" ht="13">
      <c r="A123" s="245" t="s">
        <v>725</v>
      </c>
      <c r="B123" s="174" t="s">
        <v>706</v>
      </c>
      <c r="C123" s="1482"/>
      <c r="D123" s="1484"/>
      <c r="E123" s="217" t="s">
        <v>1340</v>
      </c>
    </row>
    <row r="124" spans="1:8" ht="13">
      <c r="A124" s="245" t="s">
        <v>725</v>
      </c>
      <c r="B124" s="174" t="s">
        <v>707</v>
      </c>
      <c r="C124" s="1482"/>
      <c r="D124" s="1484"/>
      <c r="E124" s="217" t="s">
        <v>1340</v>
      </c>
    </row>
    <row r="125" spans="1:8" ht="13">
      <c r="A125" s="245" t="s">
        <v>746</v>
      </c>
      <c r="B125" s="245"/>
      <c r="C125" s="248">
        <f>SUM(C117:C124)</f>
        <v>70</v>
      </c>
      <c r="D125" s="1485">
        <f>SUM(D117:D124)</f>
        <v>1425333.6999999997</v>
      </c>
      <c r="E125" s="217"/>
    </row>
    <row r="126" spans="1:8">
      <c r="B126" s="171"/>
      <c r="C126" s="246"/>
      <c r="D126" s="1486"/>
      <c r="E126" s="217"/>
    </row>
    <row r="127" spans="1:8" ht="13">
      <c r="A127" s="245" t="s">
        <v>728</v>
      </c>
      <c r="B127" s="171"/>
      <c r="C127" s="246"/>
      <c r="D127" s="1486"/>
      <c r="E127" s="217"/>
    </row>
    <row r="128" spans="1:8" ht="13">
      <c r="A128" s="245" t="s">
        <v>728</v>
      </c>
      <c r="B128" s="174" t="s">
        <v>701</v>
      </c>
      <c r="C128" s="1482">
        <v>7814</v>
      </c>
      <c r="D128" s="1484">
        <v>6955763.25</v>
      </c>
      <c r="E128" s="151" t="s">
        <v>1338</v>
      </c>
    </row>
    <row r="129" spans="1:5" ht="13">
      <c r="A129" s="245" t="s">
        <v>728</v>
      </c>
      <c r="B129" s="174" t="s">
        <v>702</v>
      </c>
      <c r="C129" s="1482">
        <v>112810</v>
      </c>
      <c r="D129" s="1484">
        <v>107881728.77000001</v>
      </c>
      <c r="E129" s="217" t="s">
        <v>1034</v>
      </c>
    </row>
    <row r="130" spans="1:5" ht="13">
      <c r="A130" s="245" t="s">
        <v>728</v>
      </c>
      <c r="B130" s="174" t="s">
        <v>727</v>
      </c>
      <c r="C130" s="1482">
        <v>1500</v>
      </c>
      <c r="D130" s="1484">
        <v>2842838.2899999996</v>
      </c>
      <c r="E130" s="217" t="s">
        <v>1034</v>
      </c>
    </row>
    <row r="131" spans="1:5" ht="13">
      <c r="A131" s="245" t="s">
        <v>728</v>
      </c>
      <c r="B131" s="174" t="s">
        <v>704</v>
      </c>
      <c r="C131" s="1482">
        <v>945</v>
      </c>
      <c r="D131" s="1484">
        <v>1992184.0100000007</v>
      </c>
      <c r="E131" s="217" t="s">
        <v>1339</v>
      </c>
    </row>
    <row r="132" spans="1:5" ht="13">
      <c r="A132" s="245" t="s">
        <v>728</v>
      </c>
      <c r="B132" s="174" t="s">
        <v>705</v>
      </c>
      <c r="C132" s="1482">
        <v>159</v>
      </c>
      <c r="D132" s="1484">
        <v>507107.2699999999</v>
      </c>
      <c r="E132" s="217" t="s">
        <v>1340</v>
      </c>
    </row>
    <row r="133" spans="1:5" ht="13">
      <c r="A133" s="245" t="s">
        <v>728</v>
      </c>
      <c r="B133" s="174" t="s">
        <v>656</v>
      </c>
      <c r="C133" s="1482">
        <v>1248</v>
      </c>
      <c r="D133" s="1484">
        <v>23918.000000000007</v>
      </c>
      <c r="E133" s="217" t="s">
        <v>1034</v>
      </c>
    </row>
    <row r="134" spans="1:5" ht="13">
      <c r="A134" s="245" t="s">
        <v>728</v>
      </c>
      <c r="B134" s="174" t="s">
        <v>726</v>
      </c>
      <c r="C134" s="1482">
        <v>1</v>
      </c>
      <c r="D134" s="1484">
        <v>326.38</v>
      </c>
      <c r="E134" s="217" t="s">
        <v>1034</v>
      </c>
    </row>
    <row r="135" spans="1:5" ht="13">
      <c r="A135" s="245" t="s">
        <v>728</v>
      </c>
      <c r="B135" s="174" t="s">
        <v>706</v>
      </c>
      <c r="C135" s="1482">
        <v>139</v>
      </c>
      <c r="D135" s="1484">
        <v>375842.66000000015</v>
      </c>
      <c r="E135" s="217" t="s">
        <v>1340</v>
      </c>
    </row>
    <row r="136" spans="1:5" ht="13">
      <c r="A136" s="245" t="s">
        <v>728</v>
      </c>
      <c r="B136" s="174" t="s">
        <v>729</v>
      </c>
      <c r="C136" s="1482">
        <v>51</v>
      </c>
      <c r="D136" s="1484">
        <v>75605.460000000006</v>
      </c>
      <c r="E136" s="217" t="s">
        <v>1034</v>
      </c>
    </row>
    <row r="137" spans="1:5" ht="13">
      <c r="A137" s="245" t="s">
        <v>728</v>
      </c>
      <c r="B137" s="174" t="s">
        <v>707</v>
      </c>
      <c r="C137" s="1482">
        <v>38</v>
      </c>
      <c r="D137" s="1484">
        <v>253680.39000000004</v>
      </c>
      <c r="E137" s="217" t="s">
        <v>1340</v>
      </c>
    </row>
    <row r="138" spans="1:5" ht="13">
      <c r="A138" s="245" t="s">
        <v>728</v>
      </c>
      <c r="B138" s="174" t="s">
        <v>708</v>
      </c>
      <c r="C138" s="1482">
        <v>8</v>
      </c>
      <c r="D138" s="1484">
        <v>85878.000000000015</v>
      </c>
      <c r="E138" s="217" t="s">
        <v>1340</v>
      </c>
    </row>
    <row r="139" spans="1:5" ht="13">
      <c r="A139" s="245" t="s">
        <v>747</v>
      </c>
      <c r="B139" s="245"/>
      <c r="C139" s="248">
        <f>SUM(C128:C138)</f>
        <v>124713</v>
      </c>
      <c r="D139" s="1485">
        <f>SUM(D128:D138)</f>
        <v>120994872.48</v>
      </c>
      <c r="E139" s="217"/>
    </row>
    <row r="140" spans="1:5">
      <c r="B140" s="171"/>
      <c r="C140" s="246"/>
      <c r="D140" s="1486"/>
      <c r="E140" s="217"/>
    </row>
    <row r="141" spans="1:5" ht="13">
      <c r="A141" s="245" t="s">
        <v>731</v>
      </c>
      <c r="B141" s="171"/>
      <c r="C141" s="246"/>
      <c r="D141" s="1486"/>
      <c r="E141" s="217"/>
    </row>
    <row r="142" spans="1:5" ht="13">
      <c r="A142" s="245" t="s">
        <v>731</v>
      </c>
      <c r="B142" s="174" t="s">
        <v>732</v>
      </c>
      <c r="C142" s="1482">
        <v>166</v>
      </c>
      <c r="D142" s="1484">
        <v>2189.14</v>
      </c>
      <c r="E142" s="151" t="s">
        <v>1338</v>
      </c>
    </row>
    <row r="143" spans="1:5" ht="13">
      <c r="A143" s="245" t="s">
        <v>731</v>
      </c>
      <c r="B143" s="174" t="s">
        <v>701</v>
      </c>
      <c r="C143" s="1482">
        <v>2</v>
      </c>
      <c r="D143" s="1484">
        <v>6509.74</v>
      </c>
      <c r="E143" s="151" t="s">
        <v>1338</v>
      </c>
    </row>
    <row r="144" spans="1:5" ht="13">
      <c r="A144" s="245" t="s">
        <v>731</v>
      </c>
      <c r="B144" s="174" t="s">
        <v>702</v>
      </c>
      <c r="C144" s="1482">
        <v>1135</v>
      </c>
      <c r="D144" s="1484">
        <v>1670537.8800000001</v>
      </c>
      <c r="E144" s="217" t="s">
        <v>1337</v>
      </c>
    </row>
    <row r="145" spans="1:5" ht="13">
      <c r="A145" s="245" t="s">
        <v>731</v>
      </c>
      <c r="B145" s="174" t="s">
        <v>730</v>
      </c>
      <c r="C145" s="1482"/>
      <c r="D145" s="1484"/>
      <c r="E145" s="217" t="s">
        <v>1034</v>
      </c>
    </row>
    <row r="146" spans="1:5" ht="13">
      <c r="A146" s="245" t="s">
        <v>731</v>
      </c>
      <c r="B146" s="174" t="s">
        <v>736</v>
      </c>
      <c r="C146" s="1482"/>
      <c r="D146" s="1484"/>
      <c r="E146" s="217" t="s">
        <v>1340</v>
      </c>
    </row>
    <row r="147" spans="1:5" ht="13">
      <c r="A147" s="245" t="s">
        <v>731</v>
      </c>
      <c r="B147" s="174" t="s">
        <v>703</v>
      </c>
      <c r="C147" s="1482"/>
      <c r="D147" s="1484"/>
      <c r="E147" s="217" t="s">
        <v>1340</v>
      </c>
    </row>
    <row r="148" spans="1:5" ht="13">
      <c r="A148" s="245" t="s">
        <v>731</v>
      </c>
      <c r="B148" s="174" t="s">
        <v>737</v>
      </c>
      <c r="C148" s="1482"/>
      <c r="D148" s="1484"/>
      <c r="E148" s="217" t="s">
        <v>1340</v>
      </c>
    </row>
    <row r="149" spans="1:5" ht="13">
      <c r="A149" s="245" t="s">
        <v>731</v>
      </c>
      <c r="B149" s="174" t="s">
        <v>733</v>
      </c>
      <c r="C149" s="1482"/>
      <c r="D149" s="1484"/>
      <c r="E149" s="217" t="s">
        <v>1339</v>
      </c>
    </row>
    <row r="150" spans="1:5" ht="13">
      <c r="A150" s="245" t="s">
        <v>731</v>
      </c>
      <c r="B150" s="174" t="s">
        <v>704</v>
      </c>
      <c r="C150" s="1482">
        <v>268</v>
      </c>
      <c r="D150" s="1484">
        <v>179331.44000000003</v>
      </c>
      <c r="E150" s="217" t="s">
        <v>1339</v>
      </c>
    </row>
    <row r="151" spans="1:5" ht="13">
      <c r="A151" s="245" t="s">
        <v>731</v>
      </c>
      <c r="B151" s="174" t="s">
        <v>705</v>
      </c>
      <c r="C151" s="1482">
        <v>88</v>
      </c>
      <c r="D151" s="1484">
        <v>91911.73000000004</v>
      </c>
      <c r="E151" s="217" t="s">
        <v>1340</v>
      </c>
    </row>
    <row r="152" spans="1:5" ht="13">
      <c r="A152" s="245" t="s">
        <v>731</v>
      </c>
      <c r="B152" s="174" t="s">
        <v>656</v>
      </c>
      <c r="C152" s="1482">
        <v>190</v>
      </c>
      <c r="D152" s="1484">
        <v>-2212.8799999999997</v>
      </c>
      <c r="E152" s="217" t="s">
        <v>1034</v>
      </c>
    </row>
    <row r="153" spans="1:5" ht="13">
      <c r="A153" s="245" t="s">
        <v>731</v>
      </c>
      <c r="B153" s="174" t="s">
        <v>706</v>
      </c>
      <c r="C153" s="1482">
        <v>53</v>
      </c>
      <c r="D153" s="1484">
        <v>39643.110000000008</v>
      </c>
      <c r="E153" s="217" t="s">
        <v>1340</v>
      </c>
    </row>
    <row r="154" spans="1:5" ht="13">
      <c r="A154" s="245" t="s">
        <v>731</v>
      </c>
      <c r="B154" s="174" t="s">
        <v>707</v>
      </c>
      <c r="C154" s="1482">
        <v>25</v>
      </c>
      <c r="D154" s="1484">
        <v>39250.140000000007</v>
      </c>
      <c r="E154" s="217" t="s">
        <v>1340</v>
      </c>
    </row>
    <row r="155" spans="1:5" ht="13">
      <c r="A155" s="245" t="s">
        <v>731</v>
      </c>
      <c r="B155" s="174" t="s">
        <v>708</v>
      </c>
      <c r="C155" s="1482">
        <v>5</v>
      </c>
      <c r="D155" s="1484">
        <v>37816.03</v>
      </c>
      <c r="E155" s="217" t="s">
        <v>1340</v>
      </c>
    </row>
    <row r="156" spans="1:5" ht="13">
      <c r="A156" s="245" t="s">
        <v>748</v>
      </c>
      <c r="B156" s="245"/>
      <c r="C156" s="248">
        <f>SUM(C142:C155)</f>
        <v>1932</v>
      </c>
      <c r="D156" s="1485">
        <f>SUM(D142:D155)</f>
        <v>2064976.33</v>
      </c>
    </row>
    <row r="157" spans="1:5">
      <c r="B157" s="171"/>
      <c r="C157" s="246"/>
      <c r="D157" s="1486"/>
    </row>
    <row r="158" spans="1:5" ht="13">
      <c r="A158" s="242" t="s">
        <v>709</v>
      </c>
      <c r="B158" s="242"/>
      <c r="C158" s="250">
        <f>C156+C139+C125+C114</f>
        <v>126715</v>
      </c>
      <c r="D158" s="1487">
        <f>D156+D139+D125+D114</f>
        <v>124485182.51000001</v>
      </c>
    </row>
    <row r="159" spans="1:5">
      <c r="A159" s="215"/>
      <c r="B159" s="215"/>
      <c r="C159" s="215"/>
      <c r="D159" s="215"/>
    </row>
    <row r="160" spans="1:5">
      <c r="A160" s="215"/>
      <c r="B160" s="215"/>
      <c r="C160" s="215"/>
      <c r="D160" s="215"/>
    </row>
    <row r="161" spans="1:4">
      <c r="A161" s="215"/>
      <c r="B161" s="215"/>
      <c r="C161" s="215"/>
      <c r="D161" s="215"/>
    </row>
  </sheetData>
  <mergeCells count="11">
    <mergeCell ref="A92:B92"/>
    <mergeCell ref="L9:M9"/>
    <mergeCell ref="F10:G10"/>
    <mergeCell ref="H10:I10"/>
    <mergeCell ref="J10:K10"/>
    <mergeCell ref="L10:M10"/>
    <mergeCell ref="L54:M54"/>
    <mergeCell ref="F55:G55"/>
    <mergeCell ref="H55:I55"/>
    <mergeCell ref="J55:K55"/>
    <mergeCell ref="L55:M55"/>
  </mergeCells>
  <printOptions horizontalCentered="1"/>
  <pageMargins left="1" right="1" top="1" bottom="0.75" header="0.27" footer="0.5"/>
  <pageSetup scale="73" orientation="portrait" r:id="rId1"/>
  <headerFooter alignWithMargins="0"/>
  <rowBreaks count="3" manualBreakCount="3">
    <brk id="45" max="12" man="1"/>
    <brk id="83" max="12" man="1"/>
    <brk id="100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48">
    <tabColor rgb="FF92D050"/>
    <pageSetUpPr fitToPage="1"/>
  </sheetPr>
  <dimension ref="A1:N172"/>
  <sheetViews>
    <sheetView topLeftCell="A26" zoomScale="70" zoomScaleNormal="70" zoomScaleSheetLayoutView="100" workbookViewId="0">
      <selection activeCell="G53" sqref="G53:L172"/>
    </sheetView>
  </sheetViews>
  <sheetFormatPr defaultColWidth="6.07421875" defaultRowHeight="12.5"/>
  <cols>
    <col min="1" max="1" width="41" style="215" customWidth="1"/>
    <col min="2" max="2" width="15.765625" style="215" customWidth="1"/>
    <col min="3" max="3" width="13.765625" style="215" customWidth="1"/>
    <col min="4" max="4" width="13.23046875" style="215" customWidth="1"/>
    <col min="5" max="5" width="14.23046875" style="215" customWidth="1"/>
    <col min="6" max="6" width="10.53515625" style="215" bestFit="1" customWidth="1"/>
    <col min="7" max="7" width="28.23046875" style="215" customWidth="1"/>
    <col min="8" max="8" width="47" style="215" customWidth="1"/>
    <col min="9" max="9" width="10.765625" style="215" customWidth="1"/>
    <col min="10" max="10" width="20.23046875" style="215" customWidth="1"/>
    <col min="11" max="11" width="10.23046875" style="215" customWidth="1"/>
    <col min="12" max="12" width="9" style="215" customWidth="1"/>
    <col min="13" max="13" width="6.765625" style="215" bestFit="1" customWidth="1"/>
    <col min="14" max="16384" width="6.07421875" style="215"/>
  </cols>
  <sheetData>
    <row r="1" spans="1:8" ht="13">
      <c r="A1" s="195" t="str">
        <f>co_name</f>
        <v>DUKE ENERGY KENTUCKY, INC.</v>
      </c>
      <c r="B1" s="11"/>
      <c r="C1" s="11"/>
      <c r="D1" s="10" t="s">
        <v>1465</v>
      </c>
      <c r="E1" s="11"/>
      <c r="F1" s="11"/>
    </row>
    <row r="2" spans="1:8" ht="13">
      <c r="A2" s="195" t="str">
        <f>coss_type</f>
        <v xml:space="preserve">GAS COST OF SERVICE STUDY </v>
      </c>
      <c r="B2" s="11"/>
      <c r="C2" s="11"/>
      <c r="D2" s="10" t="str">
        <f>'Alloc Factors Summary'!G2</f>
        <v>Witness Responsible:</v>
      </c>
      <c r="E2" s="11"/>
      <c r="F2" s="11"/>
    </row>
    <row r="3" spans="1:8" ht="13">
      <c r="A3" s="195" t="str">
        <f>case_name</f>
        <v>CASE NO: 2021-00190</v>
      </c>
      <c r="B3" s="11"/>
      <c r="C3" s="11"/>
      <c r="D3" s="10" t="str">
        <f>'Alloc Factors Summary'!G3</f>
        <v>James E. Ziolkowski</v>
      </c>
      <c r="E3" s="11"/>
      <c r="F3" s="11"/>
    </row>
    <row r="4" spans="1:8" ht="13">
      <c r="A4" s="10" t="str">
        <f>alloc_factors</f>
        <v>ALLOCATION FACTORS FOR COST OF SERVICE STUDY</v>
      </c>
      <c r="B4" s="171"/>
      <c r="C4" s="171"/>
      <c r="D4" s="10" t="s">
        <v>750</v>
      </c>
      <c r="E4" s="171"/>
      <c r="F4" s="171"/>
    </row>
    <row r="5" spans="1:8" ht="13">
      <c r="A5" s="10" t="str">
        <f>time_period</f>
        <v>TWELVE MONTHS ENDING DECEMBER 31, 2020</v>
      </c>
      <c r="D5" s="16">
        <f ca="1">TODAY()</f>
        <v>44420</v>
      </c>
    </row>
    <row r="6" spans="1:8" ht="13">
      <c r="A6" s="197" t="s">
        <v>953</v>
      </c>
    </row>
    <row r="7" spans="1:8" ht="13">
      <c r="A7" s="10"/>
      <c r="B7" s="1339"/>
      <c r="C7" s="1339"/>
      <c r="D7" s="1563"/>
      <c r="E7" s="1563"/>
      <c r="F7" s="33"/>
      <c r="H7" s="370"/>
    </row>
    <row r="8" spans="1:8" ht="13">
      <c r="A8" s="1264" t="s">
        <v>751</v>
      </c>
      <c r="B8" s="1338" t="s">
        <v>579</v>
      </c>
      <c r="C8" s="1338" t="s">
        <v>742</v>
      </c>
      <c r="D8" s="1338" t="s">
        <v>1256</v>
      </c>
      <c r="E8" s="1338" t="s">
        <v>1336</v>
      </c>
      <c r="F8" s="33"/>
      <c r="H8" s="370"/>
    </row>
    <row r="9" spans="1:8">
      <c r="A9" s="171" t="s">
        <v>752</v>
      </c>
      <c r="B9" s="1489">
        <f>SUMIF(RegulatorSize,"&lt;=1",RegulatorCost)</f>
        <v>2437597.2000000007</v>
      </c>
      <c r="C9" s="1489">
        <f>B9</f>
        <v>2437597.2000000007</v>
      </c>
      <c r="D9" s="1490"/>
      <c r="E9" s="1490"/>
      <c r="F9" s="33"/>
    </row>
    <row r="10" spans="1:8">
      <c r="A10" s="171" t="s">
        <v>1331</v>
      </c>
      <c r="B10" s="1489">
        <f>SUMIF(RegulatorSize,"=1.25",RegulatorCost)+SUMIF(RegulatorSize,"=1.5",RegulatorCost)</f>
        <v>459227.44000000006</v>
      </c>
      <c r="C10" s="213"/>
      <c r="D10" s="213">
        <f>B10</f>
        <v>459227.44000000006</v>
      </c>
      <c r="E10" s="213"/>
    </row>
    <row r="11" spans="1:8">
      <c r="A11" s="171" t="s">
        <v>1333</v>
      </c>
      <c r="B11" s="1489">
        <f>SUMIF(RegulatorSize,"=2",RegulatorCost)</f>
        <v>626838.84000000008</v>
      </c>
      <c r="C11" s="213"/>
      <c r="D11" s="213">
        <f>ROUND(B11*0.987,2)</f>
        <v>618689.93999999994</v>
      </c>
      <c r="E11" s="213">
        <f>B11-D11</f>
        <v>8148.9000000001397</v>
      </c>
    </row>
    <row r="12" spans="1:8">
      <c r="A12" s="171" t="s">
        <v>1335</v>
      </c>
      <c r="B12" s="1489">
        <f>SUMIF(RegulatorSize,"=3",RegulatorCost)</f>
        <v>144113</v>
      </c>
      <c r="C12" s="213"/>
      <c r="D12" s="213">
        <f>ROUND(B12*0.987,2)</f>
        <v>142239.53</v>
      </c>
      <c r="E12" s="213">
        <f>B12-D12</f>
        <v>1873.4700000000012</v>
      </c>
    </row>
    <row r="13" spans="1:8">
      <c r="A13" s="171" t="s">
        <v>1334</v>
      </c>
      <c r="B13" s="1491">
        <f>SUMIF(RegulatorSize,"&gt;4",RegulatorCost)</f>
        <v>40374.81</v>
      </c>
      <c r="C13" s="213"/>
      <c r="D13" s="213">
        <f>B13-E13</f>
        <v>0</v>
      </c>
      <c r="E13" s="213">
        <f>B13</f>
        <v>40374.81</v>
      </c>
    </row>
    <row r="14" spans="1:8">
      <c r="A14" s="171" t="s">
        <v>753</v>
      </c>
      <c r="B14" s="213">
        <f>B15-B9-B10-B11-B12</f>
        <v>85996.389999999315</v>
      </c>
      <c r="C14" s="213">
        <f>ROUND($B14*C16,2)</f>
        <v>57153.2</v>
      </c>
      <c r="D14" s="213">
        <f>ROUND($B14*D16,2)</f>
        <v>28611</v>
      </c>
      <c r="E14" s="213">
        <f>ROUND($B14*E16,2)</f>
        <v>232.19</v>
      </c>
    </row>
    <row r="15" spans="1:8" ht="13" thickBot="1">
      <c r="A15" s="171"/>
      <c r="B15" s="1492">
        <f>SUMIF(RegulatorSize,"=Total",RegulatorCost)</f>
        <v>3753772.87</v>
      </c>
      <c r="C15" s="1493">
        <f>SUM(C9:C14)</f>
        <v>2494750.4000000008</v>
      </c>
      <c r="D15" s="1493">
        <f>SUM(D9:D14)</f>
        <v>1248767.9099999999</v>
      </c>
      <c r="E15" s="1493">
        <f>SUM(E9:E14)</f>
        <v>50629.370000000141</v>
      </c>
    </row>
    <row r="16" spans="1:8" ht="13" thickTop="1">
      <c r="B16" s="1494">
        <f>SUM(C16:E16)</f>
        <v>1</v>
      </c>
      <c r="C16" s="1204">
        <f>ROUND(SUM(C9:C12)/($B15-$B14),4)</f>
        <v>0.66459999999999997</v>
      </c>
      <c r="D16" s="1204">
        <f>ROUND(SUM(D9:D12)/($B15-$B14),4)</f>
        <v>0.3327</v>
      </c>
      <c r="E16" s="1204">
        <f>ROUND(SUM(E9:E12)/($B15-$B14),4)</f>
        <v>2.7000000000000001E-3</v>
      </c>
    </row>
    <row r="17" spans="1:14" ht="13">
      <c r="A17" s="10" t="s">
        <v>754</v>
      </c>
      <c r="B17" s="1495"/>
      <c r="C17" s="1495"/>
      <c r="D17" s="1495"/>
      <c r="E17" s="1495"/>
    </row>
    <row r="18" spans="1:14">
      <c r="A18" s="171" t="s">
        <v>752</v>
      </c>
      <c r="B18" s="1496">
        <f>SUMIF(RegulatorSize,"&lt;=1",RegulatorUnits)</f>
        <v>97912</v>
      </c>
      <c r="C18" s="1497">
        <f>B18</f>
        <v>97912</v>
      </c>
      <c r="D18" s="1497"/>
      <c r="E18" s="1497"/>
    </row>
    <row r="19" spans="1:14">
      <c r="A19" s="171" t="s">
        <v>1331</v>
      </c>
      <c r="B19" s="1496">
        <f>SUMIF(RegulatorSize,"=1.25",RegulatorUnits)+SUMIF(RegulatorSize,"=1.5",RegulatorUnits)</f>
        <v>5450</v>
      </c>
      <c r="C19" s="1497"/>
      <c r="D19" s="1497">
        <f>B19</f>
        <v>5450</v>
      </c>
      <c r="E19" s="1497">
        <f>B19-D19</f>
        <v>0</v>
      </c>
    </row>
    <row r="20" spans="1:14">
      <c r="A20" s="171" t="s">
        <v>1333</v>
      </c>
      <c r="B20" s="1496">
        <f>SUMIF(RegulatorSize,"=2",RegulatorUnits)</f>
        <v>980</v>
      </c>
      <c r="C20" s="211"/>
      <c r="D20" s="1497">
        <f t="shared" ref="D20:D21" si="0">ROUND(B20*0.987,0)</f>
        <v>967</v>
      </c>
      <c r="E20" s="1497">
        <f>B20-D20</f>
        <v>13</v>
      </c>
    </row>
    <row r="21" spans="1:14">
      <c r="A21" s="171" t="s">
        <v>1335</v>
      </c>
      <c r="B21" s="1496">
        <f>SUMIF(RegulatorSize,"=3",RegulatorUnits)</f>
        <v>237</v>
      </c>
      <c r="C21" s="211"/>
      <c r="D21" s="1497">
        <f t="shared" si="0"/>
        <v>234</v>
      </c>
      <c r="E21" s="1497">
        <f>B21-D21</f>
        <v>3</v>
      </c>
    </row>
    <row r="22" spans="1:14">
      <c r="A22" s="171" t="s">
        <v>1334</v>
      </c>
      <c r="B22" s="1496">
        <f>SUMIF(RegulatorSize,"&gt;4",RegulatorUnits)</f>
        <v>101</v>
      </c>
      <c r="C22" s="211"/>
      <c r="D22" s="213">
        <f>B22-E22</f>
        <v>0</v>
      </c>
      <c r="E22" s="211">
        <f>B22</f>
        <v>101</v>
      </c>
    </row>
    <row r="23" spans="1:14">
      <c r="A23" s="171" t="s">
        <v>753</v>
      </c>
      <c r="B23" s="1497">
        <f>B24-B18-B19-B20-B21</f>
        <v>1292</v>
      </c>
      <c r="C23" s="211">
        <f>ROUND($B23*C25,2)</f>
        <v>1208.4100000000001</v>
      </c>
      <c r="D23" s="211">
        <f>ROUND($B23*D25,2)</f>
        <v>82.04</v>
      </c>
      <c r="E23" s="211">
        <f>ROUND($B23*E25,2)</f>
        <v>1.42</v>
      </c>
    </row>
    <row r="24" spans="1:14" ht="13" thickBot="1">
      <c r="A24" s="171"/>
      <c r="B24" s="1498">
        <f t="array" ref="B24">SUM(IF(RegulatorSize="Total",RegulatorUnits))</f>
        <v>105871</v>
      </c>
      <c r="C24" s="394">
        <f>SUM(C18:C23)</f>
        <v>99120.41</v>
      </c>
      <c r="D24" s="394">
        <f>SUM(D18:D23)</f>
        <v>6733.04</v>
      </c>
      <c r="E24" s="394">
        <f>SUM(E18:E23)</f>
        <v>118.42</v>
      </c>
    </row>
    <row r="25" spans="1:14" ht="13" thickTop="1">
      <c r="A25" s="171"/>
      <c r="B25" s="1494">
        <f>SUM(C25:E25)</f>
        <v>0.99990000000000001</v>
      </c>
      <c r="C25" s="1204">
        <f>ROUND(SUM(C18:C22)/(SUM($B$18:$B$22)),4)</f>
        <v>0.93530000000000002</v>
      </c>
      <c r="D25" s="1204">
        <f t="shared" ref="D25:E25" si="1">ROUND(SUM(D18:D22)/(SUM($B$18:$B$22)),4)</f>
        <v>6.3500000000000001E-2</v>
      </c>
      <c r="E25" s="1204">
        <f t="shared" si="1"/>
        <v>1.1000000000000001E-3</v>
      </c>
      <c r="F25" s="176"/>
    </row>
    <row r="26" spans="1:14">
      <c r="A26" s="171" t="s">
        <v>755</v>
      </c>
      <c r="B26" s="1499"/>
      <c r="C26" s="1500">
        <f>ROUND(C15/C24,2)</f>
        <v>25.17</v>
      </c>
      <c r="D26" s="1500">
        <f>ROUND(D15/D24,2)</f>
        <v>185.47</v>
      </c>
      <c r="E26" s="1500">
        <f>ROUND(E15/E24,2)</f>
        <v>427.54</v>
      </c>
      <c r="K26" s="371" t="s">
        <v>1483</v>
      </c>
    </row>
    <row r="27" spans="1:14" ht="13">
      <c r="A27" s="171" t="s">
        <v>756</v>
      </c>
      <c r="B27" s="1499"/>
      <c r="C27" s="213">
        <v>1</v>
      </c>
      <c r="D27" s="213">
        <f>D26/C26</f>
        <v>7.3686928883591571</v>
      </c>
      <c r="E27" s="213">
        <f>E26/C26</f>
        <v>16.986094557012315</v>
      </c>
      <c r="H27" s="19" t="s">
        <v>567</v>
      </c>
      <c r="J27" s="210"/>
      <c r="K27" s="373" t="s">
        <v>1217</v>
      </c>
      <c r="L27" s="210"/>
    </row>
    <row r="28" spans="1:14" ht="13">
      <c r="A28" s="171"/>
      <c r="B28" s="1499"/>
      <c r="C28" s="210"/>
      <c r="D28" s="1499"/>
      <c r="E28" s="210"/>
      <c r="J28" s="377" t="s">
        <v>477</v>
      </c>
      <c r="K28" s="378" t="s">
        <v>561</v>
      </c>
      <c r="L28" s="378" t="s">
        <v>562</v>
      </c>
    </row>
    <row r="29" spans="1:14" ht="13">
      <c r="A29" s="1264" t="s">
        <v>757</v>
      </c>
      <c r="B29" s="1499"/>
      <c r="C29" s="210"/>
      <c r="D29" s="1499"/>
      <c r="E29" s="210"/>
      <c r="J29" s="210"/>
      <c r="K29" s="210"/>
      <c r="L29" s="373" t="s">
        <v>568</v>
      </c>
    </row>
    <row r="30" spans="1:14" ht="13.5" thickBot="1">
      <c r="A30" s="171" t="s">
        <v>758</v>
      </c>
      <c r="B30" s="1492">
        <f t="array" ref="B30">SUM(IF(RegulatorSize="Units",RegulatorCost))</f>
        <v>3190367.24</v>
      </c>
      <c r="C30" s="1493">
        <f>ROUND(B30*C16,2)</f>
        <v>2120318.0699999998</v>
      </c>
      <c r="D30" s="1493">
        <f>ROUND(D32*(D27*C34),2)</f>
        <v>1060700.3500000001</v>
      </c>
      <c r="E30" s="1493">
        <f>B30-C30-D30</f>
        <v>9348.820000000298</v>
      </c>
      <c r="F30" s="177"/>
      <c r="J30" s="372" t="s">
        <v>1260</v>
      </c>
      <c r="K30" s="1016">
        <f>'Alloc Factors Summary'!D30</f>
        <v>5557382</v>
      </c>
      <c r="L30" s="319">
        <f>K30/K$34</f>
        <v>0.43600909868121218</v>
      </c>
    </row>
    <row r="31" spans="1:14" ht="13.5" thickTop="1">
      <c r="A31" s="171"/>
      <c r="B31" s="1499"/>
      <c r="C31" s="1494" t="s">
        <v>343</v>
      </c>
      <c r="D31" s="1494" t="s">
        <v>343</v>
      </c>
      <c r="E31" s="1494" t="s">
        <v>343</v>
      </c>
      <c r="F31" s="176"/>
      <c r="J31" s="372" t="s">
        <v>1256</v>
      </c>
      <c r="K31" s="1016">
        <f>'Alloc Factors Summary'!D31</f>
        <v>3260228</v>
      </c>
      <c r="L31" s="319">
        <f t="shared" ref="L31:L33" si="2">K31/K$34</f>
        <v>0.25578394139097349</v>
      </c>
      <c r="N31" s="181">
        <f>K31/(K31+K32)</f>
        <v>0.58740825315741385</v>
      </c>
    </row>
    <row r="32" spans="1:14" ht="13.5" thickBot="1">
      <c r="A32" s="171" t="s">
        <v>759</v>
      </c>
      <c r="B32" s="1498">
        <f t="array" ref="B32">SUM(IF(RegulatorSize="units",RegulatorUnits))</f>
        <v>98560</v>
      </c>
      <c r="C32" s="211">
        <f>ROUND(B32*C25,0)</f>
        <v>92183</v>
      </c>
      <c r="D32" s="211">
        <f>B32*D25</f>
        <v>6258.56</v>
      </c>
      <c r="E32" s="211">
        <f>B32*E25</f>
        <v>108.41600000000001</v>
      </c>
      <c r="F32" s="216"/>
      <c r="J32" s="372" t="s">
        <v>974</v>
      </c>
      <c r="K32" s="1016">
        <f>'Alloc Factors Summary'!D32</f>
        <v>2289963</v>
      </c>
      <c r="L32" s="319">
        <f t="shared" si="2"/>
        <v>0.17966098131158245</v>
      </c>
      <c r="N32" s="181">
        <f>K32/(K31+K32)</f>
        <v>0.41259174684258615</v>
      </c>
    </row>
    <row r="33" spans="1:12" ht="13.5" thickTop="1">
      <c r="A33" s="171"/>
      <c r="B33" s="1499"/>
      <c r="C33" s="210"/>
      <c r="D33" s="1499"/>
      <c r="E33" s="210"/>
      <c r="J33" s="372" t="s">
        <v>563</v>
      </c>
      <c r="K33" s="1025">
        <f>'Alloc Factors Summary'!D33</f>
        <v>1638450</v>
      </c>
      <c r="L33" s="319">
        <f t="shared" si="2"/>
        <v>0.1285459786162319</v>
      </c>
    </row>
    <row r="34" spans="1:12" ht="13">
      <c r="A34" s="171" t="s">
        <v>755</v>
      </c>
      <c r="B34" s="1499"/>
      <c r="C34" s="210">
        <f>ROUND(C30/C32,2)</f>
        <v>23</v>
      </c>
      <c r="D34" s="1501">
        <f>D30/D32</f>
        <v>169.47993627927193</v>
      </c>
      <c r="E34" s="1501">
        <f>E30/E32</f>
        <v>86.230999114524579</v>
      </c>
      <c r="J34" s="373" t="s">
        <v>564</v>
      </c>
      <c r="K34" s="374">
        <f>SUM(K30:K33)</f>
        <v>12746023</v>
      </c>
      <c r="L34" s="375">
        <v>1</v>
      </c>
    </row>
    <row r="35" spans="1:12">
      <c r="A35" s="171"/>
      <c r="B35" s="1499"/>
      <c r="C35" s="210"/>
      <c r="D35" s="1499"/>
      <c r="E35" s="210"/>
    </row>
    <row r="36" spans="1:12" ht="13" thickBot="1">
      <c r="A36" s="171" t="s">
        <v>579</v>
      </c>
      <c r="B36" s="1502">
        <f>B30+B15</f>
        <v>6944140.1100000003</v>
      </c>
      <c r="C36" s="1502">
        <f>C30+C15</f>
        <v>4615068.4700000007</v>
      </c>
      <c r="D36" s="1502">
        <f>D30+D15</f>
        <v>2309468.2599999998</v>
      </c>
      <c r="E36" s="1502">
        <f>E30+E15</f>
        <v>59978.190000000439</v>
      </c>
    </row>
    <row r="37" spans="1:12" ht="13" thickTop="1">
      <c r="A37" s="171"/>
      <c r="B37" s="210"/>
      <c r="C37" s="210"/>
      <c r="D37" s="210"/>
      <c r="E37" s="210"/>
      <c r="F37" s="145"/>
    </row>
    <row r="38" spans="1:12">
      <c r="A38" s="171" t="s">
        <v>760</v>
      </c>
      <c r="B38" s="211">
        <f>B32+B24</f>
        <v>204431</v>
      </c>
      <c r="C38" s="211">
        <f>C32+C24</f>
        <v>191303.41</v>
      </c>
      <c r="D38" s="211">
        <f>D32+D24</f>
        <v>12991.6</v>
      </c>
      <c r="E38" s="211">
        <f>E32+E24</f>
        <v>226.83600000000001</v>
      </c>
    </row>
    <row r="39" spans="1:12">
      <c r="A39" s="171" t="s">
        <v>761</v>
      </c>
      <c r="B39" s="213" t="s">
        <v>343</v>
      </c>
      <c r="C39" s="1500">
        <f>C36/C38</f>
        <v>24.124339811820398</v>
      </c>
      <c r="D39" s="1500">
        <f>D36/D38</f>
        <v>177.76626897379842</v>
      </c>
      <c r="E39" s="1500">
        <f>E36/E38</f>
        <v>264.41213034968189</v>
      </c>
    </row>
    <row r="40" spans="1:12">
      <c r="A40" s="171" t="s">
        <v>762</v>
      </c>
      <c r="B40" s="213" t="s">
        <v>343</v>
      </c>
      <c r="C40" s="213">
        <f>C39/C39</f>
        <v>1</v>
      </c>
      <c r="D40" s="213">
        <f>D39/C39</f>
        <v>7.3687516574732062</v>
      </c>
      <c r="E40" s="213">
        <f>E39/C39</f>
        <v>10.96038823910637</v>
      </c>
    </row>
    <row r="41" spans="1:12">
      <c r="A41" s="171"/>
      <c r="B41" s="213" t="s">
        <v>343</v>
      </c>
      <c r="C41" s="213"/>
      <c r="D41" s="213"/>
      <c r="E41" s="213"/>
    </row>
    <row r="42" spans="1:12" ht="26">
      <c r="A42" s="19" t="s">
        <v>572</v>
      </c>
      <c r="B42" s="1503" t="s">
        <v>763</v>
      </c>
      <c r="C42" s="1503" t="s">
        <v>764</v>
      </c>
      <c r="D42" s="1503" t="s">
        <v>741</v>
      </c>
      <c r="E42" s="1503" t="s">
        <v>765</v>
      </c>
      <c r="F42" s="145"/>
      <c r="G42" s="179"/>
    </row>
    <row r="43" spans="1:12" ht="13">
      <c r="A43" s="372" t="s">
        <v>742</v>
      </c>
      <c r="B43" s="1013">
        <f>'Alloc Factors Summary'!D60</f>
        <v>93602</v>
      </c>
      <c r="C43" s="1504">
        <f>C40</f>
        <v>1</v>
      </c>
      <c r="D43" s="397">
        <f>B43*C43</f>
        <v>93602</v>
      </c>
      <c r="E43" s="319">
        <f>1-SUM(E44:E46)</f>
        <v>0.61850000000000005</v>
      </c>
      <c r="F43" s="145"/>
      <c r="G43" s="179"/>
    </row>
    <row r="44" spans="1:12" ht="13">
      <c r="A44" s="25" t="s">
        <v>1256</v>
      </c>
      <c r="B44" s="1013">
        <f>'Alloc Factors Summary'!D61</f>
        <v>7643</v>
      </c>
      <c r="C44" s="1504">
        <f>D40</f>
        <v>7.3687516574732062</v>
      </c>
      <c r="D44" s="211">
        <f>ROUND(B44*C44,0)</f>
        <v>56319</v>
      </c>
      <c r="E44" s="319">
        <f>ROUND(D44/D$47,4)</f>
        <v>0.37219999999999998</v>
      </c>
      <c r="F44" s="145"/>
    </row>
    <row r="45" spans="1:12" ht="13">
      <c r="A45" s="25" t="s">
        <v>974</v>
      </c>
      <c r="B45" s="1013">
        <f>'Alloc Factors Summary'!D62</f>
        <v>106</v>
      </c>
      <c r="C45" s="1504">
        <f>E40</f>
        <v>10.96038823910637</v>
      </c>
      <c r="D45" s="211">
        <f>ROUND(B45*C45,0)</f>
        <v>1162</v>
      </c>
      <c r="E45" s="319">
        <f>ROUND(D45/D$47,4)</f>
        <v>7.7000000000000002E-3</v>
      </c>
      <c r="F45" s="145"/>
    </row>
    <row r="46" spans="1:12" ht="13">
      <c r="A46" s="372" t="s">
        <v>563</v>
      </c>
      <c r="B46" s="1013">
        <f>'Alloc Factors Summary'!D63</f>
        <v>22</v>
      </c>
      <c r="C46" s="1504">
        <f>E40</f>
        <v>10.96038823910637</v>
      </c>
      <c r="D46" s="211">
        <f>ROUND(B46*C46,0)</f>
        <v>241</v>
      </c>
      <c r="E46" s="319">
        <f>ROUND(D46/D$47,4)</f>
        <v>1.6000000000000001E-3</v>
      </c>
      <c r="F46" s="145"/>
      <c r="I46" s="23"/>
    </row>
    <row r="47" spans="1:12" ht="13">
      <c r="A47" s="25" t="s">
        <v>767</v>
      </c>
      <c r="B47" s="1505">
        <f>SUM(B43:B46)</f>
        <v>101373</v>
      </c>
      <c r="C47" s="1504" t="s">
        <v>343</v>
      </c>
      <c r="D47" s="1505">
        <f>SUM(D43:D46)</f>
        <v>151324</v>
      </c>
      <c r="E47" s="1506">
        <f>SUM(E43:E46)</f>
        <v>1</v>
      </c>
      <c r="F47" s="145"/>
      <c r="G47" s="181"/>
    </row>
    <row r="48" spans="1:12" ht="13">
      <c r="A48" s="25"/>
      <c r="B48" s="397"/>
      <c r="C48" s="1504"/>
      <c r="D48" s="397"/>
      <c r="E48" s="319"/>
      <c r="F48" s="145"/>
    </row>
    <row r="49" spans="1:11">
      <c r="B49" s="216"/>
      <c r="D49" s="183"/>
      <c r="E49" s="182"/>
      <c r="G49" s="181"/>
    </row>
    <row r="50" spans="1:11">
      <c r="A50" s="35"/>
      <c r="E50" s="182"/>
    </row>
    <row r="51" spans="1:11">
      <c r="A51" s="215" t="s">
        <v>570</v>
      </c>
      <c r="E51" s="182" t="s">
        <v>343</v>
      </c>
      <c r="F51" s="182" t="s">
        <v>343</v>
      </c>
    </row>
    <row r="52" spans="1:11">
      <c r="E52" s="215" t="s">
        <v>343</v>
      </c>
      <c r="F52" s="215" t="s">
        <v>343</v>
      </c>
    </row>
    <row r="53" spans="1:11" ht="13">
      <c r="F53" s="182" t="s">
        <v>343</v>
      </c>
      <c r="G53" s="195" t="str">
        <f>co_name</f>
        <v>DUKE ENERGY KENTUCKY, INC.</v>
      </c>
      <c r="H53" s="11"/>
      <c r="I53" s="11"/>
      <c r="J53" s="10" t="s">
        <v>749</v>
      </c>
      <c r="K53" s="11"/>
    </row>
    <row r="54" spans="1:11" ht="13">
      <c r="G54" s="195" t="str">
        <f>coss_type</f>
        <v xml:space="preserve">GAS COST OF SERVICE STUDY </v>
      </c>
      <c r="H54" s="11"/>
      <c r="I54" s="11"/>
      <c r="J54" s="10" t="str">
        <f>D2</f>
        <v>Witness Responsible:</v>
      </c>
      <c r="K54" s="11"/>
    </row>
    <row r="55" spans="1:11" ht="13">
      <c r="G55" s="195" t="str">
        <f>case_name</f>
        <v>CASE NO: 2021-00190</v>
      </c>
      <c r="H55" s="11"/>
      <c r="I55" s="11"/>
      <c r="J55" s="10" t="str">
        <f>D3</f>
        <v>James E. Ziolkowski</v>
      </c>
      <c r="K55" s="11"/>
    </row>
    <row r="56" spans="1:11" ht="13">
      <c r="G56" s="10" t="str">
        <f>alloc_factors</f>
        <v>ALLOCATION FACTORS FOR COST OF SERVICE STUDY</v>
      </c>
      <c r="H56" s="171"/>
      <c r="I56" s="171"/>
      <c r="J56" s="10" t="s">
        <v>769</v>
      </c>
      <c r="K56" s="171"/>
    </row>
    <row r="57" spans="1:11" ht="13">
      <c r="G57" s="10" t="str">
        <f>time_period</f>
        <v>TWELVE MONTHS ENDING DECEMBER 31, 2020</v>
      </c>
      <c r="J57" s="1274">
        <f ca="1">TODAY()</f>
        <v>44420</v>
      </c>
    </row>
    <row r="58" spans="1:11" ht="13">
      <c r="G58" s="197" t="s">
        <v>953</v>
      </c>
    </row>
    <row r="59" spans="1:11">
      <c r="G59" s="50"/>
      <c r="H59" s="50"/>
      <c r="I59" s="50"/>
      <c r="J59" s="50"/>
    </row>
    <row r="60" spans="1:11">
      <c r="G60" s="50"/>
      <c r="H60" s="50"/>
      <c r="I60" s="50"/>
      <c r="J60" s="50"/>
    </row>
    <row r="61" spans="1:11" ht="28">
      <c r="G61" s="438" t="s">
        <v>950</v>
      </c>
      <c r="H61" s="438" t="s">
        <v>770</v>
      </c>
      <c r="I61" s="438" t="s">
        <v>951</v>
      </c>
      <c r="J61" s="438" t="s">
        <v>952</v>
      </c>
      <c r="K61" s="439" t="s">
        <v>954</v>
      </c>
    </row>
    <row r="62" spans="1:11" ht="15.5">
      <c r="G62" s="1341" t="s">
        <v>1284</v>
      </c>
      <c r="H62" s="1507" t="s">
        <v>771</v>
      </c>
      <c r="I62" s="1508">
        <v>2</v>
      </c>
      <c r="J62" s="1509">
        <v>11868.64</v>
      </c>
      <c r="K62" s="210" t="s">
        <v>1322</v>
      </c>
    </row>
    <row r="63" spans="1:11" ht="15.5">
      <c r="G63" s="1341"/>
      <c r="H63" s="1507" t="s">
        <v>1285</v>
      </c>
      <c r="I63" s="1508">
        <v>0</v>
      </c>
      <c r="J63" s="1509">
        <v>0</v>
      </c>
      <c r="K63" t="s">
        <v>956</v>
      </c>
    </row>
    <row r="64" spans="1:11" ht="15.5">
      <c r="G64" s="1341"/>
      <c r="H64" s="1507" t="s">
        <v>772</v>
      </c>
      <c r="I64" s="1508">
        <v>536</v>
      </c>
      <c r="J64" s="1509">
        <v>0.91000000000000014</v>
      </c>
      <c r="K64">
        <v>1</v>
      </c>
    </row>
    <row r="65" spans="7:11" ht="15.5">
      <c r="G65" s="1341"/>
      <c r="H65" s="1507" t="s">
        <v>773</v>
      </c>
      <c r="I65" s="1508">
        <v>1143</v>
      </c>
      <c r="J65" s="1509">
        <v>140080.66</v>
      </c>
      <c r="K65">
        <v>1.5</v>
      </c>
    </row>
    <row r="66" spans="7:11" ht="15.5">
      <c r="G66" s="1341"/>
      <c r="H66" s="1507" t="s">
        <v>774</v>
      </c>
      <c r="I66" s="1508">
        <v>3872</v>
      </c>
      <c r="J66" s="1509">
        <v>127854.43000000002</v>
      </c>
      <c r="K66">
        <v>1.25</v>
      </c>
    </row>
    <row r="67" spans="7:11" ht="15.5">
      <c r="G67" s="1341"/>
      <c r="H67" s="1507" t="s">
        <v>1286</v>
      </c>
      <c r="I67" s="1508">
        <v>41210</v>
      </c>
      <c r="J67" s="1509">
        <v>1627528.53</v>
      </c>
      <c r="K67">
        <v>1</v>
      </c>
    </row>
    <row r="68" spans="7:11" ht="15.5">
      <c r="G68" s="1341"/>
      <c r="H68" s="1507" t="s">
        <v>775</v>
      </c>
      <c r="I68" s="1508">
        <v>6</v>
      </c>
      <c r="J68" s="1509">
        <v>3472.9900000000002</v>
      </c>
      <c r="K68">
        <v>2</v>
      </c>
    </row>
    <row r="69" spans="7:11" ht="15.5">
      <c r="G69" s="1341"/>
      <c r="H69" s="1507" t="s">
        <v>1287</v>
      </c>
      <c r="I69" s="1508">
        <v>56</v>
      </c>
      <c r="J69" s="1509">
        <v>13.71</v>
      </c>
      <c r="K69">
        <v>0.25</v>
      </c>
    </row>
    <row r="70" spans="7:11" ht="15.5">
      <c r="G70" s="1341"/>
      <c r="H70" s="1507" t="s">
        <v>776</v>
      </c>
      <c r="I70" s="1508">
        <v>2</v>
      </c>
      <c r="J70" s="1509">
        <v>1694.99</v>
      </c>
      <c r="K70">
        <v>10</v>
      </c>
    </row>
    <row r="71" spans="7:11" ht="15.5">
      <c r="G71" s="1341"/>
      <c r="H71" s="1507" t="s">
        <v>777</v>
      </c>
      <c r="I71" s="1508">
        <v>6</v>
      </c>
      <c r="J71" s="1509">
        <v>6222.95</v>
      </c>
      <c r="K71">
        <v>16</v>
      </c>
    </row>
    <row r="72" spans="7:11" ht="15.5">
      <c r="G72" s="1341"/>
      <c r="H72" s="1507" t="s">
        <v>778</v>
      </c>
      <c r="I72" s="1508">
        <v>589</v>
      </c>
      <c r="J72" s="1509">
        <v>180341.2</v>
      </c>
      <c r="K72">
        <v>2</v>
      </c>
    </row>
    <row r="73" spans="7:11" ht="15.5">
      <c r="G73" s="1341"/>
      <c r="H73" s="1507" t="s">
        <v>779</v>
      </c>
      <c r="I73" s="1508">
        <v>10</v>
      </c>
      <c r="J73" s="1509">
        <v>4273.6499999999996</v>
      </c>
      <c r="K73">
        <v>4</v>
      </c>
    </row>
    <row r="74" spans="7:11" ht="15.5">
      <c r="G74" s="1341"/>
      <c r="H74" s="1507" t="s">
        <v>780</v>
      </c>
      <c r="I74" s="1508">
        <v>103</v>
      </c>
      <c r="J74" s="1509">
        <v>37274.279999999992</v>
      </c>
      <c r="K74">
        <v>3</v>
      </c>
    </row>
    <row r="75" spans="7:11" ht="15.5">
      <c r="G75" s="1341"/>
      <c r="H75" s="1507" t="s">
        <v>781</v>
      </c>
      <c r="I75" s="1508">
        <v>0</v>
      </c>
      <c r="J75" s="1509">
        <v>0</v>
      </c>
      <c r="K75">
        <v>0.75</v>
      </c>
    </row>
    <row r="76" spans="7:11" ht="15.5">
      <c r="G76" s="1341"/>
      <c r="H76" s="1507" t="s">
        <v>782</v>
      </c>
      <c r="I76" s="1508">
        <v>50065</v>
      </c>
      <c r="J76" s="1509">
        <v>407403.76000000007</v>
      </c>
      <c r="K76">
        <v>1</v>
      </c>
    </row>
    <row r="77" spans="7:11" ht="15.5">
      <c r="G77" s="1341"/>
      <c r="H77" s="1507" t="s">
        <v>783</v>
      </c>
      <c r="I77" s="1508">
        <v>85</v>
      </c>
      <c r="J77" s="1509">
        <v>29044.510000000002</v>
      </c>
      <c r="K77">
        <v>4</v>
      </c>
    </row>
    <row r="78" spans="7:11" ht="15.5">
      <c r="G78" s="1341"/>
      <c r="H78" s="1507" t="s">
        <v>784</v>
      </c>
      <c r="I78" s="1508">
        <v>35</v>
      </c>
      <c r="J78" s="1509">
        <v>20099.069999999996</v>
      </c>
      <c r="K78">
        <v>6</v>
      </c>
    </row>
    <row r="79" spans="7:11" ht="15.5">
      <c r="G79" s="1341"/>
      <c r="H79" s="1507" t="s">
        <v>785</v>
      </c>
      <c r="I79" s="1508">
        <v>11</v>
      </c>
      <c r="J79" s="1509">
        <v>4257.17</v>
      </c>
      <c r="K79">
        <v>8</v>
      </c>
    </row>
    <row r="80" spans="7:11" ht="15.5">
      <c r="G80" s="1341"/>
      <c r="H80" s="1507" t="s">
        <v>786</v>
      </c>
      <c r="I80" s="1508">
        <v>1621</v>
      </c>
      <c r="J80" s="1509">
        <v>29.929999999999996</v>
      </c>
      <c r="K80" t="s">
        <v>955</v>
      </c>
    </row>
    <row r="81" spans="7:11" ht="15.5">
      <c r="G81" s="1341"/>
      <c r="H81" s="1507" t="s">
        <v>1288</v>
      </c>
      <c r="I81" s="1508">
        <v>3</v>
      </c>
      <c r="J81" s="1509">
        <v>62.580000000000005</v>
      </c>
      <c r="K81" t="s">
        <v>1323</v>
      </c>
    </row>
    <row r="82" spans="7:11" ht="15.5">
      <c r="G82" s="1341"/>
      <c r="H82" s="1507" t="s">
        <v>787</v>
      </c>
      <c r="I82" s="1508">
        <v>12</v>
      </c>
      <c r="J82" s="1509">
        <v>3.3600000000000003</v>
      </c>
      <c r="K82" t="s">
        <v>1324</v>
      </c>
    </row>
    <row r="83" spans="7:11" ht="15.5">
      <c r="G83" s="1341"/>
      <c r="H83" s="1507" t="s">
        <v>1289</v>
      </c>
      <c r="I83" s="1508">
        <v>2</v>
      </c>
      <c r="J83" s="1509">
        <v>4.07</v>
      </c>
      <c r="K83" t="s">
        <v>1325</v>
      </c>
    </row>
    <row r="84" spans="7:11" ht="15.5">
      <c r="G84" s="1341"/>
      <c r="H84" s="1507" t="s">
        <v>1290</v>
      </c>
      <c r="I84" s="1508">
        <v>523</v>
      </c>
      <c r="J84" s="1509">
        <v>81401.759999999995</v>
      </c>
      <c r="K84">
        <v>1</v>
      </c>
    </row>
    <row r="85" spans="7:11" ht="15.5">
      <c r="G85" s="1341"/>
      <c r="H85" s="1507" t="s">
        <v>1291</v>
      </c>
      <c r="I85" s="1508">
        <v>0</v>
      </c>
      <c r="J85" s="1509">
        <v>0</v>
      </c>
      <c r="K85">
        <v>0.5</v>
      </c>
    </row>
    <row r="86" spans="7:11" ht="15.5">
      <c r="G86" s="1341"/>
      <c r="H86" s="1507" t="s">
        <v>788</v>
      </c>
      <c r="I86" s="1508">
        <v>2</v>
      </c>
      <c r="J86" s="1509">
        <v>12.93</v>
      </c>
      <c r="K86">
        <v>0.25</v>
      </c>
    </row>
    <row r="87" spans="7:11" ht="15.5">
      <c r="G87" s="1341"/>
      <c r="H87" s="1507" t="s">
        <v>789</v>
      </c>
      <c r="I87" s="1508">
        <v>187</v>
      </c>
      <c r="J87" s="1509">
        <v>58113.529999999992</v>
      </c>
      <c r="K87">
        <v>2</v>
      </c>
    </row>
    <row r="88" spans="7:11" ht="15.5">
      <c r="G88" s="1341"/>
      <c r="H88" s="1507" t="s">
        <v>790</v>
      </c>
      <c r="I88" s="1508">
        <v>99</v>
      </c>
      <c r="J88" s="1509">
        <v>13609.659999999998</v>
      </c>
      <c r="K88">
        <v>3</v>
      </c>
    </row>
    <row r="89" spans="7:11" ht="15.5">
      <c r="G89" s="1341"/>
      <c r="H89" s="1507" t="s">
        <v>791</v>
      </c>
      <c r="I89" s="1508">
        <v>1</v>
      </c>
      <c r="J89" s="1509">
        <v>388.75</v>
      </c>
      <c r="K89">
        <v>3</v>
      </c>
    </row>
    <row r="90" spans="7:11" ht="15.5">
      <c r="G90" s="1341"/>
      <c r="H90" s="1507" t="s">
        <v>792</v>
      </c>
      <c r="I90" s="1508">
        <v>1</v>
      </c>
      <c r="J90" s="1509">
        <v>74.33</v>
      </c>
      <c r="K90">
        <v>4</v>
      </c>
    </row>
    <row r="91" spans="7:11" ht="15.5">
      <c r="G91" s="1341"/>
      <c r="H91" s="1507" t="s">
        <v>793</v>
      </c>
      <c r="I91" s="1508">
        <v>286</v>
      </c>
      <c r="J91" s="1509">
        <v>234.7</v>
      </c>
      <c r="K91">
        <v>0.75</v>
      </c>
    </row>
    <row r="92" spans="7:11" ht="15.5">
      <c r="G92" s="1341"/>
      <c r="H92" s="1507" t="s">
        <v>794</v>
      </c>
      <c r="I92" s="1508">
        <v>1100</v>
      </c>
      <c r="J92" s="1509">
        <v>21552.940000000002</v>
      </c>
      <c r="K92">
        <v>1</v>
      </c>
    </row>
    <row r="93" spans="7:11" ht="15.5">
      <c r="G93" s="1341"/>
      <c r="H93" s="1507" t="s">
        <v>795</v>
      </c>
      <c r="I93" s="1508">
        <v>74</v>
      </c>
      <c r="J93" s="1509">
        <v>20429.45</v>
      </c>
      <c r="K93">
        <v>4</v>
      </c>
    </row>
    <row r="94" spans="7:11" ht="15.5">
      <c r="G94" s="1341"/>
      <c r="H94" s="1507" t="s">
        <v>796</v>
      </c>
      <c r="I94" s="1508">
        <v>36</v>
      </c>
      <c r="J94" s="1509">
        <v>3347.6899999999996</v>
      </c>
      <c r="K94">
        <v>6</v>
      </c>
    </row>
    <row r="95" spans="7:11" ht="15.5">
      <c r="G95" s="1341"/>
      <c r="H95" s="1507" t="s">
        <v>797</v>
      </c>
      <c r="I95" s="1508">
        <v>3</v>
      </c>
      <c r="J95" s="1509">
        <v>1350.08</v>
      </c>
      <c r="K95">
        <v>8</v>
      </c>
    </row>
    <row r="96" spans="7:11" ht="15.5">
      <c r="G96" s="1341"/>
      <c r="H96" s="1507" t="s">
        <v>798</v>
      </c>
      <c r="I96" s="1508">
        <v>6</v>
      </c>
      <c r="J96" s="1509">
        <v>3213.97</v>
      </c>
      <c r="K96">
        <v>8</v>
      </c>
    </row>
    <row r="97" spans="7:11" ht="15.5">
      <c r="G97" s="1341"/>
      <c r="H97" s="1507" t="s">
        <v>1292</v>
      </c>
      <c r="I97" s="1508">
        <v>130</v>
      </c>
      <c r="J97" s="1509">
        <v>161706.98000000001</v>
      </c>
      <c r="K97">
        <v>1.5</v>
      </c>
    </row>
    <row r="98" spans="7:11" ht="15.5">
      <c r="G98" s="1341"/>
      <c r="H98" s="1507" t="s">
        <v>1293</v>
      </c>
      <c r="I98" s="1508">
        <v>230</v>
      </c>
      <c r="J98" s="1509">
        <v>25602.65</v>
      </c>
      <c r="K98">
        <v>1.25</v>
      </c>
    </row>
    <row r="99" spans="7:11" ht="15.5">
      <c r="G99" s="1341"/>
      <c r="H99" s="1507" t="s">
        <v>1294</v>
      </c>
      <c r="I99" s="1508">
        <v>3220</v>
      </c>
      <c r="J99" s="1509">
        <v>203759.72</v>
      </c>
      <c r="K99">
        <v>1</v>
      </c>
    </row>
    <row r="100" spans="7:11" ht="15.5">
      <c r="G100" s="1341"/>
      <c r="H100" s="1507" t="s">
        <v>1295</v>
      </c>
      <c r="I100" s="1508">
        <v>127</v>
      </c>
      <c r="J100" s="1509">
        <v>256158.98</v>
      </c>
      <c r="K100">
        <v>2</v>
      </c>
    </row>
    <row r="101" spans="7:11" ht="15.5">
      <c r="G101" s="1341"/>
      <c r="H101" s="1507" t="s">
        <v>1296</v>
      </c>
      <c r="I101" s="1508">
        <v>1</v>
      </c>
      <c r="J101" s="1509">
        <v>32766.44</v>
      </c>
      <c r="K101">
        <v>2</v>
      </c>
    </row>
    <row r="102" spans="7:11" ht="15.5">
      <c r="G102" s="1341"/>
      <c r="H102" s="1507" t="s">
        <v>1297</v>
      </c>
      <c r="I102" s="1508">
        <v>8</v>
      </c>
      <c r="J102" s="1509">
        <v>73317.52</v>
      </c>
      <c r="K102">
        <v>3</v>
      </c>
    </row>
    <row r="103" spans="7:11" ht="15.5">
      <c r="G103" s="1341"/>
      <c r="H103" s="1507" t="s">
        <v>1298</v>
      </c>
      <c r="I103" s="1508">
        <v>36</v>
      </c>
      <c r="J103" s="1509">
        <v>10271.24</v>
      </c>
      <c r="K103">
        <v>1</v>
      </c>
    </row>
    <row r="104" spans="7:11" ht="15.5">
      <c r="G104" s="1341"/>
      <c r="H104" s="1507" t="s">
        <v>1309</v>
      </c>
      <c r="I104" s="1508">
        <v>373</v>
      </c>
      <c r="J104" s="1509">
        <v>58600.040000000008</v>
      </c>
      <c r="K104" s="214">
        <v>1</v>
      </c>
    </row>
    <row r="105" spans="7:11" ht="15.5">
      <c r="G105" s="1341"/>
      <c r="H105" s="1507" t="s">
        <v>1299</v>
      </c>
      <c r="I105" s="1508">
        <v>42</v>
      </c>
      <c r="J105" s="1509">
        <v>93589.29</v>
      </c>
      <c r="K105">
        <v>2</v>
      </c>
    </row>
    <row r="106" spans="7:11" ht="15.5">
      <c r="G106" s="1341"/>
      <c r="H106" s="1507" t="s">
        <v>1310</v>
      </c>
      <c r="I106" s="1508">
        <v>11</v>
      </c>
      <c r="J106" s="1509">
        <v>17899.41</v>
      </c>
      <c r="K106" s="214">
        <v>3</v>
      </c>
    </row>
    <row r="107" spans="7:11" ht="15.5">
      <c r="G107" s="1341"/>
      <c r="H107" s="1507" t="s">
        <v>1311</v>
      </c>
      <c r="I107" s="1508">
        <v>6</v>
      </c>
      <c r="J107" s="1509">
        <v>14839.42</v>
      </c>
      <c r="K107" s="214">
        <v>4</v>
      </c>
    </row>
    <row r="108" spans="7:11" ht="15.5">
      <c r="G108" s="1341"/>
      <c r="H108" s="1507" t="s">
        <v>799</v>
      </c>
      <c r="I108" s="1508">
        <v>0</v>
      </c>
      <c r="J108" s="1509">
        <v>0</v>
      </c>
      <c r="K108">
        <v>1.5</v>
      </c>
    </row>
    <row r="109" spans="7:11" ht="15.5">
      <c r="G109" s="1341"/>
      <c r="H109" s="1507" t="s">
        <v>1300</v>
      </c>
      <c r="I109" s="1508">
        <v>0</v>
      </c>
      <c r="J109" s="1509">
        <v>0</v>
      </c>
      <c r="K109" t="s">
        <v>1326</v>
      </c>
    </row>
    <row r="110" spans="7:11" ht="15.5">
      <c r="G110" s="1341"/>
      <c r="H110" s="1507" t="s">
        <v>1301</v>
      </c>
      <c r="I110" s="1508">
        <v>0</v>
      </c>
      <c r="J110" s="1509">
        <v>0</v>
      </c>
      <c r="K110" t="s">
        <v>1327</v>
      </c>
    </row>
    <row r="111" spans="7:11" ht="15.5">
      <c r="G111" s="1344"/>
      <c r="H111" s="1507" t="s">
        <v>1302</v>
      </c>
      <c r="I111" s="1508">
        <v>0</v>
      </c>
      <c r="J111" s="1509">
        <v>0</v>
      </c>
      <c r="K111" t="s">
        <v>1327</v>
      </c>
    </row>
    <row r="112" spans="7:11" ht="15.5">
      <c r="G112" s="1345" t="s">
        <v>1318</v>
      </c>
      <c r="H112" s="1510"/>
      <c r="I112" s="1512">
        <f>SUM(I62:I111)</f>
        <v>105871</v>
      </c>
      <c r="J112" s="1513">
        <f>SUM(J62:J111)</f>
        <v>3753772.87</v>
      </c>
      <c r="K112" t="s">
        <v>579</v>
      </c>
    </row>
    <row r="113" spans="7:11" ht="15.5">
      <c r="G113" s="1341" t="s">
        <v>1303</v>
      </c>
      <c r="H113" s="1507" t="s">
        <v>773</v>
      </c>
      <c r="I113" s="1508">
        <v>0</v>
      </c>
      <c r="J113" s="1509">
        <v>0</v>
      </c>
      <c r="K113">
        <v>1.5</v>
      </c>
    </row>
    <row r="114" spans="7:11" ht="15.5">
      <c r="G114" s="1341"/>
      <c r="H114" s="1507" t="s">
        <v>774</v>
      </c>
      <c r="I114" s="1508">
        <v>0</v>
      </c>
      <c r="J114" s="1509">
        <v>0</v>
      </c>
      <c r="K114">
        <v>1.25</v>
      </c>
    </row>
    <row r="115" spans="7:11" ht="15.5">
      <c r="G115" s="1341"/>
      <c r="H115" s="1507" t="s">
        <v>1286</v>
      </c>
      <c r="I115" s="1508">
        <v>0</v>
      </c>
      <c r="J115" s="1509">
        <v>0</v>
      </c>
      <c r="K115">
        <v>1</v>
      </c>
    </row>
    <row r="116" spans="7:11" ht="15.5">
      <c r="G116" s="1341"/>
      <c r="H116" s="1507" t="s">
        <v>778</v>
      </c>
      <c r="I116" s="1508">
        <v>0</v>
      </c>
      <c r="J116" s="1509">
        <v>0</v>
      </c>
      <c r="K116">
        <v>2</v>
      </c>
    </row>
    <row r="117" spans="7:11" ht="15.5">
      <c r="G117" s="1341"/>
      <c r="H117" s="1507" t="s">
        <v>780</v>
      </c>
      <c r="I117" s="1508">
        <v>0</v>
      </c>
      <c r="J117" s="1509">
        <v>0</v>
      </c>
      <c r="K117">
        <v>3</v>
      </c>
    </row>
    <row r="118" spans="7:11" ht="15.5">
      <c r="G118" s="1341"/>
      <c r="H118" s="1507" t="s">
        <v>782</v>
      </c>
      <c r="I118" s="1508">
        <v>0</v>
      </c>
      <c r="J118" s="1509">
        <v>0</v>
      </c>
      <c r="K118">
        <v>1</v>
      </c>
    </row>
    <row r="119" spans="7:11" ht="15.5">
      <c r="G119" s="1341"/>
      <c r="H119" s="1507" t="s">
        <v>783</v>
      </c>
      <c r="I119" s="1508">
        <v>0</v>
      </c>
      <c r="J119" s="1509">
        <v>0</v>
      </c>
      <c r="K119">
        <v>4</v>
      </c>
    </row>
    <row r="120" spans="7:11" ht="15.5">
      <c r="G120" s="1341"/>
      <c r="H120" s="1507" t="s">
        <v>784</v>
      </c>
      <c r="I120" s="1508">
        <v>0</v>
      </c>
      <c r="J120" s="1509">
        <v>0</v>
      </c>
      <c r="K120">
        <v>6</v>
      </c>
    </row>
    <row r="121" spans="7:11" ht="15.5">
      <c r="G121" s="1341"/>
      <c r="H121" s="1507" t="s">
        <v>1290</v>
      </c>
      <c r="I121" s="1508">
        <v>0</v>
      </c>
      <c r="J121" s="1509">
        <v>0</v>
      </c>
      <c r="K121">
        <v>1</v>
      </c>
    </row>
    <row r="122" spans="7:11" ht="15.5">
      <c r="G122" s="1341"/>
      <c r="H122" s="1507" t="s">
        <v>789</v>
      </c>
      <c r="I122" s="1508">
        <v>0</v>
      </c>
      <c r="J122" s="1509">
        <v>0</v>
      </c>
      <c r="K122">
        <v>2</v>
      </c>
    </row>
    <row r="123" spans="7:11" ht="15.5">
      <c r="G123" s="1341"/>
      <c r="H123" s="1507" t="s">
        <v>790</v>
      </c>
      <c r="I123" s="1508">
        <v>0</v>
      </c>
      <c r="J123" s="1509">
        <v>0</v>
      </c>
      <c r="K123">
        <v>3</v>
      </c>
    </row>
    <row r="124" spans="7:11" ht="15.5">
      <c r="G124" s="1341"/>
      <c r="H124" s="1507" t="s">
        <v>795</v>
      </c>
      <c r="I124" s="1508">
        <v>0</v>
      </c>
      <c r="J124" s="1509">
        <v>0</v>
      </c>
      <c r="K124">
        <v>4</v>
      </c>
    </row>
    <row r="125" spans="7:11" ht="15.5">
      <c r="G125" s="1341"/>
      <c r="H125" s="1507" t="s">
        <v>1304</v>
      </c>
      <c r="I125" s="1508">
        <v>0</v>
      </c>
      <c r="J125" s="1509">
        <v>0</v>
      </c>
      <c r="K125">
        <v>1</v>
      </c>
    </row>
    <row r="126" spans="7:11" ht="15.5">
      <c r="G126" s="1341"/>
      <c r="H126" s="1507" t="s">
        <v>1292</v>
      </c>
      <c r="I126" s="1508">
        <v>0</v>
      </c>
      <c r="J126" s="1509">
        <v>0</v>
      </c>
      <c r="K126">
        <v>1.5</v>
      </c>
    </row>
    <row r="127" spans="7:11" ht="15.5">
      <c r="G127" s="1341"/>
      <c r="H127" s="1507" t="s">
        <v>1293</v>
      </c>
      <c r="I127" s="1508">
        <v>0</v>
      </c>
      <c r="J127" s="1509">
        <v>0</v>
      </c>
      <c r="K127">
        <v>1.25</v>
      </c>
    </row>
    <row r="128" spans="7:11" ht="15.5">
      <c r="G128" s="1341"/>
      <c r="H128" s="1507" t="s">
        <v>1294</v>
      </c>
      <c r="I128" s="1508">
        <v>0</v>
      </c>
      <c r="J128" s="1509">
        <v>0</v>
      </c>
      <c r="K128" s="215">
        <v>1</v>
      </c>
    </row>
    <row r="129" spans="7:11" ht="15.5">
      <c r="G129" s="1341"/>
      <c r="H129" s="1507" t="s">
        <v>1295</v>
      </c>
      <c r="I129" s="1508">
        <v>0</v>
      </c>
      <c r="J129" s="1509">
        <v>0</v>
      </c>
      <c r="K129" s="215">
        <v>2</v>
      </c>
    </row>
    <row r="130" spans="7:11" ht="15.5">
      <c r="G130" s="1341"/>
      <c r="H130" s="1507" t="s">
        <v>1296</v>
      </c>
      <c r="I130" s="1508">
        <v>0</v>
      </c>
      <c r="J130" s="1509">
        <v>0</v>
      </c>
      <c r="K130" s="215">
        <v>2</v>
      </c>
    </row>
    <row r="131" spans="7:11" ht="15.5">
      <c r="G131" s="1341"/>
      <c r="H131" s="1507" t="s">
        <v>1305</v>
      </c>
      <c r="I131" s="1508">
        <v>0</v>
      </c>
      <c r="J131" s="1509">
        <v>0</v>
      </c>
      <c r="K131" s="215">
        <v>4</v>
      </c>
    </row>
    <row r="132" spans="7:11" ht="15.5">
      <c r="G132" s="1341"/>
      <c r="H132" s="1507" t="s">
        <v>1297</v>
      </c>
      <c r="I132" s="1508">
        <v>0</v>
      </c>
      <c r="J132" s="1509">
        <v>0</v>
      </c>
      <c r="K132" s="215">
        <v>3</v>
      </c>
    </row>
    <row r="133" spans="7:11" ht="15.5">
      <c r="G133" s="1341"/>
      <c r="H133" s="1507" t="s">
        <v>1298</v>
      </c>
      <c r="I133" s="1508">
        <v>0</v>
      </c>
      <c r="J133" s="1509">
        <v>0</v>
      </c>
      <c r="K133" s="215">
        <v>1</v>
      </c>
    </row>
    <row r="134" spans="7:11" ht="15.5">
      <c r="G134" s="1341"/>
      <c r="H134" s="1507" t="s">
        <v>1306</v>
      </c>
      <c r="I134" s="1508">
        <v>0</v>
      </c>
      <c r="J134" s="1509">
        <v>0</v>
      </c>
      <c r="K134" s="215">
        <v>4</v>
      </c>
    </row>
    <row r="135" spans="7:11" ht="15.5">
      <c r="G135" s="1341"/>
      <c r="H135" s="1507" t="s">
        <v>1307</v>
      </c>
      <c r="I135" s="1508">
        <v>0</v>
      </c>
      <c r="J135" s="1509">
        <v>0</v>
      </c>
      <c r="K135" s="215">
        <v>6</v>
      </c>
    </row>
    <row r="136" spans="7:11" ht="15.5">
      <c r="G136" s="1341"/>
      <c r="H136" s="1507" t="s">
        <v>1308</v>
      </c>
      <c r="I136" s="1508">
        <v>0</v>
      </c>
      <c r="J136" s="1509">
        <v>0</v>
      </c>
      <c r="K136" s="215">
        <v>8</v>
      </c>
    </row>
    <row r="137" spans="7:11" ht="15.5">
      <c r="G137" s="1341"/>
      <c r="H137" s="1507" t="s">
        <v>1309</v>
      </c>
      <c r="I137" s="1508">
        <v>0</v>
      </c>
      <c r="J137" s="1509">
        <v>0</v>
      </c>
      <c r="K137" s="215">
        <v>1</v>
      </c>
    </row>
    <row r="138" spans="7:11" ht="15.5">
      <c r="G138" s="1341"/>
      <c r="H138" s="1507" t="s">
        <v>1299</v>
      </c>
      <c r="I138" s="1508">
        <v>0</v>
      </c>
      <c r="J138" s="1509">
        <v>0</v>
      </c>
      <c r="K138" s="215">
        <v>2</v>
      </c>
    </row>
    <row r="139" spans="7:11" ht="15.5">
      <c r="G139" s="1341"/>
      <c r="H139" s="1507" t="s">
        <v>1310</v>
      </c>
      <c r="I139" s="1508">
        <v>0</v>
      </c>
      <c r="J139" s="1509">
        <v>0</v>
      </c>
      <c r="K139" s="215">
        <v>3</v>
      </c>
    </row>
    <row r="140" spans="7:11" ht="15.5">
      <c r="G140" s="1341"/>
      <c r="H140" s="1507" t="s">
        <v>1311</v>
      </c>
      <c r="I140" s="1508">
        <v>0</v>
      </c>
      <c r="J140" s="1509">
        <v>0</v>
      </c>
      <c r="K140" s="215">
        <v>4</v>
      </c>
    </row>
    <row r="141" spans="7:11" ht="15.5">
      <c r="G141" s="1341"/>
      <c r="H141" s="1507" t="s">
        <v>799</v>
      </c>
      <c r="I141" s="1508">
        <v>0</v>
      </c>
      <c r="J141" s="1509">
        <v>0</v>
      </c>
      <c r="K141" s="215">
        <v>1.5</v>
      </c>
    </row>
    <row r="142" spans="7:11" ht="15.5">
      <c r="G142" s="1341"/>
      <c r="H142" s="1507" t="s">
        <v>1300</v>
      </c>
      <c r="I142" s="1508">
        <v>0</v>
      </c>
      <c r="J142" s="1509">
        <v>0</v>
      </c>
      <c r="K142" s="214" t="s">
        <v>1326</v>
      </c>
    </row>
    <row r="143" spans="7:11" ht="15.5">
      <c r="G143" s="1341"/>
      <c r="H143" s="1507" t="s">
        <v>1312</v>
      </c>
      <c r="I143" s="1508">
        <v>0</v>
      </c>
      <c r="J143" s="1509">
        <v>0</v>
      </c>
      <c r="K143" s="214" t="s">
        <v>1327</v>
      </c>
    </row>
    <row r="144" spans="7:11" ht="15.5">
      <c r="G144" s="1344"/>
      <c r="H144" s="1507" t="s">
        <v>1313</v>
      </c>
      <c r="I144" s="1508">
        <v>0</v>
      </c>
      <c r="J144" s="1509">
        <v>0</v>
      </c>
      <c r="K144" s="214" t="s">
        <v>1327</v>
      </c>
    </row>
    <row r="145" spans="7:11" ht="15.5">
      <c r="G145" s="1345" t="s">
        <v>1319</v>
      </c>
      <c r="H145" s="1510"/>
      <c r="I145" s="1512">
        <v>0</v>
      </c>
      <c r="J145" s="1513">
        <v>0</v>
      </c>
      <c r="K145" s="214" t="s">
        <v>579</v>
      </c>
    </row>
    <row r="146" spans="7:11" ht="15.5">
      <c r="G146" s="1346" t="s">
        <v>1314</v>
      </c>
      <c r="H146" s="1507" t="s">
        <v>1292</v>
      </c>
      <c r="I146" s="1508">
        <v>14</v>
      </c>
      <c r="J146" s="1509">
        <v>743.44</v>
      </c>
      <c r="K146" s="215">
        <v>1.5</v>
      </c>
    </row>
    <row r="147" spans="7:11" ht="15.5">
      <c r="G147" s="1346"/>
      <c r="H147" s="1507" t="s">
        <v>1293</v>
      </c>
      <c r="I147" s="1508">
        <v>61</v>
      </c>
      <c r="J147" s="1509">
        <v>3239.28</v>
      </c>
      <c r="K147" s="215">
        <v>1.25</v>
      </c>
    </row>
    <row r="148" spans="7:11" ht="15.5">
      <c r="G148" s="1346"/>
      <c r="H148" s="1507" t="s">
        <v>1294</v>
      </c>
      <c r="I148" s="1508">
        <v>401</v>
      </c>
      <c r="J148" s="1509">
        <v>21294.26</v>
      </c>
      <c r="K148" s="215">
        <v>1</v>
      </c>
    </row>
    <row r="149" spans="7:11" ht="15.5">
      <c r="G149" s="1346"/>
      <c r="H149" s="1507" t="s">
        <v>1295</v>
      </c>
      <c r="I149" s="1508">
        <v>18</v>
      </c>
      <c r="J149" s="1509">
        <v>1865.38</v>
      </c>
      <c r="K149" s="215">
        <v>2</v>
      </c>
    </row>
    <row r="150" spans="7:11" ht="15.5">
      <c r="G150" s="1346"/>
      <c r="H150" s="1507" t="s">
        <v>1305</v>
      </c>
      <c r="I150" s="1508">
        <v>1</v>
      </c>
      <c r="J150" s="1509">
        <v>127.52</v>
      </c>
      <c r="K150" s="215">
        <v>4</v>
      </c>
    </row>
    <row r="151" spans="7:11" ht="15.5">
      <c r="G151" s="1346"/>
      <c r="H151" s="1507" t="s">
        <v>1297</v>
      </c>
      <c r="I151" s="1508">
        <v>5</v>
      </c>
      <c r="J151" s="1509">
        <v>265.51</v>
      </c>
      <c r="K151" s="215">
        <v>3</v>
      </c>
    </row>
    <row r="152" spans="7:11" ht="15.5">
      <c r="G152" s="1346"/>
      <c r="H152" s="1507" t="s">
        <v>1306</v>
      </c>
      <c r="I152" s="1508">
        <v>2</v>
      </c>
      <c r="J152" s="1509">
        <v>271.58</v>
      </c>
      <c r="K152" s="215">
        <v>4</v>
      </c>
    </row>
    <row r="153" spans="7:11" ht="15.5">
      <c r="G153" s="1346"/>
      <c r="H153" s="1507" t="s">
        <v>1307</v>
      </c>
      <c r="I153" s="1508">
        <v>1</v>
      </c>
      <c r="J153" s="1509">
        <v>135.79</v>
      </c>
      <c r="K153" s="215">
        <v>6</v>
      </c>
    </row>
    <row r="154" spans="7:11" ht="15.5">
      <c r="G154" s="1346"/>
      <c r="H154" s="1507" t="s">
        <v>1308</v>
      </c>
      <c r="I154" s="1508">
        <v>1</v>
      </c>
      <c r="J154" s="1509">
        <v>53.1</v>
      </c>
      <c r="K154" s="215">
        <v>8</v>
      </c>
    </row>
    <row r="155" spans="7:11" ht="15.5">
      <c r="G155" s="1346"/>
      <c r="H155" s="1507" t="s">
        <v>1309</v>
      </c>
      <c r="I155" s="1508">
        <v>104</v>
      </c>
      <c r="J155" s="1509">
        <v>5522.7</v>
      </c>
      <c r="K155" s="215">
        <v>1</v>
      </c>
    </row>
    <row r="156" spans="7:11" ht="15.5">
      <c r="G156" s="1346"/>
      <c r="H156" s="1507" t="s">
        <v>1299</v>
      </c>
      <c r="I156" s="1508">
        <v>10</v>
      </c>
      <c r="J156" s="1509">
        <v>531.03</v>
      </c>
      <c r="K156" s="215">
        <v>2</v>
      </c>
    </row>
    <row r="157" spans="7:11" ht="15.5">
      <c r="G157" s="1346"/>
      <c r="H157" s="1507" t="s">
        <v>1310</v>
      </c>
      <c r="I157" s="1508">
        <v>10</v>
      </c>
      <c r="J157" s="1509">
        <v>1357.87</v>
      </c>
      <c r="K157" s="215">
        <v>3</v>
      </c>
    </row>
    <row r="158" spans="7:11" ht="15.5">
      <c r="G158" s="1346"/>
      <c r="H158" s="1507" t="s">
        <v>1311</v>
      </c>
      <c r="I158" s="1508">
        <v>5</v>
      </c>
      <c r="J158" s="1509">
        <v>678.93</v>
      </c>
      <c r="K158" s="215">
        <v>4</v>
      </c>
    </row>
    <row r="159" spans="7:11" ht="15.5">
      <c r="G159" s="1346"/>
      <c r="H159" s="1507" t="s">
        <v>799</v>
      </c>
      <c r="I159" s="1508">
        <v>0</v>
      </c>
      <c r="J159" s="1509">
        <v>0</v>
      </c>
      <c r="K159" s="215">
        <v>1.5</v>
      </c>
    </row>
    <row r="160" spans="7:11" ht="15.5">
      <c r="G160" s="1346"/>
      <c r="H160" s="1507" t="s">
        <v>800</v>
      </c>
      <c r="I160" s="1508">
        <v>52525</v>
      </c>
      <c r="J160" s="1509">
        <v>285676.03999999998</v>
      </c>
      <c r="K160" s="214" t="s">
        <v>800</v>
      </c>
    </row>
    <row r="161" spans="7:11" ht="15.5">
      <c r="G161" s="1346"/>
      <c r="H161" s="1507" t="s">
        <v>1315</v>
      </c>
      <c r="I161" s="1508">
        <v>0</v>
      </c>
      <c r="J161" s="1509">
        <v>0</v>
      </c>
      <c r="K161" s="214" t="s">
        <v>1328</v>
      </c>
    </row>
    <row r="162" spans="7:11" ht="15.5">
      <c r="G162" s="1346"/>
      <c r="H162" s="1507" t="s">
        <v>1301</v>
      </c>
      <c r="I162" s="1508">
        <v>0</v>
      </c>
      <c r="J162" s="1509">
        <v>0</v>
      </c>
      <c r="K162" s="214" t="s">
        <v>1327</v>
      </c>
    </row>
    <row r="163" spans="7:11" ht="15.5">
      <c r="G163" s="1346"/>
      <c r="H163" s="1507" t="s">
        <v>1302</v>
      </c>
      <c r="I163" s="1508">
        <v>0</v>
      </c>
      <c r="J163" s="1509">
        <v>0</v>
      </c>
      <c r="K163" s="214" t="s">
        <v>1327</v>
      </c>
    </row>
    <row r="164" spans="7:11" ht="15.5">
      <c r="G164" s="1344"/>
      <c r="H164" s="1507" t="s">
        <v>1316</v>
      </c>
      <c r="I164" s="1508">
        <v>45402</v>
      </c>
      <c r="J164" s="1509">
        <v>2868604.81</v>
      </c>
      <c r="K164" s="214" t="s">
        <v>1329</v>
      </c>
    </row>
    <row r="165" spans="7:11" ht="15.5">
      <c r="G165" s="1345" t="s">
        <v>1320</v>
      </c>
      <c r="H165" s="1510"/>
      <c r="I165" s="1512">
        <f>SUM(I146:I164)</f>
        <v>98560</v>
      </c>
      <c r="J165" s="1513">
        <f>SUM(J146:J164)</f>
        <v>3190367.24</v>
      </c>
      <c r="K165" s="214" t="s">
        <v>754</v>
      </c>
    </row>
    <row r="166" spans="7:11" ht="15.5">
      <c r="G166" s="1346" t="s">
        <v>1317</v>
      </c>
      <c r="H166" s="1507" t="s">
        <v>799</v>
      </c>
      <c r="I166" s="1508">
        <v>0</v>
      </c>
      <c r="J166" s="1509">
        <v>0</v>
      </c>
      <c r="K166" s="215">
        <v>1.5</v>
      </c>
    </row>
    <row r="167" spans="7:11" ht="15.5">
      <c r="G167" s="1346"/>
      <c r="H167" s="1507" t="s">
        <v>1315</v>
      </c>
      <c r="I167" s="1508">
        <v>0</v>
      </c>
      <c r="J167" s="1509">
        <v>0</v>
      </c>
      <c r="K167" s="214" t="s">
        <v>1328</v>
      </c>
    </row>
    <row r="168" spans="7:11" ht="15.5">
      <c r="G168" s="1346"/>
      <c r="H168" s="1507" t="s">
        <v>1312</v>
      </c>
      <c r="I168" s="1508">
        <v>0</v>
      </c>
      <c r="J168" s="1509">
        <v>0</v>
      </c>
      <c r="K168" s="214" t="s">
        <v>1327</v>
      </c>
    </row>
    <row r="169" spans="7:11" ht="15.5">
      <c r="G169" s="1346"/>
      <c r="H169" s="1507" t="s">
        <v>1313</v>
      </c>
      <c r="I169" s="1508">
        <v>0</v>
      </c>
      <c r="J169" s="1509">
        <v>0</v>
      </c>
      <c r="K169" s="214" t="s">
        <v>1327</v>
      </c>
    </row>
    <row r="170" spans="7:11" ht="15.5">
      <c r="G170" s="1344"/>
      <c r="H170" s="1507" t="s">
        <v>1316</v>
      </c>
      <c r="I170" s="1508">
        <v>0</v>
      </c>
      <c r="J170" s="1509">
        <v>0</v>
      </c>
      <c r="K170" s="214" t="s">
        <v>1329</v>
      </c>
    </row>
    <row r="171" spans="7:11" ht="15.5">
      <c r="G171" s="1345" t="s">
        <v>1321</v>
      </c>
      <c r="H171" s="1510"/>
      <c r="I171" s="1512">
        <v>0</v>
      </c>
      <c r="J171" s="1513">
        <v>0</v>
      </c>
      <c r="K171" s="214" t="s">
        <v>754</v>
      </c>
    </row>
    <row r="172" spans="7:11" ht="15.5">
      <c r="G172" s="1347" t="s">
        <v>709</v>
      </c>
      <c r="H172" s="1511"/>
      <c r="I172" s="1514">
        <f>I112+I145+I165+I171</f>
        <v>204431</v>
      </c>
      <c r="J172" s="1514">
        <f>J112+J145+J165+J171</f>
        <v>6944140.1100000003</v>
      </c>
      <c r="K172" s="214" t="s">
        <v>1330</v>
      </c>
    </row>
  </sheetData>
  <mergeCells count="1">
    <mergeCell ref="D7:E7"/>
  </mergeCells>
  <printOptions horizontalCentered="1"/>
  <pageMargins left="1" right="1" top="1" bottom="1" header="0.5" footer="0.5"/>
  <pageSetup scale="35" orientation="portrait" blackAndWhite="1" r:id="rId1"/>
  <headerFooter alignWithMargins="0"/>
  <rowBreaks count="1" manualBreakCount="1">
    <brk id="52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0">
    <pageSetUpPr fitToPage="1"/>
  </sheetPr>
  <dimension ref="A1:M77"/>
  <sheetViews>
    <sheetView workbookViewId="0">
      <selection activeCell="C15" sqref="C15"/>
    </sheetView>
  </sheetViews>
  <sheetFormatPr defaultColWidth="8.765625" defaultRowHeight="14.5"/>
  <cols>
    <col min="1" max="1" width="19.765625" style="1461" customWidth="1"/>
    <col min="2" max="2" width="12.765625" style="1461" customWidth="1"/>
    <col min="3" max="3" width="14.765625" style="1461" bestFit="1" customWidth="1"/>
    <col min="4" max="4" width="13" style="1461" bestFit="1" customWidth="1"/>
    <col min="5" max="6" width="1.765625" style="1461" customWidth="1"/>
    <col min="7" max="9" width="8.765625" style="1461"/>
    <col min="10" max="10" width="5.765625" style="1461" customWidth="1"/>
    <col min="11" max="11" width="13.53515625" style="1461" customWidth="1"/>
    <col min="12" max="12" width="7.53515625" style="1461" customWidth="1"/>
    <col min="13" max="16384" width="8.765625" style="1461"/>
  </cols>
  <sheetData>
    <row r="1" spans="1:13">
      <c r="A1" s="195" t="str">
        <f>co_name</f>
        <v>DUKE ENERGY KENTUCKY, INC.</v>
      </c>
      <c r="B1" s="285"/>
      <c r="C1" s="285"/>
      <c r="D1" s="187"/>
      <c r="E1" s="188"/>
      <c r="F1" s="189"/>
      <c r="G1" s="189"/>
      <c r="I1" s="285"/>
      <c r="L1" s="10" t="s">
        <v>1465</v>
      </c>
    </row>
    <row r="2" spans="1:13">
      <c r="A2" s="195" t="str">
        <f>coss_type</f>
        <v xml:space="preserve">GAS COST OF SERVICE STUDY </v>
      </c>
      <c r="B2" s="285"/>
      <c r="C2" s="285"/>
      <c r="D2" s="286"/>
      <c r="E2" s="188"/>
      <c r="F2" s="189"/>
      <c r="G2" s="189"/>
      <c r="I2" s="285"/>
      <c r="L2" s="10" t="str">
        <f>'Alloc Factors Summary'!G2</f>
        <v>Witness Responsible:</v>
      </c>
    </row>
    <row r="3" spans="1:13">
      <c r="A3" s="195" t="str">
        <f>case_name</f>
        <v>CASE NO: 2021-00190</v>
      </c>
      <c r="B3" s="285"/>
      <c r="C3" s="285"/>
      <c r="D3" s="285"/>
      <c r="E3" s="188"/>
      <c r="F3" s="189"/>
      <c r="G3" s="189"/>
      <c r="I3" s="285"/>
      <c r="L3" s="10" t="str">
        <f>'Alloc Factors Summary'!G3</f>
        <v>James E. Ziolkowski</v>
      </c>
    </row>
    <row r="4" spans="1:13">
      <c r="A4" s="10" t="str">
        <f>alloc_factors</f>
        <v>ALLOCATION FACTORS FOR COST OF SERVICE STUDY</v>
      </c>
      <c r="B4" s="285"/>
      <c r="C4" s="285"/>
      <c r="D4" s="285"/>
      <c r="E4" s="188"/>
      <c r="F4" s="189"/>
      <c r="G4" s="189"/>
      <c r="I4" s="285"/>
      <c r="L4" s="10" t="s">
        <v>601</v>
      </c>
    </row>
    <row r="5" spans="1:13">
      <c r="A5" s="10" t="str">
        <f>time_period</f>
        <v>TWELVE MONTHS ENDING DECEMBER 31, 2020</v>
      </c>
      <c r="B5" s="285"/>
      <c r="C5" s="285"/>
      <c r="D5" s="187"/>
      <c r="E5" s="188"/>
      <c r="F5" s="189"/>
      <c r="G5" s="189"/>
      <c r="I5" s="285"/>
      <c r="L5" s="1274">
        <f ca="1">TODAY()</f>
        <v>44420</v>
      </c>
    </row>
    <row r="6" spans="1:13">
      <c r="A6" s="1265" t="s">
        <v>1332</v>
      </c>
      <c r="B6" s="285"/>
      <c r="C6" s="285"/>
      <c r="D6" s="187"/>
      <c r="E6" s="188"/>
      <c r="F6" s="189"/>
      <c r="G6" s="189"/>
      <c r="H6" s="285"/>
      <c r="I6" s="285"/>
    </row>
    <row r="8" spans="1:13">
      <c r="A8" s="1523" t="s">
        <v>1491</v>
      </c>
      <c r="B8" s="1517" t="s">
        <v>1489</v>
      </c>
      <c r="C8" s="1524" t="s">
        <v>1490</v>
      </c>
      <c r="D8" s="1462"/>
      <c r="I8" s="187"/>
      <c r="J8" s="285"/>
      <c r="K8" s="1001" t="s">
        <v>1129</v>
      </c>
      <c r="L8" s="1001"/>
      <c r="M8" s="1001" t="s">
        <v>902</v>
      </c>
    </row>
    <row r="9" spans="1:13">
      <c r="A9" s="1518" t="s">
        <v>1423</v>
      </c>
      <c r="B9" s="1521">
        <v>1380153.2899998808</v>
      </c>
      <c r="C9" s="1519">
        <v>6057</v>
      </c>
      <c r="D9" s="1462"/>
      <c r="I9" s="190" t="s">
        <v>801</v>
      </c>
      <c r="J9" s="285"/>
      <c r="K9" s="191" t="s">
        <v>1130</v>
      </c>
      <c r="L9" s="191"/>
      <c r="M9" s="191" t="s">
        <v>1130</v>
      </c>
    </row>
    <row r="10" spans="1:13">
      <c r="A10" s="1466" t="s">
        <v>1424</v>
      </c>
      <c r="B10" s="1522">
        <v>341322.65999999957</v>
      </c>
      <c r="C10" s="1520">
        <v>567</v>
      </c>
      <c r="D10" s="1464"/>
      <c r="G10" s="285"/>
      <c r="H10" s="285"/>
      <c r="I10" s="1232"/>
      <c r="J10" s="1004"/>
      <c r="K10" s="1233"/>
      <c r="L10" s="287"/>
      <c r="M10" s="1012" t="s">
        <v>562</v>
      </c>
    </row>
    <row r="11" spans="1:13">
      <c r="A11" s="1466" t="s">
        <v>1425</v>
      </c>
      <c r="B11" s="1522">
        <v>63705</v>
      </c>
      <c r="C11" s="1520">
        <v>93</v>
      </c>
      <c r="D11" s="1464"/>
      <c r="G11" s="285" t="s">
        <v>766</v>
      </c>
      <c r="H11" s="285"/>
      <c r="I11" s="1232">
        <f>C49+H25</f>
        <v>97663</v>
      </c>
      <c r="J11" s="1004"/>
      <c r="K11" s="1010">
        <f>B49+M25</f>
        <v>6936502.8899897523</v>
      </c>
      <c r="L11" s="288"/>
      <c r="M11" s="1467">
        <f>K11/K15</f>
        <v>0.80071795390462108</v>
      </c>
    </row>
    <row r="12" spans="1:13">
      <c r="A12" s="1466" t="s">
        <v>1426</v>
      </c>
      <c r="B12" s="1522">
        <v>88717.440000000235</v>
      </c>
      <c r="C12" s="1520">
        <v>168</v>
      </c>
      <c r="D12" s="1464"/>
      <c r="G12" s="1004" t="s">
        <v>1256</v>
      </c>
      <c r="H12" s="1004"/>
      <c r="I12" s="1232">
        <f>C9+H21</f>
        <v>7610</v>
      </c>
      <c r="J12" s="1004"/>
      <c r="K12" s="1010">
        <f>B9+M21</f>
        <v>1462990.3099998808</v>
      </c>
      <c r="L12" s="1010"/>
      <c r="M12" s="1467">
        <f>K12/K15</f>
        <v>0.16888086492343729</v>
      </c>
    </row>
    <row r="13" spans="1:13">
      <c r="A13" s="1466" t="s">
        <v>1427</v>
      </c>
      <c r="B13" s="1522">
        <v>8775</v>
      </c>
      <c r="C13" s="1520">
        <v>13</v>
      </c>
      <c r="D13" s="1464"/>
      <c r="G13" s="1004" t="s">
        <v>974</v>
      </c>
      <c r="H13" s="1004"/>
      <c r="I13" s="1232">
        <f>C33+C42+H22+H23</f>
        <v>109</v>
      </c>
      <c r="J13" s="1004"/>
      <c r="K13" s="1010">
        <f>B33+B42+M22+M23</f>
        <v>159983</v>
      </c>
      <c r="L13" s="1010"/>
      <c r="M13" s="1467">
        <f>K13/K15</f>
        <v>1.8467700864709398E-2</v>
      </c>
    </row>
    <row r="14" spans="1:13">
      <c r="A14" s="1466" t="s">
        <v>1428</v>
      </c>
      <c r="B14" s="1522">
        <v>91800</v>
      </c>
      <c r="C14" s="1520">
        <v>136</v>
      </c>
      <c r="D14" s="1464"/>
      <c r="G14" s="210" t="s">
        <v>563</v>
      </c>
      <c r="H14" s="285"/>
      <c r="I14" s="1232">
        <f>C45+H24</f>
        <v>23</v>
      </c>
      <c r="J14" s="1004"/>
      <c r="K14" s="1010">
        <f>B45+M24</f>
        <v>103378</v>
      </c>
      <c r="L14" s="288"/>
      <c r="M14" s="1467">
        <f>K14/K15</f>
        <v>1.1933480307232194E-2</v>
      </c>
    </row>
    <row r="15" spans="1:13" ht="15" thickBot="1">
      <c r="A15" s="1466" t="s">
        <v>1429</v>
      </c>
      <c r="B15" s="1522">
        <v>37278</v>
      </c>
      <c r="C15" s="1520">
        <v>19</v>
      </c>
      <c r="D15" s="1464"/>
      <c r="G15" s="285" t="s">
        <v>229</v>
      </c>
      <c r="H15" s="285"/>
      <c r="I15" s="289">
        <f>SUM(I11:I14)</f>
        <v>105405</v>
      </c>
      <c r="J15" s="1011"/>
      <c r="K15" s="1525">
        <f>SUM(K11:K14)</f>
        <v>8662854.1999896336</v>
      </c>
      <c r="L15" s="288"/>
      <c r="M15" s="1468">
        <f>SUM(M11:M14)</f>
        <v>1</v>
      </c>
    </row>
    <row r="16" spans="1:13" ht="15" thickTop="1">
      <c r="A16" s="1466" t="s">
        <v>1430</v>
      </c>
      <c r="B16" s="1522">
        <v>11200</v>
      </c>
      <c r="C16" s="1520">
        <v>10</v>
      </c>
      <c r="D16" s="1464"/>
    </row>
    <row r="17" spans="1:13">
      <c r="A17" s="1466" t="s">
        <v>1431</v>
      </c>
      <c r="B17" s="1522">
        <v>24417</v>
      </c>
      <c r="C17" s="1520">
        <v>9</v>
      </c>
      <c r="D17" s="1464"/>
    </row>
    <row r="18" spans="1:13">
      <c r="A18" s="1466" t="s">
        <v>1432</v>
      </c>
      <c r="B18" s="1522">
        <v>103135.20000000147</v>
      </c>
      <c r="C18" s="1520">
        <v>980</v>
      </c>
      <c r="D18" s="1464"/>
      <c r="G18" s="1523" t="s">
        <v>1492</v>
      </c>
      <c r="H18" s="1523"/>
      <c r="I18" s="1523"/>
    </row>
    <row r="19" spans="1:13">
      <c r="A19" s="1466" t="s">
        <v>1433</v>
      </c>
      <c r="B19" s="1522">
        <v>14978.140000000018</v>
      </c>
      <c r="C19" s="1520">
        <v>146</v>
      </c>
      <c r="D19" s="1464"/>
      <c r="G19" s="1527" t="s">
        <v>1493</v>
      </c>
      <c r="H19" s="1527"/>
      <c r="I19" s="1527"/>
      <c r="K19" s="1527" t="s">
        <v>1496</v>
      </c>
      <c r="M19" s="1529" t="s">
        <v>895</v>
      </c>
    </row>
    <row r="20" spans="1:13">
      <c r="A20" s="1466" t="s">
        <v>1434</v>
      </c>
      <c r="B20" s="1522">
        <v>32251.750000000076</v>
      </c>
      <c r="C20" s="1520">
        <v>575</v>
      </c>
      <c r="D20" s="1464"/>
      <c r="G20" s="1461" t="s">
        <v>1494</v>
      </c>
      <c r="H20" s="1520">
        <v>4</v>
      </c>
      <c r="K20" s="1528"/>
    </row>
    <row r="21" spans="1:13">
      <c r="A21" s="1466" t="s">
        <v>1435</v>
      </c>
      <c r="B21" s="1522">
        <v>4530.9700000000057</v>
      </c>
      <c r="C21" s="1520">
        <v>83</v>
      </c>
      <c r="D21" s="1464"/>
      <c r="G21" s="1461" t="s">
        <v>1256</v>
      </c>
      <c r="H21" s="1520">
        <v>1553</v>
      </c>
      <c r="K21" s="1528">
        <v>53.34</v>
      </c>
      <c r="M21" s="1522">
        <f>H21*K21</f>
        <v>82837.02</v>
      </c>
    </row>
    <row r="22" spans="1:13">
      <c r="A22" s="1466" t="s">
        <v>1436</v>
      </c>
      <c r="B22" s="1522">
        <v>111693.95999999491</v>
      </c>
      <c r="C22" s="1520">
        <v>2094</v>
      </c>
      <c r="D22" s="1464"/>
      <c r="G22" s="1461" t="s">
        <v>1495</v>
      </c>
      <c r="H22" s="1520">
        <v>83</v>
      </c>
      <c r="K22" s="1528">
        <v>1120</v>
      </c>
      <c r="M22" s="1522">
        <f t="shared" ref="M22:M25" si="0">H22*K22</f>
        <v>92960</v>
      </c>
    </row>
    <row r="23" spans="1:13">
      <c r="A23" s="1466" t="s">
        <v>1437</v>
      </c>
      <c r="B23" s="1522">
        <v>15749</v>
      </c>
      <c r="C23" s="1520">
        <v>2</v>
      </c>
      <c r="D23" s="1464"/>
      <c r="G23" s="1461" t="s">
        <v>1448</v>
      </c>
      <c r="H23" s="1520">
        <v>6</v>
      </c>
      <c r="K23" s="1528">
        <v>1120</v>
      </c>
      <c r="M23" s="1522">
        <f t="shared" si="0"/>
        <v>6720</v>
      </c>
    </row>
    <row r="24" spans="1:13">
      <c r="A24" s="1466" t="s">
        <v>1438</v>
      </c>
      <c r="B24" s="1522">
        <v>104160</v>
      </c>
      <c r="C24" s="1520">
        <v>93</v>
      </c>
      <c r="D24" s="1464"/>
      <c r="G24" s="1461" t="s">
        <v>1449</v>
      </c>
      <c r="H24" s="1520">
        <v>20</v>
      </c>
      <c r="K24" s="1528">
        <v>4079</v>
      </c>
      <c r="M24" s="1522">
        <f t="shared" si="0"/>
        <v>81580</v>
      </c>
    </row>
    <row r="25" spans="1:13" ht="16">
      <c r="A25" s="1466" t="s">
        <v>1439</v>
      </c>
      <c r="B25" s="1522">
        <v>8158</v>
      </c>
      <c r="C25" s="1520">
        <v>2</v>
      </c>
      <c r="D25" s="1464"/>
      <c r="G25" s="1461" t="s">
        <v>766</v>
      </c>
      <c r="H25" s="1526">
        <v>9437</v>
      </c>
      <c r="K25" s="1528">
        <v>53.34</v>
      </c>
      <c r="M25" s="1530">
        <f t="shared" si="0"/>
        <v>503369.58</v>
      </c>
    </row>
    <row r="26" spans="1:13">
      <c r="A26" s="1466" t="s">
        <v>1440</v>
      </c>
      <c r="B26" s="1522">
        <v>46330.829999999805</v>
      </c>
      <c r="C26" s="1520">
        <v>273</v>
      </c>
      <c r="D26" s="1464"/>
      <c r="H26" s="1520">
        <f>SUM(H20:H25)</f>
        <v>11103</v>
      </c>
      <c r="K26" s="1522"/>
      <c r="M26" s="1522">
        <f>SUM(M21:M25)</f>
        <v>767466.60000000009</v>
      </c>
    </row>
    <row r="27" spans="1:13">
      <c r="A27" s="1466" t="s">
        <v>1441</v>
      </c>
      <c r="B27" s="1522">
        <v>1190</v>
      </c>
      <c r="C27" s="1520">
        <v>7</v>
      </c>
      <c r="D27" s="1464"/>
    </row>
    <row r="28" spans="1:13">
      <c r="A28" s="1466" t="s">
        <v>1442</v>
      </c>
      <c r="B28" s="1522">
        <v>24726.839999999884</v>
      </c>
      <c r="C28" s="1520">
        <v>204</v>
      </c>
      <c r="D28" s="1464"/>
    </row>
    <row r="29" spans="1:13">
      <c r="A29" s="1466" t="s">
        <v>1443</v>
      </c>
      <c r="B29" s="1522">
        <v>77880</v>
      </c>
      <c r="C29" s="1520">
        <v>472</v>
      </c>
      <c r="D29" s="1464"/>
    </row>
    <row r="30" spans="1:13">
      <c r="A30" s="1466" t="s">
        <v>1444</v>
      </c>
      <c r="B30" s="1522">
        <v>9844.5</v>
      </c>
      <c r="C30" s="1520">
        <v>1</v>
      </c>
      <c r="D30" s="1464"/>
    </row>
    <row r="31" spans="1:13">
      <c r="A31" s="1466" t="s">
        <v>1445</v>
      </c>
      <c r="B31" s="1522">
        <v>95557</v>
      </c>
      <c r="C31" s="1520">
        <v>73</v>
      </c>
      <c r="D31" s="1464"/>
    </row>
    <row r="32" spans="1:13">
      <c r="A32" s="1466" t="s">
        <v>1446</v>
      </c>
      <c r="B32" s="1522">
        <v>62752</v>
      </c>
      <c r="C32" s="1520">
        <v>37</v>
      </c>
      <c r="D32" s="1464"/>
    </row>
    <row r="33" spans="1:4">
      <c r="A33" s="1518" t="s">
        <v>1447</v>
      </c>
      <c r="B33" s="1521">
        <v>52721</v>
      </c>
      <c r="C33" s="1519">
        <v>16</v>
      </c>
      <c r="D33" s="1462"/>
    </row>
    <row r="34" spans="1:4">
      <c r="A34" s="1466" t="s">
        <v>1430</v>
      </c>
      <c r="B34" s="1522">
        <v>2240</v>
      </c>
      <c r="C34" s="1520">
        <v>2</v>
      </c>
      <c r="D34" s="1464"/>
    </row>
    <row r="35" spans="1:4">
      <c r="A35" s="1466" t="s">
        <v>1431</v>
      </c>
      <c r="B35" s="1522">
        <v>5426</v>
      </c>
      <c r="C35" s="1520">
        <v>2</v>
      </c>
      <c r="D35" s="1464"/>
    </row>
    <row r="36" spans="1:4">
      <c r="A36" s="1466" t="s">
        <v>1437</v>
      </c>
      <c r="B36" s="1522">
        <v>7874.5</v>
      </c>
      <c r="C36" s="1520">
        <v>1</v>
      </c>
      <c r="D36" s="1464"/>
    </row>
    <row r="37" spans="1:4">
      <c r="A37" s="1463" t="s">
        <v>1438</v>
      </c>
      <c r="B37" s="1522">
        <v>2240</v>
      </c>
      <c r="C37" s="1520">
        <v>2</v>
      </c>
      <c r="D37" s="1464"/>
    </row>
    <row r="38" spans="1:4">
      <c r="A38" s="1466" t="s">
        <v>1439</v>
      </c>
      <c r="B38" s="1522">
        <v>20395</v>
      </c>
      <c r="C38" s="1520">
        <v>5</v>
      </c>
      <c r="D38" s="1464"/>
    </row>
    <row r="39" spans="1:4">
      <c r="A39" s="1466" t="s">
        <v>1444</v>
      </c>
      <c r="B39" s="1522">
        <v>9844.5</v>
      </c>
      <c r="C39" s="1520">
        <v>1</v>
      </c>
      <c r="D39" s="1464"/>
    </row>
    <row r="40" spans="1:4">
      <c r="A40" s="1466" t="s">
        <v>1445</v>
      </c>
      <c r="B40" s="1522">
        <v>1309</v>
      </c>
      <c r="C40" s="1520">
        <v>1</v>
      </c>
      <c r="D40" s="1464"/>
    </row>
    <row r="41" spans="1:4">
      <c r="A41" s="1466" t="s">
        <v>1446</v>
      </c>
      <c r="B41" s="1522">
        <v>3392</v>
      </c>
      <c r="C41" s="1520">
        <v>2</v>
      </c>
      <c r="D41" s="1464"/>
    </row>
    <row r="42" spans="1:4">
      <c r="A42" s="1518" t="s">
        <v>1448</v>
      </c>
      <c r="B42" s="1521">
        <v>7582</v>
      </c>
      <c r="C42" s="1519">
        <v>4</v>
      </c>
      <c r="D42" s="1462"/>
    </row>
    <row r="43" spans="1:4">
      <c r="A43" s="1466" t="s">
        <v>1429</v>
      </c>
      <c r="B43" s="1522">
        <v>5886</v>
      </c>
      <c r="C43" s="1520">
        <v>3</v>
      </c>
      <c r="D43" s="1464"/>
    </row>
    <row r="44" spans="1:4">
      <c r="A44" s="1466" t="s">
        <v>1446</v>
      </c>
      <c r="B44" s="1522">
        <v>1696</v>
      </c>
      <c r="C44" s="1520">
        <v>1</v>
      </c>
      <c r="D44" s="1464"/>
    </row>
    <row r="45" spans="1:4">
      <c r="A45" s="1518" t="s">
        <v>1449</v>
      </c>
      <c r="B45" s="1521">
        <v>21798</v>
      </c>
      <c r="C45" s="1519">
        <v>3</v>
      </c>
      <c r="D45" s="1462"/>
    </row>
    <row r="46" spans="1:4">
      <c r="A46" s="1466" t="s">
        <v>1437</v>
      </c>
      <c r="B46" s="1522">
        <v>7874.5</v>
      </c>
      <c r="C46" s="1520">
        <v>1</v>
      </c>
      <c r="D46" s="1464"/>
    </row>
    <row r="47" spans="1:4">
      <c r="A47" s="1466" t="s">
        <v>1439</v>
      </c>
      <c r="B47" s="1522">
        <v>4079</v>
      </c>
      <c r="C47" s="1520">
        <v>1</v>
      </c>
      <c r="D47" s="1464"/>
    </row>
    <row r="48" spans="1:4">
      <c r="A48" s="1466" t="s">
        <v>1444</v>
      </c>
      <c r="B48" s="1522">
        <v>9844.5</v>
      </c>
      <c r="C48" s="1520">
        <v>1</v>
      </c>
      <c r="D48" s="1464"/>
    </row>
    <row r="49" spans="1:7">
      <c r="A49" s="1518" t="s">
        <v>1450</v>
      </c>
      <c r="B49" s="1521">
        <v>6433133.3099897522</v>
      </c>
      <c r="C49" s="1519">
        <v>88226</v>
      </c>
      <c r="D49" s="1462"/>
    </row>
    <row r="50" spans="1:7">
      <c r="A50" s="1463" t="s">
        <v>1424</v>
      </c>
      <c r="B50" s="1522">
        <v>54780.180000000095</v>
      </c>
      <c r="C50" s="1520">
        <v>91</v>
      </c>
      <c r="D50" s="1464"/>
    </row>
    <row r="51" spans="1:7">
      <c r="A51" s="1466" t="s">
        <v>1425</v>
      </c>
      <c r="B51" s="1522">
        <v>6850</v>
      </c>
      <c r="C51" s="1520">
        <v>10</v>
      </c>
      <c r="D51" s="1464"/>
    </row>
    <row r="52" spans="1:7">
      <c r="A52" s="1463" t="s">
        <v>1426</v>
      </c>
      <c r="B52" s="1522">
        <v>13730.08</v>
      </c>
      <c r="C52" s="1520">
        <v>26</v>
      </c>
      <c r="D52" s="1464"/>
    </row>
    <row r="53" spans="1:7">
      <c r="A53" s="1466" t="s">
        <v>1427</v>
      </c>
      <c r="B53" s="1522">
        <v>3375</v>
      </c>
      <c r="C53" s="1520">
        <v>5</v>
      </c>
      <c r="D53" s="1464"/>
    </row>
    <row r="54" spans="1:7">
      <c r="A54" s="1466" t="s">
        <v>1428</v>
      </c>
      <c r="B54" s="1522">
        <v>14850</v>
      </c>
      <c r="C54" s="1520">
        <v>22</v>
      </c>
      <c r="D54" s="1464"/>
    </row>
    <row r="55" spans="1:7">
      <c r="A55" s="1466" t="s">
        <v>1430</v>
      </c>
      <c r="B55" s="1522">
        <v>1120</v>
      </c>
      <c r="C55" s="1520">
        <v>1</v>
      </c>
      <c r="D55" s="1464"/>
    </row>
    <row r="56" spans="1:7">
      <c r="A56" s="1466" t="s">
        <v>1432</v>
      </c>
      <c r="B56" s="1522">
        <v>2039972.1599998341</v>
      </c>
      <c r="C56" s="1520">
        <v>19384</v>
      </c>
      <c r="D56" s="1464"/>
    </row>
    <row r="57" spans="1:7">
      <c r="A57" s="1463" t="s">
        <v>1433</v>
      </c>
      <c r="B57" s="1522">
        <v>1038313.3899998943</v>
      </c>
      <c r="C57" s="1520">
        <v>10121</v>
      </c>
      <c r="D57" s="1464"/>
    </row>
    <row r="58" spans="1:7">
      <c r="A58" s="1466" t="s">
        <v>1434</v>
      </c>
      <c r="B58" s="1522">
        <v>1035309.2199998086</v>
      </c>
      <c r="C58" s="1520">
        <v>18458</v>
      </c>
      <c r="D58" s="1464"/>
    </row>
    <row r="59" spans="1:7">
      <c r="A59" s="1466" t="s">
        <v>1435</v>
      </c>
      <c r="B59" s="1522">
        <v>140350.8899999932</v>
      </c>
      <c r="C59" s="1520">
        <v>2571</v>
      </c>
      <c r="D59" s="1464"/>
      <c r="G59" s="1464"/>
    </row>
    <row r="60" spans="1:7">
      <c r="A60" s="1466" t="s">
        <v>1436</v>
      </c>
      <c r="B60" s="1522">
        <v>1969632.8400012378</v>
      </c>
      <c r="C60" s="1520">
        <v>36926</v>
      </c>
      <c r="D60" s="1464"/>
    </row>
    <row r="61" spans="1:7">
      <c r="A61" s="1466" t="s">
        <v>1438</v>
      </c>
      <c r="B61" s="1522">
        <v>11200</v>
      </c>
      <c r="C61" s="1520">
        <v>10</v>
      </c>
      <c r="D61" s="1464"/>
    </row>
    <row r="62" spans="1:7">
      <c r="A62" s="1466" t="s">
        <v>1440</v>
      </c>
      <c r="B62" s="1522">
        <v>36827.069999999854</v>
      </c>
      <c r="C62" s="1520">
        <v>217</v>
      </c>
      <c r="D62" s="1464"/>
    </row>
    <row r="63" spans="1:7">
      <c r="A63" s="1466" t="s">
        <v>1441</v>
      </c>
      <c r="B63" s="1522">
        <v>2210</v>
      </c>
      <c r="C63" s="1520">
        <v>13</v>
      </c>
      <c r="D63" s="1464"/>
    </row>
    <row r="64" spans="1:7">
      <c r="A64" s="1466" t="s">
        <v>1442</v>
      </c>
      <c r="B64" s="1522">
        <v>10666.479999999983</v>
      </c>
      <c r="C64" s="1520">
        <v>88</v>
      </c>
      <c r="D64" s="1464"/>
    </row>
    <row r="65" spans="1:4">
      <c r="A65" s="1466" t="s">
        <v>1443</v>
      </c>
      <c r="B65" s="1522">
        <v>45705</v>
      </c>
      <c r="C65" s="1520">
        <v>277</v>
      </c>
      <c r="D65" s="1464"/>
    </row>
    <row r="66" spans="1:4">
      <c r="A66" s="1466" t="s">
        <v>1445</v>
      </c>
      <c r="B66" s="1522">
        <v>6545</v>
      </c>
      <c r="C66" s="1520">
        <v>5</v>
      </c>
      <c r="D66" s="1464"/>
    </row>
    <row r="67" spans="1:4">
      <c r="A67" s="1466" t="s">
        <v>1446</v>
      </c>
      <c r="B67" s="1522">
        <v>1696</v>
      </c>
      <c r="C67" s="1520">
        <v>1</v>
      </c>
      <c r="D67" s="1464"/>
    </row>
    <row r="68" spans="1:4">
      <c r="A68" s="1518" t="s">
        <v>709</v>
      </c>
      <c r="B68" s="1521">
        <v>7895387.5999928638</v>
      </c>
      <c r="C68" s="1519">
        <v>94306</v>
      </c>
      <c r="D68" s="1462"/>
    </row>
    <row r="69" spans="1:4">
      <c r="A69" s="1466"/>
      <c r="B69" s="1464"/>
      <c r="C69" s="1465"/>
      <c r="D69" s="1464"/>
    </row>
    <row r="70" spans="1:4">
      <c r="A70" s="1466"/>
      <c r="B70" s="1464"/>
      <c r="C70" s="1465"/>
      <c r="D70" s="1464"/>
    </row>
    <row r="71" spans="1:4">
      <c r="A71" s="1466"/>
      <c r="B71" s="1464"/>
      <c r="C71" s="1465"/>
      <c r="D71" s="1464"/>
    </row>
    <row r="72" spans="1:4">
      <c r="A72" s="1466"/>
      <c r="B72" s="1464"/>
      <c r="C72" s="1465"/>
      <c r="D72" s="1464"/>
    </row>
    <row r="73" spans="1:4">
      <c r="A73" s="1466"/>
      <c r="B73" s="1464"/>
      <c r="C73" s="1465"/>
      <c r="D73" s="1464"/>
    </row>
    <row r="74" spans="1:4">
      <c r="A74" s="1466"/>
      <c r="B74" s="1464"/>
      <c r="C74" s="1465"/>
      <c r="D74" s="1464"/>
    </row>
    <row r="75" spans="1:4">
      <c r="A75" s="1463"/>
      <c r="B75" s="1464"/>
      <c r="C75" s="1465"/>
      <c r="D75" s="1464"/>
    </row>
    <row r="76" spans="1:4">
      <c r="A76" s="1466"/>
      <c r="B76" s="1464"/>
      <c r="C76" s="1465"/>
    </row>
    <row r="77" spans="1:4">
      <c r="A77" s="1463"/>
      <c r="B77" s="1464"/>
      <c r="C77" s="1465"/>
    </row>
  </sheetData>
  <pageMargins left="0.7" right="0.7" top="0.75" bottom="0.75" header="0.3" footer="0.3"/>
  <pageSetup scale="5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6">
    <tabColor rgb="FF92D050"/>
    <pageSetUpPr fitToPage="1"/>
  </sheetPr>
  <dimension ref="A1:G102"/>
  <sheetViews>
    <sheetView zoomScale="70" zoomScaleNormal="70" workbookViewId="0">
      <selection activeCell="C28" sqref="C28"/>
    </sheetView>
  </sheetViews>
  <sheetFormatPr defaultColWidth="14.23046875" defaultRowHeight="12.5"/>
  <cols>
    <col min="1" max="16384" width="14.23046875" style="215"/>
  </cols>
  <sheetData>
    <row r="1" spans="1:7" s="25" customFormat="1" ht="13">
      <c r="A1" s="195" t="str">
        <f>co_name</f>
        <v>DUKE ENERGY KENTUCKY, INC.</v>
      </c>
      <c r="B1" s="10"/>
      <c r="C1" s="10"/>
      <c r="D1" s="10"/>
      <c r="F1" s="223" t="s">
        <v>1465</v>
      </c>
      <c r="G1" s="10"/>
    </row>
    <row r="2" spans="1:7" s="25" customFormat="1" ht="13">
      <c r="A2" s="195" t="str">
        <f>coss_type</f>
        <v xml:space="preserve">GAS COST OF SERVICE STUDY </v>
      </c>
      <c r="B2" s="10"/>
      <c r="D2" s="10"/>
      <c r="F2" s="223" t="str">
        <f>'Alloc Factors Summary'!G2</f>
        <v>Witness Responsible:</v>
      </c>
      <c r="G2" s="10"/>
    </row>
    <row r="3" spans="1:7" s="25" customFormat="1" ht="13">
      <c r="A3" s="195" t="str">
        <f>case_name</f>
        <v>CASE NO: 2021-00190</v>
      </c>
      <c r="B3" s="10"/>
      <c r="C3" s="10"/>
      <c r="D3" s="10"/>
      <c r="F3" s="223" t="str">
        <f>'Alloc Factors Summary'!G3</f>
        <v>James E. Ziolkowski</v>
      </c>
      <c r="G3" s="10"/>
    </row>
    <row r="4" spans="1:7" s="25" customFormat="1" ht="13">
      <c r="A4" s="10" t="str">
        <f>alloc_factors</f>
        <v>ALLOCATION FACTORS FOR COST OF SERVICE STUDY</v>
      </c>
      <c r="B4" s="10"/>
      <c r="C4" s="10"/>
      <c r="D4" s="10"/>
      <c r="F4" s="223" t="s">
        <v>601</v>
      </c>
      <c r="G4" s="10"/>
    </row>
    <row r="5" spans="1:7" s="25" customFormat="1" ht="13">
      <c r="A5" s="10" t="str">
        <f>time_period</f>
        <v>TWELVE MONTHS ENDING DECEMBER 31, 2020</v>
      </c>
      <c r="B5" s="10"/>
      <c r="C5" s="10"/>
      <c r="D5" s="10"/>
      <c r="F5" s="1274">
        <f ca="1">TODAY()</f>
        <v>44420</v>
      </c>
      <c r="G5" s="10"/>
    </row>
    <row r="6" spans="1:7" s="25" customFormat="1" ht="13">
      <c r="A6" s="197" t="s">
        <v>835</v>
      </c>
      <c r="B6" s="10"/>
      <c r="C6" s="10"/>
      <c r="D6" s="10"/>
      <c r="E6" s="10"/>
      <c r="F6" s="10"/>
      <c r="G6" s="10"/>
    </row>
    <row r="7" spans="1:7" s="25" customFormat="1" ht="13">
      <c r="A7" s="10"/>
      <c r="B7" s="10"/>
      <c r="C7" s="10"/>
      <c r="D7" s="10"/>
      <c r="E7" s="10"/>
      <c r="F7" s="10"/>
      <c r="G7" s="10"/>
    </row>
    <row r="8" spans="1:7" s="25" customFormat="1" ht="13">
      <c r="A8" s="10"/>
      <c r="B8" s="1515" t="s">
        <v>1486</v>
      </c>
      <c r="C8" s="33" t="s">
        <v>742</v>
      </c>
      <c r="D8" s="208"/>
      <c r="E8" s="208"/>
      <c r="F8" s="208"/>
      <c r="G8" s="208"/>
    </row>
    <row r="9" spans="1:7">
      <c r="A9" s="224" t="s">
        <v>802</v>
      </c>
      <c r="B9" s="1234" t="s">
        <v>958</v>
      </c>
      <c r="C9" s="1003" t="s">
        <v>766</v>
      </c>
      <c r="D9" s="1235" t="s">
        <v>1256</v>
      </c>
      <c r="E9" s="1235" t="s">
        <v>974</v>
      </c>
      <c r="F9" s="185" t="s">
        <v>370</v>
      </c>
      <c r="G9" s="185" t="s">
        <v>579</v>
      </c>
    </row>
    <row r="10" spans="1:7">
      <c r="A10" s="33"/>
      <c r="B10" s="210"/>
      <c r="C10" s="210"/>
      <c r="D10" s="210"/>
      <c r="E10" s="210"/>
    </row>
    <row r="11" spans="1:7">
      <c r="A11" s="33">
        <v>901</v>
      </c>
      <c r="B11" s="440">
        <v>199855</v>
      </c>
      <c r="C11" s="1236">
        <f t="shared" ref="C11:F21" si="0">$B11*C$29</f>
        <v>184534.61681118247</v>
      </c>
      <c r="D11" s="1236">
        <f t="shared" si="0"/>
        <v>15068.033549367188</v>
      </c>
      <c r="E11" s="1236">
        <f t="shared" si="0"/>
        <v>208.97704516981841</v>
      </c>
      <c r="F11" s="225">
        <f t="shared" si="0"/>
        <v>43.372594280528347</v>
      </c>
      <c r="G11" s="225">
        <f t="shared" ref="G11:G21" si="1">SUM(C11:F11)</f>
        <v>199855</v>
      </c>
    </row>
    <row r="12" spans="1:7">
      <c r="A12" s="33">
        <v>902</v>
      </c>
      <c r="B12" s="1237">
        <v>19162</v>
      </c>
      <c r="C12" s="388">
        <f t="shared" si="0"/>
        <v>17693.089126295956</v>
      </c>
      <c r="D12" s="388">
        <f t="shared" si="0"/>
        <v>1444.7157132569816</v>
      </c>
      <c r="E12" s="388">
        <f t="shared" si="0"/>
        <v>20.036617245223088</v>
      </c>
      <c r="F12" s="38">
        <f t="shared" si="0"/>
        <v>4.1585432018387536</v>
      </c>
      <c r="G12" s="38">
        <f t="shared" si="1"/>
        <v>19162</v>
      </c>
    </row>
    <row r="13" spans="1:7">
      <c r="A13" s="33">
        <v>903</v>
      </c>
      <c r="B13" s="1237">
        <v>2706163</v>
      </c>
      <c r="C13" s="388">
        <f t="shared" si="0"/>
        <v>2498715.329782092</v>
      </c>
      <c r="D13" s="388">
        <f t="shared" si="0"/>
        <v>204030.69662533415</v>
      </c>
      <c r="E13" s="388">
        <f t="shared" si="0"/>
        <v>2829.6812563503104</v>
      </c>
      <c r="F13" s="38">
        <f t="shared" si="0"/>
        <v>587.29233622364927</v>
      </c>
      <c r="G13" s="38">
        <f t="shared" si="1"/>
        <v>2706163</v>
      </c>
    </row>
    <row r="14" spans="1:7">
      <c r="A14" s="33">
        <v>904</v>
      </c>
      <c r="B14" s="1237">
        <v>6856</v>
      </c>
      <c r="C14" s="388">
        <f t="shared" si="0"/>
        <v>6330.4362305544873</v>
      </c>
      <c r="D14" s="388">
        <f t="shared" si="0"/>
        <v>516.90694760932399</v>
      </c>
      <c r="E14" s="388">
        <f t="shared" si="0"/>
        <v>7.1689305830941175</v>
      </c>
      <c r="F14" s="38">
        <f t="shared" si="0"/>
        <v>1.4878912530950055</v>
      </c>
      <c r="G14" s="38">
        <f t="shared" si="1"/>
        <v>6856</v>
      </c>
    </row>
    <row r="15" spans="1:7">
      <c r="A15" s="33">
        <v>907</v>
      </c>
      <c r="B15" s="1237">
        <v>0</v>
      </c>
      <c r="C15" s="388">
        <f t="shared" si="0"/>
        <v>0</v>
      </c>
      <c r="D15" s="388">
        <f t="shared" si="0"/>
        <v>0</v>
      </c>
      <c r="E15" s="388">
        <f t="shared" si="0"/>
        <v>0</v>
      </c>
      <c r="F15" s="38">
        <f t="shared" si="0"/>
        <v>0</v>
      </c>
      <c r="G15" s="38">
        <f t="shared" si="1"/>
        <v>0</v>
      </c>
    </row>
    <row r="16" spans="1:7">
      <c r="A16" s="33">
        <v>908</v>
      </c>
      <c r="B16" s="1237">
        <v>106450</v>
      </c>
      <c r="C16" s="388">
        <f t="shared" si="0"/>
        <v>98289.809909936579</v>
      </c>
      <c r="D16" s="388">
        <f t="shared" si="0"/>
        <v>8025.779546822132</v>
      </c>
      <c r="E16" s="388">
        <f t="shared" si="0"/>
        <v>111.30873112169907</v>
      </c>
      <c r="F16" s="38">
        <f t="shared" si="0"/>
        <v>23.10181211959792</v>
      </c>
      <c r="G16" s="38">
        <f t="shared" si="1"/>
        <v>106450</v>
      </c>
    </row>
    <row r="17" spans="1:7">
      <c r="A17" s="33">
        <v>909</v>
      </c>
      <c r="B17" s="1237">
        <v>1734</v>
      </c>
      <c r="C17" s="388">
        <f t="shared" si="0"/>
        <v>1601.0759077860969</v>
      </c>
      <c r="D17" s="388">
        <f t="shared" si="0"/>
        <v>130.73463348228819</v>
      </c>
      <c r="E17" s="388">
        <f t="shared" si="0"/>
        <v>1.8131455121186115</v>
      </c>
      <c r="F17" s="38">
        <f t="shared" si="0"/>
        <v>0.37631321949631558</v>
      </c>
      <c r="G17" s="38">
        <f t="shared" si="1"/>
        <v>1734</v>
      </c>
    </row>
    <row r="18" spans="1:7">
      <c r="A18" s="33">
        <v>910</v>
      </c>
      <c r="B18" s="1237">
        <v>178182</v>
      </c>
      <c r="C18" s="388">
        <f t="shared" si="0"/>
        <v>164523.014648871</v>
      </c>
      <c r="D18" s="388">
        <f t="shared" si="0"/>
        <v>13434.001420496581</v>
      </c>
      <c r="E18" s="388">
        <f t="shared" si="0"/>
        <v>186.31481755497026</v>
      </c>
      <c r="F18" s="38">
        <f t="shared" si="0"/>
        <v>38.66911307744666</v>
      </c>
      <c r="G18" s="38">
        <f>SUM(C18:F18)</f>
        <v>178182</v>
      </c>
    </row>
    <row r="19" spans="1:7">
      <c r="A19" s="33">
        <v>911</v>
      </c>
      <c r="B19" s="1237">
        <v>0</v>
      </c>
      <c r="C19" s="388">
        <f t="shared" si="0"/>
        <v>0</v>
      </c>
      <c r="D19" s="388">
        <f t="shared" si="0"/>
        <v>0</v>
      </c>
      <c r="E19" s="388">
        <f t="shared" si="0"/>
        <v>0</v>
      </c>
      <c r="F19" s="38">
        <f t="shared" si="0"/>
        <v>0</v>
      </c>
      <c r="G19" s="38">
        <f>SUM(C19:F19)</f>
        <v>0</v>
      </c>
    </row>
    <row r="20" spans="1:7">
      <c r="A20" s="33">
        <v>912</v>
      </c>
      <c r="B20" s="1237">
        <v>243895</v>
      </c>
      <c r="C20" s="388">
        <f t="shared" si="0"/>
        <v>225198.6208359228</v>
      </c>
      <c r="D20" s="388">
        <f t="shared" si="0"/>
        <v>18388.421818432915</v>
      </c>
      <c r="E20" s="388">
        <f t="shared" si="0"/>
        <v>255.02717686168901</v>
      </c>
      <c r="F20" s="38">
        <f t="shared" si="0"/>
        <v>52.9301687826147</v>
      </c>
      <c r="G20" s="38">
        <f>SUM(C20:F20)</f>
        <v>243895.00000000003</v>
      </c>
    </row>
    <row r="21" spans="1:7">
      <c r="A21" s="33">
        <v>913</v>
      </c>
      <c r="B21" s="1237">
        <v>2601</v>
      </c>
      <c r="C21" s="388">
        <f t="shared" si="0"/>
        <v>2401.6138616791454</v>
      </c>
      <c r="D21" s="388">
        <f t="shared" si="0"/>
        <v>196.10195022343228</v>
      </c>
      <c r="E21" s="388">
        <f t="shared" si="0"/>
        <v>2.7197182681779171</v>
      </c>
      <c r="F21" s="38">
        <f t="shared" si="0"/>
        <v>0.56446982924447342</v>
      </c>
      <c r="G21" s="38">
        <f t="shared" si="1"/>
        <v>2601</v>
      </c>
    </row>
    <row r="22" spans="1:7">
      <c r="B22" s="1238"/>
      <c r="C22" s="1239"/>
      <c r="D22" s="1239"/>
      <c r="E22" s="1239"/>
      <c r="F22" s="226"/>
      <c r="G22" s="226"/>
    </row>
    <row r="23" spans="1:7">
      <c r="B23" s="440"/>
      <c r="C23" s="225">
        <f>SUM(C11:C22)</f>
        <v>3199287.6071143202</v>
      </c>
      <c r="D23" s="225">
        <f>SUM(D11:D22)</f>
        <v>261235.39220502501</v>
      </c>
      <c r="E23" s="225">
        <f>SUM(E11:E22)</f>
        <v>3623.0474386671012</v>
      </c>
      <c r="F23" s="225">
        <f>SUM(F11:F22)</f>
        <v>751.95324198751132</v>
      </c>
      <c r="G23" s="225">
        <f>SUM(G11:G22)</f>
        <v>3464898</v>
      </c>
    </row>
    <row r="24" spans="1:7">
      <c r="C24" s="37"/>
      <c r="D24" s="37"/>
      <c r="E24" s="37"/>
      <c r="F24" s="37"/>
      <c r="G24" s="37"/>
    </row>
    <row r="25" spans="1:7">
      <c r="C25" s="37"/>
      <c r="D25" s="37"/>
      <c r="E25" s="37"/>
      <c r="F25" s="37"/>
      <c r="G25" s="37"/>
    </row>
    <row r="26" spans="1:7" ht="13">
      <c r="A26" s="25"/>
      <c r="C26" s="37"/>
      <c r="D26" s="37"/>
      <c r="E26" s="37"/>
      <c r="F26" s="37"/>
      <c r="G26" s="37"/>
    </row>
    <row r="27" spans="1:7" ht="13">
      <c r="A27" s="25"/>
      <c r="C27" s="37"/>
      <c r="D27" s="37"/>
      <c r="E27" s="37"/>
      <c r="F27" s="37"/>
      <c r="G27" s="37"/>
    </row>
    <row r="28" spans="1:7" s="25" customFormat="1" ht="13">
      <c r="A28" s="215" t="s">
        <v>959</v>
      </c>
      <c r="B28" s="441"/>
      <c r="C28" s="442">
        <f>'Alloc Factors Summary'!D60</f>
        <v>93602</v>
      </c>
      <c r="D28" s="442">
        <f>'Alloc Factors Summary'!D61</f>
        <v>7643</v>
      </c>
      <c r="E28" s="442">
        <f>'Alloc Factors Summary'!D62</f>
        <v>106</v>
      </c>
      <c r="F28" s="442">
        <f>'Alloc Factors Summary'!D63</f>
        <v>22</v>
      </c>
      <c r="G28" s="442">
        <f>SUM(C28:F28)</f>
        <v>101373</v>
      </c>
    </row>
    <row r="29" spans="1:7" s="25" customFormat="1" ht="13">
      <c r="B29" s="10"/>
      <c r="C29" s="227">
        <f>C28/$G$28</f>
        <v>0.92334250737375834</v>
      </c>
      <c r="D29" s="227">
        <f>D28/$G$28</f>
        <v>7.5394828997859389E-2</v>
      </c>
      <c r="E29" s="227">
        <f>E28/$G$28</f>
        <v>1.0456433172541012E-3</v>
      </c>
      <c r="F29" s="227">
        <f>F28/$G$28</f>
        <v>2.1702031112820968E-4</v>
      </c>
      <c r="G29" s="227">
        <f>G28/$G$28</f>
        <v>1</v>
      </c>
    </row>
    <row r="30" spans="1:7" s="25" customFormat="1" ht="13">
      <c r="B30" s="10"/>
      <c r="C30" s="10"/>
      <c r="D30" s="10"/>
      <c r="E30" s="10"/>
      <c r="F30" s="10"/>
      <c r="G30" s="10"/>
    </row>
    <row r="31" spans="1:7">
      <c r="A31" s="363" t="s">
        <v>957</v>
      </c>
    </row>
    <row r="32" spans="1:7">
      <c r="A32" s="215" t="s">
        <v>1480</v>
      </c>
    </row>
    <row r="33" spans="1:7">
      <c r="A33" s="228"/>
      <c r="B33" s="228"/>
      <c r="C33" s="185"/>
      <c r="D33" s="185"/>
      <c r="E33" s="185"/>
      <c r="F33" s="185"/>
      <c r="G33" s="228"/>
    </row>
    <row r="35" spans="1:7">
      <c r="C35" s="37"/>
      <c r="D35" s="37"/>
      <c r="E35" s="37"/>
      <c r="F35" s="37"/>
      <c r="G35" s="37"/>
    </row>
    <row r="36" spans="1:7">
      <c r="C36" s="37"/>
      <c r="D36" s="37"/>
      <c r="E36" s="37"/>
      <c r="F36" s="37"/>
      <c r="G36" s="37"/>
    </row>
    <row r="37" spans="1:7">
      <c r="C37" s="37"/>
      <c r="D37" s="37"/>
      <c r="E37" s="37"/>
      <c r="F37" s="37"/>
      <c r="G37" s="37"/>
    </row>
    <row r="38" spans="1:7">
      <c r="C38" s="37"/>
      <c r="D38" s="37"/>
      <c r="E38" s="37"/>
      <c r="F38" s="37"/>
      <c r="G38" s="37"/>
    </row>
    <row r="39" spans="1:7">
      <c r="C39" s="37"/>
      <c r="D39" s="37"/>
      <c r="E39" s="37"/>
      <c r="F39" s="37"/>
      <c r="G39" s="37"/>
    </row>
    <row r="40" spans="1:7">
      <c r="C40" s="37"/>
      <c r="D40" s="37"/>
      <c r="E40" s="37"/>
      <c r="F40" s="37"/>
      <c r="G40" s="37"/>
    </row>
    <row r="41" spans="1:7">
      <c r="C41" s="37"/>
      <c r="D41" s="37"/>
      <c r="E41" s="37"/>
      <c r="F41" s="37"/>
      <c r="G41" s="37"/>
    </row>
    <row r="42" spans="1:7">
      <c r="C42" s="37"/>
      <c r="D42" s="37"/>
      <c r="E42" s="37"/>
      <c r="F42" s="37"/>
      <c r="G42" s="37"/>
    </row>
    <row r="43" spans="1:7">
      <c r="C43" s="37"/>
      <c r="D43" s="37"/>
      <c r="E43" s="37"/>
      <c r="F43" s="37"/>
      <c r="G43" s="37"/>
    </row>
    <row r="44" spans="1:7">
      <c r="C44" s="37"/>
      <c r="D44" s="37"/>
      <c r="E44" s="37"/>
      <c r="F44" s="37"/>
      <c r="G44" s="37"/>
    </row>
    <row r="45" spans="1:7">
      <c r="C45" s="37"/>
      <c r="D45" s="37"/>
      <c r="E45" s="37"/>
      <c r="F45" s="37"/>
      <c r="G45" s="37"/>
    </row>
    <row r="47" spans="1:7" ht="13">
      <c r="A47" s="10"/>
      <c r="C47" s="36"/>
      <c r="D47" s="36"/>
      <c r="E47" s="36"/>
      <c r="F47" s="36"/>
      <c r="G47" s="36"/>
    </row>
    <row r="48" spans="1:7" ht="13">
      <c r="A48" s="25"/>
      <c r="C48" s="36"/>
      <c r="D48" s="36"/>
      <c r="E48" s="36"/>
      <c r="F48" s="36"/>
      <c r="G48" s="36"/>
    </row>
    <row r="49" spans="1:7" ht="13">
      <c r="A49" s="10"/>
      <c r="C49" s="36"/>
      <c r="D49" s="36"/>
      <c r="E49" s="36"/>
      <c r="F49" s="36"/>
      <c r="G49" s="36"/>
    </row>
    <row r="50" spans="1:7" ht="13">
      <c r="A50" s="10"/>
      <c r="C50" s="36"/>
      <c r="D50" s="36"/>
      <c r="E50" s="36"/>
      <c r="F50" s="36"/>
      <c r="G50" s="36"/>
    </row>
    <row r="51" spans="1:7" ht="13">
      <c r="A51" s="10"/>
      <c r="C51" s="36"/>
      <c r="D51" s="36"/>
      <c r="E51" s="36"/>
      <c r="F51" s="36"/>
      <c r="G51" s="36"/>
    </row>
    <row r="52" spans="1:7" ht="13">
      <c r="A52" s="10"/>
      <c r="C52" s="36"/>
      <c r="D52" s="36"/>
      <c r="E52" s="36"/>
      <c r="F52" s="36"/>
      <c r="G52" s="36"/>
    </row>
    <row r="53" spans="1:7" ht="13">
      <c r="B53" s="25"/>
      <c r="C53" s="25"/>
      <c r="D53" s="25"/>
      <c r="E53" s="25"/>
    </row>
    <row r="55" spans="1:7" ht="13">
      <c r="C55" s="204"/>
      <c r="D55" s="204"/>
      <c r="E55" s="204"/>
      <c r="F55" s="204"/>
    </row>
    <row r="56" spans="1:7">
      <c r="C56" s="216"/>
      <c r="D56" s="216"/>
      <c r="E56" s="216"/>
      <c r="F56" s="229"/>
    </row>
    <row r="57" spans="1:7">
      <c r="C57" s="216"/>
      <c r="D57" s="216"/>
      <c r="E57" s="216"/>
      <c r="F57" s="229"/>
    </row>
    <row r="58" spans="1:7">
      <c r="C58" s="216"/>
      <c r="D58" s="216"/>
      <c r="E58" s="216"/>
      <c r="F58" s="229"/>
    </row>
    <row r="59" spans="1:7">
      <c r="C59" s="216"/>
      <c r="D59" s="216"/>
      <c r="E59" s="216"/>
      <c r="F59" s="229"/>
    </row>
    <row r="60" spans="1:7">
      <c r="C60" s="216"/>
      <c r="D60" s="216"/>
      <c r="E60" s="216"/>
      <c r="F60" s="229"/>
    </row>
    <row r="61" spans="1:7" ht="13" thickBot="1">
      <c r="C61" s="40"/>
      <c r="D61" s="40"/>
      <c r="E61" s="40"/>
      <c r="F61" s="230"/>
    </row>
    <row r="62" spans="1:7" ht="13" thickTop="1"/>
    <row r="63" spans="1:7" ht="13">
      <c r="B63" s="25"/>
      <c r="C63" s="25"/>
      <c r="D63" s="25"/>
      <c r="E63" s="25"/>
    </row>
    <row r="64" spans="1:7" ht="13">
      <c r="C64" s="208"/>
      <c r="D64" s="216"/>
      <c r="E64" s="216"/>
    </row>
    <row r="65" spans="2:6" ht="13">
      <c r="D65" s="204"/>
    </row>
    <row r="71" spans="2:6" ht="13" thickBot="1">
      <c r="D71" s="231"/>
    </row>
    <row r="72" spans="2:6" ht="13" thickTop="1"/>
    <row r="73" spans="2:6" ht="13">
      <c r="B73" s="25"/>
      <c r="C73" s="25"/>
      <c r="D73" s="25"/>
      <c r="E73" s="25"/>
    </row>
    <row r="75" spans="2:6" ht="13">
      <c r="C75" s="204"/>
      <c r="D75" s="204"/>
      <c r="E75" s="204"/>
      <c r="F75" s="204"/>
    </row>
    <row r="76" spans="2:6">
      <c r="C76" s="216"/>
      <c r="D76" s="216"/>
      <c r="E76" s="216"/>
      <c r="F76" s="229"/>
    </row>
    <row r="77" spans="2:6">
      <c r="C77" s="216"/>
      <c r="D77" s="216"/>
      <c r="E77" s="216"/>
      <c r="F77" s="229"/>
    </row>
    <row r="78" spans="2:6">
      <c r="C78" s="216"/>
      <c r="D78" s="216"/>
      <c r="E78" s="216"/>
      <c r="F78" s="229"/>
    </row>
    <row r="79" spans="2:6">
      <c r="C79" s="216"/>
      <c r="D79" s="216"/>
      <c r="E79" s="216"/>
      <c r="F79" s="229"/>
    </row>
    <row r="80" spans="2:6">
      <c r="C80" s="216"/>
      <c r="D80" s="216"/>
      <c r="E80" s="216"/>
      <c r="F80" s="229"/>
    </row>
    <row r="81" spans="2:6" ht="13" thickBot="1">
      <c r="C81" s="40"/>
      <c r="D81" s="40"/>
      <c r="E81" s="40"/>
      <c r="F81" s="230"/>
    </row>
    <row r="82" spans="2:6" ht="13" thickTop="1"/>
    <row r="83" spans="2:6" ht="13">
      <c r="B83" s="25"/>
      <c r="C83" s="25"/>
      <c r="D83" s="25"/>
      <c r="E83" s="25"/>
    </row>
    <row r="85" spans="2:6" ht="13">
      <c r="C85" s="204"/>
      <c r="D85" s="204"/>
      <c r="E85" s="204"/>
      <c r="F85" s="204"/>
    </row>
    <row r="86" spans="2:6">
      <c r="C86" s="216"/>
      <c r="D86" s="216"/>
      <c r="E86" s="216"/>
      <c r="F86" s="229"/>
    </row>
    <row r="87" spans="2:6">
      <c r="C87" s="216"/>
      <c r="D87" s="216"/>
      <c r="E87" s="216"/>
      <c r="F87" s="229"/>
    </row>
    <row r="88" spans="2:6">
      <c r="C88" s="216"/>
      <c r="D88" s="216"/>
      <c r="E88" s="216"/>
      <c r="F88" s="229"/>
    </row>
    <row r="89" spans="2:6">
      <c r="C89" s="216"/>
      <c r="D89" s="216"/>
      <c r="E89" s="216"/>
      <c r="F89" s="229"/>
    </row>
    <row r="90" spans="2:6">
      <c r="C90" s="216"/>
      <c r="D90" s="216"/>
      <c r="E90" s="216"/>
      <c r="F90" s="229"/>
    </row>
    <row r="91" spans="2:6" ht="13" thickBot="1">
      <c r="C91" s="40"/>
      <c r="D91" s="40"/>
      <c r="E91" s="40"/>
      <c r="F91" s="230"/>
    </row>
    <row r="92" spans="2:6" ht="13" thickTop="1"/>
    <row r="93" spans="2:6" ht="13">
      <c r="B93" s="25"/>
      <c r="C93" s="25"/>
      <c r="D93" s="25"/>
    </row>
    <row r="95" spans="2:6" ht="13">
      <c r="C95" s="204"/>
    </row>
    <row r="96" spans="2:6">
      <c r="C96" s="216"/>
    </row>
    <row r="97" spans="3:3">
      <c r="C97" s="216"/>
    </row>
    <row r="98" spans="3:3">
      <c r="C98" s="216"/>
    </row>
    <row r="99" spans="3:3">
      <c r="C99" s="216"/>
    </row>
    <row r="100" spans="3:3">
      <c r="C100" s="216"/>
    </row>
    <row r="101" spans="3:3" ht="13" thickBot="1">
      <c r="C101" s="40"/>
    </row>
    <row r="102" spans="3:3" ht="13" thickTop="1"/>
  </sheetData>
  <printOptions horizontalCentered="1"/>
  <pageMargins left="1" right="1" top="1" bottom="1" header="0.5" footer="0.5"/>
  <pageSetup scale="96" orientation="landscape" r:id="rId1"/>
  <headerFooter alignWithMargins="0"/>
  <rowBreaks count="2" manualBreakCount="2">
    <brk id="25" max="16383" man="1"/>
    <brk id="46" max="13" man="1"/>
  </rowBreaks>
  <colBreaks count="1" manualBreakCount="1">
    <brk id="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5">
    <tabColor rgb="FF92D050"/>
    <pageSetUpPr fitToPage="1"/>
  </sheetPr>
  <dimension ref="A1:J54"/>
  <sheetViews>
    <sheetView zoomScale="75" workbookViewId="0">
      <selection activeCell="H19" sqref="H19"/>
    </sheetView>
  </sheetViews>
  <sheetFormatPr defaultColWidth="9" defaultRowHeight="12.5"/>
  <cols>
    <col min="1" max="1" width="27.23046875" style="330" customWidth="1"/>
    <col min="2" max="2" width="11.23046875" style="330" customWidth="1"/>
    <col min="3" max="3" width="10.765625" style="330" customWidth="1"/>
    <col min="4" max="4" width="13.765625" style="330" customWidth="1"/>
    <col min="5" max="5" width="14.23046875" style="330" customWidth="1"/>
    <col min="6" max="6" width="13.4609375" style="330" customWidth="1"/>
    <col min="7" max="7" width="14.765625" style="330" customWidth="1"/>
    <col min="8" max="8" width="19.07421875" style="330" customWidth="1"/>
    <col min="9" max="9" width="10.53515625" style="330" customWidth="1"/>
    <col min="10" max="16384" width="9" style="330"/>
  </cols>
  <sheetData>
    <row r="1" spans="1:8" ht="13">
      <c r="A1" s="195" t="str">
        <f>co_name</f>
        <v>DUKE ENERGY KENTUCKY, INC.</v>
      </c>
      <c r="G1" s="359" t="s">
        <v>1465</v>
      </c>
    </row>
    <row r="2" spans="1:8" ht="13">
      <c r="A2" s="195" t="str">
        <f>coss_type</f>
        <v xml:space="preserve">GAS COST OF SERVICE STUDY </v>
      </c>
      <c r="G2" s="359" t="str">
        <f>'Alloc Factors Summary'!G2</f>
        <v>Witness Responsible:</v>
      </c>
    </row>
    <row r="3" spans="1:8" ht="13">
      <c r="A3" s="195" t="str">
        <f>case_name</f>
        <v>CASE NO: 2021-00190</v>
      </c>
      <c r="G3" s="359" t="str">
        <f>'Alloc Factors Summary'!G3</f>
        <v>James E. Ziolkowski</v>
      </c>
    </row>
    <row r="4" spans="1:8" ht="13">
      <c r="A4" s="10" t="str">
        <f>alloc_factors</f>
        <v>ALLOCATION FACTORS FOR COST OF SERVICE STUDY</v>
      </c>
      <c r="G4" s="223" t="s">
        <v>601</v>
      </c>
    </row>
    <row r="5" spans="1:8" ht="13">
      <c r="A5" s="10" t="str">
        <f>time_period</f>
        <v>TWELVE MONTHS ENDING DECEMBER 31, 2020</v>
      </c>
      <c r="G5" s="1274">
        <f ca="1">TODAY()</f>
        <v>44420</v>
      </c>
    </row>
    <row r="6" spans="1:8" ht="13">
      <c r="A6" s="197" t="s">
        <v>836</v>
      </c>
    </row>
    <row r="7" spans="1:8" ht="13">
      <c r="A7" s="195"/>
    </row>
    <row r="8" spans="1:8" ht="13">
      <c r="A8" s="359" t="s">
        <v>1488</v>
      </c>
    </row>
    <row r="9" spans="1:8" s="195" customFormat="1" ht="22.9" customHeight="1"/>
    <row r="10" spans="1:8" s="195" customFormat="1" ht="13.9" customHeight="1">
      <c r="A10" s="359"/>
      <c r="B10" s="448" t="s">
        <v>1486</v>
      </c>
    </row>
    <row r="11" spans="1:8" s="195" customFormat="1" ht="81" customHeight="1">
      <c r="A11" s="342" t="s">
        <v>367</v>
      </c>
      <c r="B11" s="360" t="s">
        <v>949</v>
      </c>
      <c r="C11" s="360" t="s">
        <v>377</v>
      </c>
      <c r="D11" s="360" t="s">
        <v>962</v>
      </c>
      <c r="E11" s="360" t="s">
        <v>963</v>
      </c>
      <c r="F11" s="360" t="s">
        <v>964</v>
      </c>
      <c r="G11" s="360" t="s">
        <v>965</v>
      </c>
      <c r="H11" s="360" t="s">
        <v>966</v>
      </c>
    </row>
    <row r="12" spans="1:8" ht="13">
      <c r="A12" s="195" t="s">
        <v>357</v>
      </c>
      <c r="B12" s="1188">
        <v>483769</v>
      </c>
      <c r="C12" s="23">
        <f>1-SUM(C13:C18)</f>
        <v>8.9409999999999989E-2</v>
      </c>
      <c r="D12" s="307">
        <f>D19-SUM(D13:D18)</f>
        <v>2861675</v>
      </c>
      <c r="E12" s="307">
        <f>E19-SUM(E13:E18)</f>
        <v>1408783</v>
      </c>
      <c r="F12" s="307">
        <f>F19-SUM(F13:F18)</f>
        <v>920366</v>
      </c>
      <c r="G12" s="307">
        <f>G19-SUM(G13:G18)</f>
        <v>644301</v>
      </c>
      <c r="H12" s="307">
        <f>H19-SUM(H13:H18)</f>
        <v>658571</v>
      </c>
    </row>
    <row r="13" spans="1:8" ht="13">
      <c r="A13" s="195" t="s">
        <v>365</v>
      </c>
      <c r="B13" s="1188">
        <v>356433</v>
      </c>
      <c r="C13" s="23">
        <f t="shared" ref="C13:C18" si="0">ROUND(B13/$B$19,5)</f>
        <v>6.5890000000000004E-2</v>
      </c>
      <c r="D13" s="307">
        <f>ROUND(($B13/$B$19)*D$19,0)</f>
        <v>2108436</v>
      </c>
      <c r="E13" s="37">
        <f>ROUND(($B13/$B$19)*E$19,0)</f>
        <v>1037967</v>
      </c>
      <c r="F13" s="37">
        <f t="shared" ref="D13:G18" si="1">ROUND(($B13/$B$19)*F$19,0)</f>
        <v>678111</v>
      </c>
      <c r="G13" s="37">
        <f>ROUND(($B13/$B$19)*G$19,0)</f>
        <v>474711</v>
      </c>
      <c r="H13" s="37">
        <f t="shared" ref="H13:H18" si="2">ROUND((B13/B$19)*H$19,0)</f>
        <v>485224</v>
      </c>
    </row>
    <row r="14" spans="1:8" ht="13">
      <c r="A14" s="195" t="s">
        <v>358</v>
      </c>
      <c r="B14" s="1188">
        <v>0</v>
      </c>
      <c r="C14" s="23">
        <f t="shared" si="0"/>
        <v>0</v>
      </c>
      <c r="D14" s="307">
        <f t="shared" si="1"/>
        <v>0</v>
      </c>
      <c r="E14" s="37">
        <f t="shared" si="1"/>
        <v>0</v>
      </c>
      <c r="F14" s="37">
        <f t="shared" si="1"/>
        <v>0</v>
      </c>
      <c r="G14" s="37">
        <f t="shared" si="1"/>
        <v>0</v>
      </c>
      <c r="H14" s="37">
        <f t="shared" si="2"/>
        <v>0</v>
      </c>
    </row>
    <row r="15" spans="1:8" ht="13">
      <c r="A15" s="195" t="s">
        <v>359</v>
      </c>
      <c r="B15" s="1188">
        <v>3186482</v>
      </c>
      <c r="C15" s="23">
        <f t="shared" si="0"/>
        <v>0.58901999999999999</v>
      </c>
      <c r="D15" s="307">
        <f t="shared" si="1"/>
        <v>18849244</v>
      </c>
      <c r="E15" s="37">
        <f t="shared" si="1"/>
        <v>9279343</v>
      </c>
      <c r="F15" s="37">
        <f t="shared" si="1"/>
        <v>6062254</v>
      </c>
      <c r="G15" s="37">
        <f t="shared" si="1"/>
        <v>4243873</v>
      </c>
      <c r="H15" s="37">
        <f t="shared" si="2"/>
        <v>4337864</v>
      </c>
    </row>
    <row r="16" spans="1:8" ht="13">
      <c r="A16" s="195" t="s">
        <v>360</v>
      </c>
      <c r="B16" s="1188">
        <v>1261074</v>
      </c>
      <c r="C16" s="23">
        <f t="shared" si="0"/>
        <v>0.23311000000000001</v>
      </c>
      <c r="D16" s="307">
        <f t="shared" si="1"/>
        <v>7459729</v>
      </c>
      <c r="E16" s="37">
        <f t="shared" si="1"/>
        <v>3672369</v>
      </c>
      <c r="F16" s="37">
        <f t="shared" si="1"/>
        <v>2399182</v>
      </c>
      <c r="G16" s="37">
        <f t="shared" si="1"/>
        <v>1679545</v>
      </c>
      <c r="H16" s="37">
        <f t="shared" si="2"/>
        <v>1716742</v>
      </c>
    </row>
    <row r="17" spans="1:10" ht="13">
      <c r="A17" s="195" t="s">
        <v>361</v>
      </c>
      <c r="B17" s="1188">
        <v>122085</v>
      </c>
      <c r="C17" s="23">
        <f t="shared" si="0"/>
        <v>2.257E-2</v>
      </c>
      <c r="D17" s="307">
        <f t="shared" si="1"/>
        <v>722179</v>
      </c>
      <c r="E17" s="37">
        <f t="shared" si="1"/>
        <v>355523</v>
      </c>
      <c r="F17" s="37">
        <f t="shared" si="1"/>
        <v>232266</v>
      </c>
      <c r="G17" s="37">
        <f t="shared" si="1"/>
        <v>162597</v>
      </c>
      <c r="H17" s="37">
        <f t="shared" si="2"/>
        <v>166198</v>
      </c>
    </row>
    <row r="18" spans="1:10" ht="13">
      <c r="A18" s="195" t="s">
        <v>362</v>
      </c>
      <c r="B18" s="1240">
        <v>0</v>
      </c>
      <c r="C18" s="180">
        <f t="shared" si="0"/>
        <v>0</v>
      </c>
      <c r="D18" s="307">
        <f t="shared" si="1"/>
        <v>0</v>
      </c>
      <c r="E18" s="37">
        <f t="shared" si="1"/>
        <v>0</v>
      </c>
      <c r="F18" s="37">
        <f t="shared" si="1"/>
        <v>0</v>
      </c>
      <c r="G18" s="37">
        <f t="shared" si="1"/>
        <v>0</v>
      </c>
      <c r="H18" s="37">
        <f t="shared" si="2"/>
        <v>0</v>
      </c>
    </row>
    <row r="19" spans="1:10" ht="13.5" thickBot="1">
      <c r="A19" s="195" t="s">
        <v>363</v>
      </c>
      <c r="B19" s="307">
        <f>SUM(B12:B18)</f>
        <v>5409843</v>
      </c>
      <c r="C19" s="41">
        <f>SUM(C12:C18)</f>
        <v>1</v>
      </c>
      <c r="D19" s="1516">
        <f>'[1]SCH B-2.1'!$I$278</f>
        <v>32001263</v>
      </c>
      <c r="E19" s="1516">
        <f>'[1]SCH B-3'!$K$329</f>
        <v>15753985</v>
      </c>
      <c r="F19" s="1516">
        <f>'[1]SCH B-2.1'!$I$321</f>
        <v>10292179</v>
      </c>
      <c r="G19" s="1516">
        <f>'[1]SCH B-3'!$K$385</f>
        <v>7205027</v>
      </c>
      <c r="H19" s="1516">
        <f>[1]SCH_C2!$N$38-'FR-16(7)(v)-1 Functional'!F417-'FR-16(7)(v)-1 Functional'!F418-'FR-16(7)(v)-1 Functional'!F419</f>
        <v>7364599</v>
      </c>
      <c r="J19" s="333"/>
    </row>
    <row r="20" spans="1:10" ht="13.5" thickTop="1">
      <c r="A20" s="195" t="s">
        <v>356</v>
      </c>
      <c r="B20" s="1188">
        <v>1693300</v>
      </c>
      <c r="C20" s="37"/>
      <c r="D20" s="37">
        <f>SUM(D12:D18)</f>
        <v>32001263</v>
      </c>
      <c r="E20" s="37">
        <f>SUM(E12:E18)</f>
        <v>15753985</v>
      </c>
      <c r="F20" s="37">
        <f>SUM(F12:F18)</f>
        <v>10292179</v>
      </c>
      <c r="G20" s="37">
        <f>SUM(G12:G18)</f>
        <v>7205027</v>
      </c>
      <c r="H20" s="37">
        <f>SUM(H12:H18)</f>
        <v>7364599</v>
      </c>
      <c r="J20" s="333"/>
    </row>
    <row r="21" spans="1:10" ht="13.5" thickBot="1">
      <c r="A21" s="195" t="s">
        <v>364</v>
      </c>
      <c r="B21" s="48">
        <f>B20+B19</f>
        <v>7103143</v>
      </c>
      <c r="C21" s="34"/>
      <c r="D21" s="37"/>
      <c r="E21" s="37"/>
      <c r="F21" s="37"/>
      <c r="G21" s="37"/>
      <c r="H21" s="37"/>
    </row>
    <row r="22" spans="1:10" ht="13.5" thickTop="1">
      <c r="A22" s="195"/>
      <c r="B22" s="361"/>
      <c r="C22" s="34"/>
      <c r="D22" s="37"/>
      <c r="E22" s="37"/>
      <c r="F22" s="37"/>
      <c r="G22" s="37"/>
      <c r="H22" s="37"/>
    </row>
    <row r="23" spans="1:10">
      <c r="C23" s="29"/>
      <c r="D23" s="29"/>
      <c r="E23" s="29"/>
      <c r="F23" s="29"/>
      <c r="G23" s="29"/>
      <c r="H23" s="29"/>
      <c r="I23" s="29"/>
    </row>
    <row r="24" spans="1:10" ht="13">
      <c r="B24" s="342"/>
      <c r="C24" s="1564"/>
      <c r="D24" s="1564"/>
      <c r="E24" s="1564"/>
      <c r="F24" s="362"/>
      <c r="G24" s="362"/>
    </row>
    <row r="25" spans="1:10" ht="15" customHeight="1">
      <c r="A25" s="363"/>
      <c r="B25" s="364"/>
      <c r="C25" s="362"/>
      <c r="D25" s="362"/>
      <c r="E25" s="362"/>
      <c r="F25" s="362"/>
      <c r="G25" s="362"/>
    </row>
    <row r="26" spans="1:10">
      <c r="A26" s="363" t="s">
        <v>969</v>
      </c>
      <c r="B26" s="365"/>
      <c r="C26" s="365"/>
      <c r="D26" s="365"/>
      <c r="E26" s="365"/>
      <c r="F26" s="365"/>
      <c r="G26" s="365"/>
    </row>
    <row r="27" spans="1:10">
      <c r="A27" s="363" t="s">
        <v>961</v>
      </c>
      <c r="B27" s="367"/>
      <c r="C27" s="367"/>
      <c r="D27" s="367"/>
      <c r="E27" s="367"/>
      <c r="F27" s="367" t="s">
        <v>343</v>
      </c>
      <c r="G27" s="367"/>
    </row>
    <row r="28" spans="1:10">
      <c r="A28" s="363" t="s">
        <v>967</v>
      </c>
      <c r="B28" s="365"/>
      <c r="C28" s="365"/>
      <c r="D28" s="365"/>
      <c r="E28" s="365"/>
      <c r="F28" s="365"/>
      <c r="G28" s="365"/>
    </row>
    <row r="29" spans="1:10" ht="13">
      <c r="A29" s="366"/>
      <c r="B29" s="368"/>
      <c r="C29" s="368"/>
      <c r="D29" s="368"/>
      <c r="E29" s="368"/>
      <c r="F29" s="368"/>
      <c r="G29" s="368"/>
    </row>
    <row r="30" spans="1:10" ht="13">
      <c r="A30" s="366"/>
      <c r="B30" s="365"/>
      <c r="C30" s="365"/>
      <c r="D30" s="365"/>
      <c r="E30" s="365"/>
      <c r="F30" s="365"/>
      <c r="G30" s="365"/>
    </row>
    <row r="31" spans="1:10" ht="13">
      <c r="A31" s="366"/>
      <c r="B31" s="369"/>
      <c r="C31" s="367"/>
      <c r="D31" s="367"/>
      <c r="E31" s="367"/>
      <c r="F31" s="367" t="s">
        <v>343</v>
      </c>
      <c r="G31" s="369"/>
    </row>
    <row r="32" spans="1:10" ht="13">
      <c r="A32" s="366"/>
      <c r="B32" s="365"/>
      <c r="C32" s="365"/>
      <c r="D32" s="365"/>
      <c r="E32" s="365"/>
      <c r="F32" s="365"/>
      <c r="G32" s="365"/>
    </row>
    <row r="33" spans="1:7" ht="13">
      <c r="A33" s="366"/>
      <c r="B33" s="368"/>
      <c r="C33" s="368"/>
      <c r="D33" s="368"/>
      <c r="E33" s="368"/>
      <c r="F33" s="368"/>
      <c r="G33" s="368"/>
    </row>
    <row r="34" spans="1:7" ht="13">
      <c r="A34" s="366"/>
      <c r="B34" s="365"/>
      <c r="C34" s="365"/>
      <c r="D34" s="365"/>
      <c r="E34" s="365"/>
      <c r="F34" s="365"/>
      <c r="G34" s="365"/>
    </row>
    <row r="35" spans="1:7" ht="13">
      <c r="A35" s="366"/>
      <c r="B35" s="365"/>
      <c r="C35" s="365"/>
      <c r="D35" s="365"/>
      <c r="E35" s="365"/>
      <c r="F35" s="365"/>
      <c r="G35" s="365"/>
    </row>
    <row r="36" spans="1:7" ht="13">
      <c r="A36" s="366"/>
      <c r="B36" s="365"/>
      <c r="C36" s="365"/>
      <c r="D36" s="365"/>
      <c r="E36" s="365"/>
      <c r="F36" s="365"/>
      <c r="G36" s="365"/>
    </row>
    <row r="37" spans="1:7" ht="13">
      <c r="A37" s="366"/>
      <c r="B37" s="369"/>
      <c r="C37" s="367"/>
      <c r="D37" s="367"/>
      <c r="E37" s="367"/>
      <c r="F37" s="367" t="s">
        <v>343</v>
      </c>
      <c r="G37" s="369"/>
    </row>
    <row r="38" spans="1:7" ht="13">
      <c r="A38" s="366"/>
      <c r="B38" s="365"/>
      <c r="C38" s="365"/>
      <c r="D38" s="365"/>
      <c r="E38" s="365"/>
      <c r="F38" s="365"/>
      <c r="G38" s="365"/>
    </row>
    <row r="39" spans="1:7" ht="13">
      <c r="A39" s="366"/>
      <c r="B39" s="368"/>
      <c r="C39" s="368"/>
      <c r="D39" s="368"/>
      <c r="E39" s="368"/>
      <c r="F39" s="368"/>
      <c r="G39" s="368"/>
    </row>
    <row r="40" spans="1:7" ht="13">
      <c r="A40" s="366"/>
      <c r="B40" s="365"/>
      <c r="C40" s="365"/>
      <c r="D40" s="365"/>
      <c r="E40" s="365"/>
      <c r="F40" s="365"/>
      <c r="G40" s="365"/>
    </row>
    <row r="41" spans="1:7" ht="13">
      <c r="A41" s="366"/>
      <c r="B41" s="369"/>
      <c r="C41" s="367"/>
      <c r="D41" s="367"/>
      <c r="E41" s="367"/>
      <c r="F41" s="367" t="s">
        <v>343</v>
      </c>
      <c r="G41" s="369"/>
    </row>
    <row r="42" spans="1:7" ht="13">
      <c r="A42" s="366"/>
      <c r="B42" s="365"/>
      <c r="C42" s="365"/>
      <c r="D42" s="365"/>
      <c r="E42" s="365"/>
      <c r="F42" s="365"/>
      <c r="G42" s="365"/>
    </row>
    <row r="43" spans="1:7" ht="13">
      <c r="A43" s="366"/>
      <c r="B43" s="368"/>
      <c r="C43" s="368"/>
      <c r="D43" s="368"/>
      <c r="E43" s="368"/>
      <c r="F43" s="368"/>
      <c r="G43" s="368"/>
    </row>
    <row r="44" spans="1:7" ht="13">
      <c r="A44" s="366"/>
      <c r="B44" s="365"/>
      <c r="C44" s="365"/>
      <c r="D44" s="365"/>
      <c r="E44" s="365"/>
      <c r="F44" s="365"/>
      <c r="G44" s="365"/>
    </row>
    <row r="45" spans="1:7" ht="13">
      <c r="A45" s="366"/>
      <c r="B45" s="369"/>
      <c r="C45" s="367"/>
      <c r="D45" s="367"/>
      <c r="E45" s="367"/>
      <c r="F45" s="367" t="s">
        <v>343</v>
      </c>
      <c r="G45" s="369"/>
    </row>
    <row r="46" spans="1:7" ht="13">
      <c r="A46" s="366"/>
      <c r="B46" s="365"/>
      <c r="C46" s="365"/>
      <c r="D46" s="365"/>
      <c r="E46" s="365"/>
      <c r="F46" s="365"/>
      <c r="G46" s="365"/>
    </row>
    <row r="47" spans="1:7" ht="13">
      <c r="A47" s="366"/>
      <c r="B47" s="368"/>
      <c r="C47" s="368"/>
      <c r="D47" s="368"/>
      <c r="E47" s="368"/>
      <c r="F47" s="368"/>
      <c r="G47" s="368"/>
    </row>
    <row r="48" spans="1:7" ht="13">
      <c r="A48" s="366"/>
      <c r="B48" s="365"/>
      <c r="C48" s="365"/>
      <c r="D48" s="365"/>
      <c r="E48" s="365"/>
      <c r="F48" s="365"/>
      <c r="G48" s="365"/>
    </row>
    <row r="49" spans="1:7" ht="13">
      <c r="A49" s="366"/>
      <c r="B49" s="367"/>
      <c r="C49" s="367"/>
      <c r="D49" s="367"/>
      <c r="E49" s="367"/>
      <c r="F49" s="367" t="s">
        <v>343</v>
      </c>
      <c r="G49" s="367"/>
    </row>
    <row r="50" spans="1:7" ht="13">
      <c r="A50" s="366"/>
      <c r="B50" s="365"/>
      <c r="C50" s="365"/>
      <c r="D50" s="365"/>
      <c r="E50" s="365"/>
      <c r="F50" s="365"/>
      <c r="G50" s="365"/>
    </row>
    <row r="51" spans="1:7" ht="13">
      <c r="A51" s="366"/>
      <c r="B51" s="368"/>
      <c r="C51" s="368"/>
      <c r="D51" s="368"/>
      <c r="E51" s="368"/>
      <c r="F51" s="368"/>
      <c r="G51" s="368"/>
    </row>
    <row r="52" spans="1:7" ht="13">
      <c r="A52" s="366"/>
      <c r="B52" s="365"/>
      <c r="C52" s="365"/>
      <c r="D52" s="365"/>
      <c r="E52" s="365"/>
      <c r="F52" s="365"/>
      <c r="G52" s="365"/>
    </row>
    <row r="53" spans="1:7">
      <c r="A53" s="363"/>
      <c r="B53" s="365"/>
      <c r="C53" s="365"/>
      <c r="D53" s="365"/>
      <c r="E53" s="365"/>
      <c r="F53" s="365"/>
      <c r="G53" s="365"/>
    </row>
    <row r="54" spans="1:7" ht="13">
      <c r="A54" s="366"/>
      <c r="B54" s="367"/>
      <c r="C54" s="367"/>
      <c r="D54" s="367"/>
      <c r="E54" s="367"/>
      <c r="F54" s="367" t="s">
        <v>343</v>
      </c>
      <c r="G54" s="367"/>
    </row>
  </sheetData>
  <mergeCells count="1">
    <mergeCell ref="C24:E24"/>
  </mergeCells>
  <phoneticPr fontId="0" type="noConversion"/>
  <pageMargins left="1" right="1" top="1" bottom="1" header="0.5" footer="0.5"/>
  <pageSetup scale="77" orientation="landscape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indexed="32"/>
  </sheetPr>
  <dimension ref="A2:J76"/>
  <sheetViews>
    <sheetView topLeftCell="B1" zoomScaleNormal="100" workbookViewId="0">
      <pane xSplit="1" ySplit="2" topLeftCell="C3" activePane="bottomRight" state="frozen"/>
      <selection activeCell="J20" sqref="J20"/>
      <selection pane="topRight" activeCell="J20" sqref="J20"/>
      <selection pane="bottomLeft" activeCell="J20" sqref="J20"/>
      <selection pane="bottomRight" activeCell="D66" sqref="D66"/>
    </sheetView>
  </sheetViews>
  <sheetFormatPr defaultColWidth="8.765625" defaultRowHeight="12.5"/>
  <cols>
    <col min="1" max="1" width="24.4609375" style="330" customWidth="1"/>
    <col min="2" max="2" width="28" style="330" customWidth="1"/>
    <col min="3" max="3" width="16.765625" style="351" customWidth="1"/>
    <col min="4" max="4" width="17" style="351" customWidth="1"/>
    <col min="5" max="5" width="14.765625" style="351" customWidth="1"/>
    <col min="6" max="8" width="8.765625" style="330"/>
    <col min="9" max="9" width="9.4609375" style="330" bestFit="1" customWidth="1"/>
    <col min="10" max="16384" width="8.765625" style="330"/>
  </cols>
  <sheetData>
    <row r="2" spans="1:9" ht="13">
      <c r="A2" s="9"/>
      <c r="B2" s="9"/>
      <c r="C2" s="1324" t="s">
        <v>437</v>
      </c>
      <c r="D2" s="1324" t="s">
        <v>438</v>
      </c>
      <c r="E2" s="1324" t="s">
        <v>3</v>
      </c>
    </row>
    <row r="3" spans="1:9" ht="13">
      <c r="A3" s="9"/>
      <c r="B3" s="1440" t="s">
        <v>1134</v>
      </c>
      <c r="C3" s="1325">
        <f>'FR-16(7)(v)-1 Functional'!F101</f>
        <v>771808162</v>
      </c>
      <c r="D3" s="1325">
        <f>[1]!PLANT_IN_SERVICE</f>
        <v>771808162</v>
      </c>
      <c r="E3" s="1325">
        <f>D3-C3</f>
        <v>0</v>
      </c>
    </row>
    <row r="4" spans="1:9" ht="15.5">
      <c r="A4" s="9"/>
      <c r="B4" s="1440" t="s">
        <v>1135</v>
      </c>
      <c r="C4" s="1325">
        <f>'FR-16(7)(v)-1 Functional'!F151</f>
        <v>206903281</v>
      </c>
      <c r="D4" s="1325">
        <f>-[1]SCH_B1!$I$20</f>
        <v>206903281</v>
      </c>
      <c r="E4" s="1325">
        <f>D4-C4</f>
        <v>0</v>
      </c>
      <c r="F4"/>
      <c r="G4"/>
      <c r="H4"/>
      <c r="I4"/>
    </row>
    <row r="5" spans="1:9" ht="13.5" thickBot="1">
      <c r="A5" s="9"/>
      <c r="B5" s="1440" t="s">
        <v>436</v>
      </c>
      <c r="C5" s="1326">
        <f>C3-C4</f>
        <v>564904881</v>
      </c>
      <c r="D5" s="1326">
        <f>D3-D4</f>
        <v>564904881</v>
      </c>
      <c r="E5" s="1326">
        <f>E3-E4</f>
        <v>0</v>
      </c>
    </row>
    <row r="6" spans="1:9" ht="13.5" thickTop="1">
      <c r="A6" s="9"/>
      <c r="B6" s="1440"/>
      <c r="C6" s="1022"/>
      <c r="D6" s="1022"/>
      <c r="E6" s="1022"/>
    </row>
    <row r="7" spans="1:9" ht="13">
      <c r="A7" s="9"/>
      <c r="B7" s="1026" t="s">
        <v>1407</v>
      </c>
      <c r="C7" s="1325"/>
      <c r="D7" s="1325"/>
      <c r="E7" s="1325"/>
    </row>
    <row r="8" spans="1:9" ht="13">
      <c r="A8" s="9"/>
      <c r="B8" s="1441" t="s">
        <v>440</v>
      </c>
      <c r="C8" s="1325">
        <f>'FR-16(7)(v)-1 Functional'!F313</f>
        <v>0</v>
      </c>
      <c r="D8" s="1325">
        <f>[1]SCH_B1!$I$26</f>
        <v>0</v>
      </c>
      <c r="E8" s="1325">
        <f>D8-C8</f>
        <v>0</v>
      </c>
    </row>
    <row r="9" spans="1:9" ht="13">
      <c r="A9" s="9"/>
      <c r="B9" s="1441" t="s">
        <v>501</v>
      </c>
      <c r="C9" s="1327">
        <v>0</v>
      </c>
      <c r="D9" s="1328">
        <v>0</v>
      </c>
      <c r="E9" s="1325">
        <f>D9-C9</f>
        <v>0</v>
      </c>
    </row>
    <row r="10" spans="1:9" ht="13">
      <c r="A10" s="9"/>
      <c r="B10" s="1441" t="s">
        <v>441</v>
      </c>
      <c r="C10" s="1329">
        <f>'FR-16(7)(v)-1 Functional'!F304+'FR-16(7)(v)-1 Functional'!F316+'FR-16(7)(v)-1 Functional'!F310</f>
        <v>4001401</v>
      </c>
      <c r="D10" s="1329">
        <f>[1]SCH_B1!$I$28</f>
        <v>4001401</v>
      </c>
      <c r="E10" s="1329">
        <f>D10-C10</f>
        <v>0</v>
      </c>
    </row>
    <row r="11" spans="1:9" ht="13">
      <c r="A11" s="9"/>
      <c r="B11" s="1442" t="s">
        <v>439</v>
      </c>
      <c r="C11" s="1325">
        <f>SUM(C8:C10)</f>
        <v>4001401</v>
      </c>
      <c r="D11" s="1325">
        <f>SUM(D8:D10)</f>
        <v>4001401</v>
      </c>
      <c r="E11" s="1325">
        <f>D11-C11</f>
        <v>0</v>
      </c>
    </row>
    <row r="12" spans="1:9" ht="13">
      <c r="A12" s="9"/>
      <c r="B12" s="1443"/>
      <c r="C12" s="1330"/>
      <c r="D12" s="1330"/>
      <c r="E12" s="1330"/>
    </row>
    <row r="13" spans="1:9" ht="13">
      <c r="A13" s="9" t="s">
        <v>510</v>
      </c>
      <c r="B13" s="1026" t="s">
        <v>1406</v>
      </c>
      <c r="C13" s="1331"/>
      <c r="D13" s="1325"/>
      <c r="E13" s="1325"/>
    </row>
    <row r="14" spans="1:9" ht="13">
      <c r="A14" s="2" t="s">
        <v>502</v>
      </c>
      <c r="B14" s="1441" t="s">
        <v>442</v>
      </c>
      <c r="C14" s="1325">
        <f>'FR-16(7)(v)-1 Functional'!F232</f>
        <v>1643017</v>
      </c>
      <c r="D14" s="1325">
        <f>-[1]SCH_B1!$I$32</f>
        <v>1643017</v>
      </c>
      <c r="E14" s="1325">
        <f t="shared" ref="E14:E20" si="0">D14-C14</f>
        <v>0</v>
      </c>
      <c r="F14" s="1311" t="s">
        <v>1266</v>
      </c>
    </row>
    <row r="15" spans="1:9" ht="13">
      <c r="A15" s="2"/>
      <c r="B15" s="1441" t="s">
        <v>509</v>
      </c>
      <c r="C15" s="1022">
        <f>'FR-16(7)(v)-1 Functional'!F233</f>
        <v>0</v>
      </c>
      <c r="D15" s="1022">
        <v>0</v>
      </c>
      <c r="E15" s="1022">
        <f>D15-C15</f>
        <v>0</v>
      </c>
      <c r="F15" s="1311" t="s">
        <v>1266</v>
      </c>
    </row>
    <row r="16" spans="1:9" ht="13">
      <c r="A16" s="4" t="s">
        <v>513</v>
      </c>
      <c r="B16" s="1441" t="s">
        <v>443</v>
      </c>
      <c r="C16" s="1325">
        <f>'FR-16(7)(v)-1 Functional'!F234</f>
        <v>0</v>
      </c>
      <c r="D16" s="1325">
        <v>0</v>
      </c>
      <c r="E16" s="1325">
        <f t="shared" si="0"/>
        <v>0</v>
      </c>
      <c r="F16" s="1311" t="s">
        <v>1266</v>
      </c>
    </row>
    <row r="17" spans="1:10" ht="13">
      <c r="A17" s="2" t="s">
        <v>512</v>
      </c>
      <c r="B17" s="1441" t="s">
        <v>1367</v>
      </c>
      <c r="C17" s="1325">
        <f>'FR-16(7)(v)-1 Functional'!F235</f>
        <v>29269976</v>
      </c>
      <c r="D17" s="1446">
        <f>-[1]SCH_B1!$I$38</f>
        <v>29269976</v>
      </c>
      <c r="E17" s="1325">
        <f t="shared" si="0"/>
        <v>0</v>
      </c>
      <c r="F17" s="1311" t="s">
        <v>1266</v>
      </c>
      <c r="I17" s="1531">
        <f>-D18-D19+D22</f>
        <v>-69672082.904109597</v>
      </c>
    </row>
    <row r="18" spans="1:10" ht="13">
      <c r="A18" s="2"/>
      <c r="B18" s="1441" t="s">
        <v>445</v>
      </c>
      <c r="C18" s="1325">
        <f>'FR-16(7)(v)-1 Functional'!F215</f>
        <v>70178625.904109597</v>
      </c>
      <c r="D18" s="1325">
        <f>-'[1]WPB-6''s'!$R$122+'[1]WPB-6''s'!$AE$227</f>
        <v>70178625.904109597</v>
      </c>
      <c r="E18" s="1325">
        <f t="shared" si="0"/>
        <v>0</v>
      </c>
      <c r="F18" s="1312" t="s">
        <v>1267</v>
      </c>
      <c r="I18" s="333">
        <v>3275942</v>
      </c>
      <c r="J18" s="330" t="s">
        <v>1499</v>
      </c>
    </row>
    <row r="19" spans="1:10" ht="13">
      <c r="A19" s="9"/>
      <c r="B19" s="1441" t="s">
        <v>446</v>
      </c>
      <c r="C19" s="1329">
        <f>'FR-16(7)(v)-1 Functional'!F229</f>
        <v>0</v>
      </c>
      <c r="D19" s="1325">
        <f>-'[1]WPB-6''s'!$T$115+'[1]WPB-6''s'!$AM$336</f>
        <v>0</v>
      </c>
      <c r="E19" s="1329">
        <f t="shared" si="0"/>
        <v>0</v>
      </c>
      <c r="F19" s="1312" t="s">
        <v>1267</v>
      </c>
    </row>
    <row r="20" spans="1:10">
      <c r="B20" s="1442" t="s">
        <v>503</v>
      </c>
      <c r="C20" s="1280">
        <f>SUM(C14:C19)</f>
        <v>101091618.9041096</v>
      </c>
      <c r="D20" s="1332">
        <f>SUM(D14:D19)</f>
        <v>101091618.9041096</v>
      </c>
      <c r="E20" s="1325">
        <f t="shared" si="0"/>
        <v>0</v>
      </c>
      <c r="I20" s="333">
        <f>'[1]WPB-6''s'!$AE$227</f>
        <v>-3704475</v>
      </c>
      <c r="J20" s="330">
        <v>282</v>
      </c>
    </row>
    <row r="21" spans="1:10" ht="13">
      <c r="A21" s="5"/>
      <c r="B21" s="1443"/>
      <c r="C21" s="1280"/>
      <c r="D21" s="1325"/>
      <c r="E21" s="1325"/>
      <c r="I21" s="333">
        <f>'[1]WPB-6''s'!$AM$336</f>
        <v>-3066510</v>
      </c>
      <c r="J21" s="330">
        <v>283</v>
      </c>
    </row>
    <row r="22" spans="1:10" ht="13">
      <c r="A22" s="2" t="s">
        <v>504</v>
      </c>
      <c r="B22" s="1441" t="s">
        <v>444</v>
      </c>
      <c r="C22" s="1325">
        <f>'FR-16(7)(v)-1 Functional'!F275</f>
        <v>506543</v>
      </c>
      <c r="D22" s="1325">
        <f>'[1]WPB-6''s'!$T$111-'[1]WPB-6''s'!$AM$322</f>
        <v>506543</v>
      </c>
      <c r="E22" s="1325">
        <f>D22-C22</f>
        <v>0</v>
      </c>
      <c r="F22" s="1313" t="s">
        <v>1267</v>
      </c>
      <c r="I22" s="333">
        <f>'[1]WPB-6''s'!$AM$322</f>
        <v>3495043</v>
      </c>
      <c r="J22" s="330">
        <v>190</v>
      </c>
    </row>
    <row r="23" spans="1:10" ht="13">
      <c r="A23" s="9"/>
      <c r="B23" s="1441" t="s">
        <v>532</v>
      </c>
      <c r="C23" s="1329"/>
      <c r="D23" s="1325"/>
      <c r="E23" s="1329">
        <f>D23-C23</f>
        <v>0</v>
      </c>
      <c r="F23" s="1351" t="s">
        <v>1267</v>
      </c>
      <c r="G23" s="351"/>
      <c r="I23" s="333">
        <f>SUM(I20:I22)</f>
        <v>-3275942</v>
      </c>
    </row>
    <row r="24" spans="1:10">
      <c r="B24" s="1442" t="s">
        <v>511</v>
      </c>
      <c r="C24" s="1022">
        <f>C22+C23</f>
        <v>506543</v>
      </c>
      <c r="D24" s="1333">
        <f>SUM(D22:D23)</f>
        <v>506543</v>
      </c>
      <c r="E24" s="1325">
        <f>D24-C24</f>
        <v>0</v>
      </c>
      <c r="F24" s="363"/>
    </row>
    <row r="25" spans="1:10" ht="13">
      <c r="A25" s="9"/>
      <c r="B25" s="1440"/>
      <c r="C25" s="1331"/>
      <c r="D25" s="1325"/>
      <c r="E25" s="1325"/>
      <c r="I25" s="333">
        <f>I17-I20-I21-I22</f>
        <v>-66396140.904109597</v>
      </c>
    </row>
    <row r="26" spans="1:10" ht="13.5" thickBot="1">
      <c r="A26" s="2" t="s">
        <v>447</v>
      </c>
      <c r="B26" s="1442" t="s">
        <v>968</v>
      </c>
      <c r="C26" s="1334">
        <f>C5+C11-C20+C24</f>
        <v>468321206.0958904</v>
      </c>
      <c r="D26" s="1334">
        <f>D5+D11-D20+D24</f>
        <v>468321206.0958904</v>
      </c>
      <c r="E26" s="1326">
        <f>D26-C26</f>
        <v>0</v>
      </c>
      <c r="F26" s="330" t="s">
        <v>1370</v>
      </c>
      <c r="I26" s="333">
        <f>I25-I20-I21-I22</f>
        <v>-63120198.904109597</v>
      </c>
    </row>
    <row r="27" spans="1:10" ht="13.5" thickTop="1">
      <c r="A27" s="2"/>
      <c r="B27" s="1440"/>
      <c r="C27" s="1331"/>
      <c r="E27" s="1325"/>
    </row>
    <row r="28" spans="1:10" ht="13">
      <c r="A28" s="2"/>
      <c r="B28" s="1026" t="s">
        <v>1408</v>
      </c>
      <c r="C28" s="1331"/>
      <c r="E28" s="1325"/>
    </row>
    <row r="29" spans="1:10" ht="13">
      <c r="A29" s="6" t="s">
        <v>448</v>
      </c>
      <c r="B29" s="1440" t="s">
        <v>1132</v>
      </c>
      <c r="C29" s="1325">
        <f>'FR-16(7)(v)-1 Functional'!F360</f>
        <v>42281170</v>
      </c>
      <c r="D29" s="1325">
        <f>[1]SCH_C2!$N$27+[1]SCH_C2!$N$32+[1]SCH_C2!$N$33</f>
        <v>42281170</v>
      </c>
      <c r="E29" s="1325">
        <f>D29-C29</f>
        <v>0</v>
      </c>
      <c r="F29" s="1314" t="s">
        <v>1268</v>
      </c>
      <c r="I29" s="333"/>
    </row>
    <row r="30" spans="1:10" ht="13">
      <c r="A30" s="6"/>
      <c r="B30" s="1440" t="s">
        <v>449</v>
      </c>
      <c r="C30" s="1325">
        <f>'FR-16(7)(v)-1 Functional'!F364</f>
        <v>0</v>
      </c>
      <c r="D30" s="1325">
        <v>0</v>
      </c>
      <c r="E30" s="1325">
        <f t="shared" ref="E30:E35" si="1">D30-C30</f>
        <v>0</v>
      </c>
      <c r="F30" s="1315" t="s">
        <v>1268</v>
      </c>
    </row>
    <row r="31" spans="1:10" ht="13">
      <c r="A31" s="7"/>
      <c r="B31" s="1440" t="s">
        <v>450</v>
      </c>
      <c r="C31" s="1325">
        <f>'FR-16(7)(v)-1 Functional'!F378</f>
        <v>8313881</v>
      </c>
      <c r="D31" s="1325">
        <f>[1]SCH_C2!$N$34</f>
        <v>8313881</v>
      </c>
      <c r="E31" s="1325">
        <f t="shared" si="1"/>
        <v>0</v>
      </c>
    </row>
    <row r="32" spans="1:10" ht="13">
      <c r="A32" s="8"/>
      <c r="B32" s="1440" t="s">
        <v>451</v>
      </c>
      <c r="C32" s="1325">
        <f>'FR-16(7)(v)-1 Functional'!F389</f>
        <v>4354792</v>
      </c>
      <c r="D32" s="1325">
        <f>[1]SCH_C2!$N$35</f>
        <v>4354792</v>
      </c>
      <c r="E32" s="1325">
        <f t="shared" si="1"/>
        <v>0</v>
      </c>
      <c r="I32" s="333">
        <v>0</v>
      </c>
      <c r="J32" s="330" t="s">
        <v>1177</v>
      </c>
    </row>
    <row r="33" spans="1:6" ht="13">
      <c r="A33" s="9"/>
      <c r="B33" s="1440" t="s">
        <v>452</v>
      </c>
      <c r="C33" s="1325">
        <f>'FR-16(7)(v)-1 Functional'!F403</f>
        <v>389010</v>
      </c>
      <c r="D33" s="1325">
        <f>[1]SCH_C2!$N$36</f>
        <v>389010</v>
      </c>
      <c r="E33" s="1325">
        <f t="shared" si="1"/>
        <v>0</v>
      </c>
      <c r="F33" s="1315" t="s">
        <v>1268</v>
      </c>
    </row>
    <row r="34" spans="1:6" ht="13">
      <c r="A34" s="1021"/>
      <c r="B34" s="1440" t="s">
        <v>362</v>
      </c>
      <c r="C34" s="1325">
        <f>'FR-16(7)(v)-1 Functional'!F407</f>
        <v>399560</v>
      </c>
      <c r="D34" s="1325">
        <f>[1]SCH_C2!$N$37</f>
        <v>399560</v>
      </c>
      <c r="E34" s="1325">
        <f t="shared" si="1"/>
        <v>0</v>
      </c>
      <c r="F34" s="1315" t="s">
        <v>1268</v>
      </c>
    </row>
    <row r="35" spans="1:6" ht="13">
      <c r="A35" s="9"/>
      <c r="B35" s="1440" t="s">
        <v>1136</v>
      </c>
      <c r="C35" s="1325">
        <f>'FR-16(7)(v)-1 Functional'!F431</f>
        <v>7057611</v>
      </c>
      <c r="D35" s="1325">
        <f>[1]SCH_C2!$N$38+[1]SCH_C2!$N$39</f>
        <v>7057611</v>
      </c>
      <c r="E35" s="1325">
        <f t="shared" si="1"/>
        <v>0</v>
      </c>
      <c r="F35" s="1315" t="s">
        <v>1268</v>
      </c>
    </row>
    <row r="36" spans="1:6" ht="13">
      <c r="A36" s="9"/>
      <c r="B36" s="1442" t="s">
        <v>364</v>
      </c>
      <c r="C36" s="1335">
        <f>SUM(C29:C35)</f>
        <v>62796024</v>
      </c>
      <c r="D36" s="1335">
        <f>SUM(D29:D35)</f>
        <v>62796024</v>
      </c>
      <c r="E36" s="1335">
        <f t="shared" ref="E36:E42" si="2">D36-C36</f>
        <v>0</v>
      </c>
    </row>
    <row r="37" spans="1:6" ht="13">
      <c r="A37" s="9" t="s">
        <v>458</v>
      </c>
      <c r="B37" s="1442" t="s">
        <v>453</v>
      </c>
      <c r="C37" s="1335">
        <f>'FR-16(7)(v)-1 Functional'!F465</f>
        <v>19004234.504000001</v>
      </c>
      <c r="D37" s="1335">
        <f>[1]SCH_C2!$N$42</f>
        <v>19004235</v>
      </c>
      <c r="E37" s="1335">
        <f t="shared" si="2"/>
        <v>0.49599999934434891</v>
      </c>
    </row>
    <row r="38" spans="1:6" ht="13">
      <c r="A38" s="9" t="s">
        <v>454</v>
      </c>
      <c r="B38" s="1440" t="s">
        <v>454</v>
      </c>
      <c r="C38" s="1022">
        <f>'FR-16(7)(v)-1 Functional'!F481</f>
        <v>4066038</v>
      </c>
      <c r="D38" s="1022">
        <f>'[1]SCH_C2.1 - Forecasted Period'!$J$270+[1]SCH_D1!$AE$242</f>
        <v>4066038</v>
      </c>
      <c r="E38" s="1325">
        <f t="shared" si="2"/>
        <v>0</v>
      </c>
      <c r="F38" s="1315" t="s">
        <v>1270</v>
      </c>
    </row>
    <row r="39" spans="1:6" ht="13">
      <c r="A39" s="9" t="s">
        <v>455</v>
      </c>
      <c r="B39" s="1440" t="s">
        <v>505</v>
      </c>
      <c r="C39" s="1329">
        <f>'FR-16(7)(v)-1 Functional'!F488</f>
        <v>620302</v>
      </c>
      <c r="D39" s="1329">
        <f>[1]SCH_C2!$N$47-D38</f>
        <v>620302</v>
      </c>
      <c r="E39" s="1329">
        <f t="shared" si="2"/>
        <v>0</v>
      </c>
      <c r="F39" s="1315" t="s">
        <v>1268</v>
      </c>
    </row>
    <row r="40" spans="1:6" ht="13">
      <c r="A40" s="9" t="s">
        <v>456</v>
      </c>
      <c r="B40" s="1440" t="s">
        <v>506</v>
      </c>
      <c r="C40" s="1022">
        <f>C38+C39</f>
        <v>4686340</v>
      </c>
      <c r="D40" s="1022">
        <f>D38+D39</f>
        <v>4686340</v>
      </c>
      <c r="E40" s="1325">
        <f t="shared" si="2"/>
        <v>0</v>
      </c>
    </row>
    <row r="41" spans="1:6" ht="13">
      <c r="A41" s="9"/>
      <c r="B41" s="1440" t="s">
        <v>2</v>
      </c>
      <c r="C41" s="1325">
        <f>'FR-16(7)(v)-1 Functional'!F493</f>
        <v>30456</v>
      </c>
      <c r="D41" s="1325">
        <f>[1]SCH_C1!$G$22</f>
        <v>30456</v>
      </c>
      <c r="E41" s="1325">
        <f t="shared" si="2"/>
        <v>0</v>
      </c>
    </row>
    <row r="42" spans="1:6" ht="13.5" thickBot="1">
      <c r="A42" s="9"/>
      <c r="B42" s="1442" t="s">
        <v>457</v>
      </c>
      <c r="C42" s="1326">
        <f>C36+C37+C40+C41</f>
        <v>86517054.504000008</v>
      </c>
      <c r="D42" s="1326">
        <f>D36+D37+D40+D41</f>
        <v>86517055</v>
      </c>
      <c r="E42" s="1326">
        <f t="shared" si="2"/>
        <v>0.49599999189376831</v>
      </c>
    </row>
    <row r="43" spans="1:6" ht="13.5" thickTop="1">
      <c r="A43" s="9"/>
      <c r="B43" s="1442"/>
      <c r="C43" s="1022"/>
      <c r="D43" s="1022"/>
      <c r="E43" s="1022"/>
    </row>
    <row r="44" spans="1:6" ht="13">
      <c r="A44" s="9"/>
      <c r="B44" s="1439" t="s">
        <v>1405</v>
      </c>
      <c r="C44" s="1022"/>
      <c r="D44" s="1022"/>
      <c r="E44" s="1022"/>
    </row>
    <row r="45" spans="1:6" ht="13">
      <c r="A45" s="9"/>
      <c r="B45" s="1444" t="s">
        <v>1409</v>
      </c>
      <c r="C45" s="1331"/>
      <c r="D45" s="1331"/>
      <c r="E45" s="1325"/>
    </row>
    <row r="46" spans="1:6" ht="13">
      <c r="A46" s="9"/>
      <c r="B46" s="1440" t="s">
        <v>1410</v>
      </c>
      <c r="C46" s="1325">
        <f>'FR-16(7)(v)-1 Functional'!F515</f>
        <v>8610382</v>
      </c>
      <c r="D46" s="1325">
        <f>-[1]SCH_E1!$Q$22</f>
        <v>8610382</v>
      </c>
      <c r="E46" s="1325">
        <f>D46-C46</f>
        <v>0</v>
      </c>
      <c r="F46" s="351"/>
    </row>
    <row r="47" spans="1:6" ht="13">
      <c r="A47" s="9"/>
      <c r="B47" s="1440" t="s">
        <v>1404</v>
      </c>
      <c r="C47" s="1325">
        <f>'FR-16(7)(v)-1 Functional'!F522</f>
        <v>7223532</v>
      </c>
      <c r="D47" s="1325">
        <f>-[1]SCH_E1!$Q$25-[1]SCH_E1!$Q$29-[1]SCH_E1!$Q$32-[1]SCH_E1!$Q$33</f>
        <v>7223532</v>
      </c>
      <c r="E47" s="1325">
        <f>D47-C47</f>
        <v>0</v>
      </c>
      <c r="F47" s="351"/>
    </row>
    <row r="48" spans="1:6" ht="13">
      <c r="A48" s="9"/>
      <c r="B48" s="1440"/>
      <c r="C48" s="1325"/>
      <c r="D48" s="1325"/>
      <c r="E48" s="1325"/>
      <c r="F48" s="351"/>
    </row>
    <row r="49" spans="1:6" ht="13">
      <c r="A49" s="9"/>
      <c r="B49" s="1444" t="s">
        <v>1411</v>
      </c>
      <c r="C49" s="1325"/>
      <c r="D49" s="1325"/>
      <c r="E49" s="1325"/>
      <c r="F49" s="351"/>
    </row>
    <row r="50" spans="1:6" ht="13">
      <c r="A50" s="9"/>
      <c r="B50" s="1440" t="s">
        <v>1412</v>
      </c>
      <c r="C50" s="1325">
        <f>'FR-16(7)(v)-1 Functional'!F603</f>
        <v>872168.01742440369</v>
      </c>
      <c r="D50" s="1552">
        <f>[1]SCH_E1!$Q$99</f>
        <v>872168</v>
      </c>
      <c r="E50" s="1325">
        <f t="shared" ref="E50:E51" si="3">D50-C50</f>
        <v>-1.7424403689801693E-2</v>
      </c>
      <c r="F50" s="351"/>
    </row>
    <row r="51" spans="1:6" ht="13">
      <c r="A51" s="9"/>
      <c r="B51" s="1440" t="s">
        <v>1413</v>
      </c>
      <c r="C51" s="1325">
        <f>'FR-16(7)(v)-1 Functional'!F585</f>
        <v>632684</v>
      </c>
      <c r="D51" s="1325">
        <f>[1]SCH_E1!$Q$105</f>
        <v>632684</v>
      </c>
      <c r="E51" s="1325">
        <f t="shared" si="3"/>
        <v>0</v>
      </c>
      <c r="F51" s="351"/>
    </row>
    <row r="52" spans="1:6" ht="13">
      <c r="A52" s="9"/>
      <c r="B52" s="1440" t="s">
        <v>1414</v>
      </c>
      <c r="C52" s="1332">
        <f>SUM(C50:C51)</f>
        <v>1504852.0174244037</v>
      </c>
      <c r="D52" s="1332">
        <f t="shared" ref="D52:E52" si="4">SUM(D50:D51)</f>
        <v>1504852</v>
      </c>
      <c r="E52" s="1332">
        <f t="shared" si="4"/>
        <v>-1.7424403689801693E-2</v>
      </c>
      <c r="F52" s="351"/>
    </row>
    <row r="53" spans="1:6" ht="13">
      <c r="A53" s="9"/>
      <c r="B53" s="1440"/>
      <c r="C53" s="1325"/>
      <c r="D53" s="1325"/>
      <c r="E53" s="1325"/>
      <c r="F53" s="351"/>
    </row>
    <row r="54" spans="1:6" ht="13">
      <c r="A54" s="9"/>
      <c r="B54" s="1444" t="s">
        <v>1415</v>
      </c>
      <c r="C54" s="1325"/>
      <c r="D54" s="1325"/>
      <c r="E54" s="1325"/>
      <c r="F54" s="351"/>
    </row>
    <row r="55" spans="1:6" ht="13">
      <c r="A55" s="9"/>
      <c r="B55" s="1440" t="s">
        <v>1156</v>
      </c>
      <c r="C55" s="1337">
        <f>'FR-16(7)(v)-1 Functional'!F555</f>
        <v>4926344.5478226151</v>
      </c>
      <c r="D55" s="1337">
        <f>[1]SCH_E1!$Q$118</f>
        <v>4926344</v>
      </c>
      <c r="E55" s="1325">
        <f>D55-C55</f>
        <v>-0.5478226151317358</v>
      </c>
      <c r="F55" s="351"/>
    </row>
    <row r="56" spans="1:6" ht="13">
      <c r="A56" s="9"/>
      <c r="B56" s="1440" t="s">
        <v>538</v>
      </c>
      <c r="C56" s="1337">
        <f>'FR-16(7)(v)-1 Functional'!F532</f>
        <v>730942</v>
      </c>
      <c r="D56" s="1337">
        <f>[1]SCH_E1!$Q$125</f>
        <v>730942</v>
      </c>
      <c r="E56" s="1325">
        <f>D56-C56</f>
        <v>0</v>
      </c>
      <c r="F56" s="351"/>
    </row>
    <row r="57" spans="1:6" ht="13">
      <c r="A57" s="9"/>
      <c r="B57" s="1440" t="s">
        <v>1416</v>
      </c>
      <c r="C57" s="1336">
        <f>-'FR-16(7)(v)-1 Functional'!F535</f>
        <v>-60747</v>
      </c>
      <c r="D57" s="1336">
        <f>[1]SCH_E1!$Q$127</f>
        <v>-60747</v>
      </c>
      <c r="E57" s="1336">
        <f>D57-C57</f>
        <v>0</v>
      </c>
      <c r="F57" s="351"/>
    </row>
    <row r="58" spans="1:6" ht="13">
      <c r="A58" s="9"/>
      <c r="B58" s="1440" t="s">
        <v>459</v>
      </c>
      <c r="C58" s="1325">
        <f>SUM(C55:C57)</f>
        <v>5596539.5478226151</v>
      </c>
      <c r="D58" s="1325">
        <f>SUM(D55:D57)</f>
        <v>5596539</v>
      </c>
      <c r="E58" s="1325">
        <f>D58-C58</f>
        <v>-0.5478226151317358</v>
      </c>
    </row>
    <row r="59" spans="1:6" ht="13">
      <c r="A59" s="9"/>
      <c r="B59" s="1440"/>
      <c r="C59" s="1325"/>
      <c r="D59" s="1325"/>
      <c r="E59" s="1325"/>
    </row>
    <row r="60" spans="1:6" ht="13">
      <c r="A60" s="9"/>
      <c r="C60" s="330"/>
      <c r="D60" s="330"/>
      <c r="E60" s="330"/>
    </row>
    <row r="61" spans="1:6" ht="13">
      <c r="A61" s="9"/>
      <c r="B61" s="1440" t="s">
        <v>507</v>
      </c>
      <c r="C61" s="1325">
        <f>C58</f>
        <v>5596539.5478226151</v>
      </c>
      <c r="D61" s="1325">
        <f>D58</f>
        <v>5596539</v>
      </c>
      <c r="E61" s="1325">
        <f>D61-C61</f>
        <v>-0.5478226151317358</v>
      </c>
    </row>
    <row r="62" spans="1:6" ht="13">
      <c r="A62" s="9"/>
      <c r="B62" s="1440"/>
      <c r="C62" s="1331"/>
      <c r="D62" s="1331"/>
      <c r="E62" s="1325"/>
    </row>
    <row r="63" spans="1:6" ht="13">
      <c r="A63" s="9"/>
      <c r="B63" s="1440" t="s">
        <v>1153</v>
      </c>
      <c r="C63" s="1325">
        <f>'FR-16(7)(v)-1 Functional'!F630</f>
        <v>310224</v>
      </c>
      <c r="D63" s="1337">
        <f>[1]SCH_C2!$N$19</f>
        <v>310224</v>
      </c>
      <c r="E63" s="1325">
        <f>D63-C63</f>
        <v>0</v>
      </c>
    </row>
    <row r="64" spans="1:6" ht="13">
      <c r="A64" s="9"/>
      <c r="B64" s="1440"/>
      <c r="C64" s="1331"/>
      <c r="D64" s="1331"/>
      <c r="E64" s="1325"/>
    </row>
    <row r="65" spans="1:6" ht="13">
      <c r="A65" s="9"/>
      <c r="B65" s="1440" t="s">
        <v>508</v>
      </c>
      <c r="C65" s="1325">
        <f>'FR-16(7)(v)-1 Functional'!F646</f>
        <v>0</v>
      </c>
      <c r="D65" s="1331"/>
      <c r="E65" s="1331"/>
    </row>
    <row r="66" spans="1:6" ht="13">
      <c r="A66" s="9"/>
      <c r="B66" s="1440" t="s">
        <v>0</v>
      </c>
      <c r="C66" s="1325">
        <f>'FR-16(7)(v)-1 Functional'!F41</f>
        <v>15228161.069247022</v>
      </c>
      <c r="D66" s="1340">
        <f>'[1]SCH_A Rate Base'!$I$33</f>
        <v>15228161</v>
      </c>
      <c r="E66" s="1325">
        <f>D66-C66</f>
        <v>-6.9247022271156311E-2</v>
      </c>
      <c r="F66" s="351"/>
    </row>
    <row r="67" spans="1:6" ht="13">
      <c r="A67" s="9"/>
      <c r="B67" s="1440"/>
      <c r="C67" s="1331"/>
      <c r="D67" s="1331"/>
      <c r="E67" s="1331"/>
    </row>
    <row r="68" spans="1:6" ht="13">
      <c r="A68" s="9"/>
      <c r="B68" s="1445" t="s">
        <v>1</v>
      </c>
      <c r="C68" s="1325">
        <v>0</v>
      </c>
      <c r="D68" s="1325">
        <v>0</v>
      </c>
      <c r="E68" s="1325">
        <f>D68-C68</f>
        <v>0</v>
      </c>
    </row>
    <row r="71" spans="1:6">
      <c r="B71" s="1440" t="s">
        <v>1154</v>
      </c>
      <c r="C71" s="1280">
        <f>'FR-16(7)(v)-1 Functional'!F744</f>
        <v>111143535</v>
      </c>
      <c r="D71" s="1280">
        <f>[1]SCH_C2!$N$17+[1]SCH_C2!$N$18</f>
        <v>111143535</v>
      </c>
      <c r="E71" s="1325">
        <f>D71-C71</f>
        <v>0</v>
      </c>
      <c r="F71" s="1020"/>
    </row>
    <row r="72" spans="1:6">
      <c r="F72" s="1020"/>
    </row>
    <row r="73" spans="1:6">
      <c r="F73" s="1020"/>
    </row>
    <row r="74" spans="1:6">
      <c r="F74" s="1020"/>
    </row>
    <row r="75" spans="1:6">
      <c r="F75" s="1027"/>
    </row>
    <row r="76" spans="1:6">
      <c r="F76" s="333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7">
    <tabColor rgb="FF92D050"/>
    <pageSetUpPr fitToPage="1"/>
  </sheetPr>
  <dimension ref="A1:L52"/>
  <sheetViews>
    <sheetView zoomScale="75" workbookViewId="0">
      <selection activeCell="D6" sqref="D6"/>
    </sheetView>
  </sheetViews>
  <sheetFormatPr defaultColWidth="8.765625" defaultRowHeight="12.5"/>
  <cols>
    <col min="1" max="1" width="7" style="330" customWidth="1"/>
    <col min="2" max="2" width="3.53515625" style="330" customWidth="1"/>
    <col min="3" max="3" width="35" style="330" customWidth="1"/>
    <col min="4" max="4" width="13.07421875" style="330" customWidth="1"/>
    <col min="5" max="5" width="2.765625" style="330" customWidth="1"/>
    <col min="6" max="6" width="12.765625" style="330" customWidth="1"/>
    <col min="7" max="8" width="12.765625" style="351" customWidth="1"/>
    <col min="9" max="9" width="13.765625" style="351" customWidth="1"/>
    <col min="10" max="11" width="13.23046875" style="330" customWidth="1"/>
    <col min="12" max="12" width="9.23046875" style="330" customWidth="1"/>
    <col min="13" max="16384" width="8.765625" style="330"/>
  </cols>
  <sheetData>
    <row r="1" spans="1:12" ht="13">
      <c r="A1" s="195" t="str">
        <f>co_name</f>
        <v>DUKE ENERGY KENTUCKY, INC.</v>
      </c>
      <c r="B1" s="195"/>
      <c r="C1" s="195"/>
      <c r="D1" s="195"/>
      <c r="E1" s="195"/>
      <c r="F1" s="195"/>
      <c r="G1" s="340"/>
      <c r="H1" s="340"/>
      <c r="K1" s="340" t="s">
        <v>1465</v>
      </c>
      <c r="L1" s="195"/>
    </row>
    <row r="2" spans="1:12" ht="13">
      <c r="A2" s="195" t="str">
        <f>coss_type</f>
        <v xml:space="preserve">GAS COST OF SERVICE STUDY </v>
      </c>
      <c r="B2" s="195"/>
      <c r="C2" s="195"/>
      <c r="D2" s="195"/>
      <c r="E2" s="195"/>
      <c r="F2" s="195"/>
      <c r="G2" s="340"/>
      <c r="H2" s="340"/>
      <c r="I2" s="340"/>
      <c r="K2" s="195" t="s">
        <v>435</v>
      </c>
      <c r="L2" s="195"/>
    </row>
    <row r="3" spans="1:12" ht="13">
      <c r="A3" s="577" t="s">
        <v>1209</v>
      </c>
      <c r="B3" s="195"/>
      <c r="C3" s="195"/>
      <c r="D3" s="195"/>
      <c r="E3" s="195"/>
      <c r="F3" s="195"/>
      <c r="G3" s="340"/>
      <c r="H3" s="340"/>
      <c r="I3" s="340"/>
      <c r="K3" s="195" t="str">
        <f>Witness</f>
        <v>JAMES E. ZIOLKOWSKI</v>
      </c>
      <c r="L3" s="195"/>
    </row>
    <row r="4" spans="1:12" ht="13">
      <c r="A4" s="195" t="str">
        <f>test_period</f>
        <v>TWELVE MONTHS ENDING DECEMBER 31, 2022</v>
      </c>
      <c r="B4" s="195"/>
      <c r="C4" s="195"/>
      <c r="D4" s="195"/>
      <c r="E4" s="195"/>
      <c r="F4" s="195"/>
      <c r="G4" s="340"/>
      <c r="H4" s="340"/>
      <c r="I4" s="340"/>
      <c r="K4" s="195" t="str">
        <f>"PAGE 1 OF 1"</f>
        <v>PAGE 1 OF 1</v>
      </c>
      <c r="L4" s="195"/>
    </row>
    <row r="5" spans="1:12" ht="13">
      <c r="A5" s="195" t="str">
        <f>case_name</f>
        <v>CASE NO: 2021-00190</v>
      </c>
      <c r="B5" s="195"/>
      <c r="C5" s="195"/>
      <c r="D5" s="195"/>
      <c r="E5" s="195"/>
      <c r="F5" s="195"/>
      <c r="G5" s="340"/>
      <c r="H5" s="340"/>
      <c r="I5" s="340"/>
      <c r="K5" s="1274">
        <f ca="1">NOW()</f>
        <v>44420.466563425929</v>
      </c>
      <c r="L5" s="195"/>
    </row>
    <row r="6" spans="1:12" ht="13">
      <c r="A6" s="341" t="str">
        <f>data_filing</f>
        <v>DATA: 12 MONTH FORECASTED PERIOD</v>
      </c>
      <c r="B6" s="195"/>
      <c r="C6" s="195"/>
      <c r="D6" s="195"/>
      <c r="E6" s="195"/>
      <c r="F6" s="195"/>
      <c r="G6" s="340"/>
      <c r="H6" s="340"/>
      <c r="I6" s="340"/>
      <c r="L6" s="195"/>
    </row>
    <row r="7" spans="1:12" ht="13">
      <c r="B7" s="341"/>
      <c r="C7" s="195"/>
      <c r="D7" s="195"/>
      <c r="E7" s="195"/>
      <c r="F7" s="195"/>
      <c r="G7" s="340"/>
      <c r="H7" s="340"/>
      <c r="I7" s="340"/>
      <c r="K7" s="195"/>
      <c r="L7" s="195"/>
    </row>
    <row r="8" spans="1:12" ht="13">
      <c r="B8" s="341"/>
      <c r="C8" s="195"/>
      <c r="D8" s="195"/>
      <c r="E8" s="195"/>
      <c r="F8" s="195"/>
      <c r="G8" s="340"/>
      <c r="H8" s="340"/>
      <c r="I8" s="340"/>
      <c r="J8" s="342" t="s">
        <v>370</v>
      </c>
      <c r="K8" s="195"/>
      <c r="L8" s="195"/>
    </row>
    <row r="9" spans="1:12" ht="13">
      <c r="A9" s="342" t="s">
        <v>472</v>
      </c>
      <c r="B9" s="195"/>
      <c r="C9" s="195"/>
      <c r="D9" s="342"/>
      <c r="E9" s="195"/>
      <c r="F9" s="342" t="s">
        <v>229</v>
      </c>
      <c r="G9" s="352" t="s">
        <v>766</v>
      </c>
      <c r="H9" s="352" t="s">
        <v>1256</v>
      </c>
      <c r="I9" s="352" t="s">
        <v>974</v>
      </c>
      <c r="J9" s="342" t="s">
        <v>546</v>
      </c>
      <c r="K9" s="342" t="s">
        <v>229</v>
      </c>
      <c r="L9" s="342" t="s">
        <v>342</v>
      </c>
    </row>
    <row r="10" spans="1:12" ht="13">
      <c r="A10" s="344" t="s">
        <v>476</v>
      </c>
      <c r="B10" s="343" t="s">
        <v>102</v>
      </c>
      <c r="C10" s="357"/>
      <c r="D10" s="344"/>
      <c r="E10" s="343"/>
      <c r="F10" s="344" t="s">
        <v>284</v>
      </c>
      <c r="G10" s="353" t="s">
        <v>338</v>
      </c>
      <c r="H10" s="353" t="s">
        <v>404</v>
      </c>
      <c r="I10" s="353" t="s">
        <v>1257</v>
      </c>
      <c r="J10" s="344" t="s">
        <v>547</v>
      </c>
      <c r="K10" s="344" t="s">
        <v>341</v>
      </c>
      <c r="L10" s="344" t="s">
        <v>340</v>
      </c>
    </row>
    <row r="11" spans="1:12" ht="13">
      <c r="C11" s="572" t="s">
        <v>354</v>
      </c>
      <c r="D11" s="195"/>
      <c r="E11" s="195"/>
    </row>
    <row r="12" spans="1:12" ht="13">
      <c r="A12" s="331">
        <v>1</v>
      </c>
      <c r="B12" s="330" t="s">
        <v>100</v>
      </c>
      <c r="D12" s="195"/>
      <c r="E12" s="195"/>
    </row>
    <row r="13" spans="1:12" ht="15.5">
      <c r="A13" s="331">
        <v>2</v>
      </c>
      <c r="C13" s="330" t="s">
        <v>95</v>
      </c>
      <c r="D13"/>
      <c r="E13" s="195"/>
      <c r="F13" s="347">
        <f>'FR-16(7)(v)-8 TOT CLASS Alloc'!F12</f>
        <v>771808162</v>
      </c>
      <c r="G13" s="347">
        <f>'FR-16(7)(v)-8 TOT CLASS Alloc'!G12</f>
        <v>493438868</v>
      </c>
      <c r="H13" s="347">
        <f>'FR-16(7)(v)-8 TOT CLASS Alloc'!H12</f>
        <v>189656180</v>
      </c>
      <c r="I13" s="347">
        <f>'FR-16(7)(v)-8 TOT CLASS Alloc'!I12</f>
        <v>67201966</v>
      </c>
      <c r="J13" s="347">
        <f>'FR-16(7)(v)-8 TOT CLASS Alloc'!J12</f>
        <v>21511148</v>
      </c>
      <c r="K13" s="345">
        <f>SUM(G13:J13)</f>
        <v>771808162</v>
      </c>
      <c r="L13" s="345">
        <f>F13-K13</f>
        <v>0</v>
      </c>
    </row>
    <row r="14" spans="1:12" ht="15.5">
      <c r="A14" s="331">
        <v>3</v>
      </c>
      <c r="C14" s="330" t="s">
        <v>23</v>
      </c>
      <c r="D14"/>
      <c r="E14" s="195"/>
      <c r="F14" s="347">
        <f>'FR-16(7)(v)-8 TOT CLASS Alloc'!F13</f>
        <v>-206903281</v>
      </c>
      <c r="G14" s="347">
        <f>'FR-16(7)(v)-8 TOT CLASS Alloc'!G13</f>
        <v>-133530689</v>
      </c>
      <c r="H14" s="347">
        <f>'FR-16(7)(v)-8 TOT CLASS Alloc'!H13</f>
        <v>-48731655</v>
      </c>
      <c r="I14" s="347">
        <f>'FR-16(7)(v)-8 TOT CLASS Alloc'!I13</f>
        <v>-18747351</v>
      </c>
      <c r="J14" s="347">
        <f>'FR-16(7)(v)-8 TOT CLASS Alloc'!J13</f>
        <v>-5893586</v>
      </c>
      <c r="K14" s="345">
        <f>SUM(G14:J14)</f>
        <v>-206903281</v>
      </c>
      <c r="L14" s="345">
        <f>F14-K14</f>
        <v>0</v>
      </c>
    </row>
    <row r="15" spans="1:12" ht="15.5">
      <c r="A15" s="331">
        <v>4</v>
      </c>
      <c r="C15" s="357" t="s">
        <v>152</v>
      </c>
      <c r="D15"/>
      <c r="E15" s="195"/>
      <c r="F15" s="347">
        <f>'FR-16(7)(v)-8 TOT CLASS Alloc'!F14</f>
        <v>-96583674.904109597</v>
      </c>
      <c r="G15" s="347">
        <f>'FR-16(7)(v)-8 TOT CLASS Alloc'!G14</f>
        <v>-61512130</v>
      </c>
      <c r="H15" s="347">
        <f>'FR-16(7)(v)-8 TOT CLASS Alloc'!H14</f>
        <v>-23679452</v>
      </c>
      <c r="I15" s="347">
        <f>'FR-16(7)(v)-8 TOT CLASS Alloc'!I14</f>
        <v>-8614678</v>
      </c>
      <c r="J15" s="347">
        <f>'FR-16(7)(v)-8 TOT CLASS Alloc'!J14</f>
        <v>-2777415</v>
      </c>
      <c r="K15" s="345">
        <f>SUM(G15:J15)</f>
        <v>-96583675</v>
      </c>
      <c r="L15" s="345">
        <f>F15-K15</f>
        <v>9.5890402793884277E-2</v>
      </c>
    </row>
    <row r="16" spans="1:12" ht="15.5">
      <c r="A16" s="331">
        <v>5</v>
      </c>
      <c r="C16" s="330" t="s">
        <v>153</v>
      </c>
      <c r="D16"/>
      <c r="E16" s="195"/>
      <c r="F16" s="346">
        <f t="shared" ref="F16:L16" si="0">SUM(F11:F15)</f>
        <v>468321206.0958904</v>
      </c>
      <c r="G16" s="346">
        <f t="shared" si="0"/>
        <v>298396049</v>
      </c>
      <c r="H16" s="346">
        <f t="shared" si="0"/>
        <v>117245073</v>
      </c>
      <c r="I16" s="346">
        <f>SUM(I11:I15)</f>
        <v>39839937</v>
      </c>
      <c r="J16" s="346">
        <f t="shared" si="0"/>
        <v>12840147</v>
      </c>
      <c r="K16" s="346">
        <f t="shared" si="0"/>
        <v>468321206</v>
      </c>
      <c r="L16" s="346">
        <f t="shared" si="0"/>
        <v>9.5890402793884277E-2</v>
      </c>
    </row>
    <row r="17" spans="1:12" ht="15.5">
      <c r="A17" s="331">
        <v>6</v>
      </c>
      <c r="D17"/>
      <c r="E17" s="195"/>
    </row>
    <row r="18" spans="1:12" ht="15.5">
      <c r="A18" s="331">
        <v>7</v>
      </c>
      <c r="B18" s="330" t="s">
        <v>98</v>
      </c>
      <c r="D18"/>
      <c r="E18" s="195"/>
    </row>
    <row r="19" spans="1:12" ht="15.5">
      <c r="A19" s="331">
        <v>8</v>
      </c>
      <c r="C19" s="330" t="s">
        <v>182</v>
      </c>
      <c r="D19"/>
      <c r="E19" s="195"/>
      <c r="F19" s="347">
        <f>'FR-16(7)(v)-8 TOT CLASS Alloc'!F18</f>
        <v>62796024</v>
      </c>
      <c r="G19" s="347">
        <f>'FR-16(7)(v)-8 TOT CLASS Alloc'!G18</f>
        <v>40778122</v>
      </c>
      <c r="H19" s="347">
        <f>'FR-16(7)(v)-8 TOT CLASS Alloc'!H18</f>
        <v>19892033</v>
      </c>
      <c r="I19" s="347">
        <f>'FR-16(7)(v)-8 TOT CLASS Alloc'!I18</f>
        <v>1553301</v>
      </c>
      <c r="J19" s="347">
        <f>'FR-16(7)(v)-8 TOT CLASS Alloc'!J18</f>
        <v>572568</v>
      </c>
      <c r="K19" s="345">
        <f>SUM(G19:J19)</f>
        <v>62796024</v>
      </c>
      <c r="L19" s="345">
        <f>F19-K19</f>
        <v>0</v>
      </c>
    </row>
    <row r="20" spans="1:12" ht="15.5">
      <c r="A20" s="331">
        <v>9</v>
      </c>
      <c r="C20" s="330" t="s">
        <v>61</v>
      </c>
      <c r="D20"/>
      <c r="E20" s="195"/>
      <c r="F20" s="347">
        <f>'FR-16(7)(v)-8 TOT CLASS Alloc'!F19</f>
        <v>19004234.504000001</v>
      </c>
      <c r="G20" s="347">
        <f>'FR-16(7)(v)-8 TOT CLASS Alloc'!G19</f>
        <v>12162320</v>
      </c>
      <c r="H20" s="347">
        <f>'FR-16(7)(v)-8 TOT CLASS Alloc'!H19</f>
        <v>4715415</v>
      </c>
      <c r="I20" s="347">
        <f>'FR-16(7)(v)-8 TOT CLASS Alloc'!I19</f>
        <v>1632389</v>
      </c>
      <c r="J20" s="347">
        <f>'FR-16(7)(v)-8 TOT CLASS Alloc'!J19</f>
        <v>494111</v>
      </c>
      <c r="K20" s="345">
        <f>SUM(G20:J20)</f>
        <v>19004235</v>
      </c>
      <c r="L20" s="345">
        <f>F20-K20</f>
        <v>-0.49599999934434891</v>
      </c>
    </row>
    <row r="21" spans="1:12" ht="15.5">
      <c r="A21" s="331">
        <v>10</v>
      </c>
      <c r="C21" s="357" t="s">
        <v>67</v>
      </c>
      <c r="D21"/>
      <c r="E21" s="195"/>
      <c r="F21" s="347">
        <f>'FR-16(7)(v)-8 TOT CLASS Alloc'!F20</f>
        <v>4716796</v>
      </c>
      <c r="G21" s="347">
        <f>'FR-16(7)(v)-8 TOT CLASS Alloc'!G20</f>
        <v>3030944</v>
      </c>
      <c r="H21" s="347">
        <f>'FR-16(7)(v)-8 TOT CLASS Alloc'!H20</f>
        <v>1170831</v>
      </c>
      <c r="I21" s="347">
        <f>'FR-16(7)(v)-8 TOT CLASS Alloc'!I20</f>
        <v>389788</v>
      </c>
      <c r="J21" s="347">
        <f>'FR-16(7)(v)-8 TOT CLASS Alloc'!J20</f>
        <v>125233</v>
      </c>
      <c r="K21" s="345">
        <f>SUM(G21:J21)</f>
        <v>4716796</v>
      </c>
      <c r="L21" s="345">
        <f>F21-K21</f>
        <v>0</v>
      </c>
    </row>
    <row r="22" spans="1:12" ht="15.5">
      <c r="A22" s="331">
        <v>11</v>
      </c>
      <c r="C22" s="330" t="s">
        <v>1211</v>
      </c>
      <c r="D22"/>
      <c r="E22" s="195"/>
      <c r="F22" s="346">
        <f t="shared" ref="F22:L22" si="1">SUM(F18:F21)</f>
        <v>86517054.504000008</v>
      </c>
      <c r="G22" s="346">
        <f t="shared" si="1"/>
        <v>55971386</v>
      </c>
      <c r="H22" s="346">
        <f t="shared" si="1"/>
        <v>25778279</v>
      </c>
      <c r="I22" s="346">
        <f t="shared" si="1"/>
        <v>3575478</v>
      </c>
      <c r="J22" s="346">
        <f t="shared" si="1"/>
        <v>1191912</v>
      </c>
      <c r="K22" s="346">
        <f t="shared" si="1"/>
        <v>86517055</v>
      </c>
      <c r="L22" s="346">
        <f t="shared" si="1"/>
        <v>-0.49599999934434891</v>
      </c>
    </row>
    <row r="23" spans="1:12" ht="15.5">
      <c r="A23" s="331">
        <v>12</v>
      </c>
      <c r="C23" s="330" t="s">
        <v>380</v>
      </c>
      <c r="D23"/>
      <c r="E23" s="195"/>
      <c r="F23" s="347">
        <f>'FR-16(7)(v)-8 TOT CLASS Alloc'!F22</f>
        <v>5596540</v>
      </c>
      <c r="G23" s="347">
        <f ca="1">'FR-16(7)(v)-8 TOT CLASS Alloc'!G22</f>
        <v>3566167</v>
      </c>
      <c r="H23" s="347">
        <f>'FR-16(7)(v)-8 TOT CLASS Alloc'!H22</f>
        <v>1527772</v>
      </c>
      <c r="I23" s="347">
        <f ca="1">'FR-16(7)(v)-8 TOT CLASS Alloc'!I22</f>
        <v>370986</v>
      </c>
      <c r="J23" s="347">
        <f>'FR-16(7)(v)-8 TOT CLASS Alloc'!J22</f>
        <v>131615</v>
      </c>
      <c r="K23" s="345">
        <f ca="1">SUM(G23:J23)</f>
        <v>5596540</v>
      </c>
      <c r="L23" s="345">
        <f ca="1">F23-K23</f>
        <v>0</v>
      </c>
    </row>
    <row r="24" spans="1:12" ht="15.5">
      <c r="A24" s="331">
        <v>13</v>
      </c>
      <c r="C24" s="357" t="s">
        <v>281</v>
      </c>
      <c r="D24"/>
      <c r="E24" s="195"/>
      <c r="F24" s="347">
        <f>'FR-16(7)(v)-8 TOT CLASS Alloc'!F23</f>
        <v>1504852</v>
      </c>
      <c r="G24" s="347">
        <f ca="1">'FR-16(7)(v)-8 TOT CLASS Alloc'!G23</f>
        <v>957895</v>
      </c>
      <c r="H24" s="347">
        <f>'FR-16(7)(v)-8 TOT CLASS Alloc'!H23</f>
        <v>383837</v>
      </c>
      <c r="I24" s="347">
        <f ca="1">'FR-16(7)(v)-8 TOT CLASS Alloc'!I23</f>
        <v>122181</v>
      </c>
      <c r="J24" s="347">
        <f>'FR-16(7)(v)-8 TOT CLASS Alloc'!J23</f>
        <v>40939</v>
      </c>
      <c r="K24" s="345">
        <f ca="1">SUM(G24:J24)</f>
        <v>1504852</v>
      </c>
      <c r="L24" s="345">
        <f ca="1">F24-K24</f>
        <v>0</v>
      </c>
    </row>
    <row r="25" spans="1:12" ht="15.5">
      <c r="A25" s="331">
        <v>14</v>
      </c>
      <c r="C25" s="330" t="s">
        <v>282</v>
      </c>
      <c r="D25"/>
      <c r="E25" s="195"/>
      <c r="F25" s="346">
        <f t="shared" ref="F25:L25" si="2">SUM(F22:F24)</f>
        <v>93618446.504000008</v>
      </c>
      <c r="G25" s="346">
        <f t="shared" ca="1" si="2"/>
        <v>60495448</v>
      </c>
      <c r="H25" s="346">
        <f t="shared" si="2"/>
        <v>27689888</v>
      </c>
      <c r="I25" s="346">
        <f t="shared" ca="1" si="2"/>
        <v>4068645</v>
      </c>
      <c r="J25" s="346">
        <f t="shared" si="2"/>
        <v>1364466</v>
      </c>
      <c r="K25" s="346">
        <f t="shared" ca="1" si="2"/>
        <v>93618447</v>
      </c>
      <c r="L25" s="346">
        <f t="shared" ca="1" si="2"/>
        <v>-0.49599999934434891</v>
      </c>
    </row>
    <row r="26" spans="1:12" ht="15.5">
      <c r="A26" s="331">
        <v>15</v>
      </c>
      <c r="D26"/>
      <c r="E26" s="195"/>
    </row>
    <row r="27" spans="1:12" ht="15.5">
      <c r="A27" s="331">
        <v>16</v>
      </c>
      <c r="B27" s="330" t="s">
        <v>43</v>
      </c>
      <c r="D27"/>
      <c r="E27" s="195"/>
      <c r="F27" s="347">
        <f>'FR-16(7)(v)-8 TOT CLASS Alloc'!F26</f>
        <v>33063477</v>
      </c>
      <c r="G27" s="347">
        <f>'FR-16(7)(v)-8 TOT CLASS Alloc'!G26</f>
        <v>21066761</v>
      </c>
      <c r="H27" s="347">
        <f>'FR-16(7)(v)-8 TOT CLASS Alloc'!H26</f>
        <v>8277502</v>
      </c>
      <c r="I27" s="347">
        <f>'FR-16(7)(v)-8 TOT CLASS Alloc'!I26</f>
        <v>2812700</v>
      </c>
      <c r="J27" s="347">
        <f>'FR-16(7)(v)-8 TOT CLASS Alloc'!J26</f>
        <v>906514</v>
      </c>
      <c r="K27" s="345">
        <f>SUM(G27:J27)</f>
        <v>33063477</v>
      </c>
      <c r="L27" s="345">
        <f>'FR-16(7)(v)-1 Functional'!K334</f>
        <v>0</v>
      </c>
    </row>
    <row r="28" spans="1:12" ht="15.5">
      <c r="A28" s="331">
        <v>17</v>
      </c>
      <c r="B28" s="357" t="s">
        <v>103</v>
      </c>
      <c r="C28" s="357"/>
      <c r="D28"/>
      <c r="E28" s="195"/>
      <c r="F28" s="347">
        <f>'FR-16(7)(v)-8 TOT CLASS Alloc'!F27</f>
        <v>-310224</v>
      </c>
      <c r="G28" s="347">
        <f>'FR-16(7)(v)-8 TOT CLASS Alloc'!G27</f>
        <v>-222777</v>
      </c>
      <c r="H28" s="347">
        <f>'FR-16(7)(v)-8 TOT CLASS Alloc'!H27</f>
        <v>-66017</v>
      </c>
      <c r="I28" s="347">
        <f>'FR-16(7)(v)-8 TOT CLASS Alloc'!I27</f>
        <v>-16333</v>
      </c>
      <c r="J28" s="347">
        <f>'FR-16(7)(v)-8 TOT CLASS Alloc'!J27</f>
        <v>-5097</v>
      </c>
      <c r="K28" s="345">
        <f>SUM(G28:J28)</f>
        <v>-310224</v>
      </c>
      <c r="L28" s="345">
        <f>-'FR-16(7)(v)-1 Functional'!K630</f>
        <v>0</v>
      </c>
    </row>
    <row r="29" spans="1:12" ht="15.5">
      <c r="A29" s="331">
        <v>18</v>
      </c>
      <c r="C29" s="330" t="s">
        <v>79</v>
      </c>
      <c r="D29"/>
      <c r="E29" s="195"/>
      <c r="F29" s="346">
        <f t="shared" ref="F29:L29" si="3">SUM(F25:F28)</f>
        <v>126371699.50400001</v>
      </c>
      <c r="G29" s="346">
        <f t="shared" ca="1" si="3"/>
        <v>81339432</v>
      </c>
      <c r="H29" s="346">
        <f t="shared" si="3"/>
        <v>35901373</v>
      </c>
      <c r="I29" s="346">
        <f t="shared" ca="1" si="3"/>
        <v>6865012</v>
      </c>
      <c r="J29" s="346">
        <f t="shared" si="3"/>
        <v>2265883</v>
      </c>
      <c r="K29" s="346">
        <f t="shared" ca="1" si="3"/>
        <v>126371700</v>
      </c>
      <c r="L29" s="346">
        <f t="shared" ca="1" si="3"/>
        <v>-0.49599999934434891</v>
      </c>
    </row>
    <row r="30" spans="1:12" ht="15.5">
      <c r="A30" s="331">
        <v>19</v>
      </c>
      <c r="D30"/>
      <c r="E30" s="195"/>
    </row>
    <row r="31" spans="1:12" ht="13">
      <c r="A31" s="331">
        <v>20</v>
      </c>
      <c r="B31" s="1241" t="str">
        <f>"PROPOSED REVENUES - ELIM "&amp;TEXT('WP FR-16(7)(v)Rate Incr (40.0%)'!I11,"#.00%")&amp;" OF SUBSIDY"</f>
        <v>PROPOSED REVENUES - ELIM 100.00% OF SUBSIDY</v>
      </c>
      <c r="C31" s="505"/>
      <c r="D31" s="195"/>
      <c r="E31" s="195"/>
      <c r="F31" s="347">
        <f>'FR-16(7)(v)-8 TOT CLASS Alloc'!F31</f>
        <v>126434590</v>
      </c>
      <c r="G31" s="347">
        <f>'FR-16(7)(v)-8 TOT CLASS Alloc'!G31</f>
        <v>85341377</v>
      </c>
      <c r="H31" s="347">
        <f>'FR-16(7)(v)-8 TOT CLASS Alloc'!H31</f>
        <v>32736157</v>
      </c>
      <c r="I31" s="347">
        <f>'FR-16(7)(v)-8 TOT CLASS Alloc'!I31</f>
        <v>6308299</v>
      </c>
      <c r="J31" s="347">
        <f>'FR-16(7)(v)-8 TOT CLASS Alloc'!J31</f>
        <v>2048757</v>
      </c>
      <c r="K31" s="345">
        <f>SUM(G31:J31)</f>
        <v>126434590</v>
      </c>
      <c r="L31" s="345">
        <f>'FR-16(7)(v)-3 PROD Comm Alloc'!L744</f>
        <v>0</v>
      </c>
    </row>
    <row r="32" spans="1:12" ht="13">
      <c r="A32" s="331">
        <v>21</v>
      </c>
      <c r="C32" s="330" t="s">
        <v>80</v>
      </c>
      <c r="D32" s="195"/>
      <c r="E32" s="195"/>
      <c r="F32" s="346">
        <f t="shared" ref="F32:L32" si="4">F31-F29</f>
        <v>62890.495999991894</v>
      </c>
      <c r="G32" s="346">
        <f t="shared" ca="1" si="4"/>
        <v>4001945</v>
      </c>
      <c r="H32" s="346">
        <f t="shared" si="4"/>
        <v>-3165216</v>
      </c>
      <c r="I32" s="346">
        <f t="shared" ca="1" si="4"/>
        <v>-556713</v>
      </c>
      <c r="J32" s="346">
        <f t="shared" si="4"/>
        <v>-217126</v>
      </c>
      <c r="K32" s="346">
        <f t="shared" ca="1" si="4"/>
        <v>62890</v>
      </c>
      <c r="L32" s="346">
        <f t="shared" ca="1" si="4"/>
        <v>0.49599999934434891</v>
      </c>
    </row>
    <row r="33" spans="1:12" ht="13">
      <c r="A33" s="331">
        <v>22</v>
      </c>
      <c r="D33" s="195"/>
      <c r="E33" s="195"/>
    </row>
    <row r="34" spans="1:12" ht="13">
      <c r="A34" s="331">
        <v>23</v>
      </c>
      <c r="B34" s="330" t="s">
        <v>1210</v>
      </c>
      <c r="D34" s="1031" t="s">
        <v>1164</v>
      </c>
      <c r="E34" s="195"/>
      <c r="F34" s="1034">
        <f t="shared" ref="F34:L34" ca="1" si="5">F27+F52</f>
        <v>21630932.495999992</v>
      </c>
      <c r="G34" s="1034">
        <f t="shared" ca="1" si="5"/>
        <v>16594938</v>
      </c>
      <c r="H34" s="1034">
        <f t="shared" si="5"/>
        <v>2740230</v>
      </c>
      <c r="I34" s="1034">
        <f t="shared" ca="1" si="5"/>
        <v>1751992</v>
      </c>
      <c r="J34" s="1034">
        <f t="shared" si="5"/>
        <v>543772</v>
      </c>
      <c r="K34" s="1034">
        <f t="shared" ca="1" si="5"/>
        <v>21630932</v>
      </c>
      <c r="L34" s="1034">
        <f t="shared" ca="1" si="5"/>
        <v>0.49599999189376831</v>
      </c>
    </row>
    <row r="35" spans="1:12" ht="13">
      <c r="A35" s="331">
        <v>24</v>
      </c>
      <c r="B35" s="330" t="s">
        <v>105</v>
      </c>
      <c r="D35" s="195"/>
      <c r="E35" s="195"/>
      <c r="F35" s="348">
        <f ca="1">IF('FR-16(7)(v)-1 Functional'!F331=0,0,ROUND(F34/'FR-16(7)(v)-1 Functional'!F331,5))</f>
        <v>4.6190000000000002E-2</v>
      </c>
      <c r="G35" s="354">
        <f ca="1">IF('FR-16(7)(v)-8 TOT CLASS Alloc'!G15=0,0,ROUND(G34/'FR-16(7)(v)-8 TOT CLASS Alloc'!G15,5))</f>
        <v>5.561E-2</v>
      </c>
      <c r="H35" s="354">
        <f>IF('FR-16(7)(v)-8 TOT CLASS Alloc'!H15=0,0,ROUND(H34/'FR-16(7)(v)-8 TOT CLASS Alloc'!H15,5))</f>
        <v>2.3369999999999998E-2</v>
      </c>
      <c r="I35" s="354">
        <f ca="1">IF('FR-16(7)(v)-8 TOT CLASS Alloc'!I15=0,0,ROUND(I34/'FR-16(7)(v)-8 TOT CLASS Alloc'!I15,5))</f>
        <v>4.3979999999999998E-2</v>
      </c>
      <c r="J35" s="354">
        <f>IF('FR-16(7)(v)-8 TOT CLASS Alloc'!J15=0,0,ROUND(J34/'FR-16(7)(v)-8 TOT CLASS Alloc'!J15,5))</f>
        <v>4.2349999999999999E-2</v>
      </c>
      <c r="K35" s="354">
        <f ca="1">IF('FR-16(7)(v)-8 TOT CLASS Alloc'!K15=0,0,ROUND(K34/'FR-16(7)(v)-8 TOT CLASS Alloc'!K15,5))</f>
        <v>4.6190000000000002E-2</v>
      </c>
      <c r="L35" s="354">
        <f ca="1">IF('FR-16(7)(v)-8 TOT CLASS Alloc'!L15=0,0,ROUND(L34/'FR-16(7)(v)-8 TOT CLASS Alloc'!L15,5))</f>
        <v>5.1725700000000003</v>
      </c>
    </row>
    <row r="36" spans="1:12" ht="13">
      <c r="A36" s="331">
        <v>25</v>
      </c>
      <c r="B36" s="330" t="s">
        <v>42</v>
      </c>
      <c r="D36" s="195"/>
      <c r="E36" s="195"/>
      <c r="F36" s="349">
        <f>'FR-16(7)(v)-1 Functional'!$F$688</f>
        <v>7.060000000000001E-2</v>
      </c>
      <c r="G36" s="355">
        <f>'FR-16(7)(v)-1 Functional'!$F$688</f>
        <v>7.060000000000001E-2</v>
      </c>
      <c r="H36" s="355">
        <f>'FR-16(7)(v)-1 Functional'!$F$688</f>
        <v>7.060000000000001E-2</v>
      </c>
      <c r="I36" s="355">
        <f>'FR-16(7)(v)-1 Functional'!$F$688</f>
        <v>7.060000000000001E-2</v>
      </c>
      <c r="J36" s="349">
        <f>'FR-16(7)(v)-1 Functional'!$F$688</f>
        <v>7.060000000000001E-2</v>
      </c>
      <c r="K36" s="349"/>
      <c r="L36" s="349">
        <f>'FR-16(7)(v)-1 Functional'!$F$688</f>
        <v>7.060000000000001E-2</v>
      </c>
    </row>
    <row r="37" spans="1:12" ht="13.9" customHeight="1">
      <c r="A37" s="331">
        <v>26</v>
      </c>
      <c r="B37" s="330" t="s">
        <v>106</v>
      </c>
      <c r="D37" s="195"/>
      <c r="E37" s="195"/>
      <c r="F37" s="348">
        <f ca="1">IF('FR-16(7)(v)-8 TOT CLASS Alloc'!F670=0,0,(F35-'FR-16(7)(v)-8 TOT CLASS Alloc'!$F$683-'FR-16(7)(v)-8 TOT CLASS Alloc'!$F$684-'FR-16(7)(v)-8 TOT CLASS Alloc'!$F$686)*'FR-16(7)(v)-8 TOT CLASS Alloc'!$F$673/'FR-16(7)(v)-8 TOT CLASS Alloc'!$F$670)</f>
        <v>5.4858340800617238E-2</v>
      </c>
      <c r="G37" s="354">
        <f ca="1">IF('FR-16(7)(v)-8 TOT CLASS Alloc'!F670=0,0,(G35-'FR-16(7)(v)-8 TOT CLASS Alloc'!$F$683-'FR-16(7)(v)-8 TOT CLASS Alloc'!$F$684-'FR-16(7)(v)-8 TOT CLASS Alloc'!$F$686)*'FR-16(7)(v)-8 TOT CLASS Alloc'!$F$673/'FR-16(7)(v)-8 TOT CLASS Alloc'!$F$670)</f>
        <v>7.3440346206651547E-2</v>
      </c>
      <c r="H37" s="354">
        <f>IF('FR-16(7)(v)-8 TOT CLASS Alloc'!F670=0,0,(H35-'FR-16(7)(v)-8 TOT CLASS Alloc'!$F$683-'FR-16(7)(v)-8 TOT CLASS Alloc'!$F$684-'FR-16(7)(v)-8 TOT CLASS Alloc'!$F$686)*'FR-16(7)(v)-8 TOT CLASS Alloc'!$F$673/'FR-16(7)(v)-8 TOT CLASS Alloc'!$F$670)</f>
        <v>9.8433340738971545E-3</v>
      </c>
      <c r="I37" s="354">
        <f ca="1">IF('FR-16(7)(v)-8 TOT CLASS Alloc'!F670=0,0,(I35-'FR-16(7)(v)-8 TOT CLASS Alloc'!$F$683-'FR-16(7)(v)-8 TOT CLASS Alloc'!$F$684-'FR-16(7)(v)-8 TOT CLASS Alloc'!$F$686)*'FR-16(7)(v)-8 TOT CLASS Alloc'!$F$673/'FR-16(7)(v)-8 TOT CLASS Alloc'!$F$670)</f>
        <v>5.0498868194742932E-2</v>
      </c>
      <c r="J37" s="348">
        <f>IF('FR-16(7)(v)-8 TOT CLASS Alloc'!F670=0,0,(J35-'FR-16(7)(v)-8 TOT CLASS Alloc'!$F$683-'FR-16(7)(v)-8 TOT CLASS Alloc'!$F$684-'FR-16(7)(v)-8 TOT CLASS Alloc'!$F$686)*'FR-16(7)(v)-8 TOT CLASS Alloc'!$F$673/'FR-16(7)(v)-8 TOT CLASS Alloc'!$F$670)</f>
        <v>4.7283510571405785E-2</v>
      </c>
      <c r="K37" s="348">
        <f ca="1">IF('FR-16(7)(v)-8 TOT CLASS Alloc'!F670=0,0,(K35-'FR-16(7)(v)-8 TOT CLASS Alloc'!$F$683-'FR-16(7)(v)-8 TOT CLASS Alloc'!$F$684-'FR-16(7)(v)-8 TOT CLASS Alloc'!$F$686)*'FR-16(7)(v)-8 TOT CLASS Alloc'!$F$673/'FR-16(7)(v)-8 TOT CLASS Alloc'!$F$670)</f>
        <v>5.4858340800617238E-2</v>
      </c>
      <c r="L37" s="348">
        <f ca="1">IF('FR-16(7)(v)-8 TOT CLASS Alloc'!F670=0,0,(L35-'FR-16(7)(v)-8 TOT CLASS Alloc'!$F$683-'FR-16(7)(v)-8 TOT CLASS Alloc'!$F$684-'FR-16(7)(v)-8 TOT CLASS Alloc'!$F$686)*'FR-16(7)(v)-8 TOT CLASS Alloc'!$F$673/'FR-16(7)(v)-8 TOT CLASS Alloc'!$F$670)</f>
        <v>10.167217244557115</v>
      </c>
    </row>
    <row r="38" spans="1:12" ht="13">
      <c r="A38" s="331">
        <v>27</v>
      </c>
      <c r="B38" s="330" t="s">
        <v>107</v>
      </c>
      <c r="D38" s="195"/>
      <c r="E38" s="195"/>
      <c r="F38" s="348">
        <f>IF('FR-16(7)(v)-1 Functional'!F670=0,0,(G36-'FR-16(7)(v)-1 Functional'!$F$683-'FR-16(7)(v)-1 Functional'!$F$684-'FR-16(7)(v)-1 Functional'!$F$686)*'FR-16(7)(v)-1 Functional'!$F$673/'FR-16(7)(v)-1 Functional'!$F$670)</f>
        <v>0.10300980066912017</v>
      </c>
      <c r="G38" s="354">
        <f>IF('FR-16(7)(v)-1 Functional'!F670=0,0,(G36-'FR-16(7)(v)-1 Functional'!$F$683-'FR-16(7)(v)-1 Functional'!$F$684-'FR-16(7)(v)-1 Functional'!$F$686)*'FR-16(7)(v)-1 Functional'!$F$673/'FR-16(7)(v)-1 Functional'!$F$670)</f>
        <v>0.10300980066912017</v>
      </c>
      <c r="H38" s="354">
        <f>IF('FR-16(7)(v)-1 Functional'!F670=0,0,(H36-'FR-16(7)(v)-1 Functional'!$F$683-'FR-16(7)(v)-1 Functional'!$F$684-'FR-16(7)(v)-1 Functional'!$F$686)*'FR-16(7)(v)-1 Functional'!$F$673/'FR-16(7)(v)-1 Functional'!$F$670)</f>
        <v>0.10300980066912017</v>
      </c>
      <c r="I38" s="354">
        <f>IF('FR-16(7)(v)-1 Functional'!F670=0,0,(I36-'FR-16(7)(v)-1 Functional'!$F$683-'FR-16(7)(v)-1 Functional'!$F$684-'FR-16(7)(v)-1 Functional'!$F$686)*'FR-16(7)(v)-1 Functional'!$F$673/'FR-16(7)(v)-1 Functional'!$F$670)</f>
        <v>0.10300980066912017</v>
      </c>
      <c r="J38" s="348">
        <f>IF('FR-16(7)(v)-1 Functional'!F670=0,0,(J36-'FR-16(7)(v)-1 Functional'!$F$683-'FR-16(7)(v)-1 Functional'!$F$684-'FR-16(7)(v)-1 Functional'!$F$686)*'FR-16(7)(v)-1 Functional'!$F$673/'FR-16(7)(v)-1 Functional'!$F$670)</f>
        <v>0.10300980066912017</v>
      </c>
      <c r="K38" s="348"/>
      <c r="L38" s="348">
        <f>IF('FR-16(7)(v)-1 Functional'!F670=0,0,(L36-'FR-16(7)(v)-1 Functional'!$F$683-'FR-16(7)(v)-1 Functional'!$F$684-'FR-16(7)(v)-1 Functional'!$F$686)*'FR-16(7)(v)-1 Functional'!$F$673/'FR-16(7)(v)-1 Functional'!$F$670)</f>
        <v>0.10300980066912017</v>
      </c>
    </row>
    <row r="39" spans="1:12" ht="13">
      <c r="A39" s="331">
        <v>28</v>
      </c>
      <c r="D39" s="195"/>
      <c r="E39" s="195"/>
      <c r="F39" s="330" t="s">
        <v>343</v>
      </c>
    </row>
    <row r="40" spans="1:12" ht="13">
      <c r="A40" s="331">
        <v>29</v>
      </c>
      <c r="B40" s="330" t="s">
        <v>108</v>
      </c>
      <c r="D40" s="195"/>
      <c r="E40" s="195"/>
      <c r="F40" s="345">
        <f>'FR-16(7)(v)-8 TOT CLASS Alloc'!F40</f>
        <v>111143535</v>
      </c>
      <c r="G40" s="345">
        <f>'FR-16(7)(v)-8 TOT CLASS Alloc'!G40</f>
        <v>75382959</v>
      </c>
      <c r="H40" s="345">
        <f>'FR-16(7)(v)-8 TOT CLASS Alloc'!H40</f>
        <v>28525719</v>
      </c>
      <c r="I40" s="345">
        <f>'FR-16(7)(v)-8 TOT CLASS Alloc'!I40</f>
        <v>5452147</v>
      </c>
      <c r="J40" s="345">
        <f>'FR-16(7)(v)-8 TOT CLASS Alloc'!J40</f>
        <v>1782710</v>
      </c>
      <c r="K40" s="345">
        <f>'FR-16(7)(v)-8 TOT CLASS Alloc'!K40</f>
        <v>111143535</v>
      </c>
      <c r="L40" s="345">
        <f>'FR-16(7)(v)-8 TOT CLASS Alloc'!L40</f>
        <v>0</v>
      </c>
    </row>
    <row r="41" spans="1:12" ht="13">
      <c r="A41" s="331">
        <v>30</v>
      </c>
      <c r="B41" s="330" t="s">
        <v>109</v>
      </c>
      <c r="D41" s="195"/>
      <c r="E41" s="195"/>
      <c r="F41" s="345">
        <f>F29-F40</f>
        <v>15228164.504000008</v>
      </c>
      <c r="G41" s="347">
        <f t="shared" ref="G41:L41" ca="1" si="6">G29-G40</f>
        <v>5956473</v>
      </c>
      <c r="H41" s="347">
        <f t="shared" si="6"/>
        <v>7375654</v>
      </c>
      <c r="I41" s="347">
        <f t="shared" ca="1" si="6"/>
        <v>1412865</v>
      </c>
      <c r="J41" s="345">
        <f t="shared" si="6"/>
        <v>483173</v>
      </c>
      <c r="K41" s="345">
        <f t="shared" ca="1" si="6"/>
        <v>15228165</v>
      </c>
      <c r="L41" s="345">
        <f t="shared" ca="1" si="6"/>
        <v>-0.49599999934434891</v>
      </c>
    </row>
    <row r="42" spans="1:12" ht="13">
      <c r="A42" s="331">
        <v>31</v>
      </c>
      <c r="C42" s="330" t="s">
        <v>283</v>
      </c>
      <c r="D42" s="195"/>
      <c r="E42" s="195"/>
      <c r="F42" s="350">
        <f t="shared" ref="F42:L42" si="7">IF(F40=0,0,ROUND(F41/F40,5))</f>
        <v>0.13700999999999999</v>
      </c>
      <c r="G42" s="356">
        <f t="shared" ca="1" si="7"/>
        <v>7.9020000000000007E-2</v>
      </c>
      <c r="H42" s="356">
        <f t="shared" si="7"/>
        <v>0.25856000000000001</v>
      </c>
      <c r="I42" s="356">
        <f t="shared" ca="1" si="7"/>
        <v>0.25913999999999998</v>
      </c>
      <c r="J42" s="350">
        <f t="shared" si="7"/>
        <v>0.27102999999999999</v>
      </c>
      <c r="K42" s="350">
        <f t="shared" ca="1" si="7"/>
        <v>0.13700999999999999</v>
      </c>
      <c r="L42" s="345">
        <f t="shared" si="7"/>
        <v>0</v>
      </c>
    </row>
    <row r="43" spans="1:12" ht="13">
      <c r="A43" s="331">
        <v>32</v>
      </c>
      <c r="B43" s="330" t="s">
        <v>110</v>
      </c>
      <c r="D43" s="195"/>
      <c r="E43" s="195"/>
      <c r="F43" s="345">
        <f t="shared" ref="F43:L43" si="8">F31-F40</f>
        <v>15291055</v>
      </c>
      <c r="G43" s="347">
        <f>G31-G40</f>
        <v>9958418</v>
      </c>
      <c r="H43" s="347">
        <f t="shared" si="8"/>
        <v>4210438</v>
      </c>
      <c r="I43" s="347">
        <f t="shared" si="8"/>
        <v>856152</v>
      </c>
      <c r="J43" s="345">
        <f t="shared" si="8"/>
        <v>266047</v>
      </c>
      <c r="K43" s="345">
        <f t="shared" si="8"/>
        <v>15291055</v>
      </c>
      <c r="L43" s="345">
        <f t="shared" si="8"/>
        <v>0</v>
      </c>
    </row>
    <row r="44" spans="1:12" ht="13">
      <c r="A44" s="331">
        <v>33</v>
      </c>
      <c r="C44" s="330" t="s">
        <v>283</v>
      </c>
      <c r="D44" s="195"/>
      <c r="E44" s="195"/>
      <c r="F44" s="350">
        <f t="shared" ref="F44:L44" si="9">IF(F40=0,0,ROUND(F43/F40,5))</f>
        <v>0.13758000000000001</v>
      </c>
      <c r="G44" s="356">
        <f t="shared" si="9"/>
        <v>0.1321</v>
      </c>
      <c r="H44" s="356">
        <f t="shared" si="9"/>
        <v>0.14760000000000001</v>
      </c>
      <c r="I44" s="356">
        <f t="shared" si="9"/>
        <v>0.15703</v>
      </c>
      <c r="J44" s="350">
        <f t="shared" si="9"/>
        <v>0.14924000000000001</v>
      </c>
      <c r="K44" s="350">
        <f t="shared" si="9"/>
        <v>0.13758000000000001</v>
      </c>
      <c r="L44" s="345">
        <f t="shared" si="9"/>
        <v>0</v>
      </c>
    </row>
    <row r="45" spans="1:12" ht="13">
      <c r="A45" s="331">
        <v>34</v>
      </c>
      <c r="D45" s="195"/>
      <c r="E45" s="195"/>
    </row>
    <row r="46" spans="1:12" ht="13">
      <c r="A46" s="824">
        <v>35</v>
      </c>
      <c r="B46" s="835" t="s">
        <v>906</v>
      </c>
      <c r="C46" s="825"/>
      <c r="D46" s="825"/>
      <c r="E46" s="825"/>
      <c r="F46" s="825"/>
      <c r="G46" s="825"/>
      <c r="H46" s="825"/>
      <c r="I46" s="825"/>
      <c r="J46" s="825"/>
      <c r="K46" s="825"/>
      <c r="L46" s="826"/>
    </row>
    <row r="47" spans="1:12" ht="13">
      <c r="A47" s="827">
        <v>36</v>
      </c>
      <c r="B47" s="828" t="s">
        <v>843</v>
      </c>
      <c r="C47" s="828"/>
      <c r="D47" s="829"/>
      <c r="E47" s="829"/>
      <c r="F47" s="770">
        <f>'FR-16(7)(v)-8 TOT CLASS Alloc'!F40</f>
        <v>111143535</v>
      </c>
      <c r="G47" s="770">
        <f>'FR-16(7)(v)-8 TOT CLASS Alloc'!G40</f>
        <v>75382959</v>
      </c>
      <c r="H47" s="770">
        <f>'FR-16(7)(v)-8 TOT CLASS Alloc'!H40</f>
        <v>28525719</v>
      </c>
      <c r="I47" s="770">
        <f>'FR-16(7)(v)-8 TOT CLASS Alloc'!I40</f>
        <v>5452147</v>
      </c>
      <c r="J47" s="770">
        <f>'FR-16(7)(v)-8 TOT CLASS Alloc'!J40</f>
        <v>1782710</v>
      </c>
      <c r="K47" s="770">
        <f>SUM(G47:J47)</f>
        <v>111143535</v>
      </c>
      <c r="L47" s="771">
        <f>'FR-16(7)(v)-8 TOT CLASS Alloc'!L40</f>
        <v>0</v>
      </c>
    </row>
    <row r="48" spans="1:12" ht="13">
      <c r="A48" s="827">
        <v>37</v>
      </c>
      <c r="B48" s="828" t="s">
        <v>79</v>
      </c>
      <c r="C48" s="828"/>
      <c r="D48" s="829"/>
      <c r="E48" s="829"/>
      <c r="F48" s="770">
        <f>-'FR-16(7)(v)-8 TOT CLASS Alloc'!F28</f>
        <v>-126371699.50400001</v>
      </c>
      <c r="G48" s="770">
        <f ca="1">-'FR-16(7)(v)-8 TOT CLASS Alloc'!G28</f>
        <v>-81339432</v>
      </c>
      <c r="H48" s="770">
        <f>-'FR-16(7)(v)-8 TOT CLASS Alloc'!H28</f>
        <v>-35901373</v>
      </c>
      <c r="I48" s="770">
        <f ca="1">-'FR-16(7)(v)-8 TOT CLASS Alloc'!I28</f>
        <v>-6865012</v>
      </c>
      <c r="J48" s="770">
        <f>-'FR-16(7)(v)-8 TOT CLASS Alloc'!J28</f>
        <v>-2265883</v>
      </c>
      <c r="K48" s="770">
        <f ca="1">-'FR-16(7)(v)-8 TOT CLASS Alloc'!K28</f>
        <v>-126371700</v>
      </c>
      <c r="L48" s="771">
        <f ca="1">-'FR-16(7)(v)-8 TOT CLASS Alloc'!L28</f>
        <v>0.49599999189376831</v>
      </c>
    </row>
    <row r="49" spans="1:12" ht="13">
      <c r="A49" s="827">
        <v>38</v>
      </c>
      <c r="B49" s="828" t="s">
        <v>80</v>
      </c>
      <c r="C49" s="828"/>
      <c r="D49" s="829"/>
      <c r="E49" s="829"/>
      <c r="F49" s="770">
        <f>F48+F47</f>
        <v>-15228164.504000008</v>
      </c>
      <c r="G49" s="770">
        <f ca="1">G48+G47</f>
        <v>-5956473</v>
      </c>
      <c r="H49" s="770">
        <f>H48+H47</f>
        <v>-7375654</v>
      </c>
      <c r="I49" s="770">
        <f ca="1">I48+I47</f>
        <v>-1412865</v>
      </c>
      <c r="J49" s="770">
        <f>J48+J47</f>
        <v>-483173</v>
      </c>
      <c r="K49" s="770">
        <f ca="1">SUM(G49:J49)</f>
        <v>-15228165</v>
      </c>
      <c r="L49" s="771">
        <f ca="1">L48+L47</f>
        <v>0.49599999189376831</v>
      </c>
    </row>
    <row r="50" spans="1:12" ht="13">
      <c r="A50" s="827">
        <v>39</v>
      </c>
      <c r="B50" s="828" t="s">
        <v>76</v>
      </c>
      <c r="C50" s="828"/>
      <c r="D50" s="829"/>
      <c r="E50" s="829"/>
      <c r="F50" s="830">
        <f t="shared" ref="F50:L50" si="10">Composite_Tax_Rate</f>
        <v>0.24925</v>
      </c>
      <c r="G50" s="830">
        <f t="shared" si="10"/>
        <v>0.24925</v>
      </c>
      <c r="H50" s="830">
        <f t="shared" si="10"/>
        <v>0.24925</v>
      </c>
      <c r="I50" s="830">
        <f t="shared" si="10"/>
        <v>0.24925</v>
      </c>
      <c r="J50" s="830">
        <f t="shared" si="10"/>
        <v>0.24925</v>
      </c>
      <c r="K50" s="830">
        <f t="shared" si="10"/>
        <v>0.24925</v>
      </c>
      <c r="L50" s="830">
        <f t="shared" si="10"/>
        <v>0.24925</v>
      </c>
    </row>
    <row r="51" spans="1:12" ht="13">
      <c r="A51" s="827">
        <v>40</v>
      </c>
      <c r="B51" s="828" t="s">
        <v>81</v>
      </c>
      <c r="C51" s="828"/>
      <c r="D51" s="829"/>
      <c r="E51" s="829"/>
      <c r="F51" s="770">
        <f>ROUND(F50*F49,0)</f>
        <v>-3795620</v>
      </c>
      <c r="G51" s="770">
        <f ca="1">F51-SUM(H51:J51)</f>
        <v>-1484650</v>
      </c>
      <c r="H51" s="770">
        <f>ROUND(H50*H49,0)</f>
        <v>-1838382</v>
      </c>
      <c r="I51" s="770">
        <f ca="1">ROUND(I50*I49,0)</f>
        <v>-352157</v>
      </c>
      <c r="J51" s="770">
        <f>ROUND(J50*J49,0)</f>
        <v>-120431</v>
      </c>
      <c r="K51" s="770">
        <f ca="1">SUM(G51:J51)</f>
        <v>-3795620</v>
      </c>
      <c r="L51" s="771">
        <f ca="1">ROUND(L50*L49,0)</f>
        <v>0</v>
      </c>
    </row>
    <row r="52" spans="1:12" ht="13">
      <c r="A52" s="831">
        <v>41</v>
      </c>
      <c r="B52" s="775" t="s">
        <v>82</v>
      </c>
      <c r="C52" s="775"/>
      <c r="D52" s="832"/>
      <c r="E52" s="832"/>
      <c r="F52" s="833">
        <f ca="1">K52+L52</f>
        <v>-11432544.504000008</v>
      </c>
      <c r="G52" s="833">
        <f ca="1">G49-G51</f>
        <v>-4471823</v>
      </c>
      <c r="H52" s="833">
        <f>H49-H51</f>
        <v>-5537272</v>
      </c>
      <c r="I52" s="833">
        <f ca="1">I49-I51</f>
        <v>-1060708</v>
      </c>
      <c r="J52" s="833">
        <f>J49-J51</f>
        <v>-362742</v>
      </c>
      <c r="K52" s="833">
        <f ca="1">SUM(G52:J52)</f>
        <v>-11432545</v>
      </c>
      <c r="L52" s="834">
        <f ca="1">L49-L51</f>
        <v>0.49599999189376831</v>
      </c>
    </row>
  </sheetData>
  <pageMargins left="1" right="1" top="1" bottom="1" header="0.5" footer="0.5"/>
  <pageSetup scale="64" orientation="landscape" blackAndWhite="1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6">
    <tabColor rgb="FFFF6600"/>
    <pageSetUpPr fitToPage="1"/>
  </sheetPr>
  <dimension ref="A1:V61"/>
  <sheetViews>
    <sheetView tabSelected="1" topLeftCell="A4" zoomScale="75" workbookViewId="0">
      <selection activeCell="G24" sqref="G24"/>
    </sheetView>
  </sheetViews>
  <sheetFormatPr defaultColWidth="12.765625" defaultRowHeight="12.5"/>
  <cols>
    <col min="1" max="1" width="5.07421875" style="330" customWidth="1"/>
    <col min="2" max="2" width="15.23046875" style="330" customWidth="1"/>
    <col min="3" max="9" width="12.765625" style="330"/>
    <col min="10" max="10" width="15.4609375" style="330" customWidth="1"/>
    <col min="11" max="11" width="13.23046875" style="330" customWidth="1"/>
    <col min="12" max="16" width="12.765625" style="330"/>
    <col min="17" max="17" width="9.23046875" style="330" customWidth="1"/>
    <col min="18" max="18" width="10.4609375" style="330" customWidth="1"/>
    <col min="19" max="16384" width="12.765625" style="330"/>
  </cols>
  <sheetData>
    <row r="1" spans="1:22">
      <c r="A1" s="330" t="str">
        <f>co_name</f>
        <v>DUKE ENERGY KENTUCKY, INC.</v>
      </c>
      <c r="M1" s="976" t="s">
        <v>1115</v>
      </c>
    </row>
    <row r="2" spans="1:22">
      <c r="A2" s="330" t="str">
        <f>coss_type</f>
        <v xml:space="preserve">GAS COST OF SERVICE STUDY </v>
      </c>
      <c r="M2" s="977" t="s">
        <v>1466</v>
      </c>
    </row>
    <row r="3" spans="1:22">
      <c r="A3" s="330" t="str">
        <f>case_name</f>
        <v>CASE NO: 2021-00190</v>
      </c>
      <c r="M3" s="977" t="s">
        <v>435</v>
      </c>
    </row>
    <row r="4" spans="1:22">
      <c r="A4" s="330" t="s">
        <v>460</v>
      </c>
      <c r="M4" s="977" t="str">
        <f>Witness</f>
        <v>JAMES E. ZIOLKOWSKI</v>
      </c>
    </row>
    <row r="5" spans="1:22">
      <c r="A5" s="330" t="s">
        <v>461</v>
      </c>
      <c r="M5" s="977" t="s">
        <v>1178</v>
      </c>
    </row>
    <row r="8" spans="1:22">
      <c r="G8" s="331" t="s">
        <v>466</v>
      </c>
      <c r="H8" s="1242" t="s">
        <v>1097</v>
      </c>
      <c r="I8" s="1242" t="s">
        <v>1097</v>
      </c>
    </row>
    <row r="9" spans="1:22" ht="13" thickBot="1">
      <c r="A9" s="331"/>
      <c r="B9" s="331"/>
      <c r="C9" s="331"/>
      <c r="D9" s="331"/>
      <c r="E9" s="331"/>
      <c r="F9" s="331"/>
      <c r="G9" s="331" t="s">
        <v>462</v>
      </c>
      <c r="H9" s="1242" t="s">
        <v>1098</v>
      </c>
      <c r="I9" s="1242" t="s">
        <v>1098</v>
      </c>
      <c r="J9" s="331" t="s">
        <v>1101</v>
      </c>
      <c r="K9" s="959" t="s">
        <v>1105</v>
      </c>
      <c r="L9" s="331" t="s">
        <v>463</v>
      </c>
      <c r="M9" s="331" t="s">
        <v>464</v>
      </c>
      <c r="N9" s="961" t="s">
        <v>465</v>
      </c>
    </row>
    <row r="10" spans="1:22" ht="13.5" thickBot="1">
      <c r="A10" s="331"/>
      <c r="B10" s="331"/>
      <c r="C10" s="331"/>
      <c r="D10" s="331" t="s">
        <v>466</v>
      </c>
      <c r="E10" s="331" t="s">
        <v>467</v>
      </c>
      <c r="F10" s="331" t="s">
        <v>466</v>
      </c>
      <c r="G10" s="331" t="s">
        <v>468</v>
      </c>
      <c r="H10" s="331" t="s">
        <v>1099</v>
      </c>
      <c r="I10" s="1242" t="s">
        <v>1104</v>
      </c>
      <c r="J10" s="331" t="s">
        <v>1102</v>
      </c>
      <c r="K10" s="1243" t="str">
        <f>TEXT(1-I11,"0.00%")&amp;"  Interclass"</f>
        <v>0.00%  Interclass</v>
      </c>
      <c r="L10" s="331" t="s">
        <v>470</v>
      </c>
      <c r="M10" s="331" t="s">
        <v>471</v>
      </c>
      <c r="N10" s="961" t="s">
        <v>1106</v>
      </c>
      <c r="P10" s="1100" t="s">
        <v>1180</v>
      </c>
      <c r="Q10" s="1101"/>
      <c r="R10" s="1101"/>
      <c r="S10" s="1102"/>
      <c r="T10" s="1102"/>
      <c r="U10" s="1102"/>
      <c r="V10" s="1103"/>
    </row>
    <row r="11" spans="1:22">
      <c r="A11" s="331" t="s">
        <v>472</v>
      </c>
      <c r="B11" s="331"/>
      <c r="C11" s="331" t="s">
        <v>493</v>
      </c>
      <c r="D11" s="331" t="s">
        <v>462</v>
      </c>
      <c r="E11" s="331" t="s">
        <v>473</v>
      </c>
      <c r="F11" s="331" t="s">
        <v>464</v>
      </c>
      <c r="G11" s="331" t="s">
        <v>464</v>
      </c>
      <c r="H11" s="331" t="s">
        <v>1100</v>
      </c>
      <c r="I11" s="836">
        <v>1</v>
      </c>
      <c r="J11" s="331" t="s">
        <v>1103</v>
      </c>
      <c r="K11" s="1244" t="s">
        <v>1098</v>
      </c>
      <c r="L11" s="331" t="s">
        <v>474</v>
      </c>
      <c r="M11" s="331" t="s">
        <v>475</v>
      </c>
      <c r="N11" s="961" t="s">
        <v>1107</v>
      </c>
      <c r="P11" s="1150"/>
      <c r="Q11" s="1090" t="s">
        <v>1187</v>
      </c>
      <c r="R11" s="1090"/>
      <c r="S11" s="1093"/>
      <c r="T11" s="1089" t="s">
        <v>1040</v>
      </c>
      <c r="U11" s="1089"/>
      <c r="V11" s="1175"/>
    </row>
    <row r="12" spans="1:22">
      <c r="A12" s="332" t="s">
        <v>476</v>
      </c>
      <c r="B12" s="332" t="s">
        <v>477</v>
      </c>
      <c r="C12" s="332" t="s">
        <v>478</v>
      </c>
      <c r="D12" s="332" t="s">
        <v>479</v>
      </c>
      <c r="E12" s="332" t="s">
        <v>480</v>
      </c>
      <c r="F12" s="332" t="s">
        <v>481</v>
      </c>
      <c r="G12" s="332" t="s">
        <v>482</v>
      </c>
      <c r="H12" s="332" t="s">
        <v>483</v>
      </c>
      <c r="I12" s="332" t="s">
        <v>484</v>
      </c>
      <c r="J12" s="332" t="s">
        <v>485</v>
      </c>
      <c r="K12" s="332" t="s">
        <v>486</v>
      </c>
      <c r="L12" s="332" t="s">
        <v>487</v>
      </c>
      <c r="M12" s="332" t="s">
        <v>488</v>
      </c>
      <c r="N12" s="962" t="s">
        <v>489</v>
      </c>
      <c r="P12" s="1151" t="s">
        <v>579</v>
      </c>
      <c r="Q12" s="1092" t="s">
        <v>1039</v>
      </c>
      <c r="R12" s="1092" t="s">
        <v>1045</v>
      </c>
      <c r="S12" s="1094" t="s">
        <v>1042</v>
      </c>
      <c r="T12" s="1086" t="s">
        <v>1044</v>
      </c>
      <c r="U12" s="1157" t="s">
        <v>1043</v>
      </c>
      <c r="V12" s="1176" t="s">
        <v>596</v>
      </c>
    </row>
    <row r="13" spans="1:22" ht="25">
      <c r="A13" s="331"/>
      <c r="B13" s="331"/>
      <c r="C13" s="331" t="s">
        <v>1459</v>
      </c>
      <c r="D13" s="331" t="s">
        <v>1459</v>
      </c>
      <c r="E13" s="331" t="s">
        <v>1469</v>
      </c>
      <c r="F13" s="331" t="s">
        <v>490</v>
      </c>
      <c r="G13" s="964" t="s">
        <v>1170</v>
      </c>
      <c r="H13" s="967" t="s">
        <v>1114</v>
      </c>
      <c r="I13" s="331" t="str">
        <f>H12&amp;" * "&amp;TEXT(I11,"0.00%")</f>
        <v>(F) * 100.00%</v>
      </c>
      <c r="J13" s="964" t="s">
        <v>1168</v>
      </c>
      <c r="K13" s="963" t="s">
        <v>1110</v>
      </c>
      <c r="L13" s="965" t="s">
        <v>1111</v>
      </c>
      <c r="M13" s="966" t="s">
        <v>1169</v>
      </c>
      <c r="N13" s="963" t="s">
        <v>1108</v>
      </c>
      <c r="P13" s="1150"/>
      <c r="Q13" s="1162" t="s">
        <v>1190</v>
      </c>
      <c r="R13" s="457"/>
      <c r="S13" s="1095"/>
      <c r="T13" s="1076"/>
      <c r="U13" s="1076"/>
      <c r="V13" s="1177"/>
    </row>
    <row r="14" spans="1:22">
      <c r="P14" s="1150"/>
      <c r="Q14" s="457"/>
      <c r="R14" s="457"/>
      <c r="S14" s="1095"/>
      <c r="T14" s="1076"/>
      <c r="U14" s="1076"/>
      <c r="V14" s="1177"/>
    </row>
    <row r="15" spans="1:22">
      <c r="A15" s="331">
        <v>1</v>
      </c>
      <c r="B15" s="330" t="s">
        <v>1264</v>
      </c>
      <c r="C15" s="974">
        <f>'FR-16(7)(v)-8 TOT CLASS Alloc'!G15</f>
        <v>298396049</v>
      </c>
      <c r="D15" s="1470">
        <f>'FR-16(7)(v)-8 TOT CLASS Alloc'!G40</f>
        <v>75382959</v>
      </c>
      <c r="E15" s="974">
        <f ca="1">'WP FR-16(7)(v) Pres NOI'!G34</f>
        <v>16594938</v>
      </c>
      <c r="F15" s="968">
        <f ca="1">IF(C15=0,0,ROUND(E15/C15,6))</f>
        <v>5.5613999999999997E-2</v>
      </c>
      <c r="G15" s="974">
        <f ca="1">G20-SUM(G16:G19)</f>
        <v>71822769</v>
      </c>
      <c r="H15" s="974">
        <f ca="1">D15-G15</f>
        <v>3560190</v>
      </c>
      <c r="I15" s="974">
        <f ca="1">0-SUM(I16:I19)</f>
        <v>3560190</v>
      </c>
      <c r="J15" s="974">
        <f>(ROUND(C15/C$20,6)*$J$20)</f>
        <v>9699812.8816895019</v>
      </c>
      <c r="K15" s="974">
        <f ca="1">D15-I15+J15</f>
        <v>81522581.881689504</v>
      </c>
      <c r="L15" s="27">
        <f ca="1">IF(K15=0,0,ROUND((K15-D15)/D15,6))</f>
        <v>8.1446000000000005E-2</v>
      </c>
      <c r="M15" s="969">
        <f ca="1">ROUND((((J15-I15)*(1-FIT))+E15)/C15,8)</f>
        <v>7.1868379999999996E-2</v>
      </c>
      <c r="N15" s="974">
        <f ca="1">J15-I15</f>
        <v>6139622.8816895019</v>
      </c>
      <c r="P15" s="1152">
        <f ca="1">H15-I15</f>
        <v>0</v>
      </c>
      <c r="Q15" s="1087">
        <f t="shared" ref="Q15:V15" ca="1" si="0">-SUM(Q16:Q18)</f>
        <v>0</v>
      </c>
      <c r="R15" s="1087">
        <f t="shared" ca="1" si="0"/>
        <v>0</v>
      </c>
      <c r="S15" s="1087">
        <f t="shared" ca="1" si="0"/>
        <v>0</v>
      </c>
      <c r="T15" s="1183">
        <f t="shared" ca="1" si="0"/>
        <v>0</v>
      </c>
      <c r="U15" s="1077">
        <f t="shared" ca="1" si="0"/>
        <v>0</v>
      </c>
      <c r="V15" s="1178">
        <f t="shared" ca="1" si="0"/>
        <v>0</v>
      </c>
    </row>
    <row r="16" spans="1:22">
      <c r="A16" s="331">
        <v>2</v>
      </c>
      <c r="B16" s="330" t="s">
        <v>1261</v>
      </c>
      <c r="C16" s="975">
        <f>'FR-16(7)(v)-8 TOT CLASS Alloc'!H15</f>
        <v>117245073</v>
      </c>
      <c r="D16" s="1471">
        <f>'FR-16(7)(v)-8 TOT CLASS Alloc'!H40</f>
        <v>28525719</v>
      </c>
      <c r="E16" s="975">
        <f>'WP FR-16(7)(v) Pres NOI'!H34</f>
        <v>2740230</v>
      </c>
      <c r="F16" s="968">
        <f>IF(C16=0,0,ROUND(E16/C16,6))</f>
        <v>2.3372E-2</v>
      </c>
      <c r="G16" s="975">
        <f ca="1">ROUND((((F$20*C16)-E16)/(1-FIT)),0)+D16</f>
        <v>31911939</v>
      </c>
      <c r="H16" s="975">
        <f ca="1">D16-G16</f>
        <v>-3386220</v>
      </c>
      <c r="I16" s="975">
        <f ca="1">ROUND(H16*$I$11,0)</f>
        <v>-3386220</v>
      </c>
      <c r="J16" s="975">
        <f>(ROUND(C16/C$20,6)*$J$20)</f>
        <v>3811230.6851121308</v>
      </c>
      <c r="K16" s="975">
        <f ca="1">D16-I16+J16</f>
        <v>35723169.685112134</v>
      </c>
      <c r="L16" s="27">
        <f ca="1">IF(K16=0,0,ROUND((K16-D16)/D16,6))</f>
        <v>0.25231399999999998</v>
      </c>
      <c r="M16" s="969">
        <f ca="1">ROUND((((J16-I16)*(1-FIT))+E16)/C16,8)</f>
        <v>7.1868399999999999E-2</v>
      </c>
      <c r="N16" s="975">
        <f ca="1">J16-I16</f>
        <v>7197450.6851121308</v>
      </c>
      <c r="P16" s="1153">
        <f ca="1">H16-I16</f>
        <v>0</v>
      </c>
      <c r="Q16" s="1088">
        <f ca="1">ROUND(VLOOKUP($Q$22,AllocTable_Functional,3,FALSE)*P16,0)</f>
        <v>0</v>
      </c>
      <c r="R16" s="1088">
        <f ca="1">ROUND(VLOOKUP($Q$22,AllocTable_Functional,4,FALSE)*P16,0)</f>
        <v>0</v>
      </c>
      <c r="S16" s="1096">
        <f ca="1">ROUND(VLOOKUP($Q$22,AllocTable_Functional,5,FALSE)*P16,0)</f>
        <v>0</v>
      </c>
      <c r="T16" s="1078">
        <f ca="1">ROUND(VLOOKUP($Q$22,Alloctable_Classified_Distribution,3,FALSE)*P16,0)</f>
        <v>0</v>
      </c>
      <c r="U16" s="1078">
        <f ca="1">ROUND(VLOOKUP($Q$22,Alloctable_Classified_Distribution,4,FALSE)*P16,0)</f>
        <v>0</v>
      </c>
      <c r="V16" s="1179">
        <f ca="1">ROUND(VLOOKUP($Q$22,Alloctable_Classified_Distribution,5,FALSE)*P16,0)</f>
        <v>0</v>
      </c>
    </row>
    <row r="17" spans="1:22">
      <c r="A17" s="331">
        <v>3</v>
      </c>
      <c r="B17" s="330" t="s">
        <v>1262</v>
      </c>
      <c r="C17" s="973">
        <f>'FR-16(7)(v)-8 TOT CLASS Alloc'!I15</f>
        <v>39839937</v>
      </c>
      <c r="D17" s="1472">
        <f>'FR-16(7)(v)-8 TOT CLASS Alloc'!I40</f>
        <v>5452147</v>
      </c>
      <c r="E17" s="973">
        <f ca="1">'WP FR-16(7)(v) Pres NOI'!I34</f>
        <v>1751992</v>
      </c>
      <c r="F17" s="968">
        <f ca="1">IF(C17=0,0,ROUND(E17/C17,6))</f>
        <v>4.3976000000000001E-2</v>
      </c>
      <c r="G17" s="973">
        <f ca="1">ROUND((((F$20*C17)-E17)/(1-FIT)),0)+D17</f>
        <v>5563722</v>
      </c>
      <c r="H17" s="973">
        <f ca="1">D17-G17</f>
        <v>-111575</v>
      </c>
      <c r="I17" s="973">
        <f ca="1">ROUND(H17*$I$11,0)</f>
        <v>-111575</v>
      </c>
      <c r="J17" s="973">
        <f>(ROUND(C17/C$20,6)*$J$20)</f>
        <v>1295062.1300508443</v>
      </c>
      <c r="K17" s="973">
        <f ca="1">D17-I17+J17</f>
        <v>6858784.1300508445</v>
      </c>
      <c r="L17" s="27">
        <f ca="1">IF(K17=0,0,ROUND((K17-D17)/D17,6))</f>
        <v>0.25799699999999998</v>
      </c>
      <c r="M17" s="969">
        <f ca="1">ROUND((((J17-I17)*(1-FIT))+E17)/C17,8)</f>
        <v>7.1868470000000004E-2</v>
      </c>
      <c r="N17" s="973">
        <f ca="1">J17-I17</f>
        <v>1406637.1300508443</v>
      </c>
      <c r="P17" s="1153">
        <f ca="1">H17-I17</f>
        <v>0</v>
      </c>
      <c r="Q17" s="1088">
        <f ca="1">ROUND(VLOOKUP($Q$22,AllocTable_Functional,3,FALSE)*P17,0)</f>
        <v>0</v>
      </c>
      <c r="R17" s="1088">
        <f ca="1">ROUND(VLOOKUP($Q$22,AllocTable_Functional,4,FALSE)*P17,0)</f>
        <v>0</v>
      </c>
      <c r="S17" s="1096">
        <f ca="1">ROUND(VLOOKUP($Q$22,AllocTable_Functional,5,FALSE)*P17,0)</f>
        <v>0</v>
      </c>
      <c r="T17" s="1078">
        <f ca="1">ROUND(VLOOKUP($Q$22,Alloctable_Classified_Distribution,3,FALSE)*P17,0)</f>
        <v>0</v>
      </c>
      <c r="U17" s="1078">
        <f ca="1">ROUND(VLOOKUP($Q$22,Alloctable_Classified_Distribution,4,FALSE)*P17,0)</f>
        <v>0</v>
      </c>
      <c r="V17" s="1179">
        <f ca="1">ROUND(VLOOKUP($Q$22,Alloctable_Classified_Distribution,5,FALSE)*P17,0)</f>
        <v>0</v>
      </c>
    </row>
    <row r="18" spans="1:22">
      <c r="A18" s="331">
        <v>4</v>
      </c>
      <c r="B18" s="330" t="s">
        <v>491</v>
      </c>
      <c r="C18" s="973">
        <f>'FR-16(7)(v)-8 TOT CLASS Alloc'!J15</f>
        <v>12840147</v>
      </c>
      <c r="D18" s="1472">
        <f>'FR-16(7)(v)-8 TOT CLASS Alloc'!J40</f>
        <v>1782710</v>
      </c>
      <c r="E18" s="973">
        <f>'WP FR-16(7)(v) Pres NOI'!J34</f>
        <v>543772</v>
      </c>
      <c r="F18" s="968">
        <f>IF(C18=0,0,ROUND(E18/C18,6))</f>
        <v>4.2348999999999998E-2</v>
      </c>
      <c r="G18" s="973">
        <f ca="1">ROUND((((F$20*C18)-E18)/(1-FIT)),0)+D18</f>
        <v>1845105</v>
      </c>
      <c r="H18" s="973">
        <f ca="1">D18-G18</f>
        <v>-62395</v>
      </c>
      <c r="I18" s="973">
        <f ca="1">ROUND(H18*$I$11,0)</f>
        <v>-62395</v>
      </c>
      <c r="J18" s="973">
        <f>(ROUND(C18/C$20,6)*$J$20)</f>
        <v>417382.37239454564</v>
      </c>
      <c r="K18" s="973">
        <f ca="1">D18-I18+J18</f>
        <v>2262487.3723945455</v>
      </c>
      <c r="L18" s="27">
        <f ca="1">IF(K18=0,0,ROUND((K18-D18)/D18,6))</f>
        <v>0.26912799999999998</v>
      </c>
      <c r="M18" s="969">
        <f ca="1">ROUND((((J18-I18)*(1-FIT))+E18)/C18,8)</f>
        <v>7.1868029999999999E-2</v>
      </c>
      <c r="N18" s="973">
        <f ca="1">J18-I18</f>
        <v>479777.37239454564</v>
      </c>
      <c r="P18" s="1153">
        <f ca="1">H18-I18</f>
        <v>0</v>
      </c>
      <c r="Q18" s="1088">
        <f ca="1">ROUND(VLOOKUP($Q$22,AllocTable_Functional,3,FALSE)*P18,0)</f>
        <v>0</v>
      </c>
      <c r="R18" s="1088">
        <f ca="1">ROUND(VLOOKUP($Q$22,AllocTable_Functional,4,FALSE)*P18,0)</f>
        <v>0</v>
      </c>
      <c r="S18" s="1096">
        <f ca="1">ROUND(VLOOKUP($Q$22,AllocTable_Functional,5,FALSE)*P18,0)</f>
        <v>0</v>
      </c>
      <c r="T18" s="1078">
        <f ca="1">ROUND(VLOOKUP($Q$22,Alloctable_Classified_Distribution,3,FALSE)*P18,0)</f>
        <v>0</v>
      </c>
      <c r="U18" s="1078">
        <f ca="1">ROUND(VLOOKUP($Q$22,Alloctable_Classified_Distribution,4,FALSE)*P18,0)</f>
        <v>0</v>
      </c>
      <c r="V18" s="1179">
        <f ca="1">ROUND(VLOOKUP($Q$22,Alloctable_Classified_Distribution,5,FALSE)*P18,0)</f>
        <v>0</v>
      </c>
    </row>
    <row r="19" spans="1:22">
      <c r="A19" s="331" t="s">
        <v>343</v>
      </c>
      <c r="B19" s="363" t="s">
        <v>343</v>
      </c>
      <c r="C19" s="333" t="s">
        <v>343</v>
      </c>
      <c r="D19" s="1280" t="s">
        <v>343</v>
      </c>
      <c r="E19" s="333" t="s">
        <v>343</v>
      </c>
      <c r="F19" s="334" t="s">
        <v>343</v>
      </c>
      <c r="G19" s="335" t="s">
        <v>343</v>
      </c>
      <c r="H19" s="333" t="s">
        <v>343</v>
      </c>
      <c r="I19" s="333" t="s">
        <v>343</v>
      </c>
      <c r="J19" s="333" t="s">
        <v>343</v>
      </c>
      <c r="K19" s="336" t="s">
        <v>343</v>
      </c>
      <c r="L19" s="23" t="s">
        <v>343</v>
      </c>
      <c r="M19" s="969"/>
      <c r="P19" s="1153" t="str">
        <f>I19</f>
        <v xml:space="preserve"> </v>
      </c>
      <c r="Q19" s="457"/>
      <c r="R19" s="457"/>
      <c r="S19" s="1095"/>
      <c r="T19" s="1078"/>
      <c r="U19" s="1078"/>
      <c r="V19" s="1179"/>
    </row>
    <row r="20" spans="1:22" ht="13" thickBot="1">
      <c r="A20" s="331">
        <v>5</v>
      </c>
      <c r="B20" s="363" t="s">
        <v>492</v>
      </c>
      <c r="C20" s="970">
        <f>SUM(C15:C19)</f>
        <v>468321206</v>
      </c>
      <c r="D20" s="972">
        <f>SUM(D15:D18)</f>
        <v>111143535</v>
      </c>
      <c r="E20" s="970">
        <f ca="1">SUM(E15:E19)</f>
        <v>21630932</v>
      </c>
      <c r="F20" s="971">
        <f ca="1">ROUND(E20/C20,9)</f>
        <v>4.6188238999999999E-2</v>
      </c>
      <c r="G20" s="970">
        <f>D20</f>
        <v>111143535</v>
      </c>
      <c r="H20" s="970">
        <f ca="1">SUM(H15:H19)</f>
        <v>0</v>
      </c>
      <c r="I20" s="970">
        <f ca="1">SUM(I15:I19)</f>
        <v>0</v>
      </c>
      <c r="J20" s="972">
        <f>'Rev req link'!C66-(K28-D28)</f>
        <v>15223488.069247022</v>
      </c>
      <c r="K20" s="970">
        <f ca="1">SUM(K15:K19)</f>
        <v>126367023.06924702</v>
      </c>
      <c r="L20" s="978">
        <f ca="1">ROUND((K20-D20)/D20,6)</f>
        <v>0.13697100000000001</v>
      </c>
      <c r="M20" s="1037">
        <f ca="1">ROUND((((J20-I20)*(1-FIT))+E20)/C20,8)</f>
        <v>7.1868379999999996E-2</v>
      </c>
      <c r="N20" s="972">
        <f ca="1">SUM(N15:N19)</f>
        <v>15223488.069247022</v>
      </c>
      <c r="P20" s="1154">
        <f t="shared" ref="P20:V20" ca="1" si="1">SUM(P15:P19)</f>
        <v>0</v>
      </c>
      <c r="Q20" s="1091">
        <f t="shared" ca="1" si="1"/>
        <v>0</v>
      </c>
      <c r="R20" s="1091">
        <f t="shared" ca="1" si="1"/>
        <v>0</v>
      </c>
      <c r="S20" s="1097">
        <f t="shared" ca="1" si="1"/>
        <v>0</v>
      </c>
      <c r="T20" s="1079">
        <f t="shared" ca="1" si="1"/>
        <v>0</v>
      </c>
      <c r="U20" s="1079">
        <f t="shared" ca="1" si="1"/>
        <v>0</v>
      </c>
      <c r="V20" s="1180">
        <f t="shared" ca="1" si="1"/>
        <v>0</v>
      </c>
    </row>
    <row r="21" spans="1:22" ht="13" thickTop="1">
      <c r="B21" s="363"/>
      <c r="C21" s="337"/>
      <c r="D21" s="337"/>
      <c r="E21" s="337"/>
      <c r="F21" s="337"/>
      <c r="G21" s="337"/>
      <c r="H21" s="337"/>
      <c r="I21" s="337"/>
      <c r="J21" s="1545" t="s">
        <v>1552</v>
      </c>
      <c r="K21" s="337"/>
      <c r="L21" s="337"/>
      <c r="M21" s="337"/>
      <c r="P21" s="1150"/>
      <c r="Q21" s="457"/>
      <c r="R21" s="457"/>
      <c r="S21" s="1095"/>
      <c r="T21" s="1076"/>
      <c r="U21" s="1076"/>
      <c r="V21" s="1177"/>
    </row>
    <row r="22" spans="1:22">
      <c r="J22" s="612" t="s">
        <v>1553</v>
      </c>
      <c r="K22" s="1469"/>
      <c r="P22" s="1150" t="s">
        <v>1181</v>
      </c>
      <c r="Q22" s="1156" t="s">
        <v>322</v>
      </c>
      <c r="R22" s="457"/>
      <c r="S22" s="1095"/>
      <c r="T22" s="1181"/>
      <c r="U22" s="1181"/>
      <c r="V22" s="1177"/>
    </row>
    <row r="23" spans="1:22" ht="13" thickBot="1">
      <c r="P23" s="1155"/>
      <c r="Q23" s="1098"/>
      <c r="R23" s="1098"/>
      <c r="S23" s="1099"/>
      <c r="T23" s="1080"/>
      <c r="U23" s="1080"/>
      <c r="V23" s="1182"/>
    </row>
    <row r="24" spans="1:22">
      <c r="J24" s="612" t="s">
        <v>1554</v>
      </c>
    </row>
    <row r="25" spans="1:22">
      <c r="B25" s="338" t="s">
        <v>545</v>
      </c>
      <c r="J25" s="612" t="s">
        <v>1555</v>
      </c>
    </row>
    <row r="26" spans="1:22">
      <c r="A26" s="331">
        <v>6</v>
      </c>
      <c r="B26" s="330" t="s">
        <v>1556</v>
      </c>
      <c r="D26" s="1280">
        <v>0</v>
      </c>
      <c r="J26" s="1547">
        <f ca="1">N20+K28-D28</f>
        <v>15228161.069247022</v>
      </c>
      <c r="K26" s="333">
        <f>D26</f>
        <v>0</v>
      </c>
    </row>
    <row r="27" spans="1:22">
      <c r="A27" s="331">
        <v>7</v>
      </c>
      <c r="B27" s="330" t="s">
        <v>912</v>
      </c>
      <c r="D27" s="1475">
        <v>27420</v>
      </c>
      <c r="K27" s="333">
        <f t="shared" ref="K27:K31" si="2">D27</f>
        <v>27420</v>
      </c>
    </row>
    <row r="28" spans="1:22">
      <c r="A28" s="331">
        <v>8</v>
      </c>
      <c r="B28" s="330" t="s">
        <v>913</v>
      </c>
      <c r="D28" s="1543">
        <v>23364</v>
      </c>
      <c r="K28" s="1544">
        <v>28037</v>
      </c>
      <c r="M28" s="1546"/>
    </row>
    <row r="29" spans="1:22">
      <c r="A29" s="331">
        <v>9</v>
      </c>
      <c r="B29" s="330" t="s">
        <v>914</v>
      </c>
      <c r="D29" s="1280">
        <f>'FR-16(7)(v)-1 Functional'!F628</f>
        <v>0</v>
      </c>
      <c r="K29" s="333">
        <f t="shared" si="2"/>
        <v>0</v>
      </c>
    </row>
    <row r="30" spans="1:22">
      <c r="A30" s="331">
        <v>10</v>
      </c>
      <c r="B30" s="330" t="s">
        <v>1557</v>
      </c>
      <c r="D30" s="1280">
        <f>'FR-16(7)(v)-1 Functional'!F629</f>
        <v>258228</v>
      </c>
      <c r="H30" s="1548"/>
      <c r="K30" s="1549">
        <f t="shared" si="2"/>
        <v>258228</v>
      </c>
      <c r="L30" s="1550" t="s">
        <v>1558</v>
      </c>
      <c r="M30" s="1551"/>
      <c r="N30" s="1551"/>
    </row>
    <row r="31" spans="1:22">
      <c r="A31" s="331">
        <v>11</v>
      </c>
      <c r="B31" s="330" t="s">
        <v>915</v>
      </c>
      <c r="D31" s="1280">
        <f>'FR-16(7)(v)-1 Functional'!F627+684</f>
        <v>1212</v>
      </c>
      <c r="K31" s="333">
        <f t="shared" si="2"/>
        <v>1212</v>
      </c>
    </row>
    <row r="32" spans="1:22">
      <c r="A32" s="331">
        <v>12</v>
      </c>
      <c r="B32" s="330" t="s">
        <v>1467</v>
      </c>
      <c r="D32" s="1280">
        <v>0</v>
      </c>
      <c r="K32" s="333">
        <f>D32</f>
        <v>0</v>
      </c>
    </row>
    <row r="33" spans="1:12">
      <c r="A33" s="331">
        <v>13</v>
      </c>
      <c r="B33" s="330" t="s">
        <v>916</v>
      </c>
      <c r="D33" s="1473">
        <f>SUM(D26:D32)</f>
        <v>310224</v>
      </c>
      <c r="K33" s="837">
        <f>SUM(K26:K32)</f>
        <v>314897</v>
      </c>
    </row>
    <row r="34" spans="1:12">
      <c r="A34" s="331"/>
      <c r="B34" s="330" t="s">
        <v>917</v>
      </c>
      <c r="D34" s="351"/>
    </row>
    <row r="35" spans="1:12" ht="13" thickBot="1">
      <c r="A35" s="331">
        <v>14</v>
      </c>
      <c r="B35" s="330" t="s">
        <v>918</v>
      </c>
      <c r="D35" s="1474">
        <f>D20+D33</f>
        <v>111453759</v>
      </c>
      <c r="K35" s="960">
        <f ca="1">K20+K33</f>
        <v>126681920.06924702</v>
      </c>
      <c r="L35" s="27">
        <f ca="1">ROUND((K35-D35)/D35,6)</f>
        <v>0.136632</v>
      </c>
    </row>
    <row r="36" spans="1:12" ht="13" thickTop="1">
      <c r="A36" s="331"/>
      <c r="D36" s="339"/>
    </row>
    <row r="37" spans="1:12">
      <c r="A37" s="331"/>
      <c r="D37" s="333"/>
      <c r="K37" s="333"/>
    </row>
    <row r="38" spans="1:12">
      <c r="A38" s="331"/>
      <c r="D38" s="333"/>
      <c r="K38" s="333"/>
    </row>
    <row r="42" spans="1:12">
      <c r="L42" s="333"/>
    </row>
    <row r="61" spans="7:10">
      <c r="G61" s="331"/>
      <c r="H61" s="331"/>
      <c r="I61" s="331"/>
      <c r="J61" s="331"/>
    </row>
  </sheetData>
  <phoneticPr fontId="0" type="noConversion"/>
  <pageMargins left="1" right="1" top="1" bottom="1" header="0.5" footer="0.5"/>
  <pageSetup scale="54" orientation="landscape" blackAndWhite="1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7">
    <tabColor rgb="FFFF6600"/>
    <pageSetUpPr fitToPage="1"/>
  </sheetPr>
  <dimension ref="A1:N56"/>
  <sheetViews>
    <sheetView zoomScale="75" workbookViewId="0">
      <selection activeCell="E13" sqref="E13"/>
    </sheetView>
  </sheetViews>
  <sheetFormatPr defaultColWidth="12.765625" defaultRowHeight="12.5"/>
  <cols>
    <col min="1" max="1" width="5.765625" style="330" customWidth="1"/>
    <col min="2" max="2" width="15.23046875" style="330" customWidth="1"/>
    <col min="3" max="9" width="12.765625" style="330"/>
    <col min="10" max="10" width="14.4609375" style="330" customWidth="1"/>
    <col min="11" max="11" width="13.23046875" style="330" customWidth="1"/>
    <col min="12" max="16384" width="12.765625" style="330"/>
  </cols>
  <sheetData>
    <row r="1" spans="1:14">
      <c r="A1" s="330" t="str">
        <f>co_name</f>
        <v>DUKE ENERGY KENTUCKY, INC.</v>
      </c>
      <c r="M1" s="976" t="s">
        <v>1115</v>
      </c>
    </row>
    <row r="2" spans="1:14">
      <c r="A2" s="330" t="str">
        <f>coss_type</f>
        <v xml:space="preserve">GAS COST OF SERVICE STUDY </v>
      </c>
      <c r="M2" s="977" t="s">
        <v>1466</v>
      </c>
    </row>
    <row r="3" spans="1:14">
      <c r="A3" s="330" t="str">
        <f>case_name</f>
        <v>CASE NO: 2021-00190</v>
      </c>
      <c r="M3" s="977" t="s">
        <v>435</v>
      </c>
    </row>
    <row r="4" spans="1:14">
      <c r="A4" s="330" t="s">
        <v>460</v>
      </c>
      <c r="M4" s="977" t="str">
        <f>Witness</f>
        <v>JAMES E. ZIOLKOWSKI</v>
      </c>
    </row>
    <row r="5" spans="1:14">
      <c r="A5" s="330" t="s">
        <v>461</v>
      </c>
      <c r="M5" s="977" t="s">
        <v>1116</v>
      </c>
    </row>
    <row r="8" spans="1:14" ht="13">
      <c r="G8" s="331" t="s">
        <v>466</v>
      </c>
      <c r="H8" s="958" t="s">
        <v>1097</v>
      </c>
      <c r="I8" s="958" t="s">
        <v>1097</v>
      </c>
    </row>
    <row r="9" spans="1:14" ht="13">
      <c r="A9" s="331"/>
      <c r="B9" s="331"/>
      <c r="C9" s="331"/>
      <c r="D9" s="331"/>
      <c r="E9" s="331"/>
      <c r="F9" s="331"/>
      <c r="G9" s="331" t="s">
        <v>462</v>
      </c>
      <c r="H9" s="958" t="s">
        <v>1098</v>
      </c>
      <c r="I9" s="958" t="s">
        <v>1098</v>
      </c>
      <c r="J9" s="331" t="s">
        <v>1101</v>
      </c>
      <c r="K9" s="959" t="s">
        <v>1105</v>
      </c>
      <c r="L9" s="331" t="s">
        <v>463</v>
      </c>
      <c r="M9" s="331" t="s">
        <v>464</v>
      </c>
      <c r="N9" s="961" t="s">
        <v>465</v>
      </c>
    </row>
    <row r="10" spans="1:14" ht="13">
      <c r="A10" s="331"/>
      <c r="B10" s="331"/>
      <c r="C10" s="331"/>
      <c r="D10" s="331" t="s">
        <v>466</v>
      </c>
      <c r="E10" s="331" t="s">
        <v>467</v>
      </c>
      <c r="F10" s="331" t="s">
        <v>466</v>
      </c>
      <c r="G10" s="331" t="s">
        <v>468</v>
      </c>
      <c r="H10" s="331" t="s">
        <v>1099</v>
      </c>
      <c r="I10" s="958" t="s">
        <v>1104</v>
      </c>
      <c r="J10" s="331" t="s">
        <v>1102</v>
      </c>
      <c r="K10" s="979" t="str">
        <f>TEXT(1-I11,"0.00%")&amp;"  Interclass"</f>
        <v>57.64%  Interclass</v>
      </c>
      <c r="L10" s="331" t="s">
        <v>470</v>
      </c>
      <c r="M10" s="331" t="s">
        <v>471</v>
      </c>
      <c r="N10" s="961" t="s">
        <v>1106</v>
      </c>
    </row>
    <row r="11" spans="1:14" ht="13">
      <c r="A11" s="331" t="s">
        <v>472</v>
      </c>
      <c r="B11" s="331"/>
      <c r="C11" s="331" t="s">
        <v>493</v>
      </c>
      <c r="D11" s="331" t="s">
        <v>462</v>
      </c>
      <c r="E11" s="331" t="s">
        <v>473</v>
      </c>
      <c r="F11" s="331" t="s">
        <v>464</v>
      </c>
      <c r="G11" s="331" t="s">
        <v>464</v>
      </c>
      <c r="H11" s="331" t="s">
        <v>1100</v>
      </c>
      <c r="I11" s="836">
        <v>0.42359999999999998</v>
      </c>
      <c r="J11" s="331" t="s">
        <v>1103</v>
      </c>
      <c r="K11" s="980" t="s">
        <v>1098</v>
      </c>
      <c r="L11" s="331" t="s">
        <v>474</v>
      </c>
      <c r="M11" s="331" t="s">
        <v>475</v>
      </c>
      <c r="N11" s="961" t="s">
        <v>1107</v>
      </c>
    </row>
    <row r="12" spans="1:14">
      <c r="A12" s="332" t="s">
        <v>476</v>
      </c>
      <c r="B12" s="332" t="s">
        <v>477</v>
      </c>
      <c r="C12" s="332" t="s">
        <v>478</v>
      </c>
      <c r="D12" s="332" t="s">
        <v>479</v>
      </c>
      <c r="E12" s="332" t="s">
        <v>480</v>
      </c>
      <c r="F12" s="332" t="s">
        <v>481</v>
      </c>
      <c r="G12" s="332" t="s">
        <v>482</v>
      </c>
      <c r="H12" s="332" t="s">
        <v>483</v>
      </c>
      <c r="I12" s="332" t="s">
        <v>484</v>
      </c>
      <c r="J12" s="332" t="s">
        <v>485</v>
      </c>
      <c r="K12" s="332" t="s">
        <v>486</v>
      </c>
      <c r="L12" s="332" t="s">
        <v>487</v>
      </c>
      <c r="M12" s="332" t="s">
        <v>488</v>
      </c>
      <c r="N12" s="962" t="s">
        <v>489</v>
      </c>
    </row>
    <row r="13" spans="1:14" ht="37.5">
      <c r="A13" s="331"/>
      <c r="B13" s="331"/>
      <c r="C13" s="331" t="str">
        <f>'WP FR-16(7)(v)Rate Incr (40.0%)'!C13</f>
        <v>FR-16(7)(v)-8</v>
      </c>
      <c r="D13" s="331" t="str">
        <f>'WP FR-16(7)(v)Rate Incr (40.0%)'!D13</f>
        <v>FR-16(7)(v)-8</v>
      </c>
      <c r="E13" s="331" t="str">
        <f>'WP FR-16(7)(v)Rate Incr (40.0%)'!E13</f>
        <v>WP - Pres NOI</v>
      </c>
      <c r="F13" s="331" t="s">
        <v>490</v>
      </c>
      <c r="G13" s="964" t="s">
        <v>1113</v>
      </c>
      <c r="H13" s="967" t="s">
        <v>1114</v>
      </c>
      <c r="I13" s="331" t="str">
        <f>H12&amp;" * "&amp;TEXT(I11,"0.00%")</f>
        <v>(F) * 42.36%</v>
      </c>
      <c r="J13" s="964" t="s">
        <v>1109</v>
      </c>
      <c r="K13" s="963" t="s">
        <v>1110</v>
      </c>
      <c r="L13" s="965" t="s">
        <v>1111</v>
      </c>
      <c r="M13" s="966" t="s">
        <v>1112</v>
      </c>
      <c r="N13" s="963" t="s">
        <v>1108</v>
      </c>
    </row>
    <row r="15" spans="1:14">
      <c r="A15" s="331">
        <v>1</v>
      </c>
      <c r="B15" s="330" t="s">
        <v>1264</v>
      </c>
      <c r="C15" s="974">
        <f>'WP FR-16(7)(v)Rate Incr (40.0%)'!C15</f>
        <v>298396049</v>
      </c>
      <c r="D15" s="974">
        <f>'WP FR-16(7)(v)Rate Incr (40.0%)'!D15</f>
        <v>75382959</v>
      </c>
      <c r="E15" s="974">
        <f ca="1">'WP FR-16(7)(v)Rate Incr (40.0%)'!E15</f>
        <v>16594938</v>
      </c>
      <c r="F15" s="968">
        <f ca="1">IF(C15=0,0,ROUND(E15/C15,6))</f>
        <v>5.5613999999999997E-2</v>
      </c>
      <c r="G15" s="974">
        <f ca="1">G20-SUM(G16:G19)</f>
        <v>71822769</v>
      </c>
      <c r="H15" s="974">
        <f ca="1">D15-G15</f>
        <v>3560190</v>
      </c>
      <c r="I15" s="974">
        <f ca="1">0-SUM(I16:I19)</f>
        <v>1508097</v>
      </c>
      <c r="J15" s="974">
        <f>(ROUND(C15/C$20,6)*$J$20)</f>
        <v>9699812.8816895019</v>
      </c>
      <c r="K15" s="974">
        <f ca="1">D15-I15+J15</f>
        <v>83574674.881689504</v>
      </c>
      <c r="L15" s="27">
        <f ca="1">IF(K15=0,0,ROUND((K15-D15)/D15,6))</f>
        <v>0.108668</v>
      </c>
      <c r="M15" s="969">
        <f ca="1">ROUND((((J15-I15)*(1-FIT))+E15)/C15,8)</f>
        <v>7.7301270000000005E-2</v>
      </c>
      <c r="N15" s="974">
        <f ca="1">J15-I15</f>
        <v>8191715.8816895019</v>
      </c>
    </row>
    <row r="16" spans="1:14">
      <c r="A16" s="331">
        <v>2</v>
      </c>
      <c r="B16" s="330" t="s">
        <v>1261</v>
      </c>
      <c r="C16" s="975">
        <f>'WP FR-16(7)(v)Rate Incr (40.0%)'!C16</f>
        <v>117245073</v>
      </c>
      <c r="D16" s="975">
        <f>'WP FR-16(7)(v)Rate Incr (40.0%)'!D16</f>
        <v>28525719</v>
      </c>
      <c r="E16" s="975">
        <f>'WP FR-16(7)(v)Rate Incr (40.0%)'!E16</f>
        <v>2740230</v>
      </c>
      <c r="F16" s="968">
        <f>IF(C16=0,0,ROUND(E16/C16,6))</f>
        <v>2.3372E-2</v>
      </c>
      <c r="G16" s="975">
        <f ca="1">ROUND((((F$20*C16)-E16)/(1-FIT)),0)+D16</f>
        <v>31911939</v>
      </c>
      <c r="H16" s="975">
        <f ca="1">D16-G16</f>
        <v>-3386220</v>
      </c>
      <c r="I16" s="975">
        <f ca="1">ROUND(H16*$I$11,0)</f>
        <v>-1434403</v>
      </c>
      <c r="J16" s="975">
        <f>(ROUND(C16/C$20,6)*$J$20)</f>
        <v>3811230.6851121308</v>
      </c>
      <c r="K16" s="975">
        <f ca="1">D16-I16+J16</f>
        <v>33771352.685112134</v>
      </c>
      <c r="L16" s="27">
        <f ca="1">IF(K16=0,0,ROUND((K16-D16)/D16,6))</f>
        <v>0.183891</v>
      </c>
      <c r="M16" s="969">
        <f ca="1">ROUND((((J16-I16)*(1-FIT))+E16)/C16,8)</f>
        <v>5.871701E-2</v>
      </c>
      <c r="N16" s="975">
        <f ca="1">J16-I16</f>
        <v>5245633.6851121308</v>
      </c>
    </row>
    <row r="17" spans="1:14">
      <c r="A17" s="331">
        <v>3</v>
      </c>
      <c r="B17" s="330" t="s">
        <v>1262</v>
      </c>
      <c r="C17" s="973">
        <f>'WP FR-16(7)(v)Rate Incr (40.0%)'!C17</f>
        <v>39839937</v>
      </c>
      <c r="D17" s="973">
        <f>'WP FR-16(7)(v)Rate Incr (40.0%)'!D17</f>
        <v>5452147</v>
      </c>
      <c r="E17" s="973">
        <f ca="1">'WP FR-16(7)(v)Rate Incr (40.0%)'!E17</f>
        <v>1751992</v>
      </c>
      <c r="F17" s="968">
        <f ca="1">IF(C17=0,0,ROUND(E17/C17,6))</f>
        <v>4.3976000000000001E-2</v>
      </c>
      <c r="G17" s="973">
        <f ca="1">ROUND((((F$20*C17)-E17)/(1-FIT)),0)+D17</f>
        <v>5563722</v>
      </c>
      <c r="H17" s="973">
        <f ca="1">D17-G17</f>
        <v>-111575</v>
      </c>
      <c r="I17" s="973">
        <f ca="1">ROUND(H17*$I$11,0)</f>
        <v>-47263</v>
      </c>
      <c r="J17" s="973">
        <f>(ROUND(C17/C$20,6)*$J$20)</f>
        <v>1295062.1300508443</v>
      </c>
      <c r="K17" s="973">
        <f ca="1">D17-I17+J17</f>
        <v>6794472.1300508445</v>
      </c>
      <c r="L17" s="27">
        <f ca="1">IF(K17=0,0,ROUND((K17-D17)/D17,6))</f>
        <v>0.246201</v>
      </c>
      <c r="M17" s="969">
        <f ca="1">ROUND((((J17-I17)*(1-FIT))+E17)/C17,8)</f>
        <v>7.0593210000000003E-2</v>
      </c>
      <c r="N17" s="973">
        <f ca="1">J17-I17</f>
        <v>1342325.1300508443</v>
      </c>
    </row>
    <row r="18" spans="1:14">
      <c r="A18" s="331">
        <v>4</v>
      </c>
      <c r="B18" s="330" t="s">
        <v>491</v>
      </c>
      <c r="C18" s="973">
        <f>'WP FR-16(7)(v)Rate Incr (40.0%)'!C18</f>
        <v>12840147</v>
      </c>
      <c r="D18" s="973">
        <f>'WP FR-16(7)(v)Rate Incr (40.0%)'!D18</f>
        <v>1782710</v>
      </c>
      <c r="E18" s="973">
        <f>'WP FR-16(7)(v)Rate Incr (40.0%)'!E18</f>
        <v>543772</v>
      </c>
      <c r="F18" s="968">
        <f>IF(C18=0,0,ROUND(E18/C18,6))</f>
        <v>4.2348999999999998E-2</v>
      </c>
      <c r="G18" s="973">
        <f ca="1">ROUND((((F$20*C18)-E18)/(1-FIT)),0)+D18</f>
        <v>1845105</v>
      </c>
      <c r="H18" s="973">
        <f ca="1">D18-G18</f>
        <v>-62395</v>
      </c>
      <c r="I18" s="973">
        <f ca="1">ROUND(H18*$I$11,0)</f>
        <v>-26431</v>
      </c>
      <c r="J18" s="973">
        <f>(ROUND(C18/C$20,6)*$J$20)</f>
        <v>417382.37239454564</v>
      </c>
      <c r="K18" s="973">
        <f ca="1">D18-I18+J18</f>
        <v>2226523.3723945455</v>
      </c>
      <c r="L18" s="27">
        <f ca="1">IF(K18=0,0,ROUND((K18-D18)/D18,6))</f>
        <v>0.24895400000000001</v>
      </c>
      <c r="M18" s="969">
        <f ca="1">ROUND((((J18-I18)*(1-FIT))+E18)/C18,8)</f>
        <v>6.9655320000000007E-2</v>
      </c>
      <c r="N18" s="973">
        <f ca="1">J18-I18</f>
        <v>443813.37239454564</v>
      </c>
    </row>
    <row r="19" spans="1:14">
      <c r="A19" s="331" t="s">
        <v>343</v>
      </c>
      <c r="B19" s="363" t="s">
        <v>343</v>
      </c>
      <c r="C19" s="333" t="s">
        <v>343</v>
      </c>
      <c r="D19" s="333" t="s">
        <v>343</v>
      </c>
      <c r="E19" s="333" t="s">
        <v>343</v>
      </c>
      <c r="F19" s="334" t="s">
        <v>343</v>
      </c>
      <c r="G19" s="335" t="s">
        <v>343</v>
      </c>
      <c r="H19" s="333" t="s">
        <v>343</v>
      </c>
      <c r="I19" s="333" t="s">
        <v>343</v>
      </c>
      <c r="J19" s="333" t="s">
        <v>343</v>
      </c>
      <c r="K19" s="336" t="s">
        <v>343</v>
      </c>
      <c r="L19" s="23" t="s">
        <v>343</v>
      </c>
      <c r="M19" s="969"/>
    </row>
    <row r="20" spans="1:14" ht="13" thickBot="1">
      <c r="A20" s="331">
        <v>5</v>
      </c>
      <c r="B20" s="363" t="s">
        <v>492</v>
      </c>
      <c r="C20" s="970">
        <f>SUM(C15:C19)</f>
        <v>468321206</v>
      </c>
      <c r="D20" s="970">
        <f>SUM(D15:D19)</f>
        <v>111143535</v>
      </c>
      <c r="E20" s="970">
        <f ca="1">SUM(E15:E19)</f>
        <v>21630932</v>
      </c>
      <c r="F20" s="971">
        <f ca="1">ROUND(E20/C20,9)</f>
        <v>4.6188238999999999E-2</v>
      </c>
      <c r="G20" s="970">
        <f>D20</f>
        <v>111143535</v>
      </c>
      <c r="H20" s="970">
        <f ca="1">SUM(H15:H19)</f>
        <v>0</v>
      </c>
      <c r="I20" s="970">
        <f ca="1">SUM(I15:I19)</f>
        <v>0</v>
      </c>
      <c r="J20" s="972">
        <f>'WP FR-16(7)(v)Rate Incr (40.0%)'!J20</f>
        <v>15223488.069247022</v>
      </c>
      <c r="K20" s="970">
        <f ca="1">SUM(K15:K19)</f>
        <v>126367023.06924702</v>
      </c>
      <c r="L20" s="978">
        <f ca="1">ROUND((K20-D20)/D20,6)</f>
        <v>0.13697100000000001</v>
      </c>
      <c r="M20" s="1037">
        <f ca="1">ROUND((((J20-I20)*(1-FIT))+E20)/C20,8)</f>
        <v>7.1868379999999996E-2</v>
      </c>
      <c r="N20" s="972">
        <f ca="1">SUM(N15:N19)</f>
        <v>15223488.069247022</v>
      </c>
    </row>
    <row r="21" spans="1:14" ht="13" thickTop="1">
      <c r="B21" s="363"/>
      <c r="C21" s="337"/>
      <c r="D21" s="337"/>
      <c r="E21" s="337"/>
      <c r="F21" s="337"/>
      <c r="G21" s="337"/>
      <c r="H21" s="337"/>
      <c r="I21" s="337"/>
      <c r="J21" s="337" t="s">
        <v>343</v>
      </c>
      <c r="K21" s="337"/>
      <c r="L21" s="337"/>
      <c r="M21" s="337"/>
    </row>
    <row r="25" spans="1:14">
      <c r="B25" s="338" t="s">
        <v>545</v>
      </c>
    </row>
    <row r="26" spans="1:14">
      <c r="A26" s="331">
        <v>6</v>
      </c>
      <c r="B26" s="330" t="s">
        <v>911</v>
      </c>
      <c r="D26" s="1280">
        <f>'FR-16(7)(v)-1 Functional'!F626</f>
        <v>0</v>
      </c>
      <c r="K26" s="333">
        <f>D26</f>
        <v>0</v>
      </c>
    </row>
    <row r="27" spans="1:14">
      <c r="A27" s="331">
        <v>7</v>
      </c>
      <c r="B27" s="330" t="s">
        <v>912</v>
      </c>
      <c r="D27" s="1475">
        <v>28032</v>
      </c>
      <c r="K27" s="333">
        <f t="shared" ref="K27:K31" si="0">D27</f>
        <v>28032</v>
      </c>
    </row>
    <row r="28" spans="1:14">
      <c r="A28" s="331">
        <v>8</v>
      </c>
      <c r="B28" s="330" t="s">
        <v>913</v>
      </c>
      <c r="D28" s="1475">
        <v>22068</v>
      </c>
      <c r="K28" s="333">
        <f t="shared" si="0"/>
        <v>22068</v>
      </c>
    </row>
    <row r="29" spans="1:14">
      <c r="A29" s="331">
        <v>9</v>
      </c>
      <c r="B29" s="330" t="s">
        <v>914</v>
      </c>
      <c r="D29" s="1280">
        <f>'FR-16(7)(v)-1 Functional'!F628</f>
        <v>0</v>
      </c>
      <c r="K29" s="333">
        <f t="shared" si="0"/>
        <v>0</v>
      </c>
    </row>
    <row r="30" spans="1:14">
      <c r="A30" s="331">
        <v>10</v>
      </c>
      <c r="B30" s="330" t="s">
        <v>1254</v>
      </c>
      <c r="D30" s="1280">
        <v>0</v>
      </c>
      <c r="K30" s="333">
        <f t="shared" si="0"/>
        <v>0</v>
      </c>
    </row>
    <row r="31" spans="1:14">
      <c r="A31" s="331">
        <v>11</v>
      </c>
      <c r="B31" s="330" t="s">
        <v>915</v>
      </c>
      <c r="D31" s="1280">
        <f>'FR-16(7)(v)-1 Functional'!F627</f>
        <v>528</v>
      </c>
      <c r="K31" s="333">
        <f t="shared" si="0"/>
        <v>528</v>
      </c>
    </row>
    <row r="32" spans="1:14">
      <c r="A32" s="331">
        <v>12</v>
      </c>
      <c r="B32" s="330" t="s">
        <v>1467</v>
      </c>
      <c r="D32" s="1280">
        <v>0</v>
      </c>
      <c r="K32" s="333">
        <f>D32</f>
        <v>0</v>
      </c>
    </row>
    <row r="33" spans="1:12">
      <c r="A33" s="331">
        <v>13</v>
      </c>
      <c r="B33" s="330" t="s">
        <v>916</v>
      </c>
      <c r="D33" s="1473">
        <f>SUM(D26:D32)</f>
        <v>50628</v>
      </c>
      <c r="K33" s="837">
        <f>SUM(K26:K32)</f>
        <v>50628</v>
      </c>
    </row>
    <row r="34" spans="1:12">
      <c r="A34" s="331"/>
      <c r="B34" s="330" t="s">
        <v>917</v>
      </c>
      <c r="D34" s="351"/>
    </row>
    <row r="35" spans="1:12" ht="13" thickBot="1">
      <c r="A35" s="331">
        <v>14</v>
      </c>
      <c r="B35" s="330" t="s">
        <v>918</v>
      </c>
      <c r="D35" s="1474">
        <f>D20+D33</f>
        <v>111194163</v>
      </c>
      <c r="K35" s="960">
        <f ca="1">K20+K33</f>
        <v>126417651.06924702</v>
      </c>
      <c r="L35" s="27">
        <f ca="1">ROUND((K35-D35)/D35,6)</f>
        <v>0.136909</v>
      </c>
    </row>
    <row r="36" spans="1:12" ht="13" thickTop="1">
      <c r="A36" s="331"/>
      <c r="D36" s="339"/>
    </row>
    <row r="37" spans="1:12">
      <c r="A37" s="331"/>
      <c r="D37" s="333"/>
      <c r="K37" s="333"/>
    </row>
    <row r="38" spans="1:12">
      <c r="A38" s="331"/>
      <c r="D38" s="333"/>
    </row>
    <row r="55" spans="6:6" ht="13" thickBot="1">
      <c r="F55" s="972"/>
    </row>
    <row r="56" spans="6:6" ht="13" thickTop="1"/>
  </sheetData>
  <phoneticPr fontId="0" type="noConversion"/>
  <pageMargins left="0.75" right="0.75" top="1" bottom="1" header="0.5" footer="0.5"/>
  <pageSetup scale="57" orientation="landscape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4">
    <tabColor rgb="FFFF6600"/>
    <pageSetUpPr fitToPage="1"/>
  </sheetPr>
  <dimension ref="A1:N56"/>
  <sheetViews>
    <sheetView zoomScale="75" workbookViewId="0">
      <selection activeCell="C13" sqref="C13:E13"/>
    </sheetView>
  </sheetViews>
  <sheetFormatPr defaultColWidth="12.765625" defaultRowHeight="12.5"/>
  <cols>
    <col min="1" max="1" width="5.765625" style="330" customWidth="1"/>
    <col min="2" max="2" width="15.23046875" style="330" customWidth="1"/>
    <col min="3" max="9" width="12.765625" style="330"/>
    <col min="10" max="10" width="14.4609375" style="330" customWidth="1"/>
    <col min="11" max="11" width="13.23046875" style="330" customWidth="1"/>
    <col min="12" max="16384" width="12.765625" style="330"/>
  </cols>
  <sheetData>
    <row r="1" spans="1:14">
      <c r="A1" s="330" t="str">
        <f>co_name</f>
        <v>DUKE ENERGY KENTUCKY, INC.</v>
      </c>
      <c r="M1" s="976" t="s">
        <v>1115</v>
      </c>
    </row>
    <row r="2" spans="1:14">
      <c r="A2" s="330" t="str">
        <f>coss_type</f>
        <v xml:space="preserve">GAS COST OF SERVICE STUDY </v>
      </c>
      <c r="M2" s="977" t="s">
        <v>1466</v>
      </c>
    </row>
    <row r="3" spans="1:14">
      <c r="A3" s="330" t="str">
        <f>case_name</f>
        <v>CASE NO: 2021-00190</v>
      </c>
      <c r="M3" s="977" t="s">
        <v>435</v>
      </c>
    </row>
    <row r="4" spans="1:14">
      <c r="A4" s="330" t="s">
        <v>460</v>
      </c>
      <c r="M4" s="977" t="str">
        <f>Witness</f>
        <v>JAMES E. ZIOLKOWSKI</v>
      </c>
    </row>
    <row r="5" spans="1:14">
      <c r="A5" s="330" t="s">
        <v>461</v>
      </c>
      <c r="M5" s="977" t="s">
        <v>1117</v>
      </c>
    </row>
    <row r="8" spans="1:14" ht="13">
      <c r="G8" s="331" t="s">
        <v>466</v>
      </c>
      <c r="H8" s="958" t="s">
        <v>1097</v>
      </c>
      <c r="I8" s="958" t="s">
        <v>1097</v>
      </c>
    </row>
    <row r="9" spans="1:14" ht="13">
      <c r="A9" s="331"/>
      <c r="B9" s="331"/>
      <c r="C9" s="331"/>
      <c r="D9" s="331"/>
      <c r="E9" s="331"/>
      <c r="F9" s="331"/>
      <c r="G9" s="331" t="s">
        <v>462</v>
      </c>
      <c r="H9" s="958" t="s">
        <v>1098</v>
      </c>
      <c r="I9" s="958" t="s">
        <v>1098</v>
      </c>
      <c r="J9" s="331" t="s">
        <v>1101</v>
      </c>
      <c r="K9" s="959" t="s">
        <v>1105</v>
      </c>
      <c r="L9" s="331" t="s">
        <v>463</v>
      </c>
      <c r="M9" s="331" t="s">
        <v>464</v>
      </c>
      <c r="N9" s="961" t="s">
        <v>465</v>
      </c>
    </row>
    <row r="10" spans="1:14" ht="13">
      <c r="A10" s="331"/>
      <c r="B10" s="331"/>
      <c r="C10" s="331"/>
      <c r="D10" s="331" t="s">
        <v>466</v>
      </c>
      <c r="E10" s="331" t="s">
        <v>467</v>
      </c>
      <c r="F10" s="331" t="s">
        <v>466</v>
      </c>
      <c r="G10" s="331" t="s">
        <v>468</v>
      </c>
      <c r="H10" s="331" t="s">
        <v>1099</v>
      </c>
      <c r="I10" s="958" t="s">
        <v>1104</v>
      </c>
      <c r="J10" s="331" t="s">
        <v>1102</v>
      </c>
      <c r="K10" s="979" t="str">
        <f>TEXT(1-I11,"0.00%")&amp;"  Interclass"</f>
        <v>25.00%  Interclass</v>
      </c>
      <c r="L10" s="331" t="s">
        <v>470</v>
      </c>
      <c r="M10" s="331" t="s">
        <v>471</v>
      </c>
      <c r="N10" s="961" t="s">
        <v>1106</v>
      </c>
    </row>
    <row r="11" spans="1:14" ht="13">
      <c r="A11" s="331" t="s">
        <v>472</v>
      </c>
      <c r="B11" s="331"/>
      <c r="C11" s="331" t="s">
        <v>493</v>
      </c>
      <c r="D11" s="331" t="s">
        <v>462</v>
      </c>
      <c r="E11" s="331" t="s">
        <v>473</v>
      </c>
      <c r="F11" s="331" t="s">
        <v>464</v>
      </c>
      <c r="G11" s="331" t="s">
        <v>464</v>
      </c>
      <c r="H11" s="331" t="s">
        <v>1100</v>
      </c>
      <c r="I11" s="836">
        <v>0.75</v>
      </c>
      <c r="J11" s="331" t="s">
        <v>1103</v>
      </c>
      <c r="K11" s="980" t="s">
        <v>1098</v>
      </c>
      <c r="L11" s="331" t="s">
        <v>474</v>
      </c>
      <c r="M11" s="331" t="s">
        <v>475</v>
      </c>
      <c r="N11" s="961" t="s">
        <v>1107</v>
      </c>
    </row>
    <row r="12" spans="1:14">
      <c r="A12" s="332" t="s">
        <v>476</v>
      </c>
      <c r="B12" s="332" t="s">
        <v>477</v>
      </c>
      <c r="C12" s="332" t="s">
        <v>478</v>
      </c>
      <c r="D12" s="332" t="s">
        <v>479</v>
      </c>
      <c r="E12" s="332" t="s">
        <v>480</v>
      </c>
      <c r="F12" s="332" t="s">
        <v>481</v>
      </c>
      <c r="G12" s="332" t="s">
        <v>482</v>
      </c>
      <c r="H12" s="332" t="s">
        <v>483</v>
      </c>
      <c r="I12" s="332" t="s">
        <v>484</v>
      </c>
      <c r="J12" s="332" t="s">
        <v>485</v>
      </c>
      <c r="K12" s="332" t="s">
        <v>486</v>
      </c>
      <c r="L12" s="332" t="s">
        <v>487</v>
      </c>
      <c r="M12" s="332" t="s">
        <v>488</v>
      </c>
      <c r="N12" s="962" t="s">
        <v>489</v>
      </c>
    </row>
    <row r="13" spans="1:14" ht="37.5">
      <c r="A13" s="331"/>
      <c r="B13" s="331"/>
      <c r="C13" s="331" t="str">
        <f>'WP FR-16(7)(v)Rate Incr (40.0%)'!C13</f>
        <v>FR-16(7)(v)-8</v>
      </c>
      <c r="D13" s="331" t="str">
        <f>'WP FR-16(7)(v)Rate Incr (40.0%)'!D13</f>
        <v>FR-16(7)(v)-8</v>
      </c>
      <c r="E13" s="331" t="str">
        <f>'WP FR-16(7)(v)Rate Incr (40.0%)'!E13</f>
        <v>WP - Pres NOI</v>
      </c>
      <c r="F13" s="331" t="s">
        <v>490</v>
      </c>
      <c r="G13" s="964" t="s">
        <v>1113</v>
      </c>
      <c r="H13" s="967" t="s">
        <v>1114</v>
      </c>
      <c r="I13" s="331" t="str">
        <f>H12&amp;" * "&amp;TEXT(I11,"0.00%")</f>
        <v>(F) * 75.00%</v>
      </c>
      <c r="J13" s="964" t="s">
        <v>1109</v>
      </c>
      <c r="K13" s="963" t="s">
        <v>1110</v>
      </c>
      <c r="L13" s="965" t="s">
        <v>1111</v>
      </c>
      <c r="M13" s="966" t="s">
        <v>1112</v>
      </c>
      <c r="N13" s="963" t="s">
        <v>1108</v>
      </c>
    </row>
    <row r="15" spans="1:14">
      <c r="A15" s="331">
        <v>1</v>
      </c>
      <c r="B15" s="330" t="s">
        <v>1264</v>
      </c>
      <c r="C15" s="974">
        <f>'WP FR-16(7)(v)Rate Incr (40.0%)'!C15</f>
        <v>298396049</v>
      </c>
      <c r="D15" s="974">
        <f>'WP FR-16(7)(v)Rate Incr (40.0%)'!D15</f>
        <v>75382959</v>
      </c>
      <c r="E15" s="974">
        <f ca="1">'WP FR-16(7)(v)Rate Incr (40.0%)'!E15</f>
        <v>16594938</v>
      </c>
      <c r="F15" s="968">
        <f ca="1">IF(C15=0,0,ROUND(E15/C15,6))</f>
        <v>5.5613999999999997E-2</v>
      </c>
      <c r="G15" s="974">
        <f ca="1">G20-SUM(G16:G19)</f>
        <v>71822769</v>
      </c>
      <c r="H15" s="974">
        <f ca="1">D15-G15</f>
        <v>3560190</v>
      </c>
      <c r="I15" s="974">
        <f ca="1">0-SUM(I16:I19)</f>
        <v>2670142</v>
      </c>
      <c r="J15" s="974">
        <f>(ROUND(C15/C$20,6)*$J$20)</f>
        <v>9699812.8816895019</v>
      </c>
      <c r="K15" s="974">
        <f ca="1">D15-I15+J15</f>
        <v>82412629.881689504</v>
      </c>
      <c r="L15" s="27">
        <f ca="1">IF(K15=0,0,ROUND((K15-D15)/D15,6))</f>
        <v>9.3253000000000003E-2</v>
      </c>
      <c r="M15" s="969">
        <f ca="1">ROUND((((J15-I15)*(1-FIT))+E15)/C15,8)</f>
        <v>7.4224769999999995E-2</v>
      </c>
      <c r="N15" s="974">
        <f ca="1">J15-I15</f>
        <v>7029670.8816895019</v>
      </c>
    </row>
    <row r="16" spans="1:14">
      <c r="A16" s="331">
        <v>2</v>
      </c>
      <c r="B16" s="330" t="s">
        <v>1261</v>
      </c>
      <c r="C16" s="975">
        <f>'WP FR-16(7)(v)Rate Incr (40.0%)'!C16</f>
        <v>117245073</v>
      </c>
      <c r="D16" s="975">
        <f>'WP FR-16(7)(v)Rate Incr (40.0%)'!D16</f>
        <v>28525719</v>
      </c>
      <c r="E16" s="975">
        <f>'WP FR-16(7)(v)Rate Incr (40.0%)'!E16</f>
        <v>2740230</v>
      </c>
      <c r="F16" s="968">
        <f>IF(C16=0,0,ROUND(E16/C16,6))</f>
        <v>2.3372E-2</v>
      </c>
      <c r="G16" s="975">
        <f ca="1">ROUND((((F$20*C16)-E16)/(1-FIT)),0)+D16</f>
        <v>31911939</v>
      </c>
      <c r="H16" s="975">
        <f ca="1">D16-G16</f>
        <v>-3386220</v>
      </c>
      <c r="I16" s="975">
        <f ca="1">ROUND(H16*$I$11,0)</f>
        <v>-2539665</v>
      </c>
      <c r="J16" s="975">
        <f>(ROUND(C16/C$20,6)*$J$20)</f>
        <v>3811230.6851121308</v>
      </c>
      <c r="K16" s="975">
        <f ca="1">D16-I16+J16</f>
        <v>34876614.685112134</v>
      </c>
      <c r="L16" s="27">
        <f ca="1">IF(K16=0,0,ROUND((K16-D16)/D16,6))</f>
        <v>0.222638</v>
      </c>
      <c r="M16" s="969">
        <f ca="1">ROUND((((J16-I16)*(1-FIT))+E16)/C16,8)</f>
        <v>6.6164290000000001E-2</v>
      </c>
      <c r="N16" s="975">
        <f ca="1">J16-I16</f>
        <v>6350895.6851121308</v>
      </c>
    </row>
    <row r="17" spans="1:14">
      <c r="A17" s="331">
        <v>3</v>
      </c>
      <c r="B17" s="330" t="s">
        <v>1262</v>
      </c>
      <c r="C17" s="973">
        <f>'WP FR-16(7)(v)Rate Incr (40.0%)'!C17</f>
        <v>39839937</v>
      </c>
      <c r="D17" s="973">
        <f>'WP FR-16(7)(v)Rate Incr (40.0%)'!D17</f>
        <v>5452147</v>
      </c>
      <c r="E17" s="973">
        <f ca="1">'WP FR-16(7)(v)Rate Incr (40.0%)'!E17</f>
        <v>1751992</v>
      </c>
      <c r="F17" s="968">
        <f ca="1">IF(C17=0,0,ROUND(E17/C17,6))</f>
        <v>4.3976000000000001E-2</v>
      </c>
      <c r="G17" s="973">
        <f ca="1">ROUND((((F$20*C17)-E17)/(1-FIT)),0)+D17</f>
        <v>5563722</v>
      </c>
      <c r="H17" s="973">
        <f ca="1">D17-G17</f>
        <v>-111575</v>
      </c>
      <c r="I17" s="973">
        <f ca="1">ROUND(H17*$I$11,0)</f>
        <v>-83681</v>
      </c>
      <c r="J17" s="973">
        <f>(ROUND(C17/C$20,6)*$J$20)</f>
        <v>1295062.1300508443</v>
      </c>
      <c r="K17" s="973">
        <f ca="1">D17-I17+J17</f>
        <v>6830890.1300508445</v>
      </c>
      <c r="L17" s="27">
        <f ca="1">IF(K17=0,0,ROUND((K17-D17)/D17,6))</f>
        <v>0.25288100000000002</v>
      </c>
      <c r="M17" s="969">
        <f ca="1">ROUND((((J17-I17)*(1-FIT))+E17)/C17,8)</f>
        <v>7.131535E-2</v>
      </c>
      <c r="N17" s="973">
        <f ca="1">J17-I17</f>
        <v>1378743.1300508443</v>
      </c>
    </row>
    <row r="18" spans="1:14">
      <c r="A18" s="331">
        <v>4</v>
      </c>
      <c r="B18" s="330" t="s">
        <v>491</v>
      </c>
      <c r="C18" s="973">
        <f>'WP FR-16(7)(v)Rate Incr (40.0%)'!C18</f>
        <v>12840147</v>
      </c>
      <c r="D18" s="973">
        <f>'WP FR-16(7)(v)Rate Incr (40.0%)'!D18</f>
        <v>1782710</v>
      </c>
      <c r="E18" s="973">
        <f>'WP FR-16(7)(v)Rate Incr (40.0%)'!E18</f>
        <v>543772</v>
      </c>
      <c r="F18" s="968">
        <f>IF(C18=0,0,ROUND(E18/C18,6))</f>
        <v>4.2348999999999998E-2</v>
      </c>
      <c r="G18" s="973">
        <f ca="1">ROUND((((F$20*C18)-E18)/(1-FIT)),0)+D18</f>
        <v>1845105</v>
      </c>
      <c r="H18" s="973">
        <f ca="1">D18-G18</f>
        <v>-62395</v>
      </c>
      <c r="I18" s="973">
        <f ca="1">ROUND(H18*$I$11,0)</f>
        <v>-46796</v>
      </c>
      <c r="J18" s="973">
        <f>(ROUND(C18/C$20,6)*$J$20)</f>
        <v>417382.37239454564</v>
      </c>
      <c r="K18" s="973">
        <f ca="1">D18-I18+J18</f>
        <v>2246888.3723945455</v>
      </c>
      <c r="L18" s="27">
        <f ca="1">IF(K18=0,0,ROUND((K18-D18)/D18,6))</f>
        <v>0.260378</v>
      </c>
      <c r="M18" s="969">
        <f ca="1">ROUND((((J18-I18)*(1-FIT))+E18)/C18,8)</f>
        <v>7.0908289999999999E-2</v>
      </c>
      <c r="N18" s="973">
        <f ca="1">J18-I18</f>
        <v>464178.37239454564</v>
      </c>
    </row>
    <row r="19" spans="1:14">
      <c r="A19" s="331" t="s">
        <v>343</v>
      </c>
      <c r="B19" s="363" t="s">
        <v>343</v>
      </c>
      <c r="C19" s="333" t="s">
        <v>343</v>
      </c>
      <c r="D19" s="333" t="s">
        <v>343</v>
      </c>
      <c r="E19" s="333" t="s">
        <v>343</v>
      </c>
      <c r="F19" s="334" t="s">
        <v>343</v>
      </c>
      <c r="G19" s="335" t="s">
        <v>343</v>
      </c>
      <c r="H19" s="333" t="s">
        <v>343</v>
      </c>
      <c r="I19" s="333" t="s">
        <v>343</v>
      </c>
      <c r="J19" s="333" t="s">
        <v>343</v>
      </c>
      <c r="K19" s="336" t="s">
        <v>343</v>
      </c>
      <c r="L19" s="23" t="s">
        <v>343</v>
      </c>
      <c r="M19" s="969"/>
    </row>
    <row r="20" spans="1:14" ht="13" thickBot="1">
      <c r="A20" s="331">
        <v>5</v>
      </c>
      <c r="B20" s="363" t="s">
        <v>492</v>
      </c>
      <c r="C20" s="970">
        <f>SUM(C15:C19)</f>
        <v>468321206</v>
      </c>
      <c r="D20" s="970">
        <f>SUM(D15:D19)</f>
        <v>111143535</v>
      </c>
      <c r="E20" s="970">
        <f ca="1">SUM(E15:E19)</f>
        <v>21630932</v>
      </c>
      <c r="F20" s="971">
        <f ca="1">ROUND(E20/C20,9)</f>
        <v>4.6188238999999999E-2</v>
      </c>
      <c r="G20" s="970">
        <f>D20</f>
        <v>111143535</v>
      </c>
      <c r="H20" s="970">
        <f ca="1">SUM(H15:H19)</f>
        <v>0</v>
      </c>
      <c r="I20" s="970">
        <f ca="1">SUM(I15:I19)</f>
        <v>0</v>
      </c>
      <c r="J20" s="972">
        <f>'WP FR-16(7)(v)Rate Incr (40.0%)'!J20</f>
        <v>15223488.069247022</v>
      </c>
      <c r="K20" s="970">
        <f ca="1">SUM(K15:K19)</f>
        <v>126367023.06924702</v>
      </c>
      <c r="L20" s="978">
        <f ca="1">ROUND((K20-D20)/D20,6)</f>
        <v>0.13697100000000001</v>
      </c>
      <c r="M20" s="1037">
        <f ca="1">ROUND((((J20-I20)*(1-FIT))+E20)/C20,8)</f>
        <v>7.1868379999999996E-2</v>
      </c>
      <c r="N20" s="972">
        <f ca="1">SUM(N15:N19)</f>
        <v>15223488.069247022</v>
      </c>
    </row>
    <row r="21" spans="1:14" ht="13" thickTop="1">
      <c r="B21" s="363"/>
      <c r="C21" s="337"/>
      <c r="D21" s="337"/>
      <c r="E21" s="337"/>
      <c r="F21" s="337"/>
      <c r="G21" s="337"/>
      <c r="H21" s="337"/>
      <c r="I21" s="337"/>
      <c r="J21" s="337" t="s">
        <v>343</v>
      </c>
      <c r="K21" s="337"/>
      <c r="L21" s="337"/>
      <c r="M21" s="337"/>
    </row>
    <row r="25" spans="1:14">
      <c r="B25" s="338" t="s">
        <v>545</v>
      </c>
    </row>
    <row r="26" spans="1:14">
      <c r="A26" s="331">
        <v>6</v>
      </c>
      <c r="B26" s="330" t="s">
        <v>911</v>
      </c>
      <c r="D26" s="1280">
        <f>'FR-16(7)(v)-1 Functional'!F626</f>
        <v>0</v>
      </c>
      <c r="K26" s="333">
        <f>D26</f>
        <v>0</v>
      </c>
    </row>
    <row r="27" spans="1:14">
      <c r="A27" s="331">
        <v>7</v>
      </c>
      <c r="B27" s="330" t="s">
        <v>912</v>
      </c>
      <c r="D27" s="1475">
        <v>28032</v>
      </c>
      <c r="K27" s="333">
        <f t="shared" ref="K27:K31" si="0">D27</f>
        <v>28032</v>
      </c>
    </row>
    <row r="28" spans="1:14">
      <c r="A28" s="331">
        <v>8</v>
      </c>
      <c r="B28" s="330" t="s">
        <v>913</v>
      </c>
      <c r="D28" s="1475">
        <v>22068</v>
      </c>
      <c r="K28" s="333">
        <f t="shared" si="0"/>
        <v>22068</v>
      </c>
    </row>
    <row r="29" spans="1:14">
      <c r="A29" s="331">
        <v>9</v>
      </c>
      <c r="B29" s="330" t="s">
        <v>914</v>
      </c>
      <c r="D29" s="1280">
        <f>'FR-16(7)(v)-1 Functional'!F628</f>
        <v>0</v>
      </c>
      <c r="K29" s="333">
        <f t="shared" si="0"/>
        <v>0</v>
      </c>
    </row>
    <row r="30" spans="1:14">
      <c r="A30" s="331">
        <v>10</v>
      </c>
      <c r="B30" s="330" t="s">
        <v>1254</v>
      </c>
      <c r="D30" s="1280">
        <v>0</v>
      </c>
      <c r="K30" s="333">
        <f t="shared" si="0"/>
        <v>0</v>
      </c>
    </row>
    <row r="31" spans="1:14">
      <c r="A31" s="331">
        <v>11</v>
      </c>
      <c r="B31" s="330" t="s">
        <v>915</v>
      </c>
      <c r="D31" s="1280">
        <f>'FR-16(7)(v)-1 Functional'!F627</f>
        <v>528</v>
      </c>
      <c r="K31" s="333">
        <f t="shared" si="0"/>
        <v>528</v>
      </c>
    </row>
    <row r="32" spans="1:14">
      <c r="A32" s="331">
        <v>12</v>
      </c>
      <c r="B32" s="330" t="s">
        <v>1467</v>
      </c>
      <c r="D32" s="1280">
        <v>0</v>
      </c>
      <c r="K32" s="333">
        <f>D32</f>
        <v>0</v>
      </c>
    </row>
    <row r="33" spans="1:12">
      <c r="A33" s="331">
        <v>13</v>
      </c>
      <c r="B33" s="330" t="s">
        <v>916</v>
      </c>
      <c r="D33" s="1473">
        <f>SUM(D26:D32)</f>
        <v>50628</v>
      </c>
      <c r="K33" s="837">
        <f>SUM(K26:K32)</f>
        <v>50628</v>
      </c>
    </row>
    <row r="34" spans="1:12">
      <c r="A34" s="331"/>
      <c r="B34" s="330" t="s">
        <v>917</v>
      </c>
      <c r="D34" s="351"/>
    </row>
    <row r="35" spans="1:12" ht="13" thickBot="1">
      <c r="A35" s="331">
        <v>14</v>
      </c>
      <c r="B35" s="330" t="s">
        <v>918</v>
      </c>
      <c r="D35" s="1474">
        <f>D20+D33</f>
        <v>111194163</v>
      </c>
      <c r="K35" s="960">
        <f ca="1">K20+K33</f>
        <v>126417651.06924702</v>
      </c>
      <c r="L35" s="27">
        <f ca="1">ROUND((K35-D35)/D35,6)</f>
        <v>0.136909</v>
      </c>
    </row>
    <row r="36" spans="1:12" ht="13" thickTop="1">
      <c r="A36" s="331"/>
      <c r="D36" s="339"/>
    </row>
    <row r="37" spans="1:12">
      <c r="A37" s="331"/>
      <c r="D37" s="333"/>
      <c r="K37" s="333"/>
    </row>
    <row r="38" spans="1:12">
      <c r="A38" s="331"/>
      <c r="D38" s="333"/>
    </row>
    <row r="55" spans="6:6" ht="13" thickBot="1">
      <c r="F55" s="972"/>
    </row>
    <row r="56" spans="6:6" ht="13" thickTop="1"/>
  </sheetData>
  <phoneticPr fontId="0" type="noConversion"/>
  <pageMargins left="0.75" right="0.75" top="1" bottom="1" header="0.5" footer="0.5"/>
  <pageSetup scale="57" orientation="landscape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8">
    <tabColor rgb="FFFF6600"/>
    <pageSetUpPr fitToPage="1"/>
  </sheetPr>
  <dimension ref="A1:N56"/>
  <sheetViews>
    <sheetView zoomScale="80" zoomScaleNormal="80" workbookViewId="0">
      <selection activeCell="I5" sqref="I5"/>
    </sheetView>
  </sheetViews>
  <sheetFormatPr defaultColWidth="12.765625" defaultRowHeight="12.5"/>
  <cols>
    <col min="1" max="1" width="6.23046875" style="330" customWidth="1"/>
    <col min="2" max="2" width="15.23046875" style="330" customWidth="1"/>
    <col min="3" max="9" width="12.765625" style="330"/>
    <col min="10" max="10" width="14.4609375" style="330" customWidth="1"/>
    <col min="11" max="11" width="13.23046875" style="330" customWidth="1"/>
    <col min="12" max="16384" width="12.765625" style="330"/>
  </cols>
  <sheetData>
    <row r="1" spans="1:14">
      <c r="A1" s="330" t="str">
        <f>co_name</f>
        <v>DUKE ENERGY KENTUCKY, INC.</v>
      </c>
      <c r="M1" s="976" t="s">
        <v>1115</v>
      </c>
    </row>
    <row r="2" spans="1:14">
      <c r="A2" s="330" t="str">
        <f>coss_type</f>
        <v xml:space="preserve">GAS COST OF SERVICE STUDY </v>
      </c>
      <c r="M2" s="977" t="s">
        <v>1466</v>
      </c>
    </row>
    <row r="3" spans="1:14">
      <c r="A3" s="330" t="str">
        <f>case_name</f>
        <v>CASE NO: 2021-00190</v>
      </c>
      <c r="M3" s="977" t="s">
        <v>435</v>
      </c>
    </row>
    <row r="4" spans="1:14">
      <c r="A4" s="330" t="s">
        <v>460</v>
      </c>
      <c r="M4" s="977" t="str">
        <f>Witness</f>
        <v>JAMES E. ZIOLKOWSKI</v>
      </c>
    </row>
    <row r="5" spans="1:14">
      <c r="A5" s="330" t="s">
        <v>461</v>
      </c>
      <c r="M5" s="977" t="s">
        <v>1118</v>
      </c>
    </row>
    <row r="8" spans="1:14" ht="13">
      <c r="G8" s="331" t="s">
        <v>466</v>
      </c>
      <c r="H8" s="958" t="s">
        <v>1097</v>
      </c>
      <c r="I8" s="958" t="s">
        <v>1097</v>
      </c>
    </row>
    <row r="9" spans="1:14" ht="13">
      <c r="A9" s="331"/>
      <c r="B9" s="331"/>
      <c r="C9" s="331"/>
      <c r="D9" s="331"/>
      <c r="E9" s="331"/>
      <c r="F9" s="331"/>
      <c r="G9" s="331" t="s">
        <v>462</v>
      </c>
      <c r="H9" s="958" t="s">
        <v>1098</v>
      </c>
      <c r="I9" s="958" t="s">
        <v>1098</v>
      </c>
      <c r="J9" s="331" t="s">
        <v>1101</v>
      </c>
      <c r="K9" s="959" t="s">
        <v>1105</v>
      </c>
      <c r="L9" s="331" t="s">
        <v>463</v>
      </c>
      <c r="M9" s="331" t="s">
        <v>464</v>
      </c>
      <c r="N9" s="961" t="s">
        <v>465</v>
      </c>
    </row>
    <row r="10" spans="1:14" ht="13">
      <c r="A10" s="331"/>
      <c r="B10" s="331"/>
      <c r="C10" s="331"/>
      <c r="D10" s="331" t="s">
        <v>466</v>
      </c>
      <c r="E10" s="331" t="s">
        <v>467</v>
      </c>
      <c r="F10" s="331" t="s">
        <v>466</v>
      </c>
      <c r="G10" s="331" t="s">
        <v>468</v>
      </c>
      <c r="H10" s="331" t="s">
        <v>1099</v>
      </c>
      <c r="I10" s="958" t="s">
        <v>1104</v>
      </c>
      <c r="J10" s="331" t="s">
        <v>1102</v>
      </c>
      <c r="K10" s="979" t="str">
        <f>TEXT(1-I11,"0.00%")&amp;"  Interclass"</f>
        <v>0.00%  Interclass</v>
      </c>
      <c r="L10" s="331" t="s">
        <v>470</v>
      </c>
      <c r="M10" s="331" t="s">
        <v>471</v>
      </c>
      <c r="N10" s="961" t="s">
        <v>1106</v>
      </c>
    </row>
    <row r="11" spans="1:14" ht="13">
      <c r="A11" s="331" t="s">
        <v>472</v>
      </c>
      <c r="B11" s="331"/>
      <c r="C11" s="331" t="s">
        <v>493</v>
      </c>
      <c r="D11" s="331" t="s">
        <v>462</v>
      </c>
      <c r="E11" s="331" t="s">
        <v>473</v>
      </c>
      <c r="F11" s="331" t="s">
        <v>464</v>
      </c>
      <c r="G11" s="331" t="s">
        <v>464</v>
      </c>
      <c r="H11" s="331" t="s">
        <v>1100</v>
      </c>
      <c r="I11" s="836">
        <v>1</v>
      </c>
      <c r="J11" s="331" t="s">
        <v>1103</v>
      </c>
      <c r="K11" s="980" t="s">
        <v>1098</v>
      </c>
      <c r="L11" s="331" t="s">
        <v>474</v>
      </c>
      <c r="M11" s="331" t="s">
        <v>475</v>
      </c>
      <c r="N11" s="961" t="s">
        <v>1107</v>
      </c>
    </row>
    <row r="12" spans="1:14">
      <c r="A12" s="332" t="s">
        <v>476</v>
      </c>
      <c r="B12" s="332" t="s">
        <v>477</v>
      </c>
      <c r="C12" s="332" t="s">
        <v>478</v>
      </c>
      <c r="D12" s="332" t="s">
        <v>479</v>
      </c>
      <c r="E12" s="332" t="s">
        <v>480</v>
      </c>
      <c r="F12" s="332" t="s">
        <v>481</v>
      </c>
      <c r="G12" s="332" t="s">
        <v>482</v>
      </c>
      <c r="H12" s="332" t="s">
        <v>483</v>
      </c>
      <c r="I12" s="332" t="s">
        <v>484</v>
      </c>
      <c r="J12" s="332" t="s">
        <v>485</v>
      </c>
      <c r="K12" s="332" t="s">
        <v>486</v>
      </c>
      <c r="L12" s="332" t="s">
        <v>487</v>
      </c>
      <c r="M12" s="332" t="s">
        <v>488</v>
      </c>
      <c r="N12" s="962" t="s">
        <v>489</v>
      </c>
    </row>
    <row r="13" spans="1:14" ht="37.5">
      <c r="A13" s="331"/>
      <c r="B13" s="331"/>
      <c r="C13" s="331" t="str">
        <f>'WP FR-16(7)(v)Rate Incr (40.0%)'!C13</f>
        <v>FR-16(7)(v)-8</v>
      </c>
      <c r="D13" s="331" t="str">
        <f>'WP FR-16(7)(v)Rate Incr (40.0%)'!D13</f>
        <v>FR-16(7)(v)-8</v>
      </c>
      <c r="E13" s="331" t="str">
        <f>'WP FR-16(7)(v)Rate Incr (40.0%)'!E13</f>
        <v>WP - Pres NOI</v>
      </c>
      <c r="F13" s="331" t="s">
        <v>490</v>
      </c>
      <c r="G13" s="964" t="s">
        <v>1113</v>
      </c>
      <c r="H13" s="967" t="s">
        <v>1114</v>
      </c>
      <c r="I13" s="331" t="str">
        <f>H12&amp;" * "&amp;TEXT(I11,"0.00%")</f>
        <v>(F) * 100.00%</v>
      </c>
      <c r="J13" s="964" t="s">
        <v>1109</v>
      </c>
      <c r="K13" s="963" t="s">
        <v>1110</v>
      </c>
      <c r="L13" s="965" t="s">
        <v>1111</v>
      </c>
      <c r="M13" s="966" t="s">
        <v>1112</v>
      </c>
      <c r="N13" s="963" t="s">
        <v>1108</v>
      </c>
    </row>
    <row r="15" spans="1:14">
      <c r="A15" s="331">
        <v>1</v>
      </c>
      <c r="B15" s="330" t="s">
        <v>1264</v>
      </c>
      <c r="C15" s="974">
        <f>'WP FR-16(7)(v)Rate Incr (40.0%)'!C15</f>
        <v>298396049</v>
      </c>
      <c r="D15" s="974">
        <f>'WP FR-16(7)(v)Rate Incr (40.0%)'!D15</f>
        <v>75382959</v>
      </c>
      <c r="E15" s="974">
        <f ca="1">'WP FR-16(7)(v)Rate Incr (40.0%)'!E15</f>
        <v>16594938</v>
      </c>
      <c r="F15" s="968">
        <f ca="1">IF(C15=0,0,ROUND(E15/C15,6))</f>
        <v>5.5613999999999997E-2</v>
      </c>
      <c r="G15" s="974">
        <f ca="1">G20-SUM(G16:G19)</f>
        <v>71822769</v>
      </c>
      <c r="H15" s="974">
        <f ca="1">D15-G15</f>
        <v>3560190</v>
      </c>
      <c r="I15" s="974">
        <f ca="1">0-SUM(I16:I19)</f>
        <v>3560190</v>
      </c>
      <c r="J15" s="974">
        <f>(ROUND(C15/C$20,6)*$J$20)</f>
        <v>9699812.8816895019</v>
      </c>
      <c r="K15" s="974">
        <f ca="1">D15-I15+J15</f>
        <v>81522581.881689504</v>
      </c>
      <c r="L15" s="27">
        <f ca="1">IF(K15=0,0,ROUND((K15-D15)/D15,6))</f>
        <v>8.1446000000000005E-2</v>
      </c>
      <c r="M15" s="969">
        <f ca="1">ROUND((((J15-I15)*(1-FIT))+E15)/C15,8)</f>
        <v>7.1868379999999996E-2</v>
      </c>
      <c r="N15" s="974">
        <f ca="1">J15-I15</f>
        <v>6139622.8816895019</v>
      </c>
    </row>
    <row r="16" spans="1:14">
      <c r="A16" s="331">
        <v>2</v>
      </c>
      <c r="B16" s="330" t="s">
        <v>1261</v>
      </c>
      <c r="C16" s="975">
        <f>'WP FR-16(7)(v)Rate Incr (40.0%)'!C16</f>
        <v>117245073</v>
      </c>
      <c r="D16" s="975">
        <f>'WP FR-16(7)(v)Rate Incr (40.0%)'!D16</f>
        <v>28525719</v>
      </c>
      <c r="E16" s="975">
        <f>'WP FR-16(7)(v)Rate Incr (40.0%)'!E16</f>
        <v>2740230</v>
      </c>
      <c r="F16" s="968">
        <f>IF(C16=0,0,ROUND(E16/C16,6))</f>
        <v>2.3372E-2</v>
      </c>
      <c r="G16" s="975">
        <f ca="1">ROUND((((F$20*C16)-E16)/(1-FIT)),0)+D16</f>
        <v>31911939</v>
      </c>
      <c r="H16" s="975">
        <f ca="1">D16-G16</f>
        <v>-3386220</v>
      </c>
      <c r="I16" s="975">
        <f ca="1">ROUND(H16*$I$11,0)</f>
        <v>-3386220</v>
      </c>
      <c r="J16" s="975">
        <f>(ROUND(C16/C$20,6)*$J$20)</f>
        <v>3811230.6851121308</v>
      </c>
      <c r="K16" s="975">
        <f ca="1">D16-I16+J16</f>
        <v>35723169.685112134</v>
      </c>
      <c r="L16" s="27">
        <f ca="1">IF(K16=0,0,ROUND((K16-D16)/D16,6))</f>
        <v>0.25231399999999998</v>
      </c>
      <c r="M16" s="969">
        <f ca="1">ROUND((((J16-I16)*(1-FIT))+E16)/C16,8)</f>
        <v>7.1868399999999999E-2</v>
      </c>
      <c r="N16" s="975">
        <f ca="1">J16-I16</f>
        <v>7197450.6851121308</v>
      </c>
    </row>
    <row r="17" spans="1:14">
      <c r="A17" s="331">
        <v>3</v>
      </c>
      <c r="B17" s="330" t="s">
        <v>1262</v>
      </c>
      <c r="C17" s="973">
        <f>'WP FR-16(7)(v)Rate Incr (40.0%)'!C17</f>
        <v>39839937</v>
      </c>
      <c r="D17" s="973">
        <f>'WP FR-16(7)(v)Rate Incr (40.0%)'!D17</f>
        <v>5452147</v>
      </c>
      <c r="E17" s="973">
        <f ca="1">'WP FR-16(7)(v)Rate Incr (40.0%)'!E17</f>
        <v>1751992</v>
      </c>
      <c r="F17" s="968">
        <f ca="1">IF(C17=0,0,ROUND(E17/C17,6))</f>
        <v>4.3976000000000001E-2</v>
      </c>
      <c r="G17" s="973">
        <f ca="1">ROUND((((F$20*C17)-E17)/(1-FIT)),0)+D17</f>
        <v>5563722</v>
      </c>
      <c r="H17" s="973">
        <f ca="1">D17-G17</f>
        <v>-111575</v>
      </c>
      <c r="I17" s="973">
        <f ca="1">ROUND(H17*$I$11,0)</f>
        <v>-111575</v>
      </c>
      <c r="J17" s="973">
        <f>(ROUND(C17/C$20,6)*$J$20)</f>
        <v>1295062.1300508443</v>
      </c>
      <c r="K17" s="973">
        <f ca="1">D17-I17+J17</f>
        <v>6858784.1300508445</v>
      </c>
      <c r="L17" s="27">
        <f ca="1">IF(K17=0,0,ROUND((K17-D17)/D17,6))</f>
        <v>0.25799699999999998</v>
      </c>
      <c r="M17" s="969">
        <f ca="1">ROUND((((J17-I17)*(1-FIT))+E17)/C17,8)</f>
        <v>7.1868470000000004E-2</v>
      </c>
      <c r="N17" s="973">
        <f ca="1">J17-I17</f>
        <v>1406637.1300508443</v>
      </c>
    </row>
    <row r="18" spans="1:14">
      <c r="A18" s="331">
        <v>4</v>
      </c>
      <c r="B18" s="330" t="s">
        <v>491</v>
      </c>
      <c r="C18" s="973">
        <f>'WP FR-16(7)(v)Rate Incr (40.0%)'!C18</f>
        <v>12840147</v>
      </c>
      <c r="D18" s="973">
        <f>'WP FR-16(7)(v)Rate Incr (40.0%)'!D18</f>
        <v>1782710</v>
      </c>
      <c r="E18" s="973">
        <f>'WP FR-16(7)(v)Rate Incr (40.0%)'!E18</f>
        <v>543772</v>
      </c>
      <c r="F18" s="968">
        <f>IF(C18=0,0,ROUND(E18/C18,6))</f>
        <v>4.2348999999999998E-2</v>
      </c>
      <c r="G18" s="973">
        <f ca="1">ROUND((((F$20*C18)-E18)/(1-FIT)),0)+D18</f>
        <v>1845105</v>
      </c>
      <c r="H18" s="973">
        <f ca="1">D18-G18</f>
        <v>-62395</v>
      </c>
      <c r="I18" s="973">
        <f ca="1">ROUND(H18*$I$11,0)</f>
        <v>-62395</v>
      </c>
      <c r="J18" s="973">
        <f>(ROUND(C18/C$20,6)*$J$20)</f>
        <v>417382.37239454564</v>
      </c>
      <c r="K18" s="973">
        <f ca="1">D18-I18+J18</f>
        <v>2262487.3723945455</v>
      </c>
      <c r="L18" s="27">
        <f ca="1">IF(K18=0,0,ROUND((K18-D18)/D18,6))</f>
        <v>0.26912799999999998</v>
      </c>
      <c r="M18" s="969">
        <f ca="1">ROUND((((J18-I18)*(1-FIT))+E18)/C18,8)</f>
        <v>7.1868029999999999E-2</v>
      </c>
      <c r="N18" s="973">
        <f ca="1">J18-I18</f>
        <v>479777.37239454564</v>
      </c>
    </row>
    <row r="19" spans="1:14">
      <c r="A19" s="331" t="s">
        <v>343</v>
      </c>
      <c r="B19" s="363" t="s">
        <v>343</v>
      </c>
      <c r="C19" s="333" t="s">
        <v>343</v>
      </c>
      <c r="D19" s="333" t="s">
        <v>343</v>
      </c>
      <c r="E19" s="333" t="s">
        <v>343</v>
      </c>
      <c r="F19" s="334" t="s">
        <v>343</v>
      </c>
      <c r="G19" s="335" t="s">
        <v>343</v>
      </c>
      <c r="H19" s="333" t="s">
        <v>343</v>
      </c>
      <c r="I19" s="333" t="s">
        <v>343</v>
      </c>
      <c r="J19" s="333" t="s">
        <v>343</v>
      </c>
      <c r="K19" s="336" t="s">
        <v>343</v>
      </c>
      <c r="L19" s="23" t="s">
        <v>343</v>
      </c>
      <c r="M19" s="969"/>
    </row>
    <row r="20" spans="1:14" ht="13" thickBot="1">
      <c r="A20" s="331">
        <v>5</v>
      </c>
      <c r="B20" s="363" t="s">
        <v>492</v>
      </c>
      <c r="C20" s="970">
        <f>SUM(C15:C19)</f>
        <v>468321206</v>
      </c>
      <c r="D20" s="970">
        <f>SUM(D15:D19)</f>
        <v>111143535</v>
      </c>
      <c r="E20" s="970">
        <f ca="1">SUM(E15:E19)</f>
        <v>21630932</v>
      </c>
      <c r="F20" s="971">
        <f ca="1">ROUND(E20/C20,9)</f>
        <v>4.6188238999999999E-2</v>
      </c>
      <c r="G20" s="970">
        <f>D20</f>
        <v>111143535</v>
      </c>
      <c r="H20" s="970">
        <f ca="1">SUM(H15:H19)</f>
        <v>0</v>
      </c>
      <c r="I20" s="970">
        <f ca="1">SUM(I15:I19)</f>
        <v>0</v>
      </c>
      <c r="J20" s="972">
        <f>'WP FR-16(7)(v)Rate Incr (40.0%)'!J20</f>
        <v>15223488.069247022</v>
      </c>
      <c r="K20" s="970">
        <f ca="1">SUM(K15:K19)</f>
        <v>126367023.06924702</v>
      </c>
      <c r="L20" s="978">
        <f ca="1">ROUND((K20-D20)/D20,6)</f>
        <v>0.13697100000000001</v>
      </c>
      <c r="M20" s="1037">
        <f ca="1">ROUND((((J20-I20)*(1-FIT))+E20)/C20,8)</f>
        <v>7.1868379999999996E-2</v>
      </c>
      <c r="N20" s="972">
        <f ca="1">SUM(N15:N19)</f>
        <v>15223488.069247022</v>
      </c>
    </row>
    <row r="21" spans="1:14" ht="13" thickTop="1">
      <c r="B21" s="363"/>
      <c r="C21" s="337"/>
      <c r="D21" s="337"/>
      <c r="E21" s="337"/>
      <c r="F21" s="337"/>
      <c r="G21" s="337"/>
      <c r="H21" s="337"/>
      <c r="I21" s="337"/>
      <c r="J21" s="337" t="s">
        <v>343</v>
      </c>
      <c r="K21" s="337"/>
      <c r="L21" s="337"/>
      <c r="M21" s="337"/>
    </row>
    <row r="25" spans="1:14">
      <c r="B25" s="338" t="s">
        <v>545</v>
      </c>
    </row>
    <row r="26" spans="1:14">
      <c r="A26" s="331">
        <v>6</v>
      </c>
      <c r="B26" s="330" t="s">
        <v>911</v>
      </c>
      <c r="D26" s="1280">
        <f>'FR-16(7)(v)-1 Functional'!F626</f>
        <v>0</v>
      </c>
      <c r="K26" s="333">
        <f>D26</f>
        <v>0</v>
      </c>
    </row>
    <row r="27" spans="1:14">
      <c r="A27" s="331">
        <v>7</v>
      </c>
      <c r="B27" s="330" t="s">
        <v>912</v>
      </c>
      <c r="D27" s="1475">
        <v>28032</v>
      </c>
      <c r="K27" s="333">
        <f t="shared" ref="K27:K31" si="0">D27</f>
        <v>28032</v>
      </c>
    </row>
    <row r="28" spans="1:14">
      <c r="A28" s="331">
        <v>8</v>
      </c>
      <c r="B28" s="330" t="s">
        <v>913</v>
      </c>
      <c r="D28" s="1475">
        <v>22068</v>
      </c>
      <c r="K28" s="333">
        <f t="shared" si="0"/>
        <v>22068</v>
      </c>
    </row>
    <row r="29" spans="1:14">
      <c r="A29" s="331">
        <v>9</v>
      </c>
      <c r="B29" s="330" t="s">
        <v>914</v>
      </c>
      <c r="D29" s="1280">
        <f>'FR-16(7)(v)-1 Functional'!F628</f>
        <v>0</v>
      </c>
      <c r="K29" s="333">
        <f t="shared" si="0"/>
        <v>0</v>
      </c>
    </row>
    <row r="30" spans="1:14">
      <c r="A30" s="331">
        <v>10</v>
      </c>
      <c r="B30" s="330" t="s">
        <v>1254</v>
      </c>
      <c r="D30" s="1280">
        <v>0</v>
      </c>
      <c r="K30" s="333">
        <f t="shared" si="0"/>
        <v>0</v>
      </c>
    </row>
    <row r="31" spans="1:14">
      <c r="A31" s="331">
        <v>11</v>
      </c>
      <c r="B31" s="330" t="s">
        <v>915</v>
      </c>
      <c r="D31" s="1280">
        <f>'FR-16(7)(v)-1 Functional'!F627</f>
        <v>528</v>
      </c>
      <c r="K31" s="333">
        <f t="shared" si="0"/>
        <v>528</v>
      </c>
    </row>
    <row r="32" spans="1:14">
      <c r="A32" s="331">
        <v>12</v>
      </c>
      <c r="B32" s="330" t="s">
        <v>1467</v>
      </c>
      <c r="D32" s="1280">
        <v>0</v>
      </c>
      <c r="K32" s="333">
        <f>D32</f>
        <v>0</v>
      </c>
    </row>
    <row r="33" spans="1:12">
      <c r="A33" s="331">
        <v>13</v>
      </c>
      <c r="B33" s="330" t="s">
        <v>916</v>
      </c>
      <c r="D33" s="1473">
        <f>SUM(D26:D32)</f>
        <v>50628</v>
      </c>
      <c r="K33" s="837">
        <f>SUM(K26:K32)</f>
        <v>50628</v>
      </c>
    </row>
    <row r="34" spans="1:12">
      <c r="A34" s="331"/>
      <c r="B34" s="330" t="s">
        <v>917</v>
      </c>
      <c r="D34" s="351"/>
    </row>
    <row r="35" spans="1:12" ht="13" thickBot="1">
      <c r="A35" s="331">
        <v>14</v>
      </c>
      <c r="B35" s="330" t="s">
        <v>918</v>
      </c>
      <c r="D35" s="1474">
        <f>D20+D33</f>
        <v>111194163</v>
      </c>
      <c r="K35" s="960">
        <f ca="1">K20+K33</f>
        <v>126417651.06924702</v>
      </c>
      <c r="L35" s="27">
        <f ca="1">ROUND((K35-D35)/D35,6)</f>
        <v>0.136909</v>
      </c>
    </row>
    <row r="36" spans="1:12" ht="13" thickTop="1">
      <c r="A36" s="331"/>
      <c r="D36" s="339"/>
    </row>
    <row r="37" spans="1:12">
      <c r="A37" s="331"/>
      <c r="D37" s="333"/>
      <c r="K37" s="333"/>
    </row>
    <row r="38" spans="1:12">
      <c r="A38" s="331"/>
      <c r="D38" s="333"/>
    </row>
    <row r="50" spans="4:7">
      <c r="D50" s="330">
        <v>162300799</v>
      </c>
      <c r="E50" s="330">
        <f>ROUND(D50/$D$55,9)</f>
        <v>0.670947407</v>
      </c>
      <c r="F50" s="330">
        <f>ROUND($F$55*E50,0)</f>
        <v>29929528</v>
      </c>
      <c r="G50" s="330">
        <f>F50+D50</f>
        <v>192230327</v>
      </c>
    </row>
    <row r="51" spans="4:7">
      <c r="D51" s="330">
        <v>28276817</v>
      </c>
      <c r="E51" s="330">
        <f>ROUND(D51/$D$55,9)</f>
        <v>0.116895648</v>
      </c>
      <c r="F51" s="330">
        <f>ROUND($F$55*E51,0)</f>
        <v>5214465</v>
      </c>
      <c r="G51" s="330">
        <f>F51+D51</f>
        <v>33491282</v>
      </c>
    </row>
    <row r="52" spans="4:7">
      <c r="D52" s="330">
        <v>39119284</v>
      </c>
      <c r="E52" s="330">
        <f>ROUND(D52/$D$55,9)</f>
        <v>0.16171813299999999</v>
      </c>
      <c r="F52" s="330">
        <f>ROUND($F$55*E52,0)</f>
        <v>7213900</v>
      </c>
      <c r="G52" s="330">
        <f>F52+D52</f>
        <v>46333184</v>
      </c>
    </row>
    <row r="53" spans="4:7">
      <c r="D53" s="330">
        <v>12201045</v>
      </c>
      <c r="E53" s="330">
        <f>ROUND(D53/$D$55,9)</f>
        <v>5.0438812E-2</v>
      </c>
      <c r="F53" s="330">
        <f>ROUND($F$55*E53,0)</f>
        <v>2249967</v>
      </c>
      <c r="G53" s="330">
        <f>F53+D53</f>
        <v>14451012</v>
      </c>
    </row>
    <row r="54" spans="4:7">
      <c r="D54" s="330" t="s">
        <v>343</v>
      </c>
    </row>
    <row r="55" spans="4:7" ht="13" thickBot="1">
      <c r="D55" s="330">
        <v>241897945</v>
      </c>
      <c r="E55" s="330">
        <f>SUM(E50:E53)</f>
        <v>0.99999999999999989</v>
      </c>
      <c r="F55" s="972">
        <v>44607860</v>
      </c>
    </row>
    <row r="56" spans="4:7" ht="13" thickTop="1"/>
  </sheetData>
  <phoneticPr fontId="0" type="noConversion"/>
  <pageMargins left="0.75" right="0.75" top="1" bottom="1" header="0.5" footer="0.5"/>
  <pageSetup scale="56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4" tint="0.59999389629810485"/>
    <pageSetUpPr fitToPage="1"/>
  </sheetPr>
  <dimension ref="A1:N40"/>
  <sheetViews>
    <sheetView topLeftCell="A19" zoomScale="80" zoomScaleNormal="80" workbookViewId="0">
      <selection activeCell="C33" sqref="C33"/>
    </sheetView>
  </sheetViews>
  <sheetFormatPr defaultRowHeight="15.5"/>
  <cols>
    <col min="1" max="1" width="5.4609375" customWidth="1"/>
    <col min="2" max="2" width="45.765625" customWidth="1"/>
    <col min="3" max="3" width="15.765625" customWidth="1"/>
    <col min="4" max="4" width="1.53515625" style="214" customWidth="1"/>
    <col min="5" max="5" width="15.765625" customWidth="1"/>
    <col min="6" max="6" width="1.53515625" style="214" customWidth="1"/>
    <col min="7" max="7" width="15.765625" customWidth="1"/>
    <col min="8" max="8" width="1.53515625" style="214" customWidth="1"/>
    <col min="9" max="9" width="15.765625" customWidth="1"/>
  </cols>
  <sheetData>
    <row r="1" spans="1:14">
      <c r="A1" s="983" t="str">
        <f>co_name</f>
        <v>DUKE ENERGY KENTUCKY, INC.</v>
      </c>
      <c r="B1" s="983"/>
      <c r="C1" s="983"/>
      <c r="D1" s="983"/>
      <c r="E1" s="983"/>
      <c r="F1" s="983"/>
      <c r="G1" s="983"/>
      <c r="H1" s="983"/>
      <c r="I1" s="983"/>
    </row>
    <row r="2" spans="1:14">
      <c r="A2" s="983" t="str">
        <f>case_name</f>
        <v>CASE NO: 2021-00190</v>
      </c>
      <c r="B2" s="983"/>
      <c r="C2" s="983"/>
      <c r="D2" s="983"/>
      <c r="E2" s="983"/>
      <c r="F2" s="983"/>
      <c r="G2" s="983"/>
      <c r="H2" s="983"/>
      <c r="I2" s="983"/>
    </row>
    <row r="3" spans="1:14">
      <c r="A3" s="983" t="s">
        <v>1119</v>
      </c>
      <c r="B3" s="983"/>
      <c r="C3" s="983"/>
      <c r="D3" s="983"/>
      <c r="E3" s="983"/>
      <c r="F3" s="983"/>
      <c r="G3" s="983"/>
      <c r="H3" s="983"/>
      <c r="I3" s="983"/>
    </row>
    <row r="4" spans="1:14">
      <c r="A4" s="983" t="str">
        <f>test_period</f>
        <v>TWELVE MONTHS ENDING DECEMBER 31, 2022</v>
      </c>
      <c r="B4" s="983"/>
      <c r="C4" s="983"/>
      <c r="D4" s="983"/>
      <c r="E4" s="983"/>
      <c r="F4" s="983"/>
      <c r="G4" s="983"/>
      <c r="H4" s="983"/>
      <c r="I4" s="983"/>
    </row>
    <row r="5" spans="1:14">
      <c r="A5" s="214"/>
      <c r="B5" s="214"/>
      <c r="C5" s="214"/>
      <c r="E5" s="214"/>
      <c r="G5" s="214"/>
      <c r="I5" s="214"/>
    </row>
    <row r="6" spans="1:14">
      <c r="A6" s="214"/>
      <c r="B6" s="214"/>
      <c r="C6" s="214"/>
      <c r="E6" s="214"/>
      <c r="G6" s="214"/>
      <c r="I6" s="214"/>
    </row>
    <row r="7" spans="1:14">
      <c r="A7" s="214" t="str">
        <f>data_filing</f>
        <v>DATA: 12 MONTH FORECASTED PERIOD</v>
      </c>
      <c r="B7" s="214"/>
      <c r="C7" s="214"/>
      <c r="E7" s="214"/>
      <c r="G7" s="214" t="s">
        <v>1451</v>
      </c>
      <c r="I7" s="214"/>
    </row>
    <row r="8" spans="1:14">
      <c r="A8" s="214" t="str">
        <f>type</f>
        <v xml:space="preserve">TYPE OF FILING: "X" ORIGINAL   UPDATED    REVISED  </v>
      </c>
      <c r="B8" s="214"/>
      <c r="C8" s="214"/>
      <c r="E8" s="214"/>
      <c r="G8" s="192" t="s">
        <v>1128</v>
      </c>
      <c r="H8" s="984"/>
      <c r="I8" s="214"/>
    </row>
    <row r="9" spans="1:14">
      <c r="A9" s="984" t="s">
        <v>1127</v>
      </c>
      <c r="B9" s="214"/>
      <c r="C9" s="214"/>
      <c r="E9" s="214"/>
      <c r="G9" s="214" t="s">
        <v>435</v>
      </c>
      <c r="I9" s="214"/>
    </row>
    <row r="10" spans="1:14">
      <c r="A10" s="214"/>
      <c r="B10" s="214"/>
      <c r="C10" s="214"/>
      <c r="E10" s="214"/>
      <c r="G10" s="214" t="str">
        <f>Witness1</f>
        <v>JAMES E. ZIOLKOWSKI</v>
      </c>
      <c r="I10" s="214"/>
    </row>
    <row r="11" spans="1:14">
      <c r="A11" s="214"/>
      <c r="B11" s="214"/>
      <c r="C11" s="214"/>
      <c r="E11" s="214"/>
      <c r="G11" s="214"/>
      <c r="I11" s="214"/>
      <c r="K11" s="214"/>
      <c r="L11" s="214"/>
      <c r="M11" s="214"/>
      <c r="N11" s="214"/>
    </row>
    <row r="12" spans="1:14" s="214" customFormat="1"/>
    <row r="13" spans="1:14" s="214" customFormat="1">
      <c r="A13" s="992"/>
      <c r="B13" s="992"/>
      <c r="C13" s="996" t="s">
        <v>917</v>
      </c>
      <c r="D13" s="996"/>
      <c r="E13" s="996" t="s">
        <v>917</v>
      </c>
      <c r="F13" s="996"/>
      <c r="G13" s="997" t="s">
        <v>917</v>
      </c>
      <c r="H13" s="997"/>
      <c r="I13" s="998" t="s">
        <v>370</v>
      </c>
    </row>
    <row r="14" spans="1:14">
      <c r="A14" s="991" t="s">
        <v>907</v>
      </c>
      <c r="B14" s="991"/>
      <c r="C14" s="999" t="s">
        <v>766</v>
      </c>
      <c r="D14" s="999"/>
      <c r="E14" s="999" t="s">
        <v>1256</v>
      </c>
      <c r="F14" s="999"/>
      <c r="G14" s="999" t="s">
        <v>974</v>
      </c>
      <c r="H14" s="999"/>
      <c r="I14" s="999" t="s">
        <v>546</v>
      </c>
      <c r="K14" s="214"/>
      <c r="L14" s="214"/>
      <c r="M14" s="214"/>
      <c r="N14" s="214"/>
    </row>
    <row r="15" spans="1:14">
      <c r="A15" s="982" t="s">
        <v>908</v>
      </c>
      <c r="B15" s="982" t="s">
        <v>1120</v>
      </c>
      <c r="C15" s="1000" t="s">
        <v>338</v>
      </c>
      <c r="D15" s="1000"/>
      <c r="E15" s="1000" t="s">
        <v>404</v>
      </c>
      <c r="F15" s="1000"/>
      <c r="G15" s="1000" t="s">
        <v>1257</v>
      </c>
      <c r="H15" s="1000"/>
      <c r="I15" s="1000" t="s">
        <v>547</v>
      </c>
      <c r="K15" s="214"/>
      <c r="L15" s="214"/>
      <c r="M15" s="214"/>
      <c r="N15" s="214"/>
    </row>
    <row r="16" spans="1:14">
      <c r="A16" s="214"/>
      <c r="B16" s="214"/>
      <c r="C16" s="214"/>
      <c r="E16" s="214"/>
      <c r="G16" s="214"/>
      <c r="K16" s="214"/>
      <c r="L16" s="214"/>
      <c r="M16" s="214"/>
      <c r="N16" s="214"/>
    </row>
    <row r="17" spans="1:14">
      <c r="A17" s="981">
        <v>1</v>
      </c>
      <c r="B17" s="214" t="s">
        <v>493</v>
      </c>
      <c r="C17" s="986">
        <f>'FR-16(7)(v)-6 DISTR Cust Alloc'!$G$15</f>
        <v>149562851</v>
      </c>
      <c r="D17" s="993"/>
      <c r="E17" s="986">
        <f>'FR-16(7)(v)-6 DISTR Cust Alloc'!$H$15</f>
        <v>24018814</v>
      </c>
      <c r="F17" s="993"/>
      <c r="G17" s="986">
        <f>'FR-16(7)(v)-6 DISTR Cust Alloc'!$I$15</f>
        <v>813337</v>
      </c>
      <c r="H17" s="993"/>
      <c r="I17" s="986">
        <f>'FR-16(7)(v)-6 DISTR Cust Alloc'!$J$15</f>
        <v>551381</v>
      </c>
      <c r="K17" s="214"/>
      <c r="L17" s="214"/>
      <c r="M17" s="214"/>
      <c r="N17" s="214"/>
    </row>
    <row r="18" spans="1:14">
      <c r="A18" s="981"/>
      <c r="B18" s="214"/>
      <c r="D18" s="3"/>
      <c r="E18" s="214"/>
      <c r="F18" s="3"/>
      <c r="G18" s="214"/>
      <c r="H18" s="3"/>
      <c r="I18" s="214"/>
      <c r="K18" s="214"/>
      <c r="L18" s="214"/>
      <c r="M18" s="214"/>
      <c r="N18" s="214"/>
    </row>
    <row r="19" spans="1:14">
      <c r="A19" s="981">
        <v>2</v>
      </c>
      <c r="B19" s="214" t="s">
        <v>1121</v>
      </c>
      <c r="C19" s="985">
        <f>'FR-16(7)(v)-6 DISTR Cust Alloc'!$G$24</f>
        <v>18188504</v>
      </c>
      <c r="D19" s="993"/>
      <c r="E19" s="985">
        <f>'FR-16(7)(v)-6 DISTR Cust Alloc'!$H$24</f>
        <v>2414046</v>
      </c>
      <c r="F19" s="993"/>
      <c r="G19" s="985">
        <f>'FR-16(7)(v)-6 DISTR Cust Alloc'!$I$24</f>
        <v>75618</v>
      </c>
      <c r="H19" s="993"/>
      <c r="I19" s="985">
        <f>'FR-16(7)(v)-6 DISTR Cust Alloc'!$J$24</f>
        <v>46745</v>
      </c>
    </row>
    <row r="20" spans="1:14">
      <c r="A20" s="981"/>
      <c r="B20" s="214"/>
      <c r="D20" s="3"/>
      <c r="E20" s="214"/>
      <c r="F20" s="3"/>
      <c r="G20" s="214"/>
      <c r="H20" s="3"/>
      <c r="I20" s="214"/>
    </row>
    <row r="21" spans="1:14">
      <c r="A21" s="981">
        <v>3</v>
      </c>
      <c r="B21" s="214" t="str">
        <f>"Return @ "&amp;TEXT(RofR,"0.00%")</f>
        <v>Return @ 7.06%</v>
      </c>
      <c r="C21" s="986">
        <f>'FR-16(7)(v)-6 DISTR Cust Alloc'!$G$26</f>
        <v>10559138</v>
      </c>
      <c r="D21" s="993"/>
      <c r="E21" s="986">
        <f>'FR-16(7)(v)-6 DISTR Cust Alloc'!$H$26</f>
        <v>1695728</v>
      </c>
      <c r="F21" s="993"/>
      <c r="G21" s="986">
        <f>'FR-16(7)(v)-6 DISTR Cust Alloc'!$I$26</f>
        <v>57422</v>
      </c>
      <c r="H21" s="993"/>
      <c r="I21" s="986">
        <f>'FR-16(7)(v)-6 DISTR Cust Alloc'!$J$26</f>
        <v>38927</v>
      </c>
    </row>
    <row r="22" spans="1:14">
      <c r="A22" s="981"/>
      <c r="B22" s="214"/>
      <c r="D22" s="3"/>
      <c r="E22" s="214"/>
      <c r="F22" s="3"/>
      <c r="G22" s="214"/>
      <c r="H22" s="3"/>
      <c r="I22" s="214"/>
    </row>
    <row r="23" spans="1:14">
      <c r="A23" s="981">
        <v>4</v>
      </c>
      <c r="B23" s="214" t="s">
        <v>1122</v>
      </c>
      <c r="C23" s="985">
        <f>C19+C21</f>
        <v>28747642</v>
      </c>
      <c r="D23" s="993"/>
      <c r="E23" s="985">
        <f>E19+E21</f>
        <v>4109774</v>
      </c>
      <c r="F23" s="993"/>
      <c r="G23" s="985">
        <f>G19+G21</f>
        <v>133040</v>
      </c>
      <c r="H23" s="993"/>
      <c r="I23" s="985">
        <f>I19+I21</f>
        <v>85672</v>
      </c>
    </row>
    <row r="24" spans="1:14">
      <c r="A24" s="981"/>
      <c r="B24" s="214"/>
      <c r="D24" s="3"/>
      <c r="E24" s="214"/>
      <c r="F24" s="3"/>
      <c r="G24" s="214"/>
      <c r="H24" s="3"/>
      <c r="I24" s="214"/>
    </row>
    <row r="25" spans="1:14">
      <c r="A25" s="981">
        <v>5</v>
      </c>
      <c r="B25" s="214" t="s">
        <v>1123</v>
      </c>
      <c r="C25" s="985">
        <f>-'FR-16(7)(v)-6 DISTR Cust Alloc'!$G$27</f>
        <v>136076</v>
      </c>
      <c r="D25" s="993"/>
      <c r="E25" s="985">
        <f>-'FR-16(7)(v)-6 DISTR Cust Alloc'!$H$27</f>
        <v>13888</v>
      </c>
      <c r="F25" s="993"/>
      <c r="G25" s="985">
        <f>-'FR-16(7)(v)-6 DISTR Cust Alloc'!$I$27</f>
        <v>352</v>
      </c>
      <c r="H25" s="993"/>
      <c r="I25" s="985">
        <f>-'FR-16(7)(v)-6 DISTR Cust Alloc'!$J$27</f>
        <v>173</v>
      </c>
    </row>
    <row r="26" spans="1:14">
      <c r="A26" s="981"/>
      <c r="B26" s="214"/>
      <c r="D26" s="3"/>
      <c r="E26" s="214"/>
      <c r="F26" s="3"/>
      <c r="G26" s="214"/>
      <c r="H26" s="3"/>
      <c r="I26" s="214"/>
    </row>
    <row r="27" spans="1:14">
      <c r="A27" s="981">
        <v>6</v>
      </c>
      <c r="B27" s="214" t="s">
        <v>1124</v>
      </c>
      <c r="C27" s="985">
        <f>C23-C25</f>
        <v>28611566</v>
      </c>
      <c r="D27" s="993"/>
      <c r="E27" s="985">
        <f>E23-E25</f>
        <v>4095886</v>
      </c>
      <c r="F27" s="993"/>
      <c r="G27" s="985">
        <f>G23-G25</f>
        <v>132688</v>
      </c>
      <c r="H27" s="993"/>
      <c r="I27" s="985">
        <f>I23-I25</f>
        <v>85499</v>
      </c>
    </row>
    <row r="28" spans="1:14">
      <c r="A28" s="981"/>
      <c r="B28" s="214"/>
      <c r="D28" s="3"/>
      <c r="E28" s="214"/>
      <c r="F28" s="3"/>
      <c r="G28" s="214"/>
      <c r="H28" s="3"/>
      <c r="I28" s="214"/>
    </row>
    <row r="29" spans="1:14">
      <c r="A29" s="981">
        <v>7</v>
      </c>
      <c r="B29" s="214" t="s">
        <v>767</v>
      </c>
      <c r="C29" s="987">
        <f>'Alloc Factors Summary'!$D$60</f>
        <v>93602</v>
      </c>
      <c r="D29" s="994"/>
      <c r="E29" s="987">
        <f>'Alloc Factors Summary'!$D$61</f>
        <v>7643</v>
      </c>
      <c r="F29" s="994"/>
      <c r="G29" s="987">
        <f>'Alloc Factors Summary'!$D$62</f>
        <v>106</v>
      </c>
      <c r="H29" s="994"/>
      <c r="I29" s="987">
        <f>'Alloc Factors Summary'!$D$63</f>
        <v>22</v>
      </c>
    </row>
    <row r="30" spans="1:14">
      <c r="A30" s="981"/>
      <c r="B30" s="214"/>
      <c r="D30" s="3"/>
      <c r="E30" s="214"/>
      <c r="F30" s="3"/>
      <c r="G30" s="214"/>
      <c r="H30" s="3"/>
      <c r="I30" s="214"/>
    </row>
    <row r="31" spans="1:14">
      <c r="A31" s="981">
        <v>8</v>
      </c>
      <c r="B31" s="214" t="s">
        <v>1125</v>
      </c>
      <c r="C31" s="988">
        <f>ROUND(C27/C29,2)</f>
        <v>305.67</v>
      </c>
      <c r="D31" s="995"/>
      <c r="E31" s="988">
        <f>ROUND(E27/E29,2)</f>
        <v>535.9</v>
      </c>
      <c r="F31" s="995"/>
      <c r="G31" s="988">
        <f>ROUND(G27/G29,2)</f>
        <v>1251.77</v>
      </c>
      <c r="H31" s="995"/>
      <c r="I31" s="988">
        <f>ROUND(I27/I29,2)</f>
        <v>3886.32</v>
      </c>
    </row>
    <row r="32" spans="1:14">
      <c r="A32" s="981"/>
      <c r="B32" s="214"/>
      <c r="D32" s="3"/>
      <c r="E32" s="214"/>
      <c r="F32" s="3"/>
      <c r="G32" s="214"/>
      <c r="H32" s="3"/>
      <c r="I32" s="214"/>
    </row>
    <row r="33" spans="1:9" ht="16" thickBot="1">
      <c r="A33" s="981">
        <v>9</v>
      </c>
      <c r="B33" s="214" t="s">
        <v>1126</v>
      </c>
      <c r="C33" s="989">
        <f>ROUND(C31/12,2)</f>
        <v>25.47</v>
      </c>
      <c r="D33" s="995"/>
      <c r="E33" s="989">
        <f>ROUND(E31/12,2)</f>
        <v>44.66</v>
      </c>
      <c r="F33" s="995"/>
      <c r="G33" s="989">
        <f>ROUND(G31/12,2)</f>
        <v>104.31</v>
      </c>
      <c r="H33" s="995"/>
      <c r="I33" s="989">
        <f>ROUND(I31/12,2)</f>
        <v>323.86</v>
      </c>
    </row>
    <row r="34" spans="1:9" ht="16" thickTop="1">
      <c r="F34" s="3"/>
      <c r="H34" s="3"/>
    </row>
    <row r="38" spans="1:9">
      <c r="E38" s="214"/>
      <c r="G38" s="214"/>
      <c r="I38" s="214"/>
    </row>
    <row r="39" spans="1:9">
      <c r="C39" s="214"/>
      <c r="E39" s="214"/>
      <c r="G39" s="214"/>
      <c r="I39" s="214"/>
    </row>
    <row r="40" spans="1:9">
      <c r="C40" s="214"/>
      <c r="E40" s="214"/>
      <c r="G40" s="214"/>
      <c r="I40" s="214"/>
    </row>
  </sheetData>
  <pageMargins left="1" right="1" top="1" bottom="1" header="0" footer="0"/>
  <pageSetup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0000"/>
    <pageSetUpPr fitToPage="1"/>
  </sheetPr>
  <dimension ref="A1:T899"/>
  <sheetViews>
    <sheetView zoomScale="80" zoomScaleNormal="80" zoomScaleSheetLayoutView="70" workbookViewId="0">
      <selection activeCell="A805" sqref="A805:K844"/>
    </sheetView>
  </sheetViews>
  <sheetFormatPr defaultColWidth="8.765625" defaultRowHeight="12.5"/>
  <cols>
    <col min="1" max="1" width="6.4609375" style="330" customWidth="1"/>
    <col min="2" max="2" width="3.53515625" style="330" customWidth="1"/>
    <col min="3" max="3" width="41.53515625" style="330" customWidth="1"/>
    <col min="4" max="4" width="7.53515625" style="331" customWidth="1"/>
    <col min="5" max="5" width="8.765625" style="330" customWidth="1"/>
    <col min="6" max="8" width="11.765625" style="330" customWidth="1"/>
    <col min="9" max="9" width="13" style="330" customWidth="1"/>
    <col min="10" max="11" width="11.765625" style="330" customWidth="1"/>
    <col min="12" max="12" width="8.765625" style="330"/>
    <col min="13" max="13" width="11.765625" style="330" customWidth="1"/>
    <col min="14" max="14" width="11" style="330" customWidth="1"/>
    <col min="15" max="15" width="8.765625" style="330"/>
    <col min="16" max="16" width="21.23046875" style="330" customWidth="1"/>
    <col min="17" max="17" width="10.4609375" style="330" bestFit="1" customWidth="1"/>
    <col min="18" max="16384" width="8.765625" style="330"/>
  </cols>
  <sheetData>
    <row r="1" spans="1:11" ht="13">
      <c r="A1" s="341" t="str">
        <f>co_name</f>
        <v>DUKE ENERGY KENTUCKY, INC.</v>
      </c>
      <c r="C1" s="195"/>
      <c r="D1" s="342"/>
      <c r="E1" s="195"/>
      <c r="F1" s="195"/>
      <c r="G1" s="195"/>
      <c r="H1" s="195"/>
      <c r="I1" s="195"/>
      <c r="J1" s="577" t="s">
        <v>1453</v>
      </c>
      <c r="K1" s="195"/>
    </row>
    <row r="2" spans="1:11" ht="13">
      <c r="A2" s="577" t="s">
        <v>1195</v>
      </c>
      <c r="C2" s="195"/>
      <c r="D2" s="342"/>
      <c r="E2" s="195"/>
      <c r="F2" s="195"/>
      <c r="G2" s="195"/>
      <c r="H2" s="195"/>
      <c r="I2" s="195"/>
      <c r="J2" s="577" t="s">
        <v>435</v>
      </c>
      <c r="K2" s="195"/>
    </row>
    <row r="3" spans="1:11" ht="13">
      <c r="A3" s="341" t="str">
        <f>case_name</f>
        <v>CASE NO: 2021-00190</v>
      </c>
      <c r="C3" s="195"/>
      <c r="D3" s="342"/>
      <c r="E3" s="195"/>
      <c r="F3" s="195"/>
      <c r="G3" s="195"/>
      <c r="H3" s="195"/>
      <c r="I3" s="195"/>
      <c r="J3" s="195" t="str">
        <f>Witness</f>
        <v>JAMES E. ZIOLKOWSKI</v>
      </c>
      <c r="K3" s="195"/>
    </row>
    <row r="4" spans="1:11" ht="13">
      <c r="A4" s="341" t="str">
        <f>data_filing</f>
        <v>DATA: 12 MONTH FORECASTED PERIOD</v>
      </c>
      <c r="C4" s="195"/>
      <c r="D4" s="342"/>
      <c r="E4" s="195"/>
      <c r="F4" s="195"/>
      <c r="G4" s="195"/>
      <c r="H4" s="195"/>
      <c r="I4" s="195"/>
      <c r="J4" s="195" t="str">
        <f>"PAGE "&amp;Pages-17&amp;" OF "&amp;Pages</f>
        <v>PAGE 1 OF 18</v>
      </c>
      <c r="K4" s="195"/>
    </row>
    <row r="5" spans="1:11" ht="13">
      <c r="A5" s="341" t="str">
        <f>type</f>
        <v xml:space="preserve">TYPE OF FILING: "X" ORIGINAL   UPDATED    REVISED  </v>
      </c>
      <c r="C5" s="195"/>
      <c r="D5" s="342"/>
      <c r="E5" s="195"/>
      <c r="F5" s="195"/>
      <c r="G5" s="195"/>
      <c r="H5" s="195"/>
      <c r="I5" s="195"/>
      <c r="J5" s="195"/>
      <c r="K5" s="195"/>
    </row>
    <row r="6" spans="1:11" ht="13">
      <c r="A6" s="341"/>
      <c r="C6" s="195"/>
      <c r="D6" s="342"/>
      <c r="E6" s="195"/>
      <c r="F6" s="195"/>
      <c r="G6" s="195"/>
      <c r="H6" s="195"/>
      <c r="I6" s="195"/>
      <c r="J6" s="195"/>
      <c r="K6" s="195"/>
    </row>
    <row r="7" spans="1:11" ht="13">
      <c r="A7" s="341"/>
      <c r="C7" s="195"/>
      <c r="D7" s="342"/>
      <c r="E7" s="195"/>
      <c r="F7" s="195"/>
      <c r="G7" s="195"/>
      <c r="H7" s="195"/>
      <c r="I7" s="195"/>
      <c r="J7" s="195"/>
      <c r="K7" s="195"/>
    </row>
    <row r="8" spans="1:11" ht="13">
      <c r="A8" s="342" t="s">
        <v>907</v>
      </c>
      <c r="B8" s="195"/>
      <c r="C8" s="195"/>
      <c r="D8" s="342"/>
      <c r="E8" s="195"/>
      <c r="F8" s="342" t="s">
        <v>229</v>
      </c>
      <c r="G8" s="451" t="s">
        <v>971</v>
      </c>
      <c r="H8" s="452"/>
      <c r="I8" s="453"/>
      <c r="J8" s="342" t="s">
        <v>229</v>
      </c>
      <c r="K8" s="342" t="s">
        <v>342</v>
      </c>
    </row>
    <row r="9" spans="1:11" ht="13">
      <c r="A9" s="344" t="s">
        <v>908</v>
      </c>
      <c r="B9" s="343" t="s">
        <v>102</v>
      </c>
      <c r="C9" s="343"/>
      <c r="D9" s="344" t="s">
        <v>337</v>
      </c>
      <c r="E9" s="343"/>
      <c r="F9" s="344" t="s">
        <v>284</v>
      </c>
      <c r="G9" s="523" t="s">
        <v>838</v>
      </c>
      <c r="H9" s="524" t="s">
        <v>970</v>
      </c>
      <c r="I9" s="525" t="s">
        <v>839</v>
      </c>
      <c r="J9" s="344" t="s">
        <v>341</v>
      </c>
      <c r="K9" s="344" t="s">
        <v>340</v>
      </c>
    </row>
    <row r="10" spans="1:11" ht="13">
      <c r="C10" s="572" t="s">
        <v>354</v>
      </c>
      <c r="D10" s="342"/>
      <c r="E10" s="195"/>
      <c r="G10" s="779">
        <v>3</v>
      </c>
      <c r="H10" s="780">
        <v>4</v>
      </c>
      <c r="I10" s="781">
        <v>5</v>
      </c>
    </row>
    <row r="11" spans="1:11" ht="13">
      <c r="A11" s="331">
        <v>1</v>
      </c>
      <c r="B11" s="330" t="s">
        <v>100</v>
      </c>
      <c r="D11" s="342"/>
      <c r="E11" s="195"/>
      <c r="G11" s="456"/>
      <c r="H11" s="457"/>
      <c r="I11" s="458"/>
    </row>
    <row r="12" spans="1:11" ht="13">
      <c r="A12" s="331">
        <v>2</v>
      </c>
      <c r="C12" s="330" t="s">
        <v>95</v>
      </c>
      <c r="D12" s="342"/>
      <c r="E12" s="195"/>
      <c r="F12" s="345">
        <f>F101</f>
        <v>771808162</v>
      </c>
      <c r="G12" s="459">
        <f>G101</f>
        <v>11194210</v>
      </c>
      <c r="H12" s="460">
        <f>H101</f>
        <v>0</v>
      </c>
      <c r="I12" s="461">
        <f>I101</f>
        <v>760613952</v>
      </c>
      <c r="J12" s="345">
        <f>J101</f>
        <v>771808162</v>
      </c>
      <c r="K12" s="345">
        <f>F12-J12</f>
        <v>0</v>
      </c>
    </row>
    <row r="13" spans="1:11" ht="13">
      <c r="A13" s="331">
        <v>3</v>
      </c>
      <c r="C13" s="330" t="s">
        <v>23</v>
      </c>
      <c r="D13" s="342"/>
      <c r="E13" s="195"/>
      <c r="F13" s="345">
        <f>-F151</f>
        <v>-206903281</v>
      </c>
      <c r="G13" s="459">
        <f>-G151</f>
        <v>-6119653</v>
      </c>
      <c r="H13" s="460">
        <f>-H151</f>
        <v>0</v>
      </c>
      <c r="I13" s="461">
        <f>-I151</f>
        <v>-200783628</v>
      </c>
      <c r="J13" s="345">
        <f>-J151</f>
        <v>-206903281</v>
      </c>
      <c r="K13" s="345">
        <f>F13-J13</f>
        <v>0</v>
      </c>
    </row>
    <row r="14" spans="1:11" ht="13">
      <c r="A14" s="331">
        <v>4</v>
      </c>
      <c r="C14" s="357" t="s">
        <v>152</v>
      </c>
      <c r="D14" s="342"/>
      <c r="E14" s="195"/>
      <c r="F14" s="345">
        <f>F326</f>
        <v>-96583674.904109597</v>
      </c>
      <c r="G14" s="459">
        <f>G326</f>
        <v>2815257.0958904028</v>
      </c>
      <c r="H14" s="460">
        <f>H326</f>
        <v>0</v>
      </c>
      <c r="I14" s="461">
        <f>I326</f>
        <v>-99398932</v>
      </c>
      <c r="J14" s="345">
        <f>J326</f>
        <v>-96583674.904109597</v>
      </c>
      <c r="K14" s="345">
        <f>F14-J14</f>
        <v>0</v>
      </c>
    </row>
    <row r="15" spans="1:11" ht="13">
      <c r="A15" s="331">
        <v>5</v>
      </c>
      <c r="C15" s="330" t="s">
        <v>153</v>
      </c>
      <c r="D15" s="342"/>
      <c r="E15" s="195"/>
      <c r="F15" s="346">
        <f t="shared" ref="F15:K15" si="0">SUM(F12:F14)</f>
        <v>468321206.0958904</v>
      </c>
      <c r="G15" s="462">
        <f t="shared" si="0"/>
        <v>7889814.0958904028</v>
      </c>
      <c r="H15" s="450">
        <f t="shared" si="0"/>
        <v>0</v>
      </c>
      <c r="I15" s="463">
        <f t="shared" si="0"/>
        <v>460431392</v>
      </c>
      <c r="J15" s="346">
        <f t="shared" si="0"/>
        <v>468321206.0958904</v>
      </c>
      <c r="K15" s="346">
        <f t="shared" si="0"/>
        <v>0</v>
      </c>
    </row>
    <row r="16" spans="1:11" ht="13">
      <c r="A16" s="331">
        <v>6</v>
      </c>
      <c r="D16" s="342"/>
      <c r="E16" s="195"/>
      <c r="F16" s="333"/>
      <c r="G16" s="1281"/>
      <c r="H16" s="1282"/>
      <c r="I16" s="1283"/>
      <c r="J16" s="333"/>
    </row>
    <row r="17" spans="1:11" ht="13">
      <c r="A17" s="331">
        <v>7</v>
      </c>
      <c r="B17" s="330" t="s">
        <v>98</v>
      </c>
      <c r="D17" s="342"/>
      <c r="E17" s="195"/>
      <c r="F17" s="333"/>
      <c r="G17" s="1281"/>
      <c r="H17" s="1282"/>
      <c r="I17" s="1283"/>
      <c r="J17" s="333"/>
    </row>
    <row r="18" spans="1:11" ht="13">
      <c r="A18" s="331">
        <v>8</v>
      </c>
      <c r="C18" s="330" t="s">
        <v>182</v>
      </c>
      <c r="D18" s="342"/>
      <c r="E18" s="195"/>
      <c r="F18" s="345">
        <f>F433</f>
        <v>62796024</v>
      </c>
      <c r="G18" s="459">
        <f>G433</f>
        <v>43377286</v>
      </c>
      <c r="H18" s="460">
        <f>H433</f>
        <v>0</v>
      </c>
      <c r="I18" s="461">
        <f>I433</f>
        <v>19418738</v>
      </c>
      <c r="J18" s="345">
        <f>J433</f>
        <v>62796024</v>
      </c>
      <c r="K18" s="345">
        <f t="shared" ref="K18:K24" si="1">F18-J18</f>
        <v>0</v>
      </c>
    </row>
    <row r="19" spans="1:11" ht="13">
      <c r="A19" s="331">
        <v>9</v>
      </c>
      <c r="C19" s="330" t="s">
        <v>61</v>
      </c>
      <c r="D19" s="342"/>
      <c r="E19" s="195"/>
      <c r="F19" s="345">
        <f>F465</f>
        <v>19004234.504000001</v>
      </c>
      <c r="G19" s="459">
        <f>G465</f>
        <v>873952.50399999996</v>
      </c>
      <c r="H19" s="460">
        <f>H465</f>
        <v>0</v>
      </c>
      <c r="I19" s="461">
        <f>I465</f>
        <v>18130282</v>
      </c>
      <c r="J19" s="345">
        <f>J465</f>
        <v>19004234.504000001</v>
      </c>
      <c r="K19" s="345">
        <f t="shared" si="1"/>
        <v>0</v>
      </c>
    </row>
    <row r="20" spans="1:11" ht="13">
      <c r="A20" s="331">
        <v>10</v>
      </c>
      <c r="C20" s="357" t="s">
        <v>67</v>
      </c>
      <c r="D20" s="342"/>
      <c r="E20" s="195"/>
      <c r="F20" s="345">
        <f>F495</f>
        <v>4716796</v>
      </c>
      <c r="G20" s="459">
        <f>$G$495</f>
        <v>137582</v>
      </c>
      <c r="H20" s="460">
        <f>$H$495</f>
        <v>0</v>
      </c>
      <c r="I20" s="461">
        <f>$I$495</f>
        <v>4579214</v>
      </c>
      <c r="J20" s="345">
        <f>$J$495</f>
        <v>4716796</v>
      </c>
      <c r="K20" s="345">
        <f t="shared" si="1"/>
        <v>0</v>
      </c>
    </row>
    <row r="21" spans="1:11" ht="13">
      <c r="A21" s="331">
        <v>11</v>
      </c>
      <c r="C21" s="330" t="s">
        <v>1192</v>
      </c>
      <c r="D21" s="342"/>
      <c r="E21" s="195"/>
      <c r="F21" s="346">
        <f>SUM(F17:F20)</f>
        <v>86517054.504000008</v>
      </c>
      <c r="G21" s="462">
        <f>SUM(G17:G20)</f>
        <v>44388820.504000001</v>
      </c>
      <c r="H21" s="450">
        <f>SUM(H17:H20)</f>
        <v>0</v>
      </c>
      <c r="I21" s="463">
        <f>SUM(I17:I20)</f>
        <v>42128234</v>
      </c>
      <c r="J21" s="346">
        <f>SUM(J17:J20)</f>
        <v>86517054.504000008</v>
      </c>
      <c r="K21" s="346">
        <f t="shared" si="1"/>
        <v>0</v>
      </c>
    </row>
    <row r="22" spans="1:11" ht="13">
      <c r="A22" s="331">
        <v>12</v>
      </c>
      <c r="C22" s="330" t="s">
        <v>380</v>
      </c>
      <c r="D22" s="342"/>
      <c r="E22" s="195"/>
      <c r="F22" s="345">
        <f>F557</f>
        <v>5596539.5478226151</v>
      </c>
      <c r="G22" s="459">
        <f>$G$557</f>
        <v>1056419</v>
      </c>
      <c r="H22" s="460">
        <f>$H$557</f>
        <v>0</v>
      </c>
      <c r="I22" s="461">
        <f>$I$557</f>
        <v>4540121</v>
      </c>
      <c r="J22" s="345">
        <f>$J$557</f>
        <v>5596540</v>
      </c>
      <c r="K22" s="345">
        <f t="shared" si="1"/>
        <v>-0.4521773848682642</v>
      </c>
    </row>
    <row r="23" spans="1:11" ht="13">
      <c r="A23" s="331">
        <v>13</v>
      </c>
      <c r="C23" s="351" t="s">
        <v>1403</v>
      </c>
      <c r="D23" s="342"/>
      <c r="E23" s="195"/>
      <c r="F23" s="345">
        <f>F605</f>
        <v>1504852.0174244037</v>
      </c>
      <c r="G23" s="459">
        <f>G605</f>
        <v>63539</v>
      </c>
      <c r="H23" s="460">
        <f>H605</f>
        <v>0</v>
      </c>
      <c r="I23" s="461">
        <f>I605</f>
        <v>1441313</v>
      </c>
      <c r="J23" s="345">
        <f>J605</f>
        <v>1504852</v>
      </c>
      <c r="K23" s="345">
        <f t="shared" si="1"/>
        <v>1.7424403689801693E-2</v>
      </c>
    </row>
    <row r="24" spans="1:11" ht="13">
      <c r="A24" s="331">
        <v>14</v>
      </c>
      <c r="C24" s="330" t="s">
        <v>282</v>
      </c>
      <c r="D24" s="342"/>
      <c r="E24" s="195"/>
      <c r="F24" s="346">
        <f>SUM(F21:F23)</f>
        <v>93618446.069247022</v>
      </c>
      <c r="G24" s="462">
        <f>SUM(G21:G23)</f>
        <v>45508778.504000001</v>
      </c>
      <c r="H24" s="450">
        <f>SUM(H21:H23)</f>
        <v>0</v>
      </c>
      <c r="I24" s="463">
        <f>SUM(I21:I23)</f>
        <v>48109668</v>
      </c>
      <c r="J24" s="346">
        <f>SUM(J21:J23)</f>
        <v>93618446.504000008</v>
      </c>
      <c r="K24" s="346">
        <f t="shared" si="1"/>
        <v>-0.43475298583507538</v>
      </c>
    </row>
    <row r="25" spans="1:11" ht="13">
      <c r="A25" s="331">
        <v>15</v>
      </c>
      <c r="D25" s="342"/>
      <c r="E25" s="195"/>
      <c r="F25" s="333"/>
      <c r="G25" s="1281"/>
      <c r="H25" s="1282"/>
      <c r="I25" s="1283"/>
      <c r="J25" s="333"/>
    </row>
    <row r="26" spans="1:11" ht="13">
      <c r="A26" s="331">
        <v>16</v>
      </c>
      <c r="B26" s="330" t="s">
        <v>43</v>
      </c>
      <c r="D26" s="342"/>
      <c r="E26" s="195"/>
      <c r="F26" s="345">
        <f>F334</f>
        <v>33063474</v>
      </c>
      <c r="G26" s="459">
        <f>G334</f>
        <v>557018</v>
      </c>
      <c r="H26" s="460">
        <f>H334</f>
        <v>0</v>
      </c>
      <c r="I26" s="461">
        <f>I334</f>
        <v>32506456</v>
      </c>
      <c r="J26" s="345">
        <f>J334</f>
        <v>33063474</v>
      </c>
      <c r="K26" s="345">
        <f t="shared" ref="K26:K31" si="2">F26-J26</f>
        <v>0</v>
      </c>
    </row>
    <row r="27" spans="1:11" ht="13">
      <c r="A27" s="331">
        <v>17</v>
      </c>
      <c r="B27" s="357" t="s">
        <v>103</v>
      </c>
      <c r="C27" s="357"/>
      <c r="D27" s="342"/>
      <c r="E27" s="195"/>
      <c r="F27" s="345">
        <f>-F630</f>
        <v>-310224</v>
      </c>
      <c r="G27" s="459">
        <f>-$G$630</f>
        <v>-40105</v>
      </c>
      <c r="H27" s="460">
        <f>-$H$630</f>
        <v>0</v>
      </c>
      <c r="I27" s="461">
        <f>-$I$630</f>
        <v>-270119</v>
      </c>
      <c r="J27" s="345">
        <f>-$J$630</f>
        <v>-310224</v>
      </c>
      <c r="K27" s="345">
        <f t="shared" si="2"/>
        <v>0</v>
      </c>
    </row>
    <row r="28" spans="1:11" ht="13">
      <c r="A28" s="331">
        <v>18</v>
      </c>
      <c r="C28" s="330" t="s">
        <v>79</v>
      </c>
      <c r="D28" s="342"/>
      <c r="E28" s="195"/>
      <c r="F28" s="346">
        <f>SUM(F24:F27)</f>
        <v>126371696.06924702</v>
      </c>
      <c r="G28" s="492">
        <f>SUM(G24:G27)</f>
        <v>46025691.504000001</v>
      </c>
      <c r="H28" s="493">
        <f>SUM(H24:H27)</f>
        <v>0</v>
      </c>
      <c r="I28" s="494">
        <f>SUM(I24:I27)</f>
        <v>80346005</v>
      </c>
      <c r="J28" s="346">
        <f>SUM(J24:J27)</f>
        <v>126371696.50400001</v>
      </c>
      <c r="K28" s="346">
        <f t="shared" si="2"/>
        <v>-0.43475298583507538</v>
      </c>
    </row>
    <row r="29" spans="1:11" ht="13">
      <c r="A29" s="1104">
        <v>19</v>
      </c>
      <c r="B29" s="1105" t="s">
        <v>1184</v>
      </c>
      <c r="C29" s="1106"/>
      <c r="D29" s="1107">
        <f>1-'WP FR-16(7)(v)Rate Incr (40.0%)'!I11</f>
        <v>0</v>
      </c>
      <c r="E29" s="1108"/>
      <c r="F29" s="1109">
        <f ca="1">SUM(G29:I29)</f>
        <v>0</v>
      </c>
      <c r="G29" s="1141">
        <f ca="1">'WP FR-16(7)(v)Rate Incr (40.0%)'!Q20</f>
        <v>0</v>
      </c>
      <c r="H29" s="1109">
        <f ca="1">'WP FR-16(7)(v)Rate Incr (40.0%)'!R20</f>
        <v>0</v>
      </c>
      <c r="I29" s="1142">
        <f ca="1">'WP FR-16(7)(v)Rate Incr (40.0%)'!S20</f>
        <v>0</v>
      </c>
      <c r="J29" s="1112">
        <f ca="1">SUM(G29:I29)</f>
        <v>0</v>
      </c>
      <c r="K29" s="1112">
        <f t="shared" ca="1" si="2"/>
        <v>0</v>
      </c>
    </row>
    <row r="30" spans="1:11" ht="13">
      <c r="A30" s="1104">
        <v>20</v>
      </c>
      <c r="B30" s="1113" t="s">
        <v>1185</v>
      </c>
      <c r="C30" s="1017"/>
      <c r="D30" s="1114"/>
      <c r="E30" s="1108"/>
      <c r="F30" s="1115">
        <f ca="1">F29+F28</f>
        <v>126371696.06924702</v>
      </c>
      <c r="G30" s="1116">
        <f ca="1">G29+G28</f>
        <v>46025691.504000001</v>
      </c>
      <c r="H30" s="1117">
        <f ca="1">H29+H28</f>
        <v>0</v>
      </c>
      <c r="I30" s="1118">
        <f ca="1">I29+I28</f>
        <v>80346005</v>
      </c>
      <c r="J30" s="1119">
        <f ca="1">SUM(G30:I30)</f>
        <v>126371696.50400001</v>
      </c>
      <c r="K30" s="1119">
        <f t="shared" ca="1" si="2"/>
        <v>-0.43475298583507538</v>
      </c>
    </row>
    <row r="31" spans="1:11" ht="13">
      <c r="A31" s="1104">
        <v>21</v>
      </c>
      <c r="B31" s="1120" t="s">
        <v>843</v>
      </c>
      <c r="C31" s="1106"/>
      <c r="D31" s="1114"/>
      <c r="E31" s="1108"/>
      <c r="F31" s="1119">
        <f>F745</f>
        <v>126434590</v>
      </c>
      <c r="G31" s="1116">
        <f>G745</f>
        <v>46539308</v>
      </c>
      <c r="H31" s="1117">
        <f>H745</f>
        <v>0</v>
      </c>
      <c r="I31" s="1118">
        <f>I745</f>
        <v>79895282</v>
      </c>
      <c r="J31" s="1119">
        <f>J745</f>
        <v>126434590</v>
      </c>
      <c r="K31" s="1119">
        <f t="shared" si="2"/>
        <v>0</v>
      </c>
    </row>
    <row r="32" spans="1:11" ht="13">
      <c r="A32" s="1104">
        <v>22</v>
      </c>
      <c r="B32" s="1121" t="s">
        <v>1186</v>
      </c>
      <c r="C32" s="1017"/>
      <c r="D32" s="1114"/>
      <c r="E32" s="1108"/>
      <c r="F32" s="1122">
        <f t="shared" ref="F32:K32" ca="1" si="3">F30-F31</f>
        <v>-62893.930752977729</v>
      </c>
      <c r="G32" s="1123">
        <f t="shared" ca="1" si="3"/>
        <v>-513616.49599999934</v>
      </c>
      <c r="H32" s="1124">
        <f t="shared" ca="1" si="3"/>
        <v>0</v>
      </c>
      <c r="I32" s="1125">
        <f t="shared" ca="1" si="3"/>
        <v>450723</v>
      </c>
      <c r="J32" s="1122">
        <f t="shared" ca="1" si="3"/>
        <v>-62893.495999991894</v>
      </c>
      <c r="K32" s="1122">
        <f t="shared" ca="1" si="3"/>
        <v>-0.43475298583507538</v>
      </c>
    </row>
    <row r="33" spans="1:14" ht="13">
      <c r="A33" s="1104">
        <v>23</v>
      </c>
      <c r="B33" s="1017"/>
      <c r="C33" s="1017"/>
      <c r="D33" s="1114"/>
      <c r="E33" s="1108"/>
      <c r="F33" s="1017"/>
      <c r="G33" s="1126"/>
      <c r="H33" s="1127"/>
      <c r="I33" s="1128"/>
      <c r="J33" s="1017"/>
      <c r="K33" s="1017"/>
    </row>
    <row r="34" spans="1:14" ht="13">
      <c r="A34" s="1104">
        <v>24</v>
      </c>
      <c r="B34" s="1017" t="s">
        <v>104</v>
      </c>
      <c r="C34" s="1017"/>
      <c r="D34" s="1114"/>
      <c r="E34" s="1108"/>
      <c r="F34" s="1119">
        <f>F654+F26</f>
        <v>34240458.948177382</v>
      </c>
      <c r="G34" s="1116">
        <f>G654+G26</f>
        <v>990317.49599999934</v>
      </c>
      <c r="H34" s="1117">
        <f>H654+H26</f>
        <v>0</v>
      </c>
      <c r="I34" s="1118">
        <f>I654+I26</f>
        <v>33250141</v>
      </c>
      <c r="J34" s="1119">
        <f>J654+J26</f>
        <v>34240458.495999999</v>
      </c>
      <c r="K34" s="1119">
        <f>F34-J34</f>
        <v>0.45217738300561905</v>
      </c>
    </row>
    <row r="35" spans="1:14" ht="13">
      <c r="A35" s="1104">
        <v>25</v>
      </c>
      <c r="B35" s="1017" t="s">
        <v>105</v>
      </c>
      <c r="C35" s="1017"/>
      <c r="D35" s="1114"/>
      <c r="E35" s="1108"/>
      <c r="F35" s="1129">
        <f t="shared" ref="F35:K35" si="4">IF(F331=0,0,ROUND(F34/F331,5))</f>
        <v>7.3109999999999994E-2</v>
      </c>
      <c r="G35" s="1130">
        <f t="shared" si="4"/>
        <v>0.12551999999999999</v>
      </c>
      <c r="H35" s="1131">
        <f t="shared" si="4"/>
        <v>0</v>
      </c>
      <c r="I35" s="1132">
        <f t="shared" si="4"/>
        <v>7.2220000000000006E-2</v>
      </c>
      <c r="J35" s="1129">
        <f t="shared" si="4"/>
        <v>7.3109999999999994E-2</v>
      </c>
      <c r="K35" s="1129">
        <f t="shared" si="4"/>
        <v>0</v>
      </c>
    </row>
    <row r="36" spans="1:14" ht="13">
      <c r="A36" s="1104">
        <v>26</v>
      </c>
      <c r="B36" s="1017" t="s">
        <v>42</v>
      </c>
      <c r="C36" s="1017"/>
      <c r="D36" s="1114"/>
      <c r="E36" s="1108"/>
      <c r="F36" s="1129">
        <f>$F$688</f>
        <v>7.060000000000001E-2</v>
      </c>
      <c r="G36" s="1130">
        <f>F688</f>
        <v>7.060000000000001E-2</v>
      </c>
      <c r="H36" s="1131">
        <f>F688</f>
        <v>7.060000000000001E-2</v>
      </c>
      <c r="I36" s="1132">
        <f>F688</f>
        <v>7.060000000000001E-2</v>
      </c>
      <c r="J36" s="1129">
        <f>$F$688</f>
        <v>7.060000000000001E-2</v>
      </c>
      <c r="K36" s="1129">
        <f>F688</f>
        <v>7.060000000000001E-2</v>
      </c>
      <c r="N36" s="653" t="s">
        <v>1188</v>
      </c>
    </row>
    <row r="37" spans="1:14" ht="13">
      <c r="A37" s="1104">
        <v>27</v>
      </c>
      <c r="B37" s="1017" t="s">
        <v>106</v>
      </c>
      <c r="C37" s="1017"/>
      <c r="D37" s="1114"/>
      <c r="E37" s="1108"/>
      <c r="F37" s="1129">
        <f>IF(F670=0,0,(F35-$F$683-$F$684-$F$686)*$F$673/$F$670)</f>
        <v>0.10796105688665159</v>
      </c>
      <c r="G37" s="1130">
        <f>IF(F670=0,0,(G35-F683-F684-F686)*F673/F670)</f>
        <v>0.21134565384315462</v>
      </c>
      <c r="H37" s="1131">
        <f>IF(F670=0,0,(H35-F683-F684-F686)*F673/F670)</f>
        <v>-3.6256609274194343E-2</v>
      </c>
      <c r="I37" s="1132">
        <f>IF(F670=0,0,(I35-F683-F684-F686)*F673/F670)</f>
        <v>0.10620543217206874</v>
      </c>
      <c r="J37" s="1129">
        <f>IF(F670=0,0,(J35-F683-F684-F686)*F673/F670)</f>
        <v>0.10796105688665159</v>
      </c>
      <c r="K37" s="1129">
        <f>IF(F670=0,0,(K35-F683-F684-F686)*F673/F670)</f>
        <v>-3.6256609274194343E-2</v>
      </c>
      <c r="N37" s="653" t="s">
        <v>1189</v>
      </c>
    </row>
    <row r="38" spans="1:14" ht="13">
      <c r="A38" s="1104">
        <v>28</v>
      </c>
      <c r="B38" s="1017" t="s">
        <v>107</v>
      </c>
      <c r="C38" s="1017"/>
      <c r="D38" s="1114"/>
      <c r="E38" s="1108"/>
      <c r="F38" s="1129">
        <f>IF($F$670=0,0,(F36-$F$683-$F$684-$F$686)*$F$673/$F$670)</f>
        <v>0.10300980066912017</v>
      </c>
      <c r="G38" s="1130">
        <f>IF(F670=0,0,(G36-F683-F684-F686)*F673/F670)</f>
        <v>0.10300980066912017</v>
      </c>
      <c r="H38" s="1131">
        <f>IF(F670=0,0,(H36-F683-F684-F686)*F673/F670)</f>
        <v>0.10300980066912017</v>
      </c>
      <c r="I38" s="1132">
        <f>IF(F670=0,0,(I36-F683-F684-F686)*F673/F670)</f>
        <v>0.10300980066912017</v>
      </c>
      <c r="J38" s="1129">
        <f>IF($F$670=0,0,(J36-$F$683-$F$684-$F$686)*$F$673/$F$670)</f>
        <v>0.10300980066912017</v>
      </c>
      <c r="K38" s="1129">
        <f>IF(F670=0,0,(K36-F683-F684-F686)*F673/F670)</f>
        <v>0.10300980066912017</v>
      </c>
    </row>
    <row r="39" spans="1:14" ht="13">
      <c r="A39" s="1104">
        <v>29</v>
      </c>
      <c r="B39" s="1017"/>
      <c r="C39" s="1017"/>
      <c r="D39" s="1114"/>
      <c r="E39" s="1108"/>
      <c r="F39" s="1017" t="s">
        <v>343</v>
      </c>
      <c r="G39" s="1126"/>
      <c r="H39" s="1127"/>
      <c r="I39" s="1128"/>
      <c r="J39" s="1017"/>
      <c r="K39" s="1017"/>
    </row>
    <row r="40" spans="1:14" ht="13">
      <c r="A40" s="1104">
        <v>30</v>
      </c>
      <c r="B40" s="1017" t="s">
        <v>108</v>
      </c>
      <c r="C40" s="1017"/>
      <c r="D40" s="1114"/>
      <c r="E40" s="1108"/>
      <c r="F40" s="1119">
        <f>F744</f>
        <v>111143535</v>
      </c>
      <c r="G40" s="1116">
        <f>G744</f>
        <v>40910824</v>
      </c>
      <c r="H40" s="1117">
        <f>H744</f>
        <v>0</v>
      </c>
      <c r="I40" s="1118">
        <f>I744</f>
        <v>70232711</v>
      </c>
      <c r="J40" s="1119">
        <f>J744</f>
        <v>111143535</v>
      </c>
      <c r="K40" s="1119">
        <f>F40-J40</f>
        <v>0</v>
      </c>
    </row>
    <row r="41" spans="1:14" ht="13">
      <c r="A41" s="1104">
        <v>31</v>
      </c>
      <c r="B41" s="1017" t="s">
        <v>109</v>
      </c>
      <c r="C41" s="1017"/>
      <c r="D41" s="1114"/>
      <c r="E41" s="1108"/>
      <c r="F41" s="1119">
        <f>F28-F40</f>
        <v>15228161.069247022</v>
      </c>
      <c r="G41" s="1116">
        <f t="shared" ref="G41:K41" si="5">G28-G40</f>
        <v>5114867.5040000007</v>
      </c>
      <c r="H41" s="1117">
        <f t="shared" si="5"/>
        <v>0</v>
      </c>
      <c r="I41" s="1118">
        <f t="shared" si="5"/>
        <v>10113294</v>
      </c>
      <c r="J41" s="1119">
        <f t="shared" si="5"/>
        <v>15228161.504000008</v>
      </c>
      <c r="K41" s="1119">
        <f t="shared" si="5"/>
        <v>-0.43475298583507538</v>
      </c>
    </row>
    <row r="42" spans="1:14" ht="13">
      <c r="A42" s="1104">
        <v>32</v>
      </c>
      <c r="B42" s="1017"/>
      <c r="C42" s="1017" t="s">
        <v>283</v>
      </c>
      <c r="D42" s="1114"/>
      <c r="E42" s="1108"/>
      <c r="F42" s="1133">
        <f t="shared" ref="F42:K42" si="6">IF(F40=0,0,ROUND(F41/F40,5))</f>
        <v>0.13700999999999999</v>
      </c>
      <c r="G42" s="1134">
        <f>IF(G40=0,0,ROUND(G41/G40,5))</f>
        <v>0.12501999999999999</v>
      </c>
      <c r="H42" s="1135">
        <f>IF(H40=0,0,ROUND(H41/H40,5))</f>
        <v>0</v>
      </c>
      <c r="I42" s="1136">
        <f>IF(I40=0,0,ROUND(I41/I40,5))</f>
        <v>0.14399999999999999</v>
      </c>
      <c r="J42" s="1133">
        <f t="shared" si="6"/>
        <v>0.13700999999999999</v>
      </c>
      <c r="K42" s="1119">
        <f t="shared" si="6"/>
        <v>0</v>
      </c>
    </row>
    <row r="43" spans="1:14" ht="13">
      <c r="A43" s="1104">
        <v>33</v>
      </c>
      <c r="B43" s="1017" t="s">
        <v>110</v>
      </c>
      <c r="C43" s="1017"/>
      <c r="D43" s="1114"/>
      <c r="E43" s="1108"/>
      <c r="F43" s="1119">
        <f t="shared" ref="F43:K43" si="7">F31-F40</f>
        <v>15291055</v>
      </c>
      <c r="G43" s="1116">
        <f t="shared" si="7"/>
        <v>5628484</v>
      </c>
      <c r="H43" s="1117">
        <f t="shared" si="7"/>
        <v>0</v>
      </c>
      <c r="I43" s="1118">
        <f t="shared" si="7"/>
        <v>9662571</v>
      </c>
      <c r="J43" s="1119">
        <f t="shared" si="7"/>
        <v>15291055</v>
      </c>
      <c r="K43" s="1119">
        <f t="shared" si="7"/>
        <v>0</v>
      </c>
    </row>
    <row r="44" spans="1:14" ht="13">
      <c r="A44" s="1104">
        <v>34</v>
      </c>
      <c r="B44" s="1017"/>
      <c r="C44" s="1017" t="s">
        <v>283</v>
      </c>
      <c r="D44" s="1114"/>
      <c r="E44" s="1108"/>
      <c r="F44" s="1133">
        <f t="shared" ref="F44:K44" si="8">IF(F40=0,0,ROUND(F43/F40,5))</f>
        <v>0.13758000000000001</v>
      </c>
      <c r="G44" s="1137">
        <f>IF(G40=0,0,ROUND(G43/G40,5))</f>
        <v>0.13758000000000001</v>
      </c>
      <c r="H44" s="1138">
        <f>IF(H40=0,0,ROUND(H43/H40,5))</f>
        <v>0</v>
      </c>
      <c r="I44" s="1139">
        <f>IF(I40=0,0,ROUND(I43/I40,5))</f>
        <v>0.13758000000000001</v>
      </c>
      <c r="J44" s="1133">
        <f t="shared" si="8"/>
        <v>0.13758000000000001</v>
      </c>
      <c r="K44" s="1119">
        <f t="shared" si="8"/>
        <v>0</v>
      </c>
    </row>
    <row r="45" spans="1:14" ht="13">
      <c r="A45" s="341"/>
      <c r="C45" s="195"/>
      <c r="D45" s="342"/>
      <c r="E45" s="195"/>
      <c r="F45" s="195"/>
      <c r="G45" s="195"/>
      <c r="H45" s="195"/>
      <c r="I45" s="195"/>
      <c r="J45" s="195"/>
      <c r="K45" s="195"/>
    </row>
    <row r="46" spans="1:14" ht="13">
      <c r="A46" s="341" t="str">
        <f>co_name</f>
        <v>DUKE ENERGY KENTUCKY, INC.</v>
      </c>
      <c r="C46" s="195"/>
      <c r="D46" s="342"/>
      <c r="E46" s="195"/>
      <c r="F46" s="195"/>
      <c r="G46" s="195"/>
      <c r="H46" s="195"/>
      <c r="I46" s="195"/>
      <c r="J46" s="195" t="str">
        <f>$J$1</f>
        <v>FR-16(7)(v)-1</v>
      </c>
      <c r="K46" s="195"/>
    </row>
    <row r="47" spans="1:14" ht="13">
      <c r="A47" s="341" t="str">
        <f>$A$2</f>
        <v>FUNCTIONAL GAS COST OF SERVICE</v>
      </c>
      <c r="C47" s="195"/>
      <c r="D47" s="342"/>
      <c r="E47" s="195"/>
      <c r="F47" s="195"/>
      <c r="G47" s="195"/>
      <c r="H47" s="195"/>
      <c r="I47" s="195"/>
      <c r="J47" s="195" t="str">
        <f>$J$2</f>
        <v>WITNESS RESPONSIBLE:</v>
      </c>
      <c r="K47" s="195"/>
    </row>
    <row r="48" spans="1:14" ht="13">
      <c r="A48" s="341" t="str">
        <f>case_name</f>
        <v>CASE NO: 2021-00190</v>
      </c>
      <c r="C48" s="195"/>
      <c r="D48" s="342"/>
      <c r="E48" s="195"/>
      <c r="F48" s="195"/>
      <c r="G48" s="195"/>
      <c r="H48" s="195"/>
      <c r="I48" s="195"/>
      <c r="J48" s="195" t="str">
        <f>Witness</f>
        <v>JAMES E. ZIOLKOWSKI</v>
      </c>
      <c r="K48" s="195"/>
    </row>
    <row r="49" spans="1:11" ht="13">
      <c r="A49" s="341" t="str">
        <f>data_filing</f>
        <v>DATA: 12 MONTH FORECASTED PERIOD</v>
      </c>
      <c r="C49" s="195"/>
      <c r="D49" s="342"/>
      <c r="E49" s="195"/>
      <c r="F49" s="195"/>
      <c r="G49" s="195"/>
      <c r="H49" s="195"/>
      <c r="I49" s="195"/>
      <c r="J49" s="195" t="str">
        <f>"PAGE "&amp;Pages-16&amp;" OF "&amp;Pages</f>
        <v>PAGE 2 OF 18</v>
      </c>
      <c r="K49" s="195"/>
    </row>
    <row r="50" spans="1:11" ht="13">
      <c r="A50" s="341" t="str">
        <f>type</f>
        <v xml:space="preserve">TYPE OF FILING: "X" ORIGINAL   UPDATED    REVISED  </v>
      </c>
      <c r="C50" s="195"/>
      <c r="D50" s="342"/>
      <c r="E50" s="195"/>
      <c r="F50" s="195"/>
      <c r="G50" s="195"/>
      <c r="H50" s="195"/>
      <c r="I50" s="195"/>
      <c r="J50" s="195"/>
      <c r="K50" s="195"/>
    </row>
    <row r="51" spans="1:11" ht="13">
      <c r="A51" s="341"/>
      <c r="C51" s="195"/>
      <c r="D51" s="342"/>
      <c r="E51" s="195"/>
      <c r="F51" s="195"/>
      <c r="G51" s="195"/>
      <c r="H51" s="195"/>
      <c r="I51" s="195"/>
      <c r="J51" s="195"/>
      <c r="K51" s="195"/>
    </row>
    <row r="52" spans="1:11" ht="13">
      <c r="A52" s="341"/>
      <c r="C52" s="195"/>
      <c r="D52" s="342"/>
      <c r="E52" s="195"/>
      <c r="F52" s="195"/>
      <c r="G52" s="195"/>
      <c r="H52" s="195"/>
      <c r="I52" s="195"/>
      <c r="J52" s="195"/>
      <c r="K52" s="195"/>
    </row>
    <row r="53" spans="1:11" ht="13">
      <c r="A53" s="342" t="s">
        <v>907</v>
      </c>
      <c r="B53" s="195"/>
      <c r="C53" s="195"/>
      <c r="D53" s="342"/>
      <c r="E53" s="195"/>
      <c r="F53" s="342" t="s">
        <v>229</v>
      </c>
      <c r="G53" s="467" t="s">
        <v>971</v>
      </c>
      <c r="H53" s="468"/>
      <c r="I53" s="469"/>
      <c r="J53" s="342" t="s">
        <v>229</v>
      </c>
      <c r="K53" s="342" t="s">
        <v>342</v>
      </c>
    </row>
    <row r="54" spans="1:11" ht="13">
      <c r="A54" s="344" t="s">
        <v>908</v>
      </c>
      <c r="B54" s="343" t="s">
        <v>95</v>
      </c>
      <c r="C54" s="343"/>
      <c r="D54" s="344" t="s">
        <v>337</v>
      </c>
      <c r="E54" s="343"/>
      <c r="F54" s="344" t="s">
        <v>284</v>
      </c>
      <c r="G54" s="454" t="s">
        <v>838</v>
      </c>
      <c r="H54" s="449" t="s">
        <v>970</v>
      </c>
      <c r="I54" s="455" t="s">
        <v>839</v>
      </c>
      <c r="J54" s="344" t="s">
        <v>341</v>
      </c>
      <c r="K54" s="344" t="s">
        <v>340</v>
      </c>
    </row>
    <row r="55" spans="1:11" ht="13">
      <c r="C55" s="572" t="s">
        <v>344</v>
      </c>
      <c r="D55" s="342"/>
      <c r="E55" s="195"/>
      <c r="G55" s="622">
        <f>$G$10</f>
        <v>3</v>
      </c>
      <c r="H55" s="623">
        <f>$H$10</f>
        <v>4</v>
      </c>
      <c r="I55" s="624">
        <f>$I$10</f>
        <v>5</v>
      </c>
      <c r="K55" s="330" t="s">
        <v>343</v>
      </c>
    </row>
    <row r="56" spans="1:11" ht="13">
      <c r="A56" s="331">
        <v>1</v>
      </c>
      <c r="B56" s="330" t="s">
        <v>14</v>
      </c>
      <c r="E56" s="195"/>
      <c r="G56" s="456"/>
      <c r="H56" s="457"/>
      <c r="I56" s="458"/>
    </row>
    <row r="57" spans="1:11" ht="13">
      <c r="A57" s="331">
        <v>2</v>
      </c>
      <c r="C57" s="526" t="s">
        <v>14</v>
      </c>
      <c r="D57" s="723" t="s">
        <v>289</v>
      </c>
      <c r="E57" s="448" t="s">
        <v>1483</v>
      </c>
      <c r="F57" s="787">
        <f>'[1]SCH B-2.1'!$I$192</f>
        <v>4625622</v>
      </c>
      <c r="G57" s="459">
        <f>F57-SUM(H57:I57)</f>
        <v>4625622</v>
      </c>
      <c r="H57" s="460">
        <f>ROUND(F57*VLOOKUP(D57,AllocTable_Functional,$H$10,FALSE),0)</f>
        <v>0</v>
      </c>
      <c r="I57" s="461">
        <f>ROUND(F57*VLOOKUP(D57,AllocTable_Functional,$I$10,FALSE),0)</f>
        <v>0</v>
      </c>
      <c r="J57" s="345">
        <f>SUM($G$57:$I$57)</f>
        <v>4625622</v>
      </c>
      <c r="K57" s="345">
        <f>F57-$J$57</f>
        <v>0</v>
      </c>
    </row>
    <row r="58" spans="1:11" ht="13">
      <c r="A58" s="331">
        <v>3</v>
      </c>
      <c r="C58" s="357" t="s">
        <v>115</v>
      </c>
      <c r="D58" s="723" t="s">
        <v>289</v>
      </c>
      <c r="E58" s="448" t="s">
        <v>1483</v>
      </c>
      <c r="F58" s="777">
        <v>0</v>
      </c>
      <c r="G58" s="459">
        <f>F58-SUM(H58:I58)</f>
        <v>0</v>
      </c>
      <c r="H58" s="460">
        <f>ROUND(F58*VLOOKUP(D58,AllocTable_Functional,$H$10,FALSE),0)</f>
        <v>0</v>
      </c>
      <c r="I58" s="461">
        <f>ROUND(F58*VLOOKUP(D58,AllocTable_Functional,$I$10,FALSE),0)</f>
        <v>0</v>
      </c>
      <c r="J58" s="345">
        <f>SUM($G$58:$I$58)</f>
        <v>0</v>
      </c>
      <c r="K58" s="345">
        <f>F58-$J$58</f>
        <v>0</v>
      </c>
    </row>
    <row r="59" spans="1:11" ht="13">
      <c r="A59" s="331">
        <v>4</v>
      </c>
      <c r="C59" s="330" t="s">
        <v>111</v>
      </c>
      <c r="D59" s="723"/>
      <c r="E59" s="195"/>
      <c r="F59" s="346">
        <f>SUM(F57:F58)</f>
        <v>4625622</v>
      </c>
      <c r="G59" s="462">
        <f>SUM($G$57:$G$58)</f>
        <v>4625622</v>
      </c>
      <c r="H59" s="450">
        <f>SUM($H$57:$H$58)</f>
        <v>0</v>
      </c>
      <c r="I59" s="463">
        <f>SUM($I$57:$I$58)</f>
        <v>0</v>
      </c>
      <c r="J59" s="346">
        <f>SUM($J$57:$J$58)</f>
        <v>4625622</v>
      </c>
      <c r="K59" s="346">
        <f>SUM($K$57:$K$58)</f>
        <v>0</v>
      </c>
    </row>
    <row r="60" spans="1:11" ht="13">
      <c r="A60" s="331">
        <v>5</v>
      </c>
      <c r="D60" s="723"/>
      <c r="E60" s="195"/>
      <c r="G60" s="456"/>
      <c r="H60" s="457"/>
      <c r="I60" s="458"/>
    </row>
    <row r="61" spans="1:11" ht="13">
      <c r="A61" s="331">
        <v>6</v>
      </c>
      <c r="B61" s="330" t="s">
        <v>15</v>
      </c>
      <c r="D61" s="723"/>
      <c r="E61" s="195"/>
      <c r="G61" s="456"/>
      <c r="H61" s="457"/>
      <c r="I61" s="458"/>
    </row>
    <row r="62" spans="1:11" ht="13">
      <c r="A62" s="331">
        <v>7</v>
      </c>
      <c r="C62" s="357" t="s">
        <v>15</v>
      </c>
      <c r="D62" s="723" t="s">
        <v>343</v>
      </c>
      <c r="E62" s="195"/>
      <c r="F62" s="471"/>
      <c r="G62" s="459"/>
      <c r="H62" s="460"/>
      <c r="I62" s="461"/>
      <c r="J62" s="345"/>
      <c r="K62" s="345"/>
    </row>
    <row r="63" spans="1:11" ht="13">
      <c r="A63" s="331">
        <v>8</v>
      </c>
      <c r="C63" s="330" t="s">
        <v>112</v>
      </c>
      <c r="D63" s="723"/>
      <c r="E63" s="195"/>
      <c r="F63" s="346">
        <f>SUM(F62)</f>
        <v>0</v>
      </c>
      <c r="G63" s="462">
        <f>SUM($G$62)</f>
        <v>0</v>
      </c>
      <c r="H63" s="450">
        <f>SUM($H$62)</f>
        <v>0</v>
      </c>
      <c r="I63" s="463">
        <f>SUM($I$62)</f>
        <v>0</v>
      </c>
      <c r="J63" s="346">
        <f>SUM($J$62)</f>
        <v>0</v>
      </c>
      <c r="K63" s="346">
        <f>SUM($K$62)</f>
        <v>0</v>
      </c>
    </row>
    <row r="64" spans="1:11" ht="13">
      <c r="A64" s="331">
        <v>9</v>
      </c>
      <c r="D64" s="723"/>
      <c r="E64" s="195"/>
      <c r="G64" s="456"/>
      <c r="H64" s="457"/>
      <c r="I64" s="458"/>
    </row>
    <row r="65" spans="1:11" ht="13">
      <c r="A65" s="331">
        <v>10</v>
      </c>
      <c r="B65" s="330" t="s">
        <v>16</v>
      </c>
      <c r="D65" s="723"/>
      <c r="E65" s="195"/>
      <c r="F65" s="345">
        <f>F63+F59</f>
        <v>4625622</v>
      </c>
      <c r="G65" s="459">
        <f>$G$63+$G$59</f>
        <v>4625622</v>
      </c>
      <c r="H65" s="460">
        <f>$H$63+$H$59</f>
        <v>0</v>
      </c>
      <c r="I65" s="461">
        <f>$I$63+$I$59</f>
        <v>0</v>
      </c>
      <c r="J65" s="345">
        <f>$J$63+$J$59</f>
        <v>4625622</v>
      </c>
      <c r="K65" s="345">
        <f>$K$63+$K$59</f>
        <v>0</v>
      </c>
    </row>
    <row r="66" spans="1:11" ht="13">
      <c r="A66" s="331">
        <v>11</v>
      </c>
      <c r="D66" s="723"/>
      <c r="E66" s="195"/>
      <c r="G66" s="456"/>
      <c r="H66" s="457"/>
      <c r="I66" s="458"/>
    </row>
    <row r="67" spans="1:11" ht="13">
      <c r="A67" s="331">
        <v>12</v>
      </c>
      <c r="B67" s="330" t="s">
        <v>17</v>
      </c>
      <c r="D67" s="723"/>
      <c r="E67" s="195"/>
      <c r="G67" s="456"/>
      <c r="H67" s="457"/>
      <c r="I67" s="458"/>
    </row>
    <row r="68" spans="1:11" ht="13">
      <c r="A68" s="331">
        <v>13</v>
      </c>
      <c r="C68" s="330" t="s">
        <v>392</v>
      </c>
      <c r="D68" s="723" t="s">
        <v>288</v>
      </c>
      <c r="E68" s="448" t="s">
        <v>1483</v>
      </c>
      <c r="F68" s="787">
        <f>'[1]SCH B-2.1'!$I$224+'[1]SCH B-2.1'!$I$225</f>
        <v>41242292</v>
      </c>
      <c r="G68" s="459">
        <f t="shared" ref="G68:G77" si="9">F68-SUM(H68:I68)</f>
        <v>0</v>
      </c>
      <c r="H68" s="460">
        <f t="shared" ref="H68:H77" si="10">ROUND(F68*VLOOKUP(D68,AllocTable_Functional,$H$10,FALSE),0)</f>
        <v>0</v>
      </c>
      <c r="I68" s="461">
        <f t="shared" ref="I68:I77" si="11">ROUND(F68*VLOOKUP(D68,AllocTable_Functional,$I$10,FALSE),0)</f>
        <v>41242292</v>
      </c>
      <c r="J68" s="345">
        <f t="shared" ref="J68:J77" si="12">SUM(G68:I68)</f>
        <v>41242292</v>
      </c>
      <c r="K68" s="345">
        <f t="shared" ref="K68:K77" si="13">F68-J68</f>
        <v>0</v>
      </c>
    </row>
    <row r="69" spans="1:11" ht="13">
      <c r="A69" s="331">
        <v>14</v>
      </c>
      <c r="C69" s="330" t="s">
        <v>409</v>
      </c>
      <c r="D69" s="723" t="s">
        <v>288</v>
      </c>
      <c r="E69" s="448" t="s">
        <v>1483</v>
      </c>
      <c r="F69" s="787">
        <f>'[1]SCH B-2.1'!$I$226</f>
        <v>2724163</v>
      </c>
      <c r="G69" s="459">
        <f t="shared" si="9"/>
        <v>0</v>
      </c>
      <c r="H69" s="460">
        <f t="shared" si="10"/>
        <v>0</v>
      </c>
      <c r="I69" s="461">
        <f t="shared" si="11"/>
        <v>2724163</v>
      </c>
      <c r="J69" s="345">
        <f t="shared" si="12"/>
        <v>2724163</v>
      </c>
      <c r="K69" s="345">
        <f t="shared" si="13"/>
        <v>0</v>
      </c>
    </row>
    <row r="70" spans="1:11" ht="13">
      <c r="A70" s="331">
        <v>15</v>
      </c>
      <c r="C70" s="330" t="s">
        <v>393</v>
      </c>
      <c r="D70" s="723" t="s">
        <v>296</v>
      </c>
      <c r="E70" s="448" t="s">
        <v>1483</v>
      </c>
      <c r="F70" s="787">
        <f>'[1]SCH B-2.1'!$I$234+'[1]SCH B-2.1'!$I$235</f>
        <v>566920</v>
      </c>
      <c r="G70" s="459">
        <f t="shared" si="9"/>
        <v>0</v>
      </c>
      <c r="H70" s="460">
        <f t="shared" si="10"/>
        <v>0</v>
      </c>
      <c r="I70" s="461">
        <f t="shared" si="11"/>
        <v>566920</v>
      </c>
      <c r="J70" s="345">
        <f t="shared" si="12"/>
        <v>566920</v>
      </c>
      <c r="K70" s="345">
        <f t="shared" si="13"/>
        <v>0</v>
      </c>
    </row>
    <row r="71" spans="1:11" ht="13">
      <c r="A71" s="331">
        <v>16</v>
      </c>
      <c r="C71" s="330" t="s">
        <v>394</v>
      </c>
      <c r="D71" s="723" t="s">
        <v>295</v>
      </c>
      <c r="E71" s="448" t="s">
        <v>1483</v>
      </c>
      <c r="F71" s="787">
        <f>'[1]SCH B-2.1'!$I$220+'[1]SCH B-2.1'!$I$221+'[1]SCH B-2.1'!$I$222+'[1]SCH B-2.1'!$I$223</f>
        <v>396995775</v>
      </c>
      <c r="G71" s="459">
        <f t="shared" si="9"/>
        <v>0</v>
      </c>
      <c r="H71" s="460">
        <f t="shared" si="10"/>
        <v>0</v>
      </c>
      <c r="I71" s="461">
        <f t="shared" si="11"/>
        <v>396995775</v>
      </c>
      <c r="J71" s="345">
        <f t="shared" si="12"/>
        <v>396995775</v>
      </c>
      <c r="K71" s="345">
        <f t="shared" si="13"/>
        <v>0</v>
      </c>
    </row>
    <row r="72" spans="1:11" ht="13">
      <c r="A72" s="331">
        <v>17</v>
      </c>
      <c r="C72" s="330" t="s">
        <v>395</v>
      </c>
      <c r="D72" s="723" t="s">
        <v>292</v>
      </c>
      <c r="E72" s="448" t="s">
        <v>1483</v>
      </c>
      <c r="F72" s="787">
        <f>'[1]SCH B-2.1'!$I$227+'[1]SCH B-2.1'!$I$228+'[1]SCH B-2.1'!$I$229</f>
        <v>226116720</v>
      </c>
      <c r="G72" s="459">
        <f t="shared" si="9"/>
        <v>0</v>
      </c>
      <c r="H72" s="460">
        <f t="shared" si="10"/>
        <v>0</v>
      </c>
      <c r="I72" s="461">
        <f t="shared" si="11"/>
        <v>226116720</v>
      </c>
      <c r="J72" s="345">
        <f t="shared" si="12"/>
        <v>226116720</v>
      </c>
      <c r="K72" s="345">
        <f t="shared" si="13"/>
        <v>0</v>
      </c>
    </row>
    <row r="73" spans="1:11" ht="13">
      <c r="A73" s="331">
        <v>18</v>
      </c>
      <c r="C73" s="330" t="s">
        <v>396</v>
      </c>
      <c r="D73" s="723" t="s">
        <v>294</v>
      </c>
      <c r="E73" s="448" t="s">
        <v>1483</v>
      </c>
      <c r="F73" s="787">
        <f>'[1]SCH B-2.1'!$I$230+'[1]SCH B-2.1'!$I$231</f>
        <v>30766213</v>
      </c>
      <c r="G73" s="459">
        <f t="shared" si="9"/>
        <v>0</v>
      </c>
      <c r="H73" s="460">
        <f t="shared" si="10"/>
        <v>0</v>
      </c>
      <c r="I73" s="461">
        <f t="shared" si="11"/>
        <v>30766213</v>
      </c>
      <c r="J73" s="345">
        <f t="shared" si="12"/>
        <v>30766213</v>
      </c>
      <c r="K73" s="345">
        <f t="shared" si="13"/>
        <v>0</v>
      </c>
    </row>
    <row r="74" spans="1:11" ht="13">
      <c r="A74" s="331">
        <v>19</v>
      </c>
      <c r="C74" s="330" t="s">
        <v>416</v>
      </c>
      <c r="D74" s="723" t="s">
        <v>288</v>
      </c>
      <c r="E74" s="448" t="s">
        <v>1483</v>
      </c>
      <c r="F74" s="787">
        <f>'[1]SCH B-2.1'!$I$217+'[1]SCH B-2.1'!$I$218+'[1]SCH B-2.1'!$I$219</f>
        <v>11654163</v>
      </c>
      <c r="G74" s="459">
        <f t="shared" si="9"/>
        <v>0</v>
      </c>
      <c r="H74" s="460">
        <f t="shared" si="10"/>
        <v>0</v>
      </c>
      <c r="I74" s="461">
        <f t="shared" si="11"/>
        <v>11654163</v>
      </c>
      <c r="J74" s="345">
        <f t="shared" si="12"/>
        <v>11654163</v>
      </c>
      <c r="K74" s="345">
        <f t="shared" si="13"/>
        <v>0</v>
      </c>
    </row>
    <row r="75" spans="1:11" ht="13">
      <c r="A75" s="331">
        <v>20</v>
      </c>
      <c r="C75" s="330" t="s">
        <v>397</v>
      </c>
      <c r="D75" s="723" t="s">
        <v>301</v>
      </c>
      <c r="E75" s="448" t="s">
        <v>1483</v>
      </c>
      <c r="F75" s="787">
        <f>'[1]SCH B-2.1'!$I$232+'[1]SCH B-2.1'!$I$233</f>
        <v>14731367</v>
      </c>
      <c r="G75" s="459">
        <f t="shared" si="9"/>
        <v>0</v>
      </c>
      <c r="H75" s="460">
        <f t="shared" si="10"/>
        <v>0</v>
      </c>
      <c r="I75" s="461">
        <f t="shared" si="11"/>
        <v>14731367</v>
      </c>
      <c r="J75" s="345">
        <f t="shared" si="12"/>
        <v>14731367</v>
      </c>
      <c r="K75" s="345">
        <f t="shared" si="13"/>
        <v>0</v>
      </c>
    </row>
    <row r="76" spans="1:11" ht="13">
      <c r="A76" s="331">
        <v>21</v>
      </c>
      <c r="C76" s="363" t="s">
        <v>415</v>
      </c>
      <c r="D76" s="723" t="s">
        <v>297</v>
      </c>
      <c r="E76" s="448" t="s">
        <v>1483</v>
      </c>
      <c r="F76" s="787">
        <f>'[1]SCH B-2.1'!$I$236+'[1]SCH B-2.1'!$I$237</f>
        <v>91485</v>
      </c>
      <c r="G76" s="459">
        <f t="shared" si="9"/>
        <v>0</v>
      </c>
      <c r="H76" s="460">
        <f t="shared" si="10"/>
        <v>0</v>
      </c>
      <c r="I76" s="461">
        <f t="shared" si="11"/>
        <v>91485</v>
      </c>
      <c r="J76" s="345">
        <f t="shared" si="12"/>
        <v>91485</v>
      </c>
      <c r="K76" s="345">
        <f t="shared" si="13"/>
        <v>0</v>
      </c>
    </row>
    <row r="77" spans="1:11" ht="13">
      <c r="A77" s="331">
        <v>22</v>
      </c>
      <c r="C77" s="330" t="s">
        <v>1269</v>
      </c>
      <c r="D77" s="723" t="s">
        <v>288</v>
      </c>
      <c r="E77" s="448" t="s">
        <v>1483</v>
      </c>
      <c r="F77" s="788">
        <f>'[1]SCH B-2.1'!$I$238</f>
        <v>0</v>
      </c>
      <c r="G77" s="459">
        <f t="shared" si="9"/>
        <v>0</v>
      </c>
      <c r="H77" s="460">
        <f t="shared" si="10"/>
        <v>0</v>
      </c>
      <c r="I77" s="461">
        <f t="shared" si="11"/>
        <v>0</v>
      </c>
      <c r="J77" s="345">
        <f t="shared" si="12"/>
        <v>0</v>
      </c>
      <c r="K77" s="345">
        <f t="shared" si="13"/>
        <v>0</v>
      </c>
    </row>
    <row r="78" spans="1:11" ht="13">
      <c r="A78" s="331">
        <v>23</v>
      </c>
      <c r="C78" s="337" t="s">
        <v>113</v>
      </c>
      <c r="D78" s="723"/>
      <c r="E78" s="195"/>
      <c r="F78" s="346">
        <f t="shared" ref="F78:K78" si="14">SUM(F68:F77)</f>
        <v>724889098</v>
      </c>
      <c r="G78" s="462">
        <f t="shared" si="14"/>
        <v>0</v>
      </c>
      <c r="H78" s="450">
        <f t="shared" si="14"/>
        <v>0</v>
      </c>
      <c r="I78" s="463">
        <f t="shared" si="14"/>
        <v>724889098</v>
      </c>
      <c r="J78" s="346">
        <f t="shared" si="14"/>
        <v>724889098</v>
      </c>
      <c r="K78" s="346">
        <f t="shared" si="14"/>
        <v>0</v>
      </c>
    </row>
    <row r="79" spans="1:11" ht="13">
      <c r="A79" s="331">
        <v>24</v>
      </c>
      <c r="D79" s="723"/>
      <c r="E79" s="195"/>
      <c r="G79" s="456"/>
      <c r="H79" s="457"/>
      <c r="I79" s="458"/>
    </row>
    <row r="80" spans="1:11" ht="13">
      <c r="A80" s="331">
        <v>25</v>
      </c>
      <c r="B80" s="330" t="s">
        <v>18</v>
      </c>
      <c r="D80" s="723"/>
      <c r="E80" s="195"/>
      <c r="F80" s="345">
        <f>F78+F63</f>
        <v>724889098</v>
      </c>
      <c r="G80" s="459">
        <f>G78+$G$63</f>
        <v>0</v>
      </c>
      <c r="H80" s="460">
        <f>H78+$H$63</f>
        <v>0</v>
      </c>
      <c r="I80" s="461">
        <f>I78+$I$63</f>
        <v>724889098</v>
      </c>
      <c r="J80" s="345">
        <f>J78+$J$63</f>
        <v>724889098</v>
      </c>
      <c r="K80" s="345">
        <f>K78+$K$63</f>
        <v>0</v>
      </c>
    </row>
    <row r="81" spans="1:17" ht="13">
      <c r="A81" s="331">
        <v>26</v>
      </c>
      <c r="B81" s="330" t="s">
        <v>19</v>
      </c>
      <c r="D81" s="723"/>
      <c r="E81" s="195"/>
      <c r="F81" s="345">
        <f t="shared" ref="F81:K81" si="15">F78+F65</f>
        <v>729514720</v>
      </c>
      <c r="G81" s="459">
        <f t="shared" si="15"/>
        <v>4625622</v>
      </c>
      <c r="H81" s="460">
        <f t="shared" si="15"/>
        <v>0</v>
      </c>
      <c r="I81" s="461">
        <f t="shared" si="15"/>
        <v>724889098</v>
      </c>
      <c r="J81" s="345">
        <f t="shared" si="15"/>
        <v>729514720</v>
      </c>
      <c r="K81" s="345">
        <f t="shared" si="15"/>
        <v>0</v>
      </c>
    </row>
    <row r="82" spans="1:17" ht="13">
      <c r="A82" s="331">
        <v>27</v>
      </c>
      <c r="D82" s="723"/>
      <c r="E82" s="195"/>
      <c r="G82" s="456"/>
      <c r="H82" s="457"/>
      <c r="I82" s="458"/>
    </row>
    <row r="83" spans="1:17" ht="13">
      <c r="A83" s="331">
        <v>28</v>
      </c>
      <c r="B83" s="330" t="s">
        <v>20</v>
      </c>
      <c r="D83" s="723"/>
      <c r="E83" s="195"/>
      <c r="G83" s="456"/>
      <c r="H83" s="457"/>
      <c r="I83" s="458"/>
    </row>
    <row r="84" spans="1:17" ht="13">
      <c r="A84" s="331">
        <v>29</v>
      </c>
      <c r="C84" s="330" t="s">
        <v>14</v>
      </c>
      <c r="D84" s="723" t="s">
        <v>287</v>
      </c>
      <c r="E84" s="448" t="s">
        <v>1483</v>
      </c>
      <c r="F84" s="473">
        <f>'WP FR-16(7)(v)-A&amp;G WP'!D12</f>
        <v>2861675</v>
      </c>
      <c r="G84" s="459">
        <f t="shared" ref="G84:G89" si="16">F84-SUM(H84:I84)</f>
        <v>2861675</v>
      </c>
      <c r="H84" s="460">
        <f t="shared" ref="H84:H89" si="17">ROUND(F84*VLOOKUP(D84,AllocTable_Functional,$H$10,FALSE),0)</f>
        <v>0</v>
      </c>
      <c r="I84" s="461">
        <f t="shared" ref="I84:I89" si="18">ROUND(F84*VLOOKUP(D84,AllocTable_Functional,$I$10,FALSE),0)</f>
        <v>0</v>
      </c>
      <c r="J84" s="345">
        <f t="shared" ref="J84:J89" si="19">SUM(G84:I84)</f>
        <v>2861675</v>
      </c>
      <c r="K84" s="345">
        <f t="shared" ref="K84:K89" si="20">F84-J84</f>
        <v>0</v>
      </c>
    </row>
    <row r="85" spans="1:17" ht="13">
      <c r="A85" s="331">
        <v>30</v>
      </c>
      <c r="C85" s="330" t="s">
        <v>366</v>
      </c>
      <c r="D85" s="723" t="s">
        <v>323</v>
      </c>
      <c r="E85" s="448" t="s">
        <v>1483</v>
      </c>
      <c r="F85" s="473">
        <f>'WP FR-16(7)(v)-A&amp;G WP'!D13</f>
        <v>2108436</v>
      </c>
      <c r="G85" s="459">
        <f t="shared" si="16"/>
        <v>2108436</v>
      </c>
      <c r="H85" s="460">
        <f t="shared" si="17"/>
        <v>0</v>
      </c>
      <c r="I85" s="461">
        <f t="shared" si="18"/>
        <v>0</v>
      </c>
      <c r="J85" s="345">
        <f t="shared" si="19"/>
        <v>2108436</v>
      </c>
      <c r="K85" s="345">
        <f t="shared" si="20"/>
        <v>0</v>
      </c>
    </row>
    <row r="86" spans="1:17" ht="13">
      <c r="A86" s="331">
        <v>31</v>
      </c>
      <c r="C86" s="330" t="s">
        <v>17</v>
      </c>
      <c r="D86" s="723" t="s">
        <v>324</v>
      </c>
      <c r="E86" s="448" t="s">
        <v>1483</v>
      </c>
      <c r="F86" s="473">
        <f>'WP FR-16(7)(v)-A&amp;G WP'!D15</f>
        <v>18849244</v>
      </c>
      <c r="G86" s="459">
        <f t="shared" si="16"/>
        <v>0</v>
      </c>
      <c r="H86" s="460">
        <f t="shared" si="17"/>
        <v>0</v>
      </c>
      <c r="I86" s="461">
        <f t="shared" si="18"/>
        <v>18849244</v>
      </c>
      <c r="J86" s="345">
        <f t="shared" si="19"/>
        <v>18849244</v>
      </c>
      <c r="K86" s="345">
        <f t="shared" si="20"/>
        <v>0</v>
      </c>
    </row>
    <row r="87" spans="1:17" ht="13">
      <c r="A87" s="331">
        <v>32</v>
      </c>
      <c r="C87" s="330" t="s">
        <v>51</v>
      </c>
      <c r="D87" s="723" t="s">
        <v>1007</v>
      </c>
      <c r="E87" s="448" t="s">
        <v>1483</v>
      </c>
      <c r="F87" s="473">
        <f>'WP FR-16(7)(v)-A&amp;G WP'!D16</f>
        <v>7459729</v>
      </c>
      <c r="G87" s="459">
        <f t="shared" si="16"/>
        <v>0</v>
      </c>
      <c r="H87" s="460">
        <f t="shared" si="17"/>
        <v>0</v>
      </c>
      <c r="I87" s="461">
        <f t="shared" si="18"/>
        <v>7459729</v>
      </c>
      <c r="J87" s="345">
        <f t="shared" si="19"/>
        <v>7459729</v>
      </c>
      <c r="K87" s="345">
        <f t="shared" si="20"/>
        <v>0</v>
      </c>
    </row>
    <row r="88" spans="1:17" ht="13">
      <c r="A88" s="331">
        <v>33</v>
      </c>
      <c r="C88" s="330" t="s">
        <v>52</v>
      </c>
      <c r="D88" s="723" t="s">
        <v>1010</v>
      </c>
      <c r="E88" s="448" t="s">
        <v>1483</v>
      </c>
      <c r="F88" s="473">
        <f>'WP FR-16(7)(v)-A&amp;G WP'!D17</f>
        <v>722179</v>
      </c>
      <c r="G88" s="459">
        <f t="shared" si="16"/>
        <v>0</v>
      </c>
      <c r="H88" s="460">
        <f t="shared" si="17"/>
        <v>0</v>
      </c>
      <c r="I88" s="461">
        <f t="shared" si="18"/>
        <v>722179</v>
      </c>
      <c r="J88" s="345">
        <f t="shared" si="19"/>
        <v>722179</v>
      </c>
      <c r="K88" s="345">
        <f t="shared" si="20"/>
        <v>0</v>
      </c>
    </row>
    <row r="89" spans="1:17" ht="13">
      <c r="A89" s="331">
        <v>34</v>
      </c>
      <c r="C89" s="330" t="s">
        <v>53</v>
      </c>
      <c r="D89" s="723" t="s">
        <v>1008</v>
      </c>
      <c r="E89" s="448" t="s">
        <v>1483</v>
      </c>
      <c r="F89" s="473">
        <f>'WP FR-16(7)(v)-A&amp;G WP'!D18</f>
        <v>0</v>
      </c>
      <c r="G89" s="459">
        <f t="shared" si="16"/>
        <v>0</v>
      </c>
      <c r="H89" s="460">
        <f t="shared" si="17"/>
        <v>0</v>
      </c>
      <c r="I89" s="461">
        <f t="shared" si="18"/>
        <v>0</v>
      </c>
      <c r="J89" s="345">
        <f t="shared" si="19"/>
        <v>0</v>
      </c>
      <c r="K89" s="345">
        <f t="shared" si="20"/>
        <v>0</v>
      </c>
    </row>
    <row r="90" spans="1:17" ht="13">
      <c r="A90" s="331">
        <v>35</v>
      </c>
      <c r="C90" s="337" t="s">
        <v>114</v>
      </c>
      <c r="D90" s="723"/>
      <c r="E90" s="195"/>
      <c r="F90" s="474">
        <f t="shared" ref="F90:K90" si="21">SUM(F84:F89)</f>
        <v>32001263</v>
      </c>
      <c r="G90" s="462">
        <f t="shared" si="21"/>
        <v>4970111</v>
      </c>
      <c r="H90" s="450">
        <f t="shared" si="21"/>
        <v>0</v>
      </c>
      <c r="I90" s="463">
        <f t="shared" si="21"/>
        <v>27031152</v>
      </c>
      <c r="J90" s="346">
        <f t="shared" si="21"/>
        <v>32001263</v>
      </c>
      <c r="K90" s="346">
        <f t="shared" si="21"/>
        <v>0</v>
      </c>
    </row>
    <row r="91" spans="1:17" ht="13">
      <c r="A91" s="331">
        <v>36</v>
      </c>
      <c r="D91" s="723"/>
      <c r="E91" s="195"/>
      <c r="G91" s="456"/>
      <c r="H91" s="457"/>
      <c r="I91" s="458"/>
      <c r="Q91" s="333"/>
    </row>
    <row r="92" spans="1:17" ht="13">
      <c r="A92" s="331">
        <v>37</v>
      </c>
      <c r="B92" s="330" t="s">
        <v>21</v>
      </c>
      <c r="D92" s="723"/>
      <c r="E92" s="195"/>
      <c r="G92" s="456"/>
      <c r="H92" s="457"/>
      <c r="I92" s="458"/>
    </row>
    <row r="93" spans="1:17" ht="13">
      <c r="A93" s="331">
        <v>38</v>
      </c>
      <c r="C93" s="330" t="s">
        <v>14</v>
      </c>
      <c r="D93" s="723" t="s">
        <v>287</v>
      </c>
      <c r="E93" s="448" t="s">
        <v>1483</v>
      </c>
      <c r="F93" s="473">
        <f>'WP FR-16(7)(v)-A&amp;G WP'!F12</f>
        <v>920366</v>
      </c>
      <c r="G93" s="459">
        <f t="shared" ref="G93:G98" si="22">F93-SUM(H93:I93)</f>
        <v>920366</v>
      </c>
      <c r="H93" s="460">
        <f t="shared" ref="H93:H98" si="23">ROUND(F93*VLOOKUP(D93,AllocTable_Functional,$H$10,FALSE),0)</f>
        <v>0</v>
      </c>
      <c r="I93" s="461">
        <f t="shared" ref="I93:I98" si="24">ROUND(F93*VLOOKUP(D93,AllocTable_Functional,$I$10,FALSE),0)</f>
        <v>0</v>
      </c>
      <c r="J93" s="345">
        <f t="shared" ref="J93:J98" si="25">SUM(G93:I93)</f>
        <v>920366</v>
      </c>
      <c r="K93" s="345">
        <f t="shared" ref="K93:K98" si="26">F93-J93</f>
        <v>0</v>
      </c>
    </row>
    <row r="94" spans="1:17" ht="13">
      <c r="A94" s="331">
        <v>39</v>
      </c>
      <c r="C94" s="330" t="s">
        <v>366</v>
      </c>
      <c r="D94" s="723" t="s">
        <v>323</v>
      </c>
      <c r="E94" s="448" t="s">
        <v>1483</v>
      </c>
      <c r="F94" s="473">
        <f>'WP FR-16(7)(v)-A&amp;G WP'!F13</f>
        <v>678111</v>
      </c>
      <c r="G94" s="459">
        <f t="shared" si="22"/>
        <v>678111</v>
      </c>
      <c r="H94" s="460">
        <f t="shared" si="23"/>
        <v>0</v>
      </c>
      <c r="I94" s="461">
        <f t="shared" si="24"/>
        <v>0</v>
      </c>
      <c r="J94" s="345">
        <f t="shared" si="25"/>
        <v>678111</v>
      </c>
      <c r="K94" s="345">
        <f t="shared" si="26"/>
        <v>0</v>
      </c>
    </row>
    <row r="95" spans="1:17" ht="13">
      <c r="A95" s="331">
        <v>40</v>
      </c>
      <c r="C95" s="330" t="s">
        <v>17</v>
      </c>
      <c r="D95" s="723" t="s">
        <v>324</v>
      </c>
      <c r="E95" s="448" t="s">
        <v>1483</v>
      </c>
      <c r="F95" s="473">
        <f>'WP FR-16(7)(v)-A&amp;G WP'!F15</f>
        <v>6062254</v>
      </c>
      <c r="G95" s="459">
        <f t="shared" si="22"/>
        <v>0</v>
      </c>
      <c r="H95" s="460">
        <f t="shared" si="23"/>
        <v>0</v>
      </c>
      <c r="I95" s="461">
        <f t="shared" si="24"/>
        <v>6062254</v>
      </c>
      <c r="J95" s="345">
        <f t="shared" si="25"/>
        <v>6062254</v>
      </c>
      <c r="K95" s="345">
        <f t="shared" si="26"/>
        <v>0</v>
      </c>
    </row>
    <row r="96" spans="1:17" ht="13">
      <c r="A96" s="331">
        <v>41</v>
      </c>
      <c r="C96" s="330" t="s">
        <v>51</v>
      </c>
      <c r="D96" s="723" t="s">
        <v>1007</v>
      </c>
      <c r="E96" s="448" t="s">
        <v>1483</v>
      </c>
      <c r="F96" s="473">
        <f>'WP FR-16(7)(v)-A&amp;G WP'!F16</f>
        <v>2399182</v>
      </c>
      <c r="G96" s="459">
        <f t="shared" si="22"/>
        <v>0</v>
      </c>
      <c r="H96" s="460">
        <f t="shared" si="23"/>
        <v>0</v>
      </c>
      <c r="I96" s="461">
        <f t="shared" si="24"/>
        <v>2399182</v>
      </c>
      <c r="J96" s="345">
        <f t="shared" si="25"/>
        <v>2399182</v>
      </c>
      <c r="K96" s="345">
        <f t="shared" si="26"/>
        <v>0</v>
      </c>
    </row>
    <row r="97" spans="1:15" ht="13">
      <c r="A97" s="331">
        <v>42</v>
      </c>
      <c r="C97" s="330" t="s">
        <v>52</v>
      </c>
      <c r="D97" s="723" t="s">
        <v>1010</v>
      </c>
      <c r="E97" s="448" t="s">
        <v>1483</v>
      </c>
      <c r="F97" s="473">
        <f>'WP FR-16(7)(v)-A&amp;G WP'!F17</f>
        <v>232266</v>
      </c>
      <c r="G97" s="459">
        <f t="shared" si="22"/>
        <v>0</v>
      </c>
      <c r="H97" s="460">
        <f t="shared" si="23"/>
        <v>0</v>
      </c>
      <c r="I97" s="461">
        <f t="shared" si="24"/>
        <v>232266</v>
      </c>
      <c r="J97" s="345">
        <f t="shared" si="25"/>
        <v>232266</v>
      </c>
      <c r="K97" s="345">
        <f t="shared" si="26"/>
        <v>0</v>
      </c>
    </row>
    <row r="98" spans="1:15" ht="13">
      <c r="A98" s="331">
        <v>43</v>
      </c>
      <c r="C98" s="363" t="s">
        <v>53</v>
      </c>
      <c r="D98" s="723" t="s">
        <v>1008</v>
      </c>
      <c r="E98" s="448" t="s">
        <v>1483</v>
      </c>
      <c r="F98" s="473">
        <f>'WP FR-16(7)(v)-A&amp;G WP'!F18</f>
        <v>0</v>
      </c>
      <c r="G98" s="459">
        <f t="shared" si="22"/>
        <v>0</v>
      </c>
      <c r="H98" s="460">
        <f t="shared" si="23"/>
        <v>0</v>
      </c>
      <c r="I98" s="461">
        <f t="shared" si="24"/>
        <v>0</v>
      </c>
      <c r="J98" s="345">
        <f t="shared" si="25"/>
        <v>0</v>
      </c>
      <c r="K98" s="345">
        <f t="shared" si="26"/>
        <v>0</v>
      </c>
    </row>
    <row r="99" spans="1:15" ht="13">
      <c r="A99" s="331">
        <v>44</v>
      </c>
      <c r="C99" s="337" t="s">
        <v>1191</v>
      </c>
      <c r="E99" s="195"/>
      <c r="F99" s="346">
        <f t="shared" ref="F99:K99" si="27">SUM(F93:F98)</f>
        <v>10292179</v>
      </c>
      <c r="G99" s="462">
        <f t="shared" si="27"/>
        <v>1598477</v>
      </c>
      <c r="H99" s="450">
        <f t="shared" si="27"/>
        <v>0</v>
      </c>
      <c r="I99" s="463">
        <f t="shared" si="27"/>
        <v>8693702</v>
      </c>
      <c r="J99" s="346">
        <f t="shared" si="27"/>
        <v>10292179</v>
      </c>
      <c r="K99" s="346">
        <f t="shared" si="27"/>
        <v>0</v>
      </c>
    </row>
    <row r="100" spans="1:15" ht="13">
      <c r="A100" s="331">
        <v>45</v>
      </c>
      <c r="E100" s="195"/>
      <c r="G100" s="456"/>
      <c r="H100" s="457"/>
      <c r="I100" s="458"/>
    </row>
    <row r="101" spans="1:15" ht="13">
      <c r="A101" s="331">
        <v>46</v>
      </c>
      <c r="B101" s="330" t="s">
        <v>95</v>
      </c>
      <c r="E101" s="195"/>
      <c r="F101" s="345">
        <f t="shared" ref="F101:K101" si="28">F81+F90+F99</f>
        <v>771808162</v>
      </c>
      <c r="G101" s="478">
        <f t="shared" si="28"/>
        <v>11194210</v>
      </c>
      <c r="H101" s="479">
        <f t="shared" si="28"/>
        <v>0</v>
      </c>
      <c r="I101" s="480">
        <f t="shared" si="28"/>
        <v>760613952</v>
      </c>
      <c r="J101" s="345">
        <f t="shared" si="28"/>
        <v>771808162</v>
      </c>
      <c r="K101" s="345">
        <f t="shared" si="28"/>
        <v>0</v>
      </c>
      <c r="M101" s="1028">
        <f>ROUND(G101/F101,4)</f>
        <v>1.4500000000000001E-2</v>
      </c>
      <c r="N101" s="1028">
        <f>ROUND(H101/F101,4)</f>
        <v>0</v>
      </c>
      <c r="O101" s="1028">
        <f>ROUND(I101/F101,4)</f>
        <v>0.98550000000000004</v>
      </c>
    </row>
    <row r="102" spans="1:15" ht="13">
      <c r="B102" s="341"/>
      <c r="C102" s="195"/>
      <c r="D102" s="342"/>
      <c r="E102" s="195"/>
      <c r="F102" s="195"/>
      <c r="G102" s="195"/>
      <c r="H102" s="195"/>
      <c r="I102" s="195"/>
      <c r="J102" s="195"/>
      <c r="K102" s="195"/>
    </row>
    <row r="103" spans="1:15" ht="13">
      <c r="A103" s="341" t="str">
        <f>co_name</f>
        <v>DUKE ENERGY KENTUCKY, INC.</v>
      </c>
      <c r="C103" s="195"/>
      <c r="D103" s="342"/>
      <c r="E103" s="195"/>
      <c r="F103" s="195"/>
      <c r="G103" s="195"/>
      <c r="H103" s="195"/>
      <c r="I103" s="195"/>
      <c r="J103" s="195" t="str">
        <f>$J$1</f>
        <v>FR-16(7)(v)-1</v>
      </c>
      <c r="K103" s="195"/>
    </row>
    <row r="104" spans="1:15" ht="13">
      <c r="A104" s="341" t="str">
        <f>$A$2</f>
        <v>FUNCTIONAL GAS COST OF SERVICE</v>
      </c>
      <c r="C104" s="195"/>
      <c r="D104" s="342"/>
      <c r="E104" s="195"/>
      <c r="F104" s="195"/>
      <c r="G104" s="195"/>
      <c r="H104" s="195"/>
      <c r="I104" s="195"/>
      <c r="J104" s="195" t="str">
        <f>$J$2</f>
        <v>WITNESS RESPONSIBLE:</v>
      </c>
      <c r="K104" s="195"/>
    </row>
    <row r="105" spans="1:15" ht="13">
      <c r="A105" s="341" t="str">
        <f>case_name</f>
        <v>CASE NO: 2021-00190</v>
      </c>
      <c r="C105" s="195"/>
      <c r="D105" s="342"/>
      <c r="E105" s="195"/>
      <c r="F105" s="195"/>
      <c r="G105" s="195"/>
      <c r="H105" s="195"/>
      <c r="I105" s="195"/>
      <c r="J105" s="195" t="str">
        <f>Witness</f>
        <v>JAMES E. ZIOLKOWSKI</v>
      </c>
      <c r="K105" s="195"/>
    </row>
    <row r="106" spans="1:15" ht="13">
      <c r="A106" s="341" t="str">
        <f>data_filing</f>
        <v>DATA: 12 MONTH FORECASTED PERIOD</v>
      </c>
      <c r="C106" s="195"/>
      <c r="D106" s="342"/>
      <c r="E106" s="195"/>
      <c r="F106" s="195"/>
      <c r="G106" s="195"/>
      <c r="H106" s="195"/>
      <c r="I106" s="195"/>
      <c r="J106" s="195" t="str">
        <f>"PAGE "&amp;Pages-15&amp;" OF "&amp;Pages</f>
        <v>PAGE 3 OF 18</v>
      </c>
      <c r="K106" s="195"/>
    </row>
    <row r="107" spans="1:15" ht="13">
      <c r="A107" s="341" t="str">
        <f>type</f>
        <v xml:space="preserve">TYPE OF FILING: "X" ORIGINAL   UPDATED    REVISED  </v>
      </c>
      <c r="C107" s="195"/>
      <c r="D107" s="342"/>
      <c r="E107" s="195"/>
      <c r="F107" s="195"/>
      <c r="G107" s="195"/>
      <c r="H107" s="195"/>
      <c r="I107" s="195"/>
      <c r="J107" s="195"/>
      <c r="K107" s="195"/>
    </row>
    <row r="108" spans="1:15" ht="13">
      <c r="A108" s="341"/>
      <c r="C108" s="195"/>
      <c r="D108" s="342"/>
      <c r="E108" s="195"/>
      <c r="F108" s="195"/>
      <c r="G108" s="195"/>
      <c r="H108" s="195"/>
      <c r="I108" s="195"/>
      <c r="J108" s="195"/>
      <c r="K108" s="195"/>
    </row>
    <row r="109" spans="1:15" ht="13">
      <c r="B109" s="341"/>
      <c r="C109" s="195"/>
      <c r="D109" s="342"/>
      <c r="E109" s="195"/>
      <c r="F109" s="195"/>
      <c r="G109" s="195"/>
      <c r="H109" s="195"/>
      <c r="I109" s="195"/>
      <c r="J109" s="195"/>
      <c r="K109" s="195"/>
    </row>
    <row r="110" spans="1:15" ht="13">
      <c r="A110" s="342" t="s">
        <v>907</v>
      </c>
      <c r="B110" s="195"/>
      <c r="C110" s="195"/>
      <c r="D110" s="342"/>
      <c r="E110" s="195"/>
      <c r="F110" s="342" t="s">
        <v>229</v>
      </c>
      <c r="G110" s="467" t="s">
        <v>971</v>
      </c>
      <c r="H110" s="468"/>
      <c r="I110" s="469"/>
      <c r="J110" s="342" t="s">
        <v>229</v>
      </c>
      <c r="K110" s="342" t="s">
        <v>342</v>
      </c>
    </row>
    <row r="111" spans="1:15" ht="13">
      <c r="A111" s="344" t="s">
        <v>908</v>
      </c>
      <c r="B111" s="343" t="s">
        <v>22</v>
      </c>
      <c r="C111" s="343"/>
      <c r="D111" s="344" t="s">
        <v>337</v>
      </c>
      <c r="E111" s="343"/>
      <c r="F111" s="344" t="s">
        <v>284</v>
      </c>
      <c r="G111" s="454" t="s">
        <v>838</v>
      </c>
      <c r="H111" s="449" t="s">
        <v>970</v>
      </c>
      <c r="I111" s="455" t="s">
        <v>839</v>
      </c>
      <c r="J111" s="344" t="s">
        <v>341</v>
      </c>
      <c r="K111" s="344" t="s">
        <v>340</v>
      </c>
    </row>
    <row r="112" spans="1:15" ht="13">
      <c r="C112" s="572" t="s">
        <v>345</v>
      </c>
      <c r="D112" s="342"/>
      <c r="E112" s="195"/>
      <c r="G112" s="622">
        <f>$G$10</f>
        <v>3</v>
      </c>
      <c r="H112" s="623">
        <f>$H$10</f>
        <v>4</v>
      </c>
      <c r="I112" s="624">
        <f>$I$10</f>
        <v>5</v>
      </c>
    </row>
    <row r="113" spans="1:15" ht="13">
      <c r="A113" s="331">
        <v>1</v>
      </c>
      <c r="B113" s="330" t="s">
        <v>14</v>
      </c>
      <c r="D113" s="342"/>
      <c r="E113" s="195"/>
      <c r="G113" s="456"/>
      <c r="H113" s="457"/>
      <c r="I113" s="458"/>
    </row>
    <row r="114" spans="1:15" ht="13">
      <c r="A114" s="331">
        <v>2</v>
      </c>
      <c r="C114" s="363" t="s">
        <v>14</v>
      </c>
      <c r="D114" s="723" t="s">
        <v>289</v>
      </c>
      <c r="E114" s="448" t="s">
        <v>1483</v>
      </c>
      <c r="F114" s="787">
        <f>'[1]SCH B-3'!$K$227</f>
        <v>2553891</v>
      </c>
      <c r="G114" s="459">
        <f>F114-SUM(H114:I114)</f>
        <v>2553891</v>
      </c>
      <c r="H114" s="460">
        <f>ROUND(F114*VLOOKUP(D114,AllocTable_Functional,$H$10,FALSE),0)</f>
        <v>0</v>
      </c>
      <c r="I114" s="461">
        <f>ROUND(F114*VLOOKUP(D114,AllocTable_Functional,$I$10,FALSE),0)</f>
        <v>0</v>
      </c>
      <c r="J114" s="345">
        <f>SUM(G114:I114)</f>
        <v>2553891</v>
      </c>
      <c r="K114" s="345">
        <f>F114-J114</f>
        <v>0</v>
      </c>
    </row>
    <row r="115" spans="1:15" ht="13">
      <c r="A115" s="331">
        <v>3</v>
      </c>
      <c r="C115" s="337" t="s">
        <v>116</v>
      </c>
      <c r="D115" s="723"/>
      <c r="E115" s="195"/>
      <c r="F115" s="346">
        <f t="shared" ref="F115:K115" si="29">SUM(F114:F114)</f>
        <v>2553891</v>
      </c>
      <c r="G115" s="462">
        <f t="shared" si="29"/>
        <v>2553891</v>
      </c>
      <c r="H115" s="450">
        <f t="shared" si="29"/>
        <v>0</v>
      </c>
      <c r="I115" s="463">
        <f t="shared" si="29"/>
        <v>0</v>
      </c>
      <c r="J115" s="346">
        <f t="shared" si="29"/>
        <v>2553891</v>
      </c>
      <c r="K115" s="346">
        <f t="shared" si="29"/>
        <v>0</v>
      </c>
    </row>
    <row r="116" spans="1:15" ht="13">
      <c r="A116" s="331">
        <v>4</v>
      </c>
      <c r="D116" s="723"/>
      <c r="E116" s="195"/>
      <c r="G116" s="456"/>
      <c r="H116" s="457"/>
      <c r="I116" s="458"/>
    </row>
    <row r="117" spans="1:15" ht="13">
      <c r="A117" s="331">
        <v>5</v>
      </c>
      <c r="B117" s="330" t="s">
        <v>15</v>
      </c>
      <c r="D117" s="723"/>
      <c r="E117" s="195"/>
      <c r="G117" s="456"/>
      <c r="H117" s="457"/>
      <c r="I117" s="458"/>
    </row>
    <row r="118" spans="1:15" ht="13">
      <c r="A118" s="331">
        <v>6</v>
      </c>
      <c r="C118" s="357" t="s">
        <v>15</v>
      </c>
      <c r="D118" s="723" t="s">
        <v>343</v>
      </c>
      <c r="E118" s="195"/>
      <c r="F118" s="471"/>
      <c r="G118" s="459"/>
      <c r="H118" s="460"/>
      <c r="I118" s="461"/>
      <c r="J118" s="345"/>
      <c r="K118" s="345"/>
    </row>
    <row r="119" spans="1:15" ht="13">
      <c r="A119" s="331">
        <v>7</v>
      </c>
      <c r="C119" s="330" t="s">
        <v>117</v>
      </c>
      <c r="D119" s="723"/>
      <c r="E119" s="195"/>
      <c r="F119" s="346">
        <f t="shared" ref="F119:K119" si="30">SUM(F118:F118)</f>
        <v>0</v>
      </c>
      <c r="G119" s="462">
        <f t="shared" si="30"/>
        <v>0</v>
      </c>
      <c r="H119" s="450">
        <f t="shared" si="30"/>
        <v>0</v>
      </c>
      <c r="I119" s="463">
        <f t="shared" si="30"/>
        <v>0</v>
      </c>
      <c r="J119" s="346">
        <f t="shared" si="30"/>
        <v>0</v>
      </c>
      <c r="K119" s="346">
        <f t="shared" si="30"/>
        <v>0</v>
      </c>
    </row>
    <row r="120" spans="1:15" ht="13">
      <c r="A120" s="331">
        <v>8</v>
      </c>
      <c r="D120" s="723"/>
      <c r="E120" s="195"/>
      <c r="G120" s="456"/>
      <c r="H120" s="457"/>
      <c r="I120" s="458"/>
    </row>
    <row r="121" spans="1:15" ht="13">
      <c r="A121" s="331">
        <v>9</v>
      </c>
      <c r="B121" s="330" t="s">
        <v>17</v>
      </c>
      <c r="D121" s="723"/>
      <c r="E121" s="195"/>
      <c r="G121" s="456"/>
      <c r="H121" s="457"/>
      <c r="I121" s="458"/>
    </row>
    <row r="122" spans="1:15" ht="13">
      <c r="A122" s="331">
        <v>10</v>
      </c>
      <c r="C122" s="330" t="s">
        <v>392</v>
      </c>
      <c r="D122" s="723" t="s">
        <v>288</v>
      </c>
      <c r="E122" s="448" t="s">
        <v>1483</v>
      </c>
      <c r="F122" s="787">
        <f>'[1]SCH B-3'!$K$265+'[1]SCH B-3'!$K$266</f>
        <v>2581527</v>
      </c>
      <c r="G122" s="459">
        <f t="shared" ref="G122:G130" si="31">F122-SUM(H122:I122)</f>
        <v>0</v>
      </c>
      <c r="H122" s="460">
        <f t="shared" ref="H122:H130" si="32">ROUND(F122*VLOOKUP(D122,AllocTable_Functional,$H$10,FALSE),0)</f>
        <v>0</v>
      </c>
      <c r="I122" s="461">
        <f t="shared" ref="I122:I130" si="33">ROUND(F122*VLOOKUP(D122,AllocTable_Functional,$I$10,FALSE),0)</f>
        <v>2581527</v>
      </c>
      <c r="J122" s="345">
        <f t="shared" ref="J122:J130" si="34">SUM(G122:I122)</f>
        <v>2581527</v>
      </c>
      <c r="K122" s="345">
        <f t="shared" ref="K122:K130" si="35">F122-J122</f>
        <v>0</v>
      </c>
      <c r="M122" s="351"/>
      <c r="N122" s="351"/>
      <c r="O122" s="351"/>
    </row>
    <row r="123" spans="1:15" ht="13">
      <c r="A123" s="331">
        <v>11</v>
      </c>
      <c r="C123" s="330" t="s">
        <v>409</v>
      </c>
      <c r="D123" s="723" t="s">
        <v>288</v>
      </c>
      <c r="E123" s="448" t="s">
        <v>1483</v>
      </c>
      <c r="F123" s="787">
        <f>'[1]SCH B-3'!$K$267</f>
        <v>1211353</v>
      </c>
      <c r="G123" s="459">
        <f t="shared" si="31"/>
        <v>0</v>
      </c>
      <c r="H123" s="460">
        <f t="shared" si="32"/>
        <v>0</v>
      </c>
      <c r="I123" s="461">
        <f t="shared" si="33"/>
        <v>1211353</v>
      </c>
      <c r="J123" s="345">
        <f t="shared" si="34"/>
        <v>1211353</v>
      </c>
      <c r="K123" s="345">
        <f t="shared" si="35"/>
        <v>0</v>
      </c>
      <c r="M123" s="351"/>
      <c r="N123" s="351"/>
      <c r="O123" s="351"/>
    </row>
    <row r="124" spans="1:15" ht="13">
      <c r="A124" s="331">
        <v>12</v>
      </c>
      <c r="C124" s="330" t="s">
        <v>393</v>
      </c>
      <c r="D124" s="723" t="s">
        <v>296</v>
      </c>
      <c r="E124" s="448" t="s">
        <v>1483</v>
      </c>
      <c r="F124" s="787">
        <f>'[1]SCH B-3'!$K$275+'[1]SCH B-3'!$K$276</f>
        <v>509867</v>
      </c>
      <c r="G124" s="459">
        <f t="shared" si="31"/>
        <v>0</v>
      </c>
      <c r="H124" s="460">
        <f t="shared" si="32"/>
        <v>0</v>
      </c>
      <c r="I124" s="461">
        <f t="shared" si="33"/>
        <v>509867</v>
      </c>
      <c r="J124" s="345">
        <f t="shared" si="34"/>
        <v>509867</v>
      </c>
      <c r="K124" s="345">
        <f t="shared" si="35"/>
        <v>0</v>
      </c>
      <c r="M124" s="351"/>
      <c r="N124" s="351"/>
      <c r="O124" s="351"/>
    </row>
    <row r="125" spans="1:15" ht="13">
      <c r="A125" s="331">
        <v>13</v>
      </c>
      <c r="C125" s="330" t="s">
        <v>394</v>
      </c>
      <c r="D125" s="723" t="s">
        <v>295</v>
      </c>
      <c r="E125" s="448" t="s">
        <v>1483</v>
      </c>
      <c r="F125" s="787">
        <f>'[1]SCH B-3'!$K$261+'[1]SCH B-3'!$K$262+'[1]SCH B-3'!$K$263+'[1]SCH B-3'!$K$264+[1]SCH_D2.23!$J$27-[1]SCH_B1!$S$63</f>
        <v>113499887</v>
      </c>
      <c r="G125" s="459">
        <f t="shared" si="31"/>
        <v>0</v>
      </c>
      <c r="H125" s="460">
        <f t="shared" si="32"/>
        <v>0</v>
      </c>
      <c r="I125" s="461">
        <f t="shared" si="33"/>
        <v>113499887</v>
      </c>
      <c r="J125" s="345">
        <f t="shared" si="34"/>
        <v>113499887</v>
      </c>
      <c r="K125" s="345">
        <f t="shared" si="35"/>
        <v>0</v>
      </c>
      <c r="M125" s="351"/>
      <c r="N125" s="351"/>
      <c r="O125" s="351"/>
    </row>
    <row r="126" spans="1:15" ht="13">
      <c r="A126" s="331">
        <v>14</v>
      </c>
      <c r="C126" s="330" t="s">
        <v>395</v>
      </c>
      <c r="D126" s="723" t="s">
        <v>292</v>
      </c>
      <c r="E126" s="448" t="s">
        <v>1483</v>
      </c>
      <c r="F126" s="787">
        <f>'[1]SCH B-3'!$K$268+'[1]SCH B-3'!$K$269+'[1]SCH B-3'!$K$270</f>
        <v>61310319</v>
      </c>
      <c r="G126" s="459">
        <f t="shared" si="31"/>
        <v>0</v>
      </c>
      <c r="H126" s="460">
        <f t="shared" si="32"/>
        <v>0</v>
      </c>
      <c r="I126" s="461">
        <f t="shared" si="33"/>
        <v>61310319</v>
      </c>
      <c r="J126" s="345">
        <f t="shared" si="34"/>
        <v>61310319</v>
      </c>
      <c r="K126" s="345">
        <f t="shared" si="35"/>
        <v>0</v>
      </c>
      <c r="M126" s="351"/>
      <c r="N126" s="351"/>
      <c r="O126" s="351"/>
    </row>
    <row r="127" spans="1:15" ht="13">
      <c r="A127" s="331">
        <v>15</v>
      </c>
      <c r="C127" s="330" t="s">
        <v>396</v>
      </c>
      <c r="D127" s="723" t="s">
        <v>294</v>
      </c>
      <c r="E127" s="448" t="s">
        <v>1483</v>
      </c>
      <c r="F127" s="787">
        <f>'[1]SCH B-3'!$K$271+'[1]SCH B-3'!$K$272</f>
        <v>-895430</v>
      </c>
      <c r="G127" s="459">
        <f t="shared" si="31"/>
        <v>0</v>
      </c>
      <c r="H127" s="460">
        <f t="shared" si="32"/>
        <v>0</v>
      </c>
      <c r="I127" s="461">
        <f t="shared" si="33"/>
        <v>-895430</v>
      </c>
      <c r="J127" s="345">
        <f t="shared" si="34"/>
        <v>-895430</v>
      </c>
      <c r="K127" s="345">
        <f t="shared" si="35"/>
        <v>0</v>
      </c>
      <c r="M127" s="351"/>
      <c r="N127" s="351"/>
      <c r="O127" s="351"/>
    </row>
    <row r="128" spans="1:15" ht="13">
      <c r="A128" s="331">
        <v>16</v>
      </c>
      <c r="C128" s="330" t="s">
        <v>410</v>
      </c>
      <c r="D128" s="723" t="s">
        <v>288</v>
      </c>
      <c r="E128" s="448" t="s">
        <v>1483</v>
      </c>
      <c r="F128" s="787">
        <f>'[1]SCH B-3'!$K$258+'[1]SCH B-3'!$K$259+'[1]SCH B-3'!$K$260</f>
        <v>701479</v>
      </c>
      <c r="G128" s="459">
        <f t="shared" si="31"/>
        <v>0</v>
      </c>
      <c r="H128" s="460">
        <f t="shared" si="32"/>
        <v>0</v>
      </c>
      <c r="I128" s="461">
        <f t="shared" si="33"/>
        <v>701479</v>
      </c>
      <c r="J128" s="345">
        <f t="shared" si="34"/>
        <v>701479</v>
      </c>
      <c r="K128" s="345">
        <f t="shared" si="35"/>
        <v>0</v>
      </c>
      <c r="M128" s="351"/>
      <c r="N128" s="351"/>
      <c r="O128" s="351"/>
    </row>
    <row r="129" spans="1:15" ht="13">
      <c r="A129" s="331">
        <v>17</v>
      </c>
      <c r="C129" s="330" t="s">
        <v>397</v>
      </c>
      <c r="D129" s="723" t="s">
        <v>301</v>
      </c>
      <c r="E129" s="448" t="s">
        <v>1483</v>
      </c>
      <c r="F129" s="787">
        <f>'[1]SCH B-3'!$K$273+'[1]SCH B-3'!$K$274</f>
        <v>5948247</v>
      </c>
      <c r="G129" s="459">
        <f t="shared" si="31"/>
        <v>0</v>
      </c>
      <c r="H129" s="460">
        <f t="shared" si="32"/>
        <v>0</v>
      </c>
      <c r="I129" s="461">
        <f t="shared" si="33"/>
        <v>5948247</v>
      </c>
      <c r="J129" s="345">
        <f t="shared" si="34"/>
        <v>5948247</v>
      </c>
      <c r="K129" s="345">
        <f t="shared" si="35"/>
        <v>0</v>
      </c>
      <c r="M129" s="351"/>
      <c r="N129" s="351"/>
      <c r="O129" s="351"/>
    </row>
    <row r="130" spans="1:15" ht="13">
      <c r="A130" s="331">
        <v>18</v>
      </c>
      <c r="C130" s="357" t="s">
        <v>415</v>
      </c>
      <c r="D130" s="723" t="s">
        <v>297</v>
      </c>
      <c r="E130" s="448" t="s">
        <v>1483</v>
      </c>
      <c r="F130" s="787">
        <f>'[1]SCH B-3'!$K$277+'[1]SCH B-3'!$K$278+'[1]SCH B-3'!$K$279+'[1]SCH B-3'!$K$280+'[1]SCH B-3'!$K$281</f>
        <v>-3476871</v>
      </c>
      <c r="G130" s="459">
        <f t="shared" si="31"/>
        <v>0</v>
      </c>
      <c r="H130" s="460">
        <f t="shared" si="32"/>
        <v>0</v>
      </c>
      <c r="I130" s="461">
        <f t="shared" si="33"/>
        <v>-3476871</v>
      </c>
      <c r="J130" s="345">
        <f t="shared" si="34"/>
        <v>-3476871</v>
      </c>
      <c r="K130" s="345">
        <f t="shared" si="35"/>
        <v>0</v>
      </c>
      <c r="M130" s="351"/>
      <c r="N130" s="351"/>
      <c r="O130" s="351"/>
    </row>
    <row r="131" spans="1:15" ht="13">
      <c r="A131" s="331">
        <v>19</v>
      </c>
      <c r="C131" s="330" t="s">
        <v>118</v>
      </c>
      <c r="D131" s="723"/>
      <c r="E131" s="195"/>
      <c r="F131" s="346">
        <f t="shared" ref="F131:K131" si="36">SUM(F121:F130)</f>
        <v>181390378</v>
      </c>
      <c r="G131" s="462">
        <f t="shared" si="36"/>
        <v>0</v>
      </c>
      <c r="H131" s="450">
        <f t="shared" si="36"/>
        <v>0</v>
      </c>
      <c r="I131" s="463">
        <f t="shared" si="36"/>
        <v>181390378</v>
      </c>
      <c r="J131" s="346">
        <f t="shared" si="36"/>
        <v>181390378</v>
      </c>
      <c r="K131" s="346">
        <f t="shared" si="36"/>
        <v>0</v>
      </c>
      <c r="M131" s="351"/>
      <c r="N131" s="351"/>
      <c r="O131" s="351"/>
    </row>
    <row r="132" spans="1:15" ht="13">
      <c r="A132" s="331">
        <v>20</v>
      </c>
      <c r="D132" s="723"/>
      <c r="E132" s="195"/>
      <c r="G132" s="456"/>
      <c r="H132" s="457"/>
      <c r="I132" s="458"/>
      <c r="M132" s="351"/>
      <c r="N132" s="351"/>
      <c r="O132" s="351"/>
    </row>
    <row r="133" spans="1:15" ht="13">
      <c r="A133" s="331">
        <v>21</v>
      </c>
      <c r="B133" s="330" t="s">
        <v>20</v>
      </c>
      <c r="D133" s="723"/>
      <c r="E133" s="195"/>
      <c r="G133" s="456"/>
      <c r="H133" s="457"/>
      <c r="I133" s="458"/>
      <c r="M133" s="351"/>
      <c r="N133" s="351"/>
      <c r="O133" s="351"/>
    </row>
    <row r="134" spans="1:15" ht="13">
      <c r="A134" s="331">
        <v>22</v>
      </c>
      <c r="C134" s="330" t="s">
        <v>14</v>
      </c>
      <c r="D134" s="723" t="s">
        <v>287</v>
      </c>
      <c r="E134" s="448" t="s">
        <v>1483</v>
      </c>
      <c r="F134" s="473">
        <f>'WP FR-16(7)(v)-A&amp;G WP'!E12</f>
        <v>1408783</v>
      </c>
      <c r="G134" s="459">
        <f t="shared" ref="G134:G139" si="37">F134-SUM(H134:I134)</f>
        <v>1408783</v>
      </c>
      <c r="H134" s="460">
        <f t="shared" ref="H134:H139" si="38">ROUND(F134*VLOOKUP(D134,AllocTable_Functional,$H$10,FALSE),0)</f>
        <v>0</v>
      </c>
      <c r="I134" s="461">
        <f t="shared" ref="I134:I139" si="39">ROUND(F134*VLOOKUP(D134,AllocTable_Functional,$I$10,FALSE),0)</f>
        <v>0</v>
      </c>
      <c r="J134" s="345">
        <f t="shared" ref="J134:J139" si="40">SUM(G134:I134)</f>
        <v>1408783</v>
      </c>
      <c r="K134" s="345">
        <f t="shared" ref="K134:K139" si="41">F134-J134</f>
        <v>0</v>
      </c>
      <c r="M134" s="351"/>
      <c r="N134" s="351"/>
      <c r="O134" s="351"/>
    </row>
    <row r="135" spans="1:15" ht="13">
      <c r="A135" s="331">
        <v>23</v>
      </c>
      <c r="C135" s="330" t="s">
        <v>366</v>
      </c>
      <c r="D135" s="723" t="s">
        <v>323</v>
      </c>
      <c r="E135" s="448" t="s">
        <v>1483</v>
      </c>
      <c r="F135" s="473">
        <f>'WP FR-16(7)(v)-A&amp;G WP'!E13</f>
        <v>1037967</v>
      </c>
      <c r="G135" s="459">
        <f t="shared" si="37"/>
        <v>1037967</v>
      </c>
      <c r="H135" s="460">
        <f t="shared" si="38"/>
        <v>0</v>
      </c>
      <c r="I135" s="461">
        <f t="shared" si="39"/>
        <v>0</v>
      </c>
      <c r="J135" s="345">
        <f t="shared" si="40"/>
        <v>1037967</v>
      </c>
      <c r="K135" s="345">
        <f t="shared" si="41"/>
        <v>0</v>
      </c>
      <c r="M135" s="351"/>
      <c r="N135" s="351"/>
      <c r="O135" s="351"/>
    </row>
    <row r="136" spans="1:15" ht="13">
      <c r="A136" s="331">
        <v>24</v>
      </c>
      <c r="C136" s="330" t="s">
        <v>17</v>
      </c>
      <c r="D136" s="723" t="s">
        <v>324</v>
      </c>
      <c r="E136" s="448" t="s">
        <v>1483</v>
      </c>
      <c r="F136" s="473">
        <f>'WP FR-16(7)(v)-A&amp;G WP'!E15</f>
        <v>9279343</v>
      </c>
      <c r="G136" s="459">
        <f t="shared" si="37"/>
        <v>0</v>
      </c>
      <c r="H136" s="460">
        <f t="shared" si="38"/>
        <v>0</v>
      </c>
      <c r="I136" s="461">
        <f t="shared" si="39"/>
        <v>9279343</v>
      </c>
      <c r="J136" s="345">
        <f t="shared" si="40"/>
        <v>9279343</v>
      </c>
      <c r="K136" s="345">
        <f t="shared" si="41"/>
        <v>0</v>
      </c>
      <c r="M136" s="351"/>
      <c r="N136" s="351"/>
      <c r="O136" s="351"/>
    </row>
    <row r="137" spans="1:15" ht="13">
      <c r="A137" s="331">
        <v>25</v>
      </c>
      <c r="C137" s="330" t="s">
        <v>51</v>
      </c>
      <c r="D137" s="723" t="s">
        <v>1007</v>
      </c>
      <c r="E137" s="448" t="s">
        <v>1483</v>
      </c>
      <c r="F137" s="473">
        <f>'WP FR-16(7)(v)-A&amp;G WP'!E16</f>
        <v>3672369</v>
      </c>
      <c r="G137" s="459">
        <f t="shared" si="37"/>
        <v>0</v>
      </c>
      <c r="H137" s="460">
        <f t="shared" si="38"/>
        <v>0</v>
      </c>
      <c r="I137" s="461">
        <f t="shared" si="39"/>
        <v>3672369</v>
      </c>
      <c r="J137" s="345">
        <f t="shared" si="40"/>
        <v>3672369</v>
      </c>
      <c r="K137" s="345">
        <f t="shared" si="41"/>
        <v>0</v>
      </c>
      <c r="M137" s="351"/>
      <c r="N137" s="351"/>
      <c r="O137" s="351"/>
    </row>
    <row r="138" spans="1:15" ht="13">
      <c r="A138" s="331">
        <v>26</v>
      </c>
      <c r="C138" s="330" t="s">
        <v>52</v>
      </c>
      <c r="D138" s="723" t="s">
        <v>1010</v>
      </c>
      <c r="E138" s="448" t="s">
        <v>1483</v>
      </c>
      <c r="F138" s="473">
        <f>'WP FR-16(7)(v)-A&amp;G WP'!E17</f>
        <v>355523</v>
      </c>
      <c r="G138" s="459">
        <f t="shared" si="37"/>
        <v>0</v>
      </c>
      <c r="H138" s="460">
        <f t="shared" si="38"/>
        <v>0</v>
      </c>
      <c r="I138" s="461">
        <f t="shared" si="39"/>
        <v>355523</v>
      </c>
      <c r="J138" s="345">
        <f t="shared" si="40"/>
        <v>355523</v>
      </c>
      <c r="K138" s="345">
        <f t="shared" si="41"/>
        <v>0</v>
      </c>
      <c r="M138" s="351"/>
      <c r="N138" s="351"/>
      <c r="O138" s="351"/>
    </row>
    <row r="139" spans="1:15" ht="13">
      <c r="A139" s="331">
        <v>27</v>
      </c>
      <c r="C139" s="363" t="s">
        <v>53</v>
      </c>
      <c r="D139" s="723" t="s">
        <v>1008</v>
      </c>
      <c r="E139" s="448" t="s">
        <v>1483</v>
      </c>
      <c r="F139" s="473">
        <f>'WP FR-16(7)(v)-A&amp;G WP'!E18</f>
        <v>0</v>
      </c>
      <c r="G139" s="459">
        <f t="shared" si="37"/>
        <v>0</v>
      </c>
      <c r="H139" s="460">
        <f t="shared" si="38"/>
        <v>0</v>
      </c>
      <c r="I139" s="461">
        <f t="shared" si="39"/>
        <v>0</v>
      </c>
      <c r="J139" s="345">
        <f t="shared" si="40"/>
        <v>0</v>
      </c>
      <c r="K139" s="345">
        <f t="shared" si="41"/>
        <v>0</v>
      </c>
      <c r="M139" s="351"/>
      <c r="N139" s="351"/>
      <c r="O139" s="351"/>
    </row>
    <row r="140" spans="1:15" ht="13">
      <c r="A140" s="331">
        <v>28</v>
      </c>
      <c r="C140" s="337" t="s">
        <v>119</v>
      </c>
      <c r="D140" s="723"/>
      <c r="E140" s="195"/>
      <c r="F140" s="346">
        <f t="shared" ref="F140:K140" si="42">SUM(F133:F139)</f>
        <v>15753985</v>
      </c>
      <c r="G140" s="462">
        <f t="shared" si="42"/>
        <v>2446750</v>
      </c>
      <c r="H140" s="450">
        <f t="shared" si="42"/>
        <v>0</v>
      </c>
      <c r="I140" s="463">
        <f t="shared" si="42"/>
        <v>13307235</v>
      </c>
      <c r="J140" s="346">
        <f t="shared" si="42"/>
        <v>15753985</v>
      </c>
      <c r="K140" s="346">
        <f t="shared" si="42"/>
        <v>0</v>
      </c>
      <c r="M140" s="351"/>
      <c r="N140" s="351"/>
      <c r="O140" s="351"/>
    </row>
    <row r="141" spans="1:15" ht="13">
      <c r="A141" s="331">
        <v>29</v>
      </c>
      <c r="C141" s="363"/>
      <c r="D141" s="723"/>
      <c r="E141" s="195"/>
      <c r="G141" s="456"/>
      <c r="H141" s="457"/>
      <c r="I141" s="458"/>
      <c r="M141" s="351"/>
      <c r="N141" s="351"/>
      <c r="O141" s="351"/>
    </row>
    <row r="142" spans="1:15" ht="13">
      <c r="A142" s="331">
        <v>30</v>
      </c>
      <c r="B142" s="330" t="s">
        <v>21</v>
      </c>
      <c r="C142" s="363"/>
      <c r="D142" s="723"/>
      <c r="E142" s="195"/>
      <c r="G142" s="456"/>
      <c r="H142" s="457"/>
      <c r="I142" s="458"/>
      <c r="M142" s="351"/>
      <c r="N142" s="351"/>
      <c r="O142" s="351"/>
    </row>
    <row r="143" spans="1:15" ht="13">
      <c r="A143" s="331">
        <v>31</v>
      </c>
      <c r="C143" s="363" t="s">
        <v>14</v>
      </c>
      <c r="D143" s="723" t="s">
        <v>287</v>
      </c>
      <c r="E143" s="448" t="s">
        <v>1483</v>
      </c>
      <c r="F143" s="473">
        <f>'WP FR-16(7)(v)-A&amp;G WP'!G12</f>
        <v>644301</v>
      </c>
      <c r="G143" s="459">
        <f t="shared" ref="G143:G148" si="43">F143-SUM(H143:I143)</f>
        <v>644301</v>
      </c>
      <c r="H143" s="460">
        <f t="shared" ref="H143:H148" si="44">ROUND(F143*VLOOKUP(D143,AllocTable_Functional,$H$10,FALSE),0)</f>
        <v>0</v>
      </c>
      <c r="I143" s="461">
        <f t="shared" ref="I143:I148" si="45">ROUND(F143*VLOOKUP(D143,AllocTable_Functional,$I$10,FALSE),0)</f>
        <v>0</v>
      </c>
      <c r="J143" s="345">
        <f t="shared" ref="J143:J148" si="46">SUM(G143:I143)</f>
        <v>644301</v>
      </c>
      <c r="K143" s="345">
        <f t="shared" ref="K143:K148" si="47">F143-J143</f>
        <v>0</v>
      </c>
      <c r="M143" s="351"/>
      <c r="N143" s="351"/>
      <c r="O143" s="351"/>
    </row>
    <row r="144" spans="1:15" ht="13">
      <c r="A144" s="331">
        <v>32</v>
      </c>
      <c r="C144" s="363" t="s">
        <v>366</v>
      </c>
      <c r="D144" s="723" t="s">
        <v>323</v>
      </c>
      <c r="E144" s="448" t="s">
        <v>1483</v>
      </c>
      <c r="F144" s="473">
        <f>'WP FR-16(7)(v)-A&amp;G WP'!G13</f>
        <v>474711</v>
      </c>
      <c r="G144" s="459">
        <f t="shared" si="43"/>
        <v>474711</v>
      </c>
      <c r="H144" s="460">
        <f t="shared" si="44"/>
        <v>0</v>
      </c>
      <c r="I144" s="461">
        <f t="shared" si="45"/>
        <v>0</v>
      </c>
      <c r="J144" s="345">
        <f t="shared" si="46"/>
        <v>474711</v>
      </c>
      <c r="K144" s="345">
        <f t="shared" si="47"/>
        <v>0</v>
      </c>
      <c r="M144" s="351"/>
      <c r="N144" s="351"/>
      <c r="O144" s="351"/>
    </row>
    <row r="145" spans="1:15" ht="13">
      <c r="A145" s="331">
        <v>33</v>
      </c>
      <c r="C145" s="363" t="s">
        <v>17</v>
      </c>
      <c r="D145" s="723" t="s">
        <v>324</v>
      </c>
      <c r="E145" s="448" t="s">
        <v>1483</v>
      </c>
      <c r="F145" s="473">
        <f>'WP FR-16(7)(v)-A&amp;G WP'!G15</f>
        <v>4243873</v>
      </c>
      <c r="G145" s="459">
        <f t="shared" si="43"/>
        <v>0</v>
      </c>
      <c r="H145" s="460">
        <f t="shared" si="44"/>
        <v>0</v>
      </c>
      <c r="I145" s="461">
        <f t="shared" si="45"/>
        <v>4243873</v>
      </c>
      <c r="J145" s="345">
        <f t="shared" si="46"/>
        <v>4243873</v>
      </c>
      <c r="K145" s="345">
        <f t="shared" si="47"/>
        <v>0</v>
      </c>
      <c r="M145" s="351"/>
      <c r="N145" s="351"/>
      <c r="O145" s="351"/>
    </row>
    <row r="146" spans="1:15" ht="13">
      <c r="A146" s="331">
        <v>34</v>
      </c>
      <c r="C146" s="363" t="s">
        <v>51</v>
      </c>
      <c r="D146" s="723" t="s">
        <v>1007</v>
      </c>
      <c r="E146" s="448" t="s">
        <v>1483</v>
      </c>
      <c r="F146" s="473">
        <f>'WP FR-16(7)(v)-A&amp;G WP'!G16</f>
        <v>1679545</v>
      </c>
      <c r="G146" s="459">
        <f t="shared" si="43"/>
        <v>0</v>
      </c>
      <c r="H146" s="460">
        <f t="shared" si="44"/>
        <v>0</v>
      </c>
      <c r="I146" s="461">
        <f t="shared" si="45"/>
        <v>1679545</v>
      </c>
      <c r="J146" s="345">
        <f t="shared" si="46"/>
        <v>1679545</v>
      </c>
      <c r="K146" s="345">
        <f t="shared" si="47"/>
        <v>0</v>
      </c>
      <c r="M146" s="351"/>
      <c r="N146" s="351"/>
      <c r="O146" s="351"/>
    </row>
    <row r="147" spans="1:15" ht="13">
      <c r="A147" s="331">
        <v>35</v>
      </c>
      <c r="C147" s="363" t="s">
        <v>52</v>
      </c>
      <c r="D147" s="723" t="s">
        <v>1010</v>
      </c>
      <c r="E147" s="448" t="s">
        <v>1483</v>
      </c>
      <c r="F147" s="473">
        <f>'WP FR-16(7)(v)-A&amp;G WP'!G17</f>
        <v>162597</v>
      </c>
      <c r="G147" s="459">
        <f t="shared" si="43"/>
        <v>0</v>
      </c>
      <c r="H147" s="460">
        <f t="shared" si="44"/>
        <v>0</v>
      </c>
      <c r="I147" s="461">
        <f t="shared" si="45"/>
        <v>162597</v>
      </c>
      <c r="J147" s="345">
        <f t="shared" si="46"/>
        <v>162597</v>
      </c>
      <c r="K147" s="345">
        <f t="shared" si="47"/>
        <v>0</v>
      </c>
      <c r="M147" s="351"/>
      <c r="N147" s="351"/>
      <c r="O147" s="351"/>
    </row>
    <row r="148" spans="1:15" ht="13">
      <c r="A148" s="331">
        <v>36</v>
      </c>
      <c r="C148" s="363" t="s">
        <v>53</v>
      </c>
      <c r="D148" s="723" t="s">
        <v>1008</v>
      </c>
      <c r="E148" s="448" t="s">
        <v>1483</v>
      </c>
      <c r="F148" s="473">
        <f>'WP FR-16(7)(v)-A&amp;G WP'!G18</f>
        <v>0</v>
      </c>
      <c r="G148" s="459">
        <f t="shared" si="43"/>
        <v>0</v>
      </c>
      <c r="H148" s="460">
        <f t="shared" si="44"/>
        <v>0</v>
      </c>
      <c r="I148" s="461">
        <f t="shared" si="45"/>
        <v>0</v>
      </c>
      <c r="J148" s="345">
        <f t="shared" si="46"/>
        <v>0</v>
      </c>
      <c r="K148" s="345">
        <f t="shared" si="47"/>
        <v>0</v>
      </c>
      <c r="M148" s="351"/>
      <c r="N148" s="351"/>
      <c r="O148" s="351"/>
    </row>
    <row r="149" spans="1:15" ht="13">
      <c r="A149" s="331">
        <v>37</v>
      </c>
      <c r="C149" s="337" t="s">
        <v>120</v>
      </c>
      <c r="D149" s="723"/>
      <c r="E149" s="195"/>
      <c r="F149" s="346">
        <f>SUM(F143:F148)</f>
        <v>7205027</v>
      </c>
      <c r="G149" s="462">
        <f>SUM(G142:G148)</f>
        <v>1119012</v>
      </c>
      <c r="H149" s="450">
        <f>SUM(H142:H148)</f>
        <v>0</v>
      </c>
      <c r="I149" s="463">
        <f>SUM(I142:I148)</f>
        <v>6086015</v>
      </c>
      <c r="J149" s="346">
        <f>SUM(J142:J148)</f>
        <v>7205027</v>
      </c>
      <c r="K149" s="346">
        <f>SUM(K142:K148)</f>
        <v>0</v>
      </c>
    </row>
    <row r="150" spans="1:15" ht="13">
      <c r="A150" s="331">
        <v>38</v>
      </c>
      <c r="D150" s="342"/>
      <c r="E150" s="195"/>
      <c r="G150" s="456"/>
      <c r="H150" s="457"/>
      <c r="I150" s="458"/>
    </row>
    <row r="151" spans="1:15" ht="13">
      <c r="A151" s="331">
        <v>39</v>
      </c>
      <c r="B151" s="330" t="s">
        <v>23</v>
      </c>
      <c r="D151" s="342"/>
      <c r="E151" s="195"/>
      <c r="F151" s="345">
        <f t="shared" ref="F151:K151" si="48">F149+F140+F131+F119+F115</f>
        <v>206903281</v>
      </c>
      <c r="G151" s="478">
        <f t="shared" si="48"/>
        <v>6119653</v>
      </c>
      <c r="H151" s="479">
        <f t="shared" si="48"/>
        <v>0</v>
      </c>
      <c r="I151" s="480">
        <f t="shared" si="48"/>
        <v>200783628</v>
      </c>
      <c r="J151" s="345">
        <f t="shared" si="48"/>
        <v>206903281</v>
      </c>
      <c r="K151" s="345">
        <f t="shared" si="48"/>
        <v>0</v>
      </c>
      <c r="M151" s="1028">
        <f>ROUND(G151/F151,4)</f>
        <v>2.9600000000000001E-2</v>
      </c>
      <c r="N151" s="1028">
        <f>ROUND(H151/F151,4)</f>
        <v>0</v>
      </c>
      <c r="O151" s="1028">
        <f>ROUND(I151/F151,4)</f>
        <v>0.97040000000000004</v>
      </c>
    </row>
    <row r="152" spans="1:15" ht="13">
      <c r="B152" s="341"/>
      <c r="C152" s="195"/>
      <c r="D152" s="342"/>
      <c r="E152" s="195"/>
      <c r="F152" s="195"/>
      <c r="G152" s="195"/>
      <c r="H152" s="195"/>
      <c r="I152" s="195"/>
      <c r="J152" s="195"/>
    </row>
    <row r="153" spans="1:15" ht="13">
      <c r="A153" s="341" t="str">
        <f>co_name</f>
        <v>DUKE ENERGY KENTUCKY, INC.</v>
      </c>
      <c r="C153" s="195"/>
      <c r="D153" s="342"/>
      <c r="E153" s="195"/>
      <c r="F153" s="195"/>
      <c r="G153" s="195"/>
      <c r="H153" s="195"/>
      <c r="I153" s="195"/>
      <c r="J153" s="195" t="str">
        <f>$J$1</f>
        <v>FR-16(7)(v)-1</v>
      </c>
      <c r="K153" s="195"/>
    </row>
    <row r="154" spans="1:15" ht="13">
      <c r="A154" s="341" t="str">
        <f>$A$2</f>
        <v>FUNCTIONAL GAS COST OF SERVICE</v>
      </c>
      <c r="C154" s="195"/>
      <c r="D154" s="342"/>
      <c r="E154" s="195"/>
      <c r="F154" s="195"/>
      <c r="G154" s="195"/>
      <c r="H154" s="195"/>
      <c r="I154" s="195"/>
      <c r="J154" s="195" t="str">
        <f>$J$2</f>
        <v>WITNESS RESPONSIBLE:</v>
      </c>
      <c r="K154" s="195"/>
    </row>
    <row r="155" spans="1:15" ht="13">
      <c r="A155" s="341" t="str">
        <f>case_name</f>
        <v>CASE NO: 2021-00190</v>
      </c>
      <c r="C155" s="195"/>
      <c r="D155" s="342"/>
      <c r="E155" s="195"/>
      <c r="F155" s="195"/>
      <c r="G155" s="195"/>
      <c r="H155" s="195"/>
      <c r="I155" s="195"/>
      <c r="J155" s="195" t="str">
        <f>Witness</f>
        <v>JAMES E. ZIOLKOWSKI</v>
      </c>
      <c r="K155" s="195"/>
    </row>
    <row r="156" spans="1:15" ht="13">
      <c r="A156" s="341" t="str">
        <f>data_filing</f>
        <v>DATA: 12 MONTH FORECASTED PERIOD</v>
      </c>
      <c r="C156" s="195"/>
      <c r="D156" s="342"/>
      <c r="E156" s="195"/>
      <c r="F156" s="195"/>
      <c r="G156" s="195"/>
      <c r="H156" s="195"/>
      <c r="I156" s="195"/>
      <c r="J156" s="195" t="str">
        <f>"PAGE "&amp;Pages-14&amp;" OF "&amp;Pages</f>
        <v>PAGE 4 OF 18</v>
      </c>
      <c r="K156" s="195"/>
    </row>
    <row r="157" spans="1:15" ht="13">
      <c r="A157" s="341" t="str">
        <f>type</f>
        <v xml:space="preserve">TYPE OF FILING: "X" ORIGINAL   UPDATED    REVISED  </v>
      </c>
      <c r="C157" s="195"/>
      <c r="D157" s="342"/>
      <c r="E157" s="195"/>
      <c r="F157" s="195"/>
      <c r="G157" s="195"/>
      <c r="H157" s="195"/>
      <c r="I157" s="195"/>
      <c r="J157" s="195"/>
      <c r="K157" s="195"/>
    </row>
    <row r="158" spans="1:15" ht="13">
      <c r="A158" s="341"/>
      <c r="C158" s="195"/>
      <c r="D158" s="342"/>
      <c r="E158" s="195"/>
      <c r="F158" s="195"/>
      <c r="G158" s="195"/>
      <c r="H158" s="195"/>
      <c r="I158" s="195"/>
      <c r="J158" s="195"/>
      <c r="K158" s="195"/>
    </row>
    <row r="159" spans="1:15" ht="13">
      <c r="B159" s="341"/>
      <c r="C159" s="195"/>
      <c r="D159" s="342"/>
      <c r="E159" s="195"/>
      <c r="F159" s="195"/>
      <c r="G159" s="195"/>
      <c r="H159" s="195"/>
      <c r="I159" s="195"/>
      <c r="J159" s="195"/>
    </row>
    <row r="160" spans="1:15" ht="13">
      <c r="A160" s="342" t="s">
        <v>907</v>
      </c>
      <c r="B160" s="195"/>
      <c r="C160" s="195"/>
      <c r="D160" s="342"/>
      <c r="E160" s="195"/>
      <c r="F160" s="342" t="s">
        <v>229</v>
      </c>
      <c r="G160" s="467" t="s">
        <v>971</v>
      </c>
      <c r="H160" s="468"/>
      <c r="I160" s="469"/>
      <c r="J160" s="342" t="s">
        <v>229</v>
      </c>
      <c r="K160" s="342" t="s">
        <v>342</v>
      </c>
    </row>
    <row r="161" spans="1:11" ht="13">
      <c r="A161" s="344" t="s">
        <v>908</v>
      </c>
      <c r="B161" s="343" t="str">
        <f>"NET GAS PLANT"</f>
        <v>NET GAS PLANT</v>
      </c>
      <c r="C161" s="343"/>
      <c r="D161" s="344" t="s">
        <v>337</v>
      </c>
      <c r="E161" s="343"/>
      <c r="F161" s="344" t="s">
        <v>284</v>
      </c>
      <c r="G161" s="454" t="s">
        <v>838</v>
      </c>
      <c r="H161" s="449" t="s">
        <v>970</v>
      </c>
      <c r="I161" s="455" t="s">
        <v>839</v>
      </c>
      <c r="J161" s="344" t="s">
        <v>341</v>
      </c>
      <c r="K161" s="344" t="s">
        <v>340</v>
      </c>
    </row>
    <row r="162" spans="1:11" ht="13">
      <c r="C162" s="572" t="s">
        <v>346</v>
      </c>
      <c r="D162" s="342"/>
      <c r="E162" s="195"/>
      <c r="G162" s="622">
        <f>$G$10</f>
        <v>3</v>
      </c>
      <c r="H162" s="623">
        <f>$H$10</f>
        <v>4</v>
      </c>
      <c r="I162" s="624">
        <f>$I$10</f>
        <v>5</v>
      </c>
    </row>
    <row r="163" spans="1:11" ht="13">
      <c r="A163" s="331">
        <v>1</v>
      </c>
      <c r="B163" s="330" t="s">
        <v>14</v>
      </c>
      <c r="D163" s="342"/>
      <c r="E163" s="195"/>
      <c r="G163" s="456"/>
      <c r="H163" s="457"/>
      <c r="I163" s="458"/>
    </row>
    <row r="164" spans="1:11" ht="13">
      <c r="A164" s="331">
        <v>2</v>
      </c>
      <c r="C164" s="330" t="s">
        <v>121</v>
      </c>
      <c r="D164" s="342"/>
      <c r="E164" s="195"/>
      <c r="F164" s="345">
        <f>F59</f>
        <v>4625622</v>
      </c>
      <c r="G164" s="459">
        <f>$G$59</f>
        <v>4625622</v>
      </c>
      <c r="H164" s="460">
        <f>$H$59</f>
        <v>0</v>
      </c>
      <c r="I164" s="461">
        <f>$I$59</f>
        <v>0</v>
      </c>
      <c r="J164" s="345">
        <f>$J$59</f>
        <v>4625622</v>
      </c>
      <c r="K164" s="345">
        <f>F164-J164</f>
        <v>0</v>
      </c>
    </row>
    <row r="165" spans="1:11" ht="13">
      <c r="A165" s="331">
        <v>3</v>
      </c>
      <c r="C165" s="357" t="s">
        <v>122</v>
      </c>
      <c r="D165" s="342"/>
      <c r="E165" s="195"/>
      <c r="F165" s="345">
        <f>-F115</f>
        <v>-2553891</v>
      </c>
      <c r="G165" s="459">
        <f>-G115</f>
        <v>-2553891</v>
      </c>
      <c r="H165" s="460">
        <f>-H115</f>
        <v>0</v>
      </c>
      <c r="I165" s="461">
        <f>-I115</f>
        <v>0</v>
      </c>
      <c r="J165" s="345">
        <f>-J115</f>
        <v>-2553891</v>
      </c>
      <c r="K165" s="345">
        <f>F165-J165</f>
        <v>0</v>
      </c>
    </row>
    <row r="166" spans="1:11" ht="13">
      <c r="A166" s="331">
        <v>4</v>
      </c>
      <c r="C166" s="330" t="s">
        <v>123</v>
      </c>
      <c r="D166" s="342"/>
      <c r="E166" s="195"/>
      <c r="F166" s="346">
        <f t="shared" ref="F166:K166" si="49">SUM(F164:F165)</f>
        <v>2071731</v>
      </c>
      <c r="G166" s="462">
        <f t="shared" si="49"/>
        <v>2071731</v>
      </c>
      <c r="H166" s="450">
        <f t="shared" si="49"/>
        <v>0</v>
      </c>
      <c r="I166" s="463">
        <f t="shared" si="49"/>
        <v>0</v>
      </c>
      <c r="J166" s="346">
        <f t="shared" si="49"/>
        <v>2071731</v>
      </c>
      <c r="K166" s="346">
        <f t="shared" si="49"/>
        <v>0</v>
      </c>
    </row>
    <row r="167" spans="1:11" ht="13">
      <c r="A167" s="331">
        <v>5</v>
      </c>
      <c r="D167" s="342"/>
      <c r="E167" s="195"/>
      <c r="G167" s="456"/>
      <c r="H167" s="457"/>
      <c r="I167" s="458"/>
    </row>
    <row r="168" spans="1:11" ht="13">
      <c r="A168" s="331">
        <v>6</v>
      </c>
      <c r="B168" s="357" t="s">
        <v>15</v>
      </c>
      <c r="C168" s="357"/>
      <c r="D168" s="342"/>
      <c r="E168" s="195"/>
      <c r="F168" s="345"/>
      <c r="G168" s="459"/>
      <c r="H168" s="460"/>
      <c r="I168" s="461"/>
      <c r="J168" s="345"/>
    </row>
    <row r="169" spans="1:11" ht="13">
      <c r="A169" s="331">
        <v>7</v>
      </c>
      <c r="C169" s="330" t="s">
        <v>124</v>
      </c>
      <c r="D169" s="342"/>
      <c r="E169" s="195"/>
      <c r="F169" s="345">
        <f>F63</f>
        <v>0</v>
      </c>
      <c r="G169" s="459">
        <f>$G$63</f>
        <v>0</v>
      </c>
      <c r="H169" s="460">
        <f>$H$63</f>
        <v>0</v>
      </c>
      <c r="I169" s="461">
        <f>$I$63</f>
        <v>0</v>
      </c>
      <c r="J169" s="345">
        <f>$J$63</f>
        <v>0</v>
      </c>
      <c r="K169" s="345">
        <f>F169-J169</f>
        <v>0</v>
      </c>
    </row>
    <row r="170" spans="1:11" ht="13">
      <c r="A170" s="331">
        <v>8</v>
      </c>
      <c r="C170" s="330" t="s">
        <v>117</v>
      </c>
      <c r="D170" s="342"/>
      <c r="E170" s="195"/>
      <c r="F170" s="345">
        <f>-F119</f>
        <v>0</v>
      </c>
      <c r="G170" s="459">
        <f>-G119</f>
        <v>0</v>
      </c>
      <c r="H170" s="460">
        <f>-H119</f>
        <v>0</v>
      </c>
      <c r="I170" s="461">
        <f>-I119</f>
        <v>0</v>
      </c>
      <c r="J170" s="345">
        <f>-J119</f>
        <v>0</v>
      </c>
      <c r="K170" s="345">
        <f>F170-J170</f>
        <v>0</v>
      </c>
    </row>
    <row r="171" spans="1:11" ht="13">
      <c r="A171" s="331">
        <v>9</v>
      </c>
      <c r="C171" s="330" t="s">
        <v>125</v>
      </c>
      <c r="D171" s="342"/>
      <c r="E171" s="195"/>
      <c r="F171" s="346">
        <f t="shared" ref="F171:K171" si="50">SUM(F168:F170)</f>
        <v>0</v>
      </c>
      <c r="G171" s="462">
        <f t="shared" si="50"/>
        <v>0</v>
      </c>
      <c r="H171" s="450">
        <f t="shared" si="50"/>
        <v>0</v>
      </c>
      <c r="I171" s="463">
        <f t="shared" si="50"/>
        <v>0</v>
      </c>
      <c r="J171" s="346">
        <f t="shared" si="50"/>
        <v>0</v>
      </c>
      <c r="K171" s="346">
        <f t="shared" si="50"/>
        <v>0</v>
      </c>
    </row>
    <row r="172" spans="1:11" ht="13">
      <c r="A172" s="331">
        <v>10</v>
      </c>
      <c r="D172" s="342"/>
      <c r="E172" s="195"/>
      <c r="G172" s="456"/>
      <c r="H172" s="457"/>
      <c r="I172" s="458"/>
    </row>
    <row r="173" spans="1:11" ht="13">
      <c r="A173" s="331">
        <v>11</v>
      </c>
      <c r="B173" s="330" t="s">
        <v>17</v>
      </c>
      <c r="D173" s="342"/>
      <c r="E173" s="195"/>
      <c r="G173" s="456"/>
      <c r="H173" s="457"/>
      <c r="I173" s="458"/>
    </row>
    <row r="174" spans="1:11" ht="13">
      <c r="A174" s="331">
        <v>12</v>
      </c>
      <c r="C174" s="330" t="s">
        <v>126</v>
      </c>
      <c r="D174" s="342"/>
      <c r="E174" s="195"/>
      <c r="F174" s="345">
        <f>F78</f>
        <v>724889098</v>
      </c>
      <c r="G174" s="459">
        <f>G78</f>
        <v>0</v>
      </c>
      <c r="H174" s="460">
        <f>H78</f>
        <v>0</v>
      </c>
      <c r="I174" s="461">
        <f>I78</f>
        <v>724889098</v>
      </c>
      <c r="J174" s="345">
        <f>J78</f>
        <v>724889098</v>
      </c>
      <c r="K174" s="345">
        <f>F174-J174</f>
        <v>0</v>
      </c>
    </row>
    <row r="175" spans="1:11" ht="13">
      <c r="A175" s="331">
        <v>13</v>
      </c>
      <c r="C175" s="357" t="s">
        <v>127</v>
      </c>
      <c r="D175" s="342"/>
      <c r="E175" s="195"/>
      <c r="F175" s="345">
        <f>-F131</f>
        <v>-181390378</v>
      </c>
      <c r="G175" s="459">
        <f>-G131</f>
        <v>0</v>
      </c>
      <c r="H175" s="460">
        <f>-H131</f>
        <v>0</v>
      </c>
      <c r="I175" s="461">
        <f>-I131</f>
        <v>-181390378</v>
      </c>
      <c r="J175" s="345">
        <f>-J131</f>
        <v>-181390378</v>
      </c>
      <c r="K175" s="345">
        <f>F175-J175</f>
        <v>0</v>
      </c>
    </row>
    <row r="176" spans="1:11" ht="13">
      <c r="A176" s="331">
        <v>14</v>
      </c>
      <c r="C176" s="330" t="s">
        <v>128</v>
      </c>
      <c r="D176" s="342"/>
      <c r="E176" s="195"/>
      <c r="F176" s="346">
        <f t="shared" ref="F176:K176" si="51">SUM(F173:F175)</f>
        <v>543498720</v>
      </c>
      <c r="G176" s="462">
        <f t="shared" si="51"/>
        <v>0</v>
      </c>
      <c r="H176" s="450">
        <f t="shared" si="51"/>
        <v>0</v>
      </c>
      <c r="I176" s="463">
        <f t="shared" si="51"/>
        <v>543498720</v>
      </c>
      <c r="J176" s="346">
        <f t="shared" si="51"/>
        <v>543498720</v>
      </c>
      <c r="K176" s="346">
        <f t="shared" si="51"/>
        <v>0</v>
      </c>
    </row>
    <row r="177" spans="1:15" ht="13">
      <c r="A177" s="331">
        <v>15</v>
      </c>
      <c r="D177" s="342"/>
      <c r="E177" s="195"/>
      <c r="G177" s="456"/>
      <c r="H177" s="457"/>
      <c r="I177" s="458"/>
    </row>
    <row r="178" spans="1:15" ht="13">
      <c r="A178" s="331">
        <v>16</v>
      </c>
      <c r="B178" s="330" t="s">
        <v>429</v>
      </c>
      <c r="D178" s="342"/>
      <c r="E178" s="195"/>
      <c r="F178" s="345">
        <f t="shared" ref="F178:K178" si="52">F176+F171+F166</f>
        <v>545570451</v>
      </c>
      <c r="G178" s="459">
        <f t="shared" si="52"/>
        <v>2071731</v>
      </c>
      <c r="H178" s="460">
        <f t="shared" si="52"/>
        <v>0</v>
      </c>
      <c r="I178" s="461">
        <f t="shared" si="52"/>
        <v>543498720</v>
      </c>
      <c r="J178" s="345">
        <f t="shared" si="52"/>
        <v>545570451</v>
      </c>
      <c r="K178" s="345">
        <f t="shared" si="52"/>
        <v>0</v>
      </c>
    </row>
    <row r="179" spans="1:15" ht="13">
      <c r="A179" s="331">
        <v>17</v>
      </c>
      <c r="B179" s="330" t="s">
        <v>24</v>
      </c>
      <c r="D179" s="342"/>
      <c r="E179" s="195"/>
      <c r="F179" s="345">
        <f t="shared" ref="F179:K179" si="53">F176+F171</f>
        <v>543498720</v>
      </c>
      <c r="G179" s="459">
        <f t="shared" si="53"/>
        <v>0</v>
      </c>
      <c r="H179" s="460">
        <f t="shared" si="53"/>
        <v>0</v>
      </c>
      <c r="I179" s="461">
        <f t="shared" si="53"/>
        <v>543498720</v>
      </c>
      <c r="J179" s="345">
        <f t="shared" si="53"/>
        <v>543498720</v>
      </c>
      <c r="K179" s="345">
        <f t="shared" si="53"/>
        <v>0</v>
      </c>
    </row>
    <row r="180" spans="1:15" ht="13">
      <c r="A180" s="331">
        <v>18</v>
      </c>
      <c r="D180" s="342"/>
      <c r="E180" s="195"/>
      <c r="G180" s="456"/>
      <c r="H180" s="457"/>
      <c r="I180" s="458"/>
    </row>
    <row r="181" spans="1:15" ht="13">
      <c r="A181" s="331">
        <v>19</v>
      </c>
      <c r="B181" s="330" t="s">
        <v>20</v>
      </c>
      <c r="D181" s="342"/>
      <c r="E181" s="195"/>
      <c r="G181" s="456"/>
      <c r="H181" s="457"/>
      <c r="I181" s="458"/>
    </row>
    <row r="182" spans="1:15" ht="13">
      <c r="A182" s="331">
        <v>20</v>
      </c>
      <c r="C182" s="330" t="s">
        <v>129</v>
      </c>
      <c r="D182" s="342"/>
      <c r="E182" s="195"/>
      <c r="F182" s="345">
        <f>F90</f>
        <v>32001263</v>
      </c>
      <c r="G182" s="459">
        <f>G90</f>
        <v>4970111</v>
      </c>
      <c r="H182" s="460">
        <f>H90</f>
        <v>0</v>
      </c>
      <c r="I182" s="461">
        <f>I90</f>
        <v>27031152</v>
      </c>
      <c r="J182" s="345">
        <f>J90</f>
        <v>32001263</v>
      </c>
      <c r="K182" s="345">
        <f>F182-J182</f>
        <v>0</v>
      </c>
    </row>
    <row r="183" spans="1:15" ht="13">
      <c r="A183" s="331">
        <v>21</v>
      </c>
      <c r="C183" s="357" t="s">
        <v>130</v>
      </c>
      <c r="D183" s="342"/>
      <c r="E183" s="195"/>
      <c r="F183" s="345">
        <f>-F140</f>
        <v>-15753985</v>
      </c>
      <c r="G183" s="459">
        <f>-G140</f>
        <v>-2446750</v>
      </c>
      <c r="H183" s="460">
        <f>-H140</f>
        <v>0</v>
      </c>
      <c r="I183" s="461">
        <f>-I140</f>
        <v>-13307235</v>
      </c>
      <c r="J183" s="345">
        <f>-J140</f>
        <v>-15753985</v>
      </c>
      <c r="K183" s="345">
        <f>F183-J183</f>
        <v>0</v>
      </c>
    </row>
    <row r="184" spans="1:15" ht="13">
      <c r="A184" s="331">
        <v>22</v>
      </c>
      <c r="C184" s="330" t="s">
        <v>131</v>
      </c>
      <c r="D184" s="342"/>
      <c r="E184" s="195"/>
      <c r="F184" s="346">
        <f t="shared" ref="F184:K184" si="54">SUM(F181:F183)</f>
        <v>16247278</v>
      </c>
      <c r="G184" s="462">
        <f t="shared" si="54"/>
        <v>2523361</v>
      </c>
      <c r="H184" s="450">
        <f t="shared" si="54"/>
        <v>0</v>
      </c>
      <c r="I184" s="463">
        <f t="shared" si="54"/>
        <v>13723917</v>
      </c>
      <c r="J184" s="346">
        <f t="shared" si="54"/>
        <v>16247278</v>
      </c>
      <c r="K184" s="346">
        <f t="shared" si="54"/>
        <v>0</v>
      </c>
    </row>
    <row r="185" spans="1:15" ht="13">
      <c r="A185" s="331">
        <v>23</v>
      </c>
      <c r="D185" s="342"/>
      <c r="E185" s="195"/>
      <c r="F185" s="345"/>
      <c r="G185" s="459"/>
      <c r="H185" s="460"/>
      <c r="I185" s="461"/>
      <c r="J185" s="345"/>
    </row>
    <row r="186" spans="1:15" ht="13">
      <c r="A186" s="331">
        <v>24</v>
      </c>
      <c r="B186" s="330" t="s">
        <v>21</v>
      </c>
      <c r="D186" s="342"/>
      <c r="E186" s="195"/>
      <c r="F186" s="345"/>
      <c r="G186" s="459"/>
      <c r="H186" s="460"/>
      <c r="I186" s="461"/>
      <c r="J186" s="345"/>
    </row>
    <row r="187" spans="1:15" ht="13">
      <c r="A187" s="331">
        <v>25</v>
      </c>
      <c r="C187" s="330" t="s">
        <v>132</v>
      </c>
      <c r="D187" s="342"/>
      <c r="E187" s="195"/>
      <c r="F187" s="345">
        <f>F99</f>
        <v>10292179</v>
      </c>
      <c r="G187" s="459">
        <f>G99</f>
        <v>1598477</v>
      </c>
      <c r="H187" s="460">
        <f>H99</f>
        <v>0</v>
      </c>
      <c r="I187" s="461">
        <f>I99</f>
        <v>8693702</v>
      </c>
      <c r="J187" s="345">
        <f>J99</f>
        <v>10292179</v>
      </c>
      <c r="K187" s="345">
        <f>F187-J187</f>
        <v>0</v>
      </c>
    </row>
    <row r="188" spans="1:15" ht="13">
      <c r="A188" s="331">
        <v>26</v>
      </c>
      <c r="C188" s="357" t="s">
        <v>133</v>
      </c>
      <c r="D188" s="342"/>
      <c r="E188" s="195"/>
      <c r="F188" s="345">
        <f>-F149</f>
        <v>-7205027</v>
      </c>
      <c r="G188" s="459">
        <f>-G149</f>
        <v>-1119012</v>
      </c>
      <c r="H188" s="460">
        <f>-H149</f>
        <v>0</v>
      </c>
      <c r="I188" s="461">
        <f>-I149</f>
        <v>-6086015</v>
      </c>
      <c r="J188" s="345">
        <f>-J149</f>
        <v>-7205027</v>
      </c>
      <c r="K188" s="345">
        <f>F188-J188</f>
        <v>0</v>
      </c>
    </row>
    <row r="189" spans="1:15" ht="13">
      <c r="A189" s="331">
        <v>27</v>
      </c>
      <c r="C189" s="330" t="s">
        <v>134</v>
      </c>
      <c r="D189" s="342"/>
      <c r="E189" s="195"/>
      <c r="F189" s="346">
        <f t="shared" ref="F189:K189" si="55">SUM(F186:F188)</f>
        <v>3087152</v>
      </c>
      <c r="G189" s="462">
        <f t="shared" si="55"/>
        <v>479465</v>
      </c>
      <c r="H189" s="450">
        <f t="shared" si="55"/>
        <v>0</v>
      </c>
      <c r="I189" s="463">
        <f t="shared" si="55"/>
        <v>2607687</v>
      </c>
      <c r="J189" s="346">
        <f t="shared" si="55"/>
        <v>3087152</v>
      </c>
      <c r="K189" s="346">
        <f t="shared" si="55"/>
        <v>0</v>
      </c>
    </row>
    <row r="190" spans="1:15" ht="13">
      <c r="A190" s="331">
        <v>28</v>
      </c>
      <c r="D190" s="342"/>
      <c r="E190" s="195"/>
      <c r="F190" s="345"/>
      <c r="G190" s="459"/>
      <c r="H190" s="460"/>
      <c r="I190" s="461"/>
      <c r="J190" s="345"/>
      <c r="K190" s="345"/>
    </row>
    <row r="191" spans="1:15" ht="13">
      <c r="A191" s="331">
        <v>29</v>
      </c>
      <c r="C191" s="330" t="str">
        <f>"NET GAS PLANT IN SERVICE"</f>
        <v>NET GAS PLANT IN SERVICE</v>
      </c>
      <c r="D191" s="342"/>
      <c r="E191" s="195"/>
      <c r="F191" s="345">
        <f t="shared" ref="F191:K191" si="56">F189+F184+F176+F171+F166</f>
        <v>564904881</v>
      </c>
      <c r="G191" s="478">
        <f t="shared" si="56"/>
        <v>5074557</v>
      </c>
      <c r="H191" s="479">
        <f t="shared" si="56"/>
        <v>0</v>
      </c>
      <c r="I191" s="480">
        <f t="shared" si="56"/>
        <v>559830324</v>
      </c>
      <c r="J191" s="345">
        <f t="shared" si="56"/>
        <v>564904881</v>
      </c>
      <c r="K191" s="345">
        <f t="shared" si="56"/>
        <v>0</v>
      </c>
      <c r="M191" s="1028">
        <f>ROUND(G191/F191,4)</f>
        <v>8.9999999999999993E-3</v>
      </c>
      <c r="N191" s="1028">
        <f>ROUND(H191/F191,4)</f>
        <v>0</v>
      </c>
      <c r="O191" s="1028">
        <f>ROUND(I191/F191,4)</f>
        <v>0.99099999999999999</v>
      </c>
    </row>
    <row r="192" spans="1:15" ht="13">
      <c r="B192" s="341"/>
      <c r="C192" s="195"/>
      <c r="D192" s="342"/>
      <c r="E192" s="195"/>
      <c r="F192" s="195"/>
      <c r="G192" s="195"/>
      <c r="H192" s="195"/>
      <c r="I192" s="195"/>
      <c r="J192" s="195"/>
      <c r="K192" s="195"/>
    </row>
    <row r="193" spans="1:11" ht="13">
      <c r="A193" s="341" t="str">
        <f>co_name</f>
        <v>DUKE ENERGY KENTUCKY, INC.</v>
      </c>
      <c r="C193" s="195"/>
      <c r="D193" s="342"/>
      <c r="E193" s="195"/>
      <c r="F193" s="195"/>
      <c r="G193" s="195"/>
      <c r="H193" s="195"/>
      <c r="I193" s="195"/>
      <c r="J193" s="195" t="str">
        <f>$J$1</f>
        <v>FR-16(7)(v)-1</v>
      </c>
      <c r="K193" s="195"/>
    </row>
    <row r="194" spans="1:11" ht="13">
      <c r="A194" s="341" t="str">
        <f>$A$2</f>
        <v>FUNCTIONAL GAS COST OF SERVICE</v>
      </c>
      <c r="C194" s="195"/>
      <c r="D194" s="342"/>
      <c r="E194" s="195"/>
      <c r="F194" s="195"/>
      <c r="G194" s="195"/>
      <c r="H194" s="195"/>
      <c r="I194" s="195"/>
      <c r="J194" s="195" t="str">
        <f>$J$2</f>
        <v>WITNESS RESPONSIBLE:</v>
      </c>
      <c r="K194" s="195"/>
    </row>
    <row r="195" spans="1:11" ht="13">
      <c r="A195" s="341" t="str">
        <f>case_name</f>
        <v>CASE NO: 2021-00190</v>
      </c>
      <c r="C195" s="195"/>
      <c r="D195" s="342"/>
      <c r="E195" s="195"/>
      <c r="F195" s="195"/>
      <c r="G195" s="195"/>
      <c r="H195" s="195"/>
      <c r="I195" s="195"/>
      <c r="J195" s="195" t="str">
        <f>Witness</f>
        <v>JAMES E. ZIOLKOWSKI</v>
      </c>
      <c r="K195" s="195"/>
    </row>
    <row r="196" spans="1:11" ht="13">
      <c r="A196" s="341" t="str">
        <f>data_filing</f>
        <v>DATA: 12 MONTH FORECASTED PERIOD</v>
      </c>
      <c r="C196" s="195"/>
      <c r="D196" s="342"/>
      <c r="E196" s="195"/>
      <c r="F196" s="195"/>
      <c r="G196" s="195"/>
      <c r="H196" s="195"/>
      <c r="I196" s="195"/>
      <c r="J196" s="195" t="str">
        <f>"PAGE "&amp;Pages-13&amp;" OF "&amp;Pages</f>
        <v>PAGE 5 OF 18</v>
      </c>
      <c r="K196" s="195"/>
    </row>
    <row r="197" spans="1:11" ht="13">
      <c r="A197" s="341" t="str">
        <f>type</f>
        <v xml:space="preserve">TYPE OF FILING: "X" ORIGINAL   UPDATED    REVISED  </v>
      </c>
      <c r="C197" s="195"/>
      <c r="D197" s="342"/>
      <c r="E197" s="195"/>
      <c r="F197" s="195"/>
      <c r="G197" s="195"/>
      <c r="H197" s="195"/>
      <c r="I197" s="195"/>
      <c r="J197" s="195"/>
      <c r="K197" s="195"/>
    </row>
    <row r="198" spans="1:11" ht="13">
      <c r="B198" s="341"/>
      <c r="C198" s="195"/>
      <c r="D198" s="342"/>
      <c r="E198" s="195"/>
      <c r="F198" s="195"/>
      <c r="G198" s="195"/>
      <c r="H198" s="195"/>
      <c r="I198" s="195"/>
      <c r="J198" s="195"/>
      <c r="K198" s="195"/>
    </row>
    <row r="199" spans="1:11" ht="13">
      <c r="B199" s="341"/>
      <c r="C199" s="195"/>
      <c r="D199" s="342"/>
      <c r="E199" s="195"/>
      <c r="F199" s="195"/>
      <c r="G199" s="195"/>
      <c r="H199" s="195"/>
      <c r="I199" s="195"/>
      <c r="J199" s="195"/>
      <c r="K199" s="195"/>
    </row>
    <row r="200" spans="1:11" ht="13">
      <c r="A200" s="342" t="s">
        <v>907</v>
      </c>
      <c r="B200" s="195"/>
      <c r="C200" s="195"/>
      <c r="D200" s="342"/>
      <c r="E200" s="195"/>
      <c r="F200" s="342" t="s">
        <v>229</v>
      </c>
      <c r="G200" s="467" t="s">
        <v>971</v>
      </c>
      <c r="H200" s="468"/>
      <c r="I200" s="469"/>
      <c r="J200" s="342" t="s">
        <v>229</v>
      </c>
      <c r="K200" s="342" t="s">
        <v>342</v>
      </c>
    </row>
    <row r="201" spans="1:11" ht="13">
      <c r="A201" s="344" t="s">
        <v>908</v>
      </c>
      <c r="B201" s="343" t="s">
        <v>946</v>
      </c>
      <c r="C201" s="343"/>
      <c r="D201" s="344" t="s">
        <v>337</v>
      </c>
      <c r="E201" s="343"/>
      <c r="F201" s="344" t="s">
        <v>284</v>
      </c>
      <c r="G201" s="454" t="s">
        <v>838</v>
      </c>
      <c r="H201" s="449" t="s">
        <v>970</v>
      </c>
      <c r="I201" s="455" t="s">
        <v>839</v>
      </c>
      <c r="J201" s="344" t="s">
        <v>341</v>
      </c>
      <c r="K201" s="344" t="s">
        <v>340</v>
      </c>
    </row>
    <row r="202" spans="1:11" ht="13">
      <c r="C202" s="572" t="s">
        <v>347</v>
      </c>
      <c r="D202" s="342"/>
      <c r="E202" s="195"/>
      <c r="G202" s="622">
        <f>$G$10</f>
        <v>3</v>
      </c>
      <c r="H202" s="623">
        <f>$H$10</f>
        <v>4</v>
      </c>
      <c r="I202" s="624">
        <f>$I$10</f>
        <v>5</v>
      </c>
    </row>
    <row r="203" spans="1:11" ht="13">
      <c r="A203" s="331">
        <v>1</v>
      </c>
      <c r="B203" s="330" t="s">
        <v>26</v>
      </c>
      <c r="D203" s="342"/>
      <c r="E203" s="195"/>
      <c r="G203" s="456"/>
      <c r="H203" s="457"/>
      <c r="I203" s="458"/>
    </row>
    <row r="204" spans="1:11" ht="13">
      <c r="A204" s="331">
        <v>2</v>
      </c>
      <c r="B204" s="330" t="s">
        <v>816</v>
      </c>
      <c r="D204" s="342"/>
      <c r="E204" s="195"/>
      <c r="G204" s="456"/>
      <c r="H204" s="457"/>
      <c r="I204" s="458"/>
    </row>
    <row r="205" spans="1:11" ht="13">
      <c r="A205" s="331">
        <v>3</v>
      </c>
      <c r="B205" s="330" t="s">
        <v>27</v>
      </c>
      <c r="D205" s="342"/>
      <c r="E205" s="195"/>
      <c r="G205" s="456"/>
      <c r="H205" s="457"/>
      <c r="I205" s="458"/>
    </row>
    <row r="206" spans="1:11" ht="13">
      <c r="A206" s="331">
        <v>4</v>
      </c>
      <c r="C206" s="330" t="s">
        <v>135</v>
      </c>
      <c r="D206" s="724" t="s">
        <v>315</v>
      </c>
      <c r="E206" s="448" t="s">
        <v>1483</v>
      </c>
      <c r="F206" s="1035">
        <f>-'[1]WPB-6''s'!$R$114</f>
        <v>66033425</v>
      </c>
      <c r="G206" s="459">
        <f t="shared" ref="G206:G214" si="57">F206-SUM(H206:I206)</f>
        <v>592980</v>
      </c>
      <c r="H206" s="460">
        <f t="shared" ref="H206:H214" si="58">ROUND(F206*VLOOKUP(D206,AllocTable_Functional,$H$10,FALSE),0)</f>
        <v>0</v>
      </c>
      <c r="I206" s="461">
        <f t="shared" ref="I206:I214" si="59">ROUND(F206*VLOOKUP(D206,AllocTable_Functional,$I$10,FALSE),0)</f>
        <v>65440445</v>
      </c>
      <c r="J206" s="345">
        <f t="shared" ref="J206:J214" si="60">SUM(G206:I206)</f>
        <v>66033425</v>
      </c>
      <c r="K206" s="345">
        <f t="shared" ref="K206:K214" si="61">F206-J206</f>
        <v>0</v>
      </c>
    </row>
    <row r="207" spans="1:11" ht="13">
      <c r="A207" s="331">
        <v>5</v>
      </c>
      <c r="C207" s="330" t="s">
        <v>1167</v>
      </c>
      <c r="D207" s="725" t="s">
        <v>294</v>
      </c>
      <c r="E207" s="448" t="s">
        <v>1483</v>
      </c>
      <c r="F207" s="787"/>
      <c r="G207" s="459">
        <f t="shared" si="57"/>
        <v>0</v>
      </c>
      <c r="H207" s="460">
        <f t="shared" si="58"/>
        <v>0</v>
      </c>
      <c r="I207" s="461">
        <f t="shared" si="59"/>
        <v>0</v>
      </c>
      <c r="J207" s="345">
        <f t="shared" si="60"/>
        <v>0</v>
      </c>
      <c r="K207" s="345">
        <f t="shared" si="61"/>
        <v>0</v>
      </c>
    </row>
    <row r="208" spans="1:11" ht="13">
      <c r="A208" s="331">
        <v>6</v>
      </c>
      <c r="C208" s="330" t="s">
        <v>136</v>
      </c>
      <c r="D208" s="724" t="s">
        <v>312</v>
      </c>
      <c r="E208" s="448" t="s">
        <v>1483</v>
      </c>
      <c r="F208" s="787">
        <v>-1497040</v>
      </c>
      <c r="G208" s="459">
        <f t="shared" si="57"/>
        <v>0</v>
      </c>
      <c r="H208" s="460">
        <f t="shared" si="58"/>
        <v>0</v>
      </c>
      <c r="I208" s="461">
        <f t="shared" si="59"/>
        <v>-1497040</v>
      </c>
      <c r="J208" s="345">
        <f t="shared" si="60"/>
        <v>-1497040</v>
      </c>
      <c r="K208" s="345">
        <f t="shared" si="61"/>
        <v>0</v>
      </c>
    </row>
    <row r="209" spans="1:11" ht="13">
      <c r="A209" s="331">
        <v>7</v>
      </c>
      <c r="C209" s="330" t="s">
        <v>137</v>
      </c>
      <c r="D209" s="724" t="s">
        <v>315</v>
      </c>
      <c r="E209" s="448" t="s">
        <v>1483</v>
      </c>
      <c r="F209" s="787">
        <v>-1556029</v>
      </c>
      <c r="G209" s="459">
        <f t="shared" si="57"/>
        <v>-13973</v>
      </c>
      <c r="H209" s="460">
        <f t="shared" si="58"/>
        <v>0</v>
      </c>
      <c r="I209" s="461">
        <f t="shared" si="59"/>
        <v>-1542056</v>
      </c>
      <c r="J209" s="345">
        <f t="shared" si="60"/>
        <v>-1556029</v>
      </c>
      <c r="K209" s="345">
        <f t="shared" si="61"/>
        <v>0</v>
      </c>
    </row>
    <row r="210" spans="1:11" ht="13">
      <c r="A210" s="331">
        <v>8</v>
      </c>
      <c r="C210" s="330" t="s">
        <v>1151</v>
      </c>
      <c r="D210" s="724" t="s">
        <v>315</v>
      </c>
      <c r="E210" s="448" t="s">
        <v>1483</v>
      </c>
      <c r="F210" s="787"/>
      <c r="G210" s="459">
        <f t="shared" si="57"/>
        <v>0</v>
      </c>
      <c r="H210" s="460">
        <f t="shared" si="58"/>
        <v>0</v>
      </c>
      <c r="I210" s="461">
        <f t="shared" si="59"/>
        <v>0</v>
      </c>
      <c r="J210" s="345">
        <f t="shared" si="60"/>
        <v>0</v>
      </c>
      <c r="K210" s="345">
        <f t="shared" si="61"/>
        <v>0</v>
      </c>
    </row>
    <row r="211" spans="1:11" ht="13">
      <c r="A211" s="331">
        <v>9</v>
      </c>
      <c r="C211" s="330" t="s">
        <v>1141</v>
      </c>
      <c r="D211" s="725" t="s">
        <v>315</v>
      </c>
      <c r="E211" s="448" t="s">
        <v>1483</v>
      </c>
      <c r="F211" s="787"/>
      <c r="G211" s="459">
        <f t="shared" si="57"/>
        <v>0</v>
      </c>
      <c r="H211" s="460">
        <f t="shared" si="58"/>
        <v>0</v>
      </c>
      <c r="I211" s="461">
        <f t="shared" si="59"/>
        <v>0</v>
      </c>
      <c r="J211" s="345">
        <f t="shared" si="60"/>
        <v>0</v>
      </c>
      <c r="K211" s="345">
        <f t="shared" si="61"/>
        <v>0</v>
      </c>
    </row>
    <row r="212" spans="1:11" ht="13">
      <c r="A212" s="331">
        <v>10</v>
      </c>
      <c r="C212" s="330" t="s">
        <v>516</v>
      </c>
      <c r="D212" s="725" t="s">
        <v>1005</v>
      </c>
      <c r="E212" s="448" t="s">
        <v>1483</v>
      </c>
      <c r="F212" s="787">
        <v>-624152</v>
      </c>
      <c r="G212" s="459">
        <f t="shared" si="57"/>
        <v>-96937</v>
      </c>
      <c r="H212" s="460">
        <f t="shared" si="58"/>
        <v>0</v>
      </c>
      <c r="I212" s="461">
        <f t="shared" si="59"/>
        <v>-527215</v>
      </c>
      <c r="J212" s="345">
        <f t="shared" si="60"/>
        <v>-624152</v>
      </c>
      <c r="K212" s="345">
        <f t="shared" si="61"/>
        <v>0</v>
      </c>
    </row>
    <row r="213" spans="1:11" ht="13">
      <c r="A213" s="331">
        <v>11</v>
      </c>
      <c r="C213" s="330" t="s">
        <v>517</v>
      </c>
      <c r="D213" s="725" t="s">
        <v>315</v>
      </c>
      <c r="E213" s="448" t="s">
        <v>1483</v>
      </c>
      <c r="F213" s="787"/>
      <c r="G213" s="459">
        <f t="shared" si="57"/>
        <v>0</v>
      </c>
      <c r="H213" s="460">
        <f t="shared" si="58"/>
        <v>0</v>
      </c>
      <c r="I213" s="461">
        <f t="shared" si="59"/>
        <v>0</v>
      </c>
      <c r="J213" s="345">
        <f t="shared" si="60"/>
        <v>0</v>
      </c>
      <c r="K213" s="345">
        <f t="shared" si="61"/>
        <v>0</v>
      </c>
    </row>
    <row r="214" spans="1:11" ht="13">
      <c r="A214" s="331">
        <v>12</v>
      </c>
      <c r="C214" s="363" t="s">
        <v>1142</v>
      </c>
      <c r="D214" s="724" t="s">
        <v>315</v>
      </c>
      <c r="E214" s="448" t="s">
        <v>1483</v>
      </c>
      <c r="F214" s="787">
        <f>F215-SUM(F206:F213)</f>
        <v>7822421.9041095972</v>
      </c>
      <c r="G214" s="459">
        <f t="shared" si="57"/>
        <v>70244.904109597206</v>
      </c>
      <c r="H214" s="460">
        <f t="shared" si="58"/>
        <v>0</v>
      </c>
      <c r="I214" s="461">
        <f t="shared" si="59"/>
        <v>7752177</v>
      </c>
      <c r="J214" s="345">
        <f t="shared" si="60"/>
        <v>7822421.9041095972</v>
      </c>
      <c r="K214" s="345">
        <f t="shared" si="61"/>
        <v>0</v>
      </c>
    </row>
    <row r="215" spans="1:11" ht="13">
      <c r="A215" s="331">
        <v>13</v>
      </c>
      <c r="C215" s="337" t="s">
        <v>138</v>
      </c>
      <c r="D215" s="723"/>
      <c r="E215" s="448" t="s">
        <v>1483</v>
      </c>
      <c r="F215" s="346">
        <f>-'[1]WPB-6''s'!$R$122+'[1]WPB-6''s'!$AE$227</f>
        <v>70178625.904109597</v>
      </c>
      <c r="G215" s="462">
        <f t="shared" ref="G215:K215" si="62">SUM(G206:G214)</f>
        <v>552314.90410959721</v>
      </c>
      <c r="H215" s="450">
        <f t="shared" si="62"/>
        <v>0</v>
      </c>
      <c r="I215" s="463">
        <f t="shared" si="62"/>
        <v>69626311</v>
      </c>
      <c r="J215" s="346">
        <f t="shared" si="62"/>
        <v>70178625.904109597</v>
      </c>
      <c r="K215" s="346">
        <f t="shared" si="62"/>
        <v>0</v>
      </c>
    </row>
    <row r="216" spans="1:11" ht="13">
      <c r="A216" s="331">
        <v>14</v>
      </c>
      <c r="D216" s="723"/>
      <c r="E216" s="195"/>
      <c r="G216" s="456"/>
      <c r="H216" s="457"/>
      <c r="I216" s="458"/>
    </row>
    <row r="217" spans="1:11" ht="13">
      <c r="A217" s="331">
        <v>15</v>
      </c>
      <c r="B217" s="330" t="s">
        <v>28</v>
      </c>
      <c r="D217" s="723"/>
      <c r="E217" s="195"/>
      <c r="G217" s="456"/>
      <c r="H217" s="457"/>
      <c r="I217" s="458"/>
    </row>
    <row r="218" spans="1:11" ht="13">
      <c r="A218" s="331">
        <v>16</v>
      </c>
      <c r="C218" s="330" t="s">
        <v>1361</v>
      </c>
      <c r="D218" s="725" t="s">
        <v>294</v>
      </c>
      <c r="E218" s="448" t="s">
        <v>1483</v>
      </c>
      <c r="F218" s="787"/>
      <c r="G218" s="459">
        <f t="shared" ref="G218:G228" si="63">F218-SUM(H218:I218)</f>
        <v>0</v>
      </c>
      <c r="H218" s="460">
        <f t="shared" ref="H218:H228" si="64">ROUND(F218*VLOOKUP(D218,AllocTable_Functional,$H$10,FALSE),0)</f>
        <v>0</v>
      </c>
      <c r="I218" s="461">
        <f t="shared" ref="I218:I228" si="65">ROUND(F218*VLOOKUP(D218,AllocTable_Functional,$I$10,FALSE),0)</f>
        <v>0</v>
      </c>
      <c r="J218" s="345">
        <f t="shared" ref="J218:J228" si="66">SUM(G218:I218)</f>
        <v>0</v>
      </c>
      <c r="K218" s="345">
        <f t="shared" ref="K218:K228" si="67">F218-J218</f>
        <v>0</v>
      </c>
    </row>
    <row r="219" spans="1:11" ht="13">
      <c r="A219" s="331">
        <v>17</v>
      </c>
      <c r="C219" s="330" t="s">
        <v>1361</v>
      </c>
      <c r="D219" s="725" t="s">
        <v>294</v>
      </c>
      <c r="E219" s="448" t="s">
        <v>1483</v>
      </c>
      <c r="F219" s="787"/>
      <c r="G219" s="459">
        <f t="shared" si="63"/>
        <v>0</v>
      </c>
      <c r="H219" s="460">
        <f t="shared" si="64"/>
        <v>0</v>
      </c>
      <c r="I219" s="461">
        <f t="shared" si="65"/>
        <v>0</v>
      </c>
      <c r="J219" s="345">
        <f t="shared" si="66"/>
        <v>0</v>
      </c>
      <c r="K219" s="345">
        <f t="shared" si="67"/>
        <v>0</v>
      </c>
    </row>
    <row r="220" spans="1:11" ht="13">
      <c r="A220" s="331">
        <v>18</v>
      </c>
      <c r="C220" s="330" t="s">
        <v>1360</v>
      </c>
      <c r="D220" s="725" t="s">
        <v>1005</v>
      </c>
      <c r="E220" s="448" t="s">
        <v>1483</v>
      </c>
      <c r="F220" s="788"/>
      <c r="G220" s="459">
        <f t="shared" si="63"/>
        <v>0</v>
      </c>
      <c r="H220" s="460">
        <f t="shared" si="64"/>
        <v>0</v>
      </c>
      <c r="I220" s="461">
        <f t="shared" si="65"/>
        <v>0</v>
      </c>
      <c r="J220" s="345">
        <f t="shared" si="66"/>
        <v>0</v>
      </c>
      <c r="K220" s="345">
        <f t="shared" si="67"/>
        <v>0</v>
      </c>
    </row>
    <row r="221" spans="1:11" ht="13">
      <c r="A221" s="331">
        <v>19</v>
      </c>
      <c r="C221" s="330" t="s">
        <v>1144</v>
      </c>
      <c r="D221" s="725" t="s">
        <v>315</v>
      </c>
      <c r="E221" s="448" t="s">
        <v>1483</v>
      </c>
      <c r="F221" s="787"/>
      <c r="G221" s="459">
        <f t="shared" si="63"/>
        <v>0</v>
      </c>
      <c r="H221" s="460">
        <f t="shared" si="64"/>
        <v>0</v>
      </c>
      <c r="I221" s="461">
        <f t="shared" si="65"/>
        <v>0</v>
      </c>
      <c r="J221" s="345">
        <f t="shared" si="66"/>
        <v>0</v>
      </c>
      <c r="K221" s="345">
        <f t="shared" si="67"/>
        <v>0</v>
      </c>
    </row>
    <row r="222" spans="1:11" ht="13">
      <c r="A222" s="331">
        <v>20</v>
      </c>
      <c r="C222" s="330" t="s">
        <v>518</v>
      </c>
      <c r="D222" s="725" t="s">
        <v>298</v>
      </c>
      <c r="E222" s="448" t="s">
        <v>1483</v>
      </c>
      <c r="F222" s="787"/>
      <c r="G222" s="459">
        <f t="shared" si="63"/>
        <v>0</v>
      </c>
      <c r="H222" s="460">
        <f t="shared" si="64"/>
        <v>0</v>
      </c>
      <c r="I222" s="461">
        <f t="shared" si="65"/>
        <v>0</v>
      </c>
      <c r="J222" s="345">
        <f t="shared" si="66"/>
        <v>0</v>
      </c>
      <c r="K222" s="345">
        <f t="shared" si="67"/>
        <v>0</v>
      </c>
    </row>
    <row r="223" spans="1:11" ht="13">
      <c r="A223" s="331">
        <v>21</v>
      </c>
      <c r="C223" s="330" t="s">
        <v>519</v>
      </c>
      <c r="D223" s="725" t="s">
        <v>315</v>
      </c>
      <c r="E223" s="448" t="s">
        <v>1483</v>
      </c>
      <c r="F223" s="787"/>
      <c r="G223" s="459">
        <f t="shared" si="63"/>
        <v>0</v>
      </c>
      <c r="H223" s="460">
        <f t="shared" si="64"/>
        <v>0</v>
      </c>
      <c r="I223" s="461">
        <f t="shared" si="65"/>
        <v>0</v>
      </c>
      <c r="J223" s="345">
        <f t="shared" si="66"/>
        <v>0</v>
      </c>
      <c r="K223" s="345">
        <f t="shared" si="67"/>
        <v>0</v>
      </c>
    </row>
    <row r="224" spans="1:11" ht="13">
      <c r="A224" s="331">
        <v>22</v>
      </c>
      <c r="C224" s="330" t="s">
        <v>371</v>
      </c>
      <c r="D224" s="724" t="s">
        <v>315</v>
      </c>
      <c r="E224" s="448" t="s">
        <v>1483</v>
      </c>
      <c r="F224" s="787"/>
      <c r="G224" s="459">
        <f t="shared" si="63"/>
        <v>0</v>
      </c>
      <c r="H224" s="460">
        <f t="shared" si="64"/>
        <v>0</v>
      </c>
      <c r="I224" s="461">
        <f t="shared" si="65"/>
        <v>0</v>
      </c>
      <c r="J224" s="345">
        <f t="shared" si="66"/>
        <v>0</v>
      </c>
      <c r="K224" s="345">
        <f t="shared" si="67"/>
        <v>0</v>
      </c>
    </row>
    <row r="225" spans="1:11" ht="13">
      <c r="A225" s="331">
        <v>23</v>
      </c>
      <c r="C225" s="330" t="s">
        <v>1143</v>
      </c>
      <c r="D225" s="725" t="s">
        <v>1005</v>
      </c>
      <c r="E225" s="448" t="s">
        <v>1483</v>
      </c>
      <c r="F225" s="787"/>
      <c r="G225" s="459">
        <f t="shared" si="63"/>
        <v>0</v>
      </c>
      <c r="H225" s="460">
        <f t="shared" si="64"/>
        <v>0</v>
      </c>
      <c r="I225" s="461">
        <f t="shared" si="65"/>
        <v>0</v>
      </c>
      <c r="J225" s="345">
        <f t="shared" si="66"/>
        <v>0</v>
      </c>
      <c r="K225" s="345">
        <f t="shared" si="67"/>
        <v>0</v>
      </c>
    </row>
    <row r="226" spans="1:11" ht="13">
      <c r="A226" s="331">
        <v>24</v>
      </c>
      <c r="C226" s="351" t="s">
        <v>1165</v>
      </c>
      <c r="D226" s="725" t="s">
        <v>1005</v>
      </c>
      <c r="E226" s="448" t="s">
        <v>1483</v>
      </c>
      <c r="F226" s="787"/>
      <c r="G226" s="459">
        <f t="shared" si="63"/>
        <v>0</v>
      </c>
      <c r="H226" s="460">
        <f t="shared" si="64"/>
        <v>0</v>
      </c>
      <c r="I226" s="461">
        <f t="shared" si="65"/>
        <v>0</v>
      </c>
      <c r="J226" s="345">
        <f>SUM(G226:I226)</f>
        <v>0</v>
      </c>
      <c r="K226" s="345">
        <f>F226-J226</f>
        <v>0</v>
      </c>
    </row>
    <row r="227" spans="1:11" ht="13">
      <c r="A227" s="331">
        <v>25</v>
      </c>
      <c r="C227" s="330" t="s">
        <v>1146</v>
      </c>
      <c r="D227" s="725" t="s">
        <v>1005</v>
      </c>
      <c r="E227" s="448" t="s">
        <v>1483</v>
      </c>
      <c r="F227" s="787"/>
      <c r="G227" s="459">
        <f t="shared" si="63"/>
        <v>0</v>
      </c>
      <c r="H227" s="460">
        <f t="shared" si="64"/>
        <v>0</v>
      </c>
      <c r="I227" s="461">
        <f t="shared" si="65"/>
        <v>0</v>
      </c>
      <c r="J227" s="345">
        <f>SUM(G227:I227)</f>
        <v>0</v>
      </c>
      <c r="K227" s="345">
        <f>F227-J227</f>
        <v>0</v>
      </c>
    </row>
    <row r="228" spans="1:11" ht="13">
      <c r="A228" s="331">
        <v>26</v>
      </c>
      <c r="C228" s="363" t="s">
        <v>1142</v>
      </c>
      <c r="D228" s="724" t="s">
        <v>382</v>
      </c>
      <c r="E228" s="448" t="s">
        <v>1483</v>
      </c>
      <c r="F228" s="787"/>
      <c r="G228" s="459">
        <f t="shared" si="63"/>
        <v>0</v>
      </c>
      <c r="H228" s="460">
        <f t="shared" si="64"/>
        <v>0</v>
      </c>
      <c r="I228" s="461">
        <f t="shared" si="65"/>
        <v>0</v>
      </c>
      <c r="J228" s="345">
        <f t="shared" si="66"/>
        <v>0</v>
      </c>
      <c r="K228" s="345">
        <f t="shared" si="67"/>
        <v>0</v>
      </c>
    </row>
    <row r="229" spans="1:11" ht="13">
      <c r="A229" s="331">
        <v>27</v>
      </c>
      <c r="C229" s="337" t="s">
        <v>139</v>
      </c>
      <c r="D229" s="723"/>
      <c r="F229" s="756">
        <f>-'[1]WPB-6''s'!$T$115+'[1]WPB-6''s'!$AM$336</f>
        <v>0</v>
      </c>
      <c r="G229" s="462">
        <f t="shared" ref="G229:K229" si="68">SUM(G217:G228)</f>
        <v>0</v>
      </c>
      <c r="H229" s="450">
        <f t="shared" si="68"/>
        <v>0</v>
      </c>
      <c r="I229" s="463">
        <f t="shared" si="68"/>
        <v>0</v>
      </c>
      <c r="J229" s="346">
        <f t="shared" si="68"/>
        <v>0</v>
      </c>
      <c r="K229" s="346">
        <f t="shared" si="68"/>
        <v>0</v>
      </c>
    </row>
    <row r="230" spans="1:11" ht="13">
      <c r="A230" s="331">
        <v>28</v>
      </c>
      <c r="D230" s="723"/>
      <c r="E230" s="195"/>
      <c r="G230" s="456"/>
      <c r="H230" s="457"/>
      <c r="I230" s="458"/>
    </row>
    <row r="231" spans="1:11" ht="13">
      <c r="A231" s="331">
        <v>29</v>
      </c>
      <c r="B231" s="351" t="s">
        <v>817</v>
      </c>
      <c r="C231" s="351"/>
      <c r="D231" s="723"/>
      <c r="E231" s="195"/>
      <c r="G231" s="456"/>
      <c r="H231" s="457"/>
      <c r="I231" s="458"/>
    </row>
    <row r="232" spans="1:11" ht="13">
      <c r="A232" s="331">
        <v>30</v>
      </c>
      <c r="C232" s="330" t="s">
        <v>398</v>
      </c>
      <c r="D232" s="723" t="s">
        <v>312</v>
      </c>
      <c r="E232" s="448" t="s">
        <v>1483</v>
      </c>
      <c r="F232" s="787">
        <f>-[1]SCH_B1!$I$32</f>
        <v>1643017</v>
      </c>
      <c r="G232" s="459">
        <f>F232-SUM(H232:I232)</f>
        <v>0</v>
      </c>
      <c r="H232" s="460">
        <f>ROUND(F232*VLOOKUP(D232,AllocTable_Functional,$H$10,FALSE),0)</f>
        <v>0</v>
      </c>
      <c r="I232" s="461">
        <f>ROUND(F232*VLOOKUP(D232,AllocTable_Functional,$I$10,FALSE),0)</f>
        <v>1643017</v>
      </c>
      <c r="J232" s="345">
        <f>SUM(G232:I232)</f>
        <v>1643017</v>
      </c>
      <c r="K232" s="345">
        <f>F232-J232</f>
        <v>0</v>
      </c>
    </row>
    <row r="233" spans="1:11" ht="13">
      <c r="A233" s="331">
        <v>31</v>
      </c>
      <c r="C233" s="330" t="s">
        <v>402</v>
      </c>
      <c r="D233" s="723" t="s">
        <v>312</v>
      </c>
      <c r="E233" s="448" t="s">
        <v>1483</v>
      </c>
      <c r="F233" s="777"/>
      <c r="G233" s="459">
        <f>F233-SUM(H233:I233)</f>
        <v>0</v>
      </c>
      <c r="H233" s="460">
        <f>ROUND(F233*VLOOKUP(D233,AllocTable_Functional,$H$10,FALSE),0)</f>
        <v>0</v>
      </c>
      <c r="I233" s="461">
        <f>ROUND(F233*VLOOKUP(D233,AllocTable_Functional,$I$10,FALSE),0)</f>
        <v>0</v>
      </c>
      <c r="J233" s="345">
        <f>SUM(G233:I233)</f>
        <v>0</v>
      </c>
      <c r="K233" s="345">
        <f>F233-J233</f>
        <v>0</v>
      </c>
    </row>
    <row r="234" spans="1:11" ht="13">
      <c r="A234" s="331">
        <v>32</v>
      </c>
      <c r="C234" s="330" t="s">
        <v>142</v>
      </c>
      <c r="D234" s="723" t="s">
        <v>1005</v>
      </c>
      <c r="E234" s="195"/>
      <c r="F234" s="787"/>
      <c r="G234" s="459">
        <f>F234-SUM(H234:I234)</f>
        <v>0</v>
      </c>
      <c r="H234" s="460">
        <f>ROUND(F234*VLOOKUP(D234,AllocTable_Functional,$H$10,FALSE),0)</f>
        <v>0</v>
      </c>
      <c r="I234" s="461">
        <f>ROUND(F234*VLOOKUP(D234,AllocTable_Functional,$I$10,FALSE),0)</f>
        <v>0</v>
      </c>
      <c r="J234" s="345">
        <f>SUM(G234:I234)</f>
        <v>0</v>
      </c>
      <c r="K234" s="345">
        <f>F234-J234</f>
        <v>0</v>
      </c>
    </row>
    <row r="235" spans="1:11" ht="13">
      <c r="A235" s="331">
        <v>33</v>
      </c>
      <c r="C235" s="363" t="s">
        <v>1367</v>
      </c>
      <c r="D235" s="723" t="s">
        <v>315</v>
      </c>
      <c r="E235" s="448" t="s">
        <v>1483</v>
      </c>
      <c r="F235" s="787">
        <f>-[1]SCH_B6!$P$79</f>
        <v>29269976</v>
      </c>
      <c r="G235" s="459">
        <f>F235-SUM(H235:I235)</f>
        <v>262844</v>
      </c>
      <c r="H235" s="460">
        <f>ROUND(F235*VLOOKUP(D235,AllocTable_Functional,$H$10,FALSE),0)</f>
        <v>0</v>
      </c>
      <c r="I235" s="461">
        <f>ROUND(F235*VLOOKUP(D235,AllocTable_Functional,$I$10,FALSE),0)</f>
        <v>29007132</v>
      </c>
      <c r="J235" s="345">
        <f>SUM(G235:I235)</f>
        <v>29269976</v>
      </c>
      <c r="K235" s="345">
        <f>F235-J235</f>
        <v>0</v>
      </c>
    </row>
    <row r="236" spans="1:11" ht="13">
      <c r="A236" s="331">
        <v>34</v>
      </c>
      <c r="C236" s="337" t="s">
        <v>140</v>
      </c>
      <c r="D236" s="342"/>
      <c r="E236" s="195"/>
      <c r="F236" s="346">
        <f t="shared" ref="F236:K236" si="69">SUM(F231:F235)</f>
        <v>30912993</v>
      </c>
      <c r="G236" s="462">
        <f t="shared" si="69"/>
        <v>262844</v>
      </c>
      <c r="H236" s="450">
        <f t="shared" si="69"/>
        <v>0</v>
      </c>
      <c r="I236" s="463">
        <f t="shared" si="69"/>
        <v>30650149</v>
      </c>
      <c r="J236" s="346">
        <f t="shared" si="69"/>
        <v>30912993</v>
      </c>
      <c r="K236" s="346">
        <f t="shared" si="69"/>
        <v>0</v>
      </c>
    </row>
    <row r="237" spans="1:11" ht="13">
      <c r="A237" s="331">
        <v>35</v>
      </c>
      <c r="D237" s="342"/>
      <c r="E237" s="195"/>
      <c r="G237" s="456"/>
      <c r="H237" s="457"/>
      <c r="I237" s="458"/>
    </row>
    <row r="238" spans="1:11" ht="13">
      <c r="A238" s="331">
        <v>36</v>
      </c>
      <c r="B238" s="330" t="s">
        <v>821</v>
      </c>
      <c r="D238" s="342"/>
      <c r="E238" s="195"/>
      <c r="F238" s="345">
        <f t="shared" ref="F238:K238" si="70">F236+F229+F215</f>
        <v>101091618.9041096</v>
      </c>
      <c r="G238" s="478">
        <f t="shared" si="70"/>
        <v>815158.90410959721</v>
      </c>
      <c r="H238" s="479">
        <f t="shared" si="70"/>
        <v>0</v>
      </c>
      <c r="I238" s="480">
        <f t="shared" si="70"/>
        <v>100276460</v>
      </c>
      <c r="J238" s="345">
        <f t="shared" si="70"/>
        <v>101091618.9041096</v>
      </c>
      <c r="K238" s="345">
        <f t="shared" si="70"/>
        <v>0</v>
      </c>
    </row>
    <row r="239" spans="1:11" ht="13">
      <c r="B239" s="341"/>
      <c r="C239" s="195"/>
      <c r="D239" s="342"/>
      <c r="E239" s="195"/>
      <c r="F239" s="195"/>
      <c r="G239" s="195"/>
      <c r="H239" s="195"/>
      <c r="I239" s="195"/>
      <c r="J239" s="195"/>
      <c r="K239" s="195"/>
    </row>
    <row r="240" spans="1:11" ht="13">
      <c r="A240" s="341" t="str">
        <f>co_name</f>
        <v>DUKE ENERGY KENTUCKY, INC.</v>
      </c>
      <c r="C240" s="195"/>
      <c r="D240" s="342"/>
      <c r="E240" s="195"/>
      <c r="F240" s="195"/>
      <c r="G240" s="195"/>
      <c r="H240" s="195"/>
      <c r="I240" s="195"/>
      <c r="J240" s="195" t="str">
        <f>$J$1</f>
        <v>FR-16(7)(v)-1</v>
      </c>
      <c r="K240" s="195"/>
    </row>
    <row r="241" spans="1:11" ht="13">
      <c r="A241" s="341" t="str">
        <f>$A$2</f>
        <v>FUNCTIONAL GAS COST OF SERVICE</v>
      </c>
      <c r="C241" s="195"/>
      <c r="D241" s="342"/>
      <c r="E241" s="195"/>
      <c r="F241" s="195"/>
      <c r="G241" s="195"/>
      <c r="H241" s="195"/>
      <c r="I241" s="195"/>
      <c r="J241" s="195" t="str">
        <f>$J$2</f>
        <v>WITNESS RESPONSIBLE:</v>
      </c>
      <c r="K241" s="195"/>
    </row>
    <row r="242" spans="1:11" ht="13">
      <c r="A242" s="341" t="str">
        <f>case_name</f>
        <v>CASE NO: 2021-00190</v>
      </c>
      <c r="C242" s="195"/>
      <c r="D242" s="342"/>
      <c r="E242" s="195"/>
      <c r="F242" s="195"/>
      <c r="G242" s="195"/>
      <c r="H242" s="195"/>
      <c r="I242" s="195"/>
      <c r="J242" s="195" t="str">
        <f>Witness</f>
        <v>JAMES E. ZIOLKOWSKI</v>
      </c>
      <c r="K242" s="195"/>
    </row>
    <row r="243" spans="1:11" ht="13">
      <c r="A243" s="341" t="str">
        <f>data_filing</f>
        <v>DATA: 12 MONTH FORECASTED PERIOD</v>
      </c>
      <c r="C243" s="195"/>
      <c r="D243" s="342"/>
      <c r="E243" s="195"/>
      <c r="F243" s="195"/>
      <c r="G243" s="195"/>
      <c r="H243" s="195"/>
      <c r="I243" s="195"/>
      <c r="J243" s="195" t="str">
        <f>"PAGE "&amp;Pages-12&amp;" OF "&amp;Pages</f>
        <v>PAGE 6 OF 18</v>
      </c>
      <c r="K243" s="195"/>
    </row>
    <row r="244" spans="1:11" ht="13">
      <c r="A244" s="341" t="str">
        <f>type</f>
        <v xml:space="preserve">TYPE OF FILING: "X" ORIGINAL   UPDATED    REVISED  </v>
      </c>
      <c r="C244" s="195"/>
      <c r="D244" s="342"/>
      <c r="E244" s="195"/>
      <c r="F244" s="195"/>
      <c r="G244" s="195"/>
      <c r="H244" s="195"/>
      <c r="I244" s="195"/>
      <c r="J244" s="195"/>
      <c r="K244" s="195"/>
    </row>
    <row r="245" spans="1:11" ht="13">
      <c r="B245" s="341"/>
      <c r="C245" s="195"/>
      <c r="D245" s="342"/>
      <c r="E245" s="195"/>
      <c r="F245" s="195"/>
      <c r="G245" s="195"/>
      <c r="H245" s="195"/>
      <c r="I245" s="195"/>
      <c r="J245" s="195"/>
      <c r="K245" s="195"/>
    </row>
    <row r="246" spans="1:11" ht="13">
      <c r="B246" s="341"/>
      <c r="C246" s="195"/>
      <c r="D246" s="342"/>
      <c r="E246" s="195"/>
      <c r="F246" s="195"/>
      <c r="G246" s="195"/>
      <c r="H246" s="195"/>
      <c r="I246" s="195"/>
      <c r="J246" s="195"/>
      <c r="K246" s="195"/>
    </row>
    <row r="247" spans="1:11" ht="13">
      <c r="A247" s="342" t="s">
        <v>907</v>
      </c>
      <c r="B247" s="195"/>
      <c r="C247" s="195"/>
      <c r="D247" s="342"/>
      <c r="E247" s="195"/>
      <c r="F247" s="342" t="s">
        <v>229</v>
      </c>
      <c r="G247" s="467" t="s">
        <v>971</v>
      </c>
      <c r="H247" s="468"/>
      <c r="I247" s="469"/>
      <c r="J247" s="342" t="s">
        <v>229</v>
      </c>
      <c r="K247" s="342" t="s">
        <v>342</v>
      </c>
    </row>
    <row r="248" spans="1:11" ht="13">
      <c r="A248" s="344" t="s">
        <v>908</v>
      </c>
      <c r="B248" s="343" t="s">
        <v>947</v>
      </c>
      <c r="C248" s="343"/>
      <c r="D248" s="344" t="s">
        <v>337</v>
      </c>
      <c r="E248" s="343"/>
      <c r="F248" s="344" t="s">
        <v>284</v>
      </c>
      <c r="G248" s="454" t="s">
        <v>838</v>
      </c>
      <c r="H248" s="449" t="s">
        <v>970</v>
      </c>
      <c r="I248" s="455" t="s">
        <v>839</v>
      </c>
      <c r="J248" s="344" t="s">
        <v>341</v>
      </c>
      <c r="K248" s="344" t="s">
        <v>340</v>
      </c>
    </row>
    <row r="249" spans="1:11" ht="13">
      <c r="C249" s="572" t="s">
        <v>555</v>
      </c>
      <c r="D249" s="342"/>
      <c r="E249" s="195"/>
      <c r="G249" s="622">
        <f>$G$10</f>
        <v>3</v>
      </c>
      <c r="H249" s="623">
        <f>$H$10</f>
        <v>4</v>
      </c>
      <c r="I249" s="624">
        <f>$I$10</f>
        <v>5</v>
      </c>
    </row>
    <row r="250" spans="1:11" ht="13">
      <c r="A250" s="331">
        <v>1</v>
      </c>
      <c r="B250" s="330" t="s">
        <v>819</v>
      </c>
      <c r="D250" s="342"/>
      <c r="E250" s="195"/>
      <c r="G250" s="456"/>
      <c r="H250" s="457"/>
      <c r="I250" s="458"/>
    </row>
    <row r="251" spans="1:11" ht="13">
      <c r="A251" s="331">
        <v>2</v>
      </c>
      <c r="B251" s="330" t="s">
        <v>29</v>
      </c>
      <c r="D251" s="342"/>
      <c r="E251" s="195"/>
      <c r="G251" s="456"/>
      <c r="H251" s="457"/>
      <c r="I251" s="458"/>
    </row>
    <row r="252" spans="1:11" ht="13">
      <c r="A252" s="331">
        <v>3</v>
      </c>
      <c r="C252" s="330" t="s">
        <v>141</v>
      </c>
      <c r="D252" s="724" t="s">
        <v>382</v>
      </c>
      <c r="E252" s="448" t="s">
        <v>1483</v>
      </c>
      <c r="F252" s="787"/>
      <c r="G252" s="459">
        <f t="shared" ref="G252:G274" si="71">F252-SUM(H252:I252)</f>
        <v>0</v>
      </c>
      <c r="H252" s="460">
        <f t="shared" ref="H252:H274" si="72">ROUND(F252*VLOOKUP(D252,AllocTable_Functional,$H$10,FALSE),0)</f>
        <v>0</v>
      </c>
      <c r="I252" s="461">
        <f t="shared" ref="I252:I274" si="73">ROUND(F252*VLOOKUP(D252,AllocTable_Functional,$I$10,FALSE),0)</f>
        <v>0</v>
      </c>
      <c r="J252" s="345">
        <f t="shared" ref="J252:J274" si="74">SUM(G252:I252)</f>
        <v>0</v>
      </c>
      <c r="K252" s="345">
        <f t="shared" ref="K252:K274" si="75">F252-J252</f>
        <v>0</v>
      </c>
    </row>
    <row r="253" spans="1:11" ht="13">
      <c r="A253" s="331">
        <v>4</v>
      </c>
      <c r="C253" s="330" t="s">
        <v>520</v>
      </c>
      <c r="D253" s="725" t="s">
        <v>379</v>
      </c>
      <c r="E253" s="448" t="s">
        <v>1483</v>
      </c>
      <c r="F253" s="787"/>
      <c r="G253" s="459">
        <f t="shared" si="71"/>
        <v>0</v>
      </c>
      <c r="H253" s="460">
        <f t="shared" si="72"/>
        <v>0</v>
      </c>
      <c r="I253" s="461">
        <f t="shared" si="73"/>
        <v>0</v>
      </c>
      <c r="J253" s="345">
        <f t="shared" si="74"/>
        <v>0</v>
      </c>
      <c r="K253" s="345">
        <f t="shared" si="75"/>
        <v>0</v>
      </c>
    </row>
    <row r="254" spans="1:11" ht="13">
      <c r="A254" s="331">
        <v>5</v>
      </c>
      <c r="C254" s="330" t="s">
        <v>1364</v>
      </c>
      <c r="D254" s="725" t="s">
        <v>379</v>
      </c>
      <c r="E254" s="448" t="s">
        <v>1483</v>
      </c>
      <c r="F254" s="787"/>
      <c r="G254" s="459">
        <f t="shared" si="71"/>
        <v>0</v>
      </c>
      <c r="H254" s="460">
        <f t="shared" si="72"/>
        <v>0</v>
      </c>
      <c r="I254" s="461">
        <f t="shared" si="73"/>
        <v>0</v>
      </c>
      <c r="J254" s="345">
        <f t="shared" si="74"/>
        <v>0</v>
      </c>
      <c r="K254" s="345">
        <f t="shared" si="75"/>
        <v>0</v>
      </c>
    </row>
    <row r="255" spans="1:11" ht="13">
      <c r="A255" s="331">
        <v>6</v>
      </c>
      <c r="C255" s="351" t="s">
        <v>521</v>
      </c>
      <c r="D255" s="725" t="s">
        <v>379</v>
      </c>
      <c r="E255" s="448" t="s">
        <v>1483</v>
      </c>
      <c r="F255" s="787"/>
      <c r="G255" s="459">
        <f t="shared" si="71"/>
        <v>0</v>
      </c>
      <c r="H255" s="460">
        <f t="shared" si="72"/>
        <v>0</v>
      </c>
      <c r="I255" s="461">
        <f t="shared" si="73"/>
        <v>0</v>
      </c>
      <c r="J255" s="345">
        <f t="shared" si="74"/>
        <v>0</v>
      </c>
      <c r="K255" s="345">
        <f t="shared" si="75"/>
        <v>0</v>
      </c>
    </row>
    <row r="256" spans="1:11" ht="13">
      <c r="A256" s="331">
        <v>7</v>
      </c>
      <c r="C256" s="330" t="s">
        <v>515</v>
      </c>
      <c r="D256" s="725" t="s">
        <v>294</v>
      </c>
      <c r="E256" s="448" t="s">
        <v>1483</v>
      </c>
      <c r="F256" s="787"/>
      <c r="G256" s="459">
        <f t="shared" si="71"/>
        <v>0</v>
      </c>
      <c r="H256" s="460">
        <f t="shared" si="72"/>
        <v>0</v>
      </c>
      <c r="I256" s="461">
        <f t="shared" si="73"/>
        <v>0</v>
      </c>
      <c r="J256" s="345">
        <f t="shared" si="74"/>
        <v>0</v>
      </c>
      <c r="K256" s="345">
        <f t="shared" si="75"/>
        <v>0</v>
      </c>
    </row>
    <row r="257" spans="1:11" ht="13">
      <c r="A257" s="331">
        <v>8</v>
      </c>
      <c r="C257" s="330" t="s">
        <v>522</v>
      </c>
      <c r="D257" s="725" t="s">
        <v>315</v>
      </c>
      <c r="E257" s="448" t="s">
        <v>1483</v>
      </c>
      <c r="F257" s="787"/>
      <c r="G257" s="459">
        <f t="shared" si="71"/>
        <v>0</v>
      </c>
      <c r="H257" s="460">
        <f t="shared" si="72"/>
        <v>0</v>
      </c>
      <c r="I257" s="461">
        <f t="shared" si="73"/>
        <v>0</v>
      </c>
      <c r="J257" s="345">
        <f t="shared" si="74"/>
        <v>0</v>
      </c>
      <c r="K257" s="345">
        <f t="shared" si="75"/>
        <v>0</v>
      </c>
    </row>
    <row r="258" spans="1:11" ht="13">
      <c r="A258" s="331">
        <v>9</v>
      </c>
      <c r="C258" s="330" t="s">
        <v>519</v>
      </c>
      <c r="D258" s="725" t="s">
        <v>315</v>
      </c>
      <c r="E258" s="448" t="s">
        <v>1483</v>
      </c>
      <c r="F258" s="787"/>
      <c r="G258" s="459">
        <f t="shared" si="71"/>
        <v>0</v>
      </c>
      <c r="H258" s="460">
        <f t="shared" si="72"/>
        <v>0</v>
      </c>
      <c r="I258" s="461">
        <f t="shared" si="73"/>
        <v>0</v>
      </c>
      <c r="J258" s="345">
        <f t="shared" si="74"/>
        <v>0</v>
      </c>
      <c r="K258" s="345">
        <f t="shared" si="75"/>
        <v>0</v>
      </c>
    </row>
    <row r="259" spans="1:11" ht="13">
      <c r="A259" s="331">
        <v>10</v>
      </c>
      <c r="C259" s="330" t="s">
        <v>523</v>
      </c>
      <c r="D259" s="725" t="s">
        <v>1005</v>
      </c>
      <c r="E259" s="448" t="s">
        <v>1483</v>
      </c>
      <c r="F259" s="787"/>
      <c r="G259" s="459">
        <f t="shared" si="71"/>
        <v>0</v>
      </c>
      <c r="H259" s="460">
        <f t="shared" si="72"/>
        <v>0</v>
      </c>
      <c r="I259" s="461">
        <f t="shared" si="73"/>
        <v>0</v>
      </c>
      <c r="J259" s="345">
        <f t="shared" si="74"/>
        <v>0</v>
      </c>
      <c r="K259" s="345">
        <f t="shared" si="75"/>
        <v>0</v>
      </c>
    </row>
    <row r="260" spans="1:11" ht="13">
      <c r="A260" s="331">
        <v>11</v>
      </c>
      <c r="C260" s="330" t="s">
        <v>524</v>
      </c>
      <c r="D260" s="725" t="s">
        <v>1005</v>
      </c>
      <c r="E260" s="448" t="s">
        <v>1483</v>
      </c>
      <c r="F260" s="787"/>
      <c r="G260" s="459">
        <f t="shared" si="71"/>
        <v>0</v>
      </c>
      <c r="H260" s="460">
        <f t="shared" si="72"/>
        <v>0</v>
      </c>
      <c r="I260" s="461">
        <f t="shared" si="73"/>
        <v>0</v>
      </c>
      <c r="J260" s="345">
        <f t="shared" si="74"/>
        <v>0</v>
      </c>
      <c r="K260" s="345">
        <f t="shared" si="75"/>
        <v>0</v>
      </c>
    </row>
    <row r="261" spans="1:11" ht="13">
      <c r="A261" s="331">
        <v>12</v>
      </c>
      <c r="C261" s="330" t="s">
        <v>525</v>
      </c>
      <c r="D261" s="725" t="s">
        <v>1005</v>
      </c>
      <c r="E261" s="448" t="s">
        <v>1483</v>
      </c>
      <c r="F261" s="787"/>
      <c r="G261" s="459">
        <f t="shared" si="71"/>
        <v>0</v>
      </c>
      <c r="H261" s="460">
        <f t="shared" si="72"/>
        <v>0</v>
      </c>
      <c r="I261" s="461">
        <f t="shared" si="73"/>
        <v>0</v>
      </c>
      <c r="J261" s="345">
        <f t="shared" si="74"/>
        <v>0</v>
      </c>
      <c r="K261" s="345">
        <f t="shared" si="75"/>
        <v>0</v>
      </c>
    </row>
    <row r="262" spans="1:11" ht="13">
      <c r="A262" s="331">
        <v>13</v>
      </c>
      <c r="C262" s="330" t="s">
        <v>526</v>
      </c>
      <c r="D262" s="725" t="s">
        <v>1005</v>
      </c>
      <c r="E262" s="448" t="s">
        <v>1483</v>
      </c>
      <c r="F262" s="787"/>
      <c r="G262" s="459">
        <f t="shared" si="71"/>
        <v>0</v>
      </c>
      <c r="H262" s="460">
        <f t="shared" si="72"/>
        <v>0</v>
      </c>
      <c r="I262" s="461">
        <f t="shared" si="73"/>
        <v>0</v>
      </c>
      <c r="J262" s="345">
        <f t="shared" si="74"/>
        <v>0</v>
      </c>
      <c r="K262" s="345">
        <f t="shared" si="75"/>
        <v>0</v>
      </c>
    </row>
    <row r="263" spans="1:11" ht="13">
      <c r="A263" s="331">
        <v>14</v>
      </c>
      <c r="C263" s="330" t="s">
        <v>1363</v>
      </c>
      <c r="D263" s="725" t="s">
        <v>1005</v>
      </c>
      <c r="E263" s="448" t="s">
        <v>1483</v>
      </c>
      <c r="F263" s="787"/>
      <c r="G263" s="459">
        <f t="shared" si="71"/>
        <v>0</v>
      </c>
      <c r="H263" s="460">
        <f t="shared" si="72"/>
        <v>0</v>
      </c>
      <c r="I263" s="461">
        <f t="shared" si="73"/>
        <v>0</v>
      </c>
      <c r="J263" s="345">
        <f t="shared" si="74"/>
        <v>0</v>
      </c>
      <c r="K263" s="345">
        <f t="shared" si="75"/>
        <v>0</v>
      </c>
    </row>
    <row r="264" spans="1:11" ht="13">
      <c r="A264" s="331">
        <v>15</v>
      </c>
      <c r="C264" s="330" t="s">
        <v>529</v>
      </c>
      <c r="D264" s="725" t="s">
        <v>1005</v>
      </c>
      <c r="E264" s="448" t="s">
        <v>1483</v>
      </c>
      <c r="F264" s="787"/>
      <c r="G264" s="459">
        <f t="shared" si="71"/>
        <v>0</v>
      </c>
      <c r="H264" s="460">
        <f t="shared" si="72"/>
        <v>0</v>
      </c>
      <c r="I264" s="461">
        <f t="shared" si="73"/>
        <v>0</v>
      </c>
      <c r="J264" s="345">
        <f t="shared" si="74"/>
        <v>0</v>
      </c>
      <c r="K264" s="345">
        <f t="shared" si="75"/>
        <v>0</v>
      </c>
    </row>
    <row r="265" spans="1:11" ht="13">
      <c r="A265" s="331">
        <v>16</v>
      </c>
      <c r="C265" s="330" t="s">
        <v>1166</v>
      </c>
      <c r="D265" s="725" t="s">
        <v>1005</v>
      </c>
      <c r="E265" s="448" t="s">
        <v>1483</v>
      </c>
      <c r="F265" s="787"/>
      <c r="G265" s="459">
        <f t="shared" si="71"/>
        <v>0</v>
      </c>
      <c r="H265" s="460">
        <f t="shared" si="72"/>
        <v>0</v>
      </c>
      <c r="I265" s="461">
        <f t="shared" si="73"/>
        <v>0</v>
      </c>
      <c r="J265" s="345">
        <f t="shared" si="74"/>
        <v>0</v>
      </c>
      <c r="K265" s="345">
        <f t="shared" si="75"/>
        <v>0</v>
      </c>
    </row>
    <row r="266" spans="1:11" ht="13">
      <c r="A266" s="331">
        <v>17</v>
      </c>
      <c r="C266" s="330" t="s">
        <v>1362</v>
      </c>
      <c r="D266" s="725" t="s">
        <v>1005</v>
      </c>
      <c r="E266" s="448" t="s">
        <v>1483</v>
      </c>
      <c r="F266" s="787"/>
      <c r="G266" s="459">
        <f t="shared" si="71"/>
        <v>0</v>
      </c>
      <c r="H266" s="460">
        <f t="shared" si="72"/>
        <v>0</v>
      </c>
      <c r="I266" s="461">
        <f t="shared" si="73"/>
        <v>0</v>
      </c>
      <c r="J266" s="345">
        <f t="shared" si="74"/>
        <v>0</v>
      </c>
      <c r="K266" s="345">
        <f t="shared" si="75"/>
        <v>0</v>
      </c>
    </row>
    <row r="267" spans="1:11" ht="13">
      <c r="A267" s="331">
        <v>18</v>
      </c>
      <c r="C267" s="330" t="s">
        <v>374</v>
      </c>
      <c r="D267" s="725" t="s">
        <v>311</v>
      </c>
      <c r="E267" s="448" t="s">
        <v>1483</v>
      </c>
      <c r="F267" s="787"/>
      <c r="G267" s="459">
        <f t="shared" si="71"/>
        <v>0</v>
      </c>
      <c r="H267" s="460">
        <f t="shared" si="72"/>
        <v>0</v>
      </c>
      <c r="I267" s="461">
        <f t="shared" si="73"/>
        <v>0</v>
      </c>
      <c r="J267" s="345">
        <f t="shared" si="74"/>
        <v>0</v>
      </c>
      <c r="K267" s="345">
        <f t="shared" si="75"/>
        <v>0</v>
      </c>
    </row>
    <row r="268" spans="1:11" ht="13">
      <c r="A268" s="331">
        <v>19</v>
      </c>
      <c r="C268" s="351" t="s">
        <v>527</v>
      </c>
      <c r="D268" s="725" t="s">
        <v>311</v>
      </c>
      <c r="E268" s="448" t="s">
        <v>1483</v>
      </c>
      <c r="F268" s="787"/>
      <c r="G268" s="459">
        <f t="shared" si="71"/>
        <v>0</v>
      </c>
      <c r="H268" s="460">
        <f t="shared" si="72"/>
        <v>0</v>
      </c>
      <c r="I268" s="461">
        <f t="shared" si="73"/>
        <v>0</v>
      </c>
      <c r="J268" s="345">
        <f t="shared" si="74"/>
        <v>0</v>
      </c>
      <c r="K268" s="345">
        <f t="shared" si="75"/>
        <v>0</v>
      </c>
    </row>
    <row r="269" spans="1:11" ht="13">
      <c r="A269" s="331">
        <v>20</v>
      </c>
      <c r="C269" s="483" t="s">
        <v>528</v>
      </c>
      <c r="D269" s="725" t="s">
        <v>1005</v>
      </c>
      <c r="E269" s="448" t="s">
        <v>1483</v>
      </c>
      <c r="F269" s="787"/>
      <c r="G269" s="459">
        <f t="shared" si="71"/>
        <v>0</v>
      </c>
      <c r="H269" s="460">
        <f t="shared" si="72"/>
        <v>0</v>
      </c>
      <c r="I269" s="461">
        <f t="shared" si="73"/>
        <v>0</v>
      </c>
      <c r="J269" s="345">
        <f t="shared" si="74"/>
        <v>0</v>
      </c>
      <c r="K269" s="345">
        <f t="shared" si="75"/>
        <v>0</v>
      </c>
    </row>
    <row r="270" spans="1:11" ht="13">
      <c r="A270" s="331">
        <v>21</v>
      </c>
      <c r="C270" s="330" t="s">
        <v>1144</v>
      </c>
      <c r="D270" s="725" t="s">
        <v>315</v>
      </c>
      <c r="E270" s="448" t="s">
        <v>1483</v>
      </c>
      <c r="F270" s="787"/>
      <c r="G270" s="459">
        <f t="shared" si="71"/>
        <v>0</v>
      </c>
      <c r="H270" s="460">
        <f t="shared" si="72"/>
        <v>0</v>
      </c>
      <c r="I270" s="461">
        <f t="shared" si="73"/>
        <v>0</v>
      </c>
      <c r="J270" s="345">
        <f t="shared" si="74"/>
        <v>0</v>
      </c>
      <c r="K270" s="345">
        <f t="shared" si="75"/>
        <v>0</v>
      </c>
    </row>
    <row r="271" spans="1:11" ht="13">
      <c r="A271" s="331">
        <v>22</v>
      </c>
      <c r="C271" s="330" t="s">
        <v>530</v>
      </c>
      <c r="D271" s="725" t="s">
        <v>306</v>
      </c>
      <c r="E271" s="448" t="s">
        <v>1483</v>
      </c>
      <c r="F271" s="787"/>
      <c r="G271" s="459">
        <f t="shared" si="71"/>
        <v>0</v>
      </c>
      <c r="H271" s="460">
        <f t="shared" si="72"/>
        <v>0</v>
      </c>
      <c r="I271" s="461">
        <f t="shared" si="73"/>
        <v>0</v>
      </c>
      <c r="J271" s="345">
        <f t="shared" si="74"/>
        <v>0</v>
      </c>
      <c r="K271" s="345">
        <f t="shared" si="75"/>
        <v>0</v>
      </c>
    </row>
    <row r="272" spans="1:11" ht="13">
      <c r="A272" s="331">
        <v>23</v>
      </c>
      <c r="C272" s="330" t="s">
        <v>1145</v>
      </c>
      <c r="D272" s="725" t="s">
        <v>294</v>
      </c>
      <c r="E272" s="448" t="s">
        <v>1483</v>
      </c>
      <c r="F272" s="787"/>
      <c r="G272" s="459">
        <f t="shared" si="71"/>
        <v>0</v>
      </c>
      <c r="H272" s="460">
        <f t="shared" si="72"/>
        <v>0</v>
      </c>
      <c r="I272" s="461">
        <f t="shared" si="73"/>
        <v>0</v>
      </c>
      <c r="J272" s="345">
        <f t="shared" si="74"/>
        <v>0</v>
      </c>
      <c r="K272" s="345">
        <f t="shared" si="75"/>
        <v>0</v>
      </c>
    </row>
    <row r="273" spans="1:11" ht="13">
      <c r="A273" s="331">
        <v>24</v>
      </c>
      <c r="C273" s="330" t="s">
        <v>372</v>
      </c>
      <c r="D273" s="725" t="s">
        <v>312</v>
      </c>
      <c r="E273" s="448" t="s">
        <v>1483</v>
      </c>
      <c r="F273" s="787"/>
      <c r="G273" s="459">
        <f t="shared" si="71"/>
        <v>0</v>
      </c>
      <c r="H273" s="460">
        <f t="shared" si="72"/>
        <v>0</v>
      </c>
      <c r="I273" s="461">
        <f t="shared" si="73"/>
        <v>0</v>
      </c>
      <c r="J273" s="345">
        <f t="shared" si="74"/>
        <v>0</v>
      </c>
      <c r="K273" s="345">
        <f t="shared" si="75"/>
        <v>0</v>
      </c>
    </row>
    <row r="274" spans="1:11" ht="13">
      <c r="A274" s="331">
        <v>25</v>
      </c>
      <c r="C274" s="357" t="s">
        <v>340</v>
      </c>
      <c r="D274" s="724" t="s">
        <v>1005</v>
      </c>
      <c r="E274" s="448" t="s">
        <v>1483</v>
      </c>
      <c r="F274" s="787">
        <f>F275-SUM(F252:F273)</f>
        <v>506543</v>
      </c>
      <c r="G274" s="459">
        <f t="shared" si="71"/>
        <v>78671</v>
      </c>
      <c r="H274" s="460">
        <f t="shared" si="72"/>
        <v>0</v>
      </c>
      <c r="I274" s="461">
        <f t="shared" si="73"/>
        <v>427872</v>
      </c>
      <c r="J274" s="345">
        <f t="shared" si="74"/>
        <v>506543</v>
      </c>
      <c r="K274" s="345">
        <f t="shared" si="75"/>
        <v>0</v>
      </c>
    </row>
    <row r="275" spans="1:11" ht="13">
      <c r="A275" s="331">
        <v>26</v>
      </c>
      <c r="C275" s="330" t="s">
        <v>143</v>
      </c>
      <c r="D275" s="723"/>
      <c r="F275" s="756">
        <f>'[1]WPB-6''s'!$T$111-'[1]WPB-6''s'!$AM$322</f>
        <v>506543</v>
      </c>
      <c r="G275" s="462">
        <f t="shared" ref="G275:K275" si="76">SUM(G251:G274)</f>
        <v>78671</v>
      </c>
      <c r="H275" s="450">
        <f t="shared" si="76"/>
        <v>0</v>
      </c>
      <c r="I275" s="463">
        <f t="shared" si="76"/>
        <v>427872</v>
      </c>
      <c r="J275" s="346">
        <f t="shared" si="76"/>
        <v>506543</v>
      </c>
      <c r="K275" s="346">
        <f t="shared" si="76"/>
        <v>0</v>
      </c>
    </row>
    <row r="276" spans="1:11" ht="13">
      <c r="A276" s="331">
        <v>27</v>
      </c>
      <c r="D276" s="723"/>
      <c r="E276" s="195"/>
      <c r="G276" s="456"/>
      <c r="H276" s="457"/>
      <c r="I276" s="458"/>
    </row>
    <row r="277" spans="1:11" ht="13">
      <c r="A277" s="331">
        <v>28</v>
      </c>
      <c r="B277" s="330" t="s">
        <v>30</v>
      </c>
      <c r="D277" s="723"/>
      <c r="E277" s="195"/>
      <c r="G277" s="456"/>
      <c r="H277" s="457"/>
      <c r="I277" s="458"/>
    </row>
    <row r="278" spans="1:11" ht="13">
      <c r="A278" s="331">
        <v>29</v>
      </c>
      <c r="C278" s="363" t="s">
        <v>1152</v>
      </c>
      <c r="D278" s="725" t="s">
        <v>312</v>
      </c>
      <c r="E278" s="448" t="s">
        <v>1483</v>
      </c>
      <c r="F278" s="787">
        <v>0</v>
      </c>
      <c r="G278" s="459">
        <f>F278-SUM(H278:I278)</f>
        <v>0</v>
      </c>
      <c r="H278" s="460">
        <f>ROUND(F278*VLOOKUP(D278,AllocTable_Functional,$H$10,FALSE),0)</f>
        <v>0</v>
      </c>
      <c r="I278" s="461">
        <f>ROUND(F278*VLOOKUP(D278,AllocTable_Functional,$I$10,FALSE),0)</f>
        <v>0</v>
      </c>
      <c r="J278" s="345">
        <f>SUM(G278:I278)</f>
        <v>0</v>
      </c>
      <c r="K278" s="345">
        <f>F278-J278</f>
        <v>0</v>
      </c>
    </row>
    <row r="279" spans="1:11" ht="13">
      <c r="A279" s="331">
        <v>30</v>
      </c>
      <c r="C279" s="330" t="s">
        <v>1368</v>
      </c>
      <c r="D279" s="724" t="s">
        <v>315</v>
      </c>
      <c r="E279" s="448" t="s">
        <v>1483</v>
      </c>
      <c r="F279" s="777">
        <v>0</v>
      </c>
      <c r="G279" s="459">
        <f>F279-SUM(H279:I279)</f>
        <v>0</v>
      </c>
      <c r="H279" s="460">
        <f>ROUND(F279*VLOOKUP(D279,AllocTable_Functional,$H$10,FALSE),0)</f>
        <v>0</v>
      </c>
      <c r="I279" s="461">
        <f>ROUND(F279*VLOOKUP(D279,AllocTable_Functional,$I$10,FALSE),0)</f>
        <v>0</v>
      </c>
      <c r="J279" s="345">
        <f>SUM(G279:I279)</f>
        <v>0</v>
      </c>
      <c r="K279" s="345">
        <f>F279-J279</f>
        <v>0</v>
      </c>
    </row>
    <row r="280" spans="1:11" ht="13">
      <c r="A280" s="331">
        <v>31</v>
      </c>
      <c r="C280" s="330" t="s">
        <v>1369</v>
      </c>
      <c r="D280" s="724" t="s">
        <v>379</v>
      </c>
      <c r="E280" s="448" t="s">
        <v>1483</v>
      </c>
      <c r="F280" s="777">
        <v>0</v>
      </c>
      <c r="G280" s="459">
        <f>F280-SUM(H280:I280)</f>
        <v>0</v>
      </c>
      <c r="H280" s="460">
        <f>ROUND(F280*VLOOKUP(D280,AllocTable_Functional,$H$10,FALSE),0)</f>
        <v>0</v>
      </c>
      <c r="I280" s="461">
        <f>ROUND(F280*VLOOKUP(D280,AllocTable_Functional,$I$10,FALSE),0)</f>
        <v>0</v>
      </c>
      <c r="J280" s="345">
        <f>SUM(G280:I280)</f>
        <v>0</v>
      </c>
      <c r="K280" s="345">
        <f>F280-J280</f>
        <v>0</v>
      </c>
    </row>
    <row r="281" spans="1:11" ht="13">
      <c r="A281" s="331">
        <v>32</v>
      </c>
      <c r="C281" s="337" t="s">
        <v>144</v>
      </c>
      <c r="D281" s="342"/>
      <c r="F281" s="346">
        <f>SUM(F278:F280)</f>
        <v>0</v>
      </c>
      <c r="G281" s="462">
        <f>SUM(G277:G280)</f>
        <v>0</v>
      </c>
      <c r="H281" s="450">
        <f>SUM(H277:H280)</f>
        <v>0</v>
      </c>
      <c r="I281" s="463">
        <f>SUM(I277:I280)</f>
        <v>0</v>
      </c>
      <c r="J281" s="346">
        <f>SUM(J277:J280)</f>
        <v>0</v>
      </c>
      <c r="K281" s="346">
        <f>SUM(K277:K280)</f>
        <v>0</v>
      </c>
    </row>
    <row r="282" spans="1:11" ht="13">
      <c r="A282" s="331">
        <v>33</v>
      </c>
      <c r="D282" s="342"/>
      <c r="F282" s="333" t="s">
        <v>343</v>
      </c>
      <c r="G282" s="456"/>
      <c r="H282" s="457"/>
      <c r="I282" s="458"/>
    </row>
    <row r="283" spans="1:11" ht="13">
      <c r="A283" s="331">
        <v>34</v>
      </c>
      <c r="B283" s="330" t="s">
        <v>818</v>
      </c>
      <c r="D283" s="342"/>
      <c r="F283" s="345">
        <f t="shared" ref="F283:K283" si="77">F275+F281</f>
        <v>506543</v>
      </c>
      <c r="G283" s="478">
        <f t="shared" si="77"/>
        <v>78671</v>
      </c>
      <c r="H283" s="479">
        <f t="shared" si="77"/>
        <v>0</v>
      </c>
      <c r="I283" s="480">
        <f t="shared" si="77"/>
        <v>427872</v>
      </c>
      <c r="J283" s="345">
        <f t="shared" si="77"/>
        <v>506543</v>
      </c>
      <c r="K283" s="345">
        <f t="shared" si="77"/>
        <v>0</v>
      </c>
    </row>
    <row r="284" spans="1:11" ht="13">
      <c r="B284" s="341"/>
      <c r="C284" s="195"/>
      <c r="D284" s="342"/>
      <c r="E284" s="195"/>
      <c r="F284" s="195"/>
      <c r="G284" s="195"/>
      <c r="H284" s="195"/>
      <c r="I284" s="195"/>
      <c r="J284" s="195"/>
      <c r="K284" s="195"/>
    </row>
    <row r="285" spans="1:11" ht="13">
      <c r="A285" s="341" t="str">
        <f>co_name</f>
        <v>DUKE ENERGY KENTUCKY, INC.</v>
      </c>
      <c r="C285" s="195"/>
      <c r="D285" s="342"/>
      <c r="E285" s="195"/>
      <c r="F285" s="195"/>
      <c r="G285" s="195"/>
      <c r="H285" s="195"/>
      <c r="I285" s="195"/>
      <c r="J285" s="195" t="str">
        <f>$J$1</f>
        <v>FR-16(7)(v)-1</v>
      </c>
      <c r="K285" s="195"/>
    </row>
    <row r="286" spans="1:11" ht="13">
      <c r="A286" s="341" t="str">
        <f>$A$2</f>
        <v>FUNCTIONAL GAS COST OF SERVICE</v>
      </c>
      <c r="C286" s="195"/>
      <c r="D286" s="342"/>
      <c r="E286" s="195"/>
      <c r="F286" s="195"/>
      <c r="G286" s="195"/>
      <c r="H286" s="195"/>
      <c r="I286" s="195"/>
      <c r="J286" s="195" t="str">
        <f>$J$2</f>
        <v>WITNESS RESPONSIBLE:</v>
      </c>
      <c r="K286" s="195"/>
    </row>
    <row r="287" spans="1:11" ht="13">
      <c r="A287" s="341" t="str">
        <f>case_name</f>
        <v>CASE NO: 2021-00190</v>
      </c>
      <c r="C287" s="195"/>
      <c r="D287" s="342"/>
      <c r="E287" s="195"/>
      <c r="F287" s="195"/>
      <c r="G287" s="195"/>
      <c r="H287" s="195"/>
      <c r="I287" s="195"/>
      <c r="J287" s="195" t="str">
        <f>Witness</f>
        <v>JAMES E. ZIOLKOWSKI</v>
      </c>
      <c r="K287" s="195"/>
    </row>
    <row r="288" spans="1:11" ht="13">
      <c r="A288" s="341" t="str">
        <f>data_filing</f>
        <v>DATA: 12 MONTH FORECASTED PERIOD</v>
      </c>
      <c r="C288" s="195"/>
      <c r="D288" s="342"/>
      <c r="E288" s="195"/>
      <c r="F288" s="195"/>
      <c r="G288" s="195"/>
      <c r="H288" s="195"/>
      <c r="I288" s="195"/>
      <c r="J288" s="195" t="str">
        <f>"PAGE "&amp;Pages-11&amp;" OF "&amp;Pages</f>
        <v>PAGE 7 OF 18</v>
      </c>
      <c r="K288" s="195"/>
    </row>
    <row r="289" spans="1:13" ht="13">
      <c r="A289" s="341" t="str">
        <f>type</f>
        <v xml:space="preserve">TYPE OF FILING: "X" ORIGINAL   UPDATED    REVISED  </v>
      </c>
      <c r="C289" s="195"/>
      <c r="D289" s="342"/>
      <c r="E289" s="195"/>
      <c r="F289" s="195"/>
      <c r="G289" s="195"/>
      <c r="H289" s="195"/>
      <c r="I289" s="195"/>
      <c r="J289" s="195"/>
      <c r="K289" s="195"/>
    </row>
    <row r="290" spans="1:13" ht="13">
      <c r="B290" s="341"/>
      <c r="C290" s="195"/>
      <c r="D290" s="342"/>
      <c r="E290" s="195"/>
      <c r="F290" s="195"/>
      <c r="G290" s="195"/>
      <c r="H290" s="195"/>
      <c r="I290" s="195"/>
      <c r="J290" s="195"/>
      <c r="K290" s="195"/>
    </row>
    <row r="291" spans="1:13" ht="13">
      <c r="B291" s="341"/>
      <c r="C291" s="195"/>
      <c r="D291" s="342"/>
      <c r="E291" s="195"/>
      <c r="F291" s="195"/>
      <c r="G291" s="195"/>
      <c r="H291" s="195"/>
      <c r="I291" s="195"/>
      <c r="J291" s="195"/>
      <c r="K291" s="195"/>
    </row>
    <row r="292" spans="1:13" ht="13">
      <c r="A292" s="342" t="s">
        <v>907</v>
      </c>
      <c r="B292" s="195"/>
      <c r="C292" s="195"/>
      <c r="D292" s="342"/>
      <c r="E292" s="195"/>
      <c r="F292" s="342" t="s">
        <v>229</v>
      </c>
      <c r="G292" s="467" t="s">
        <v>971</v>
      </c>
      <c r="H292" s="468"/>
      <c r="I292" s="469"/>
      <c r="J292" s="342" t="s">
        <v>229</v>
      </c>
      <c r="K292" s="342" t="s">
        <v>342</v>
      </c>
    </row>
    <row r="293" spans="1:13" ht="13">
      <c r="A293" s="344" t="s">
        <v>908</v>
      </c>
      <c r="B293" s="343" t="s">
        <v>32</v>
      </c>
      <c r="C293" s="343"/>
      <c r="D293" s="344" t="s">
        <v>337</v>
      </c>
      <c r="E293" s="343"/>
      <c r="F293" s="344" t="s">
        <v>284</v>
      </c>
      <c r="G293" s="454" t="s">
        <v>838</v>
      </c>
      <c r="H293" s="449" t="s">
        <v>970</v>
      </c>
      <c r="I293" s="455" t="s">
        <v>839</v>
      </c>
      <c r="J293" s="344" t="s">
        <v>341</v>
      </c>
      <c r="K293" s="344" t="s">
        <v>340</v>
      </c>
    </row>
    <row r="294" spans="1:13" ht="13">
      <c r="C294" s="572" t="s">
        <v>556</v>
      </c>
      <c r="D294" s="342"/>
      <c r="E294" s="484"/>
      <c r="F294" s="485"/>
      <c r="G294" s="622">
        <f>$G$10</f>
        <v>3</v>
      </c>
      <c r="H294" s="623">
        <f>$H$10</f>
        <v>4</v>
      </c>
      <c r="I294" s="624">
        <f>$I$10</f>
        <v>5</v>
      </c>
      <c r="J294" s="484"/>
      <c r="K294" s="484"/>
    </row>
    <row r="295" spans="1:13" ht="13">
      <c r="C295" s="572"/>
      <c r="D295" s="342"/>
      <c r="E295" s="484"/>
      <c r="F295" s="485"/>
      <c r="G295" s="622"/>
      <c r="H295" s="623"/>
      <c r="I295" s="624"/>
      <c r="J295" s="484"/>
      <c r="K295" s="484"/>
    </row>
    <row r="296" spans="1:13" ht="13">
      <c r="A296" s="331">
        <v>1</v>
      </c>
      <c r="B296" s="330" t="s">
        <v>31</v>
      </c>
      <c r="D296" s="342"/>
      <c r="E296" s="195"/>
      <c r="F296" s="345">
        <f t="shared" ref="F296:K296" si="78">F191-F238+F283</f>
        <v>464319805.0958904</v>
      </c>
      <c r="G296" s="459">
        <f>G191-G238+G283</f>
        <v>4338069.0958904028</v>
      </c>
      <c r="H296" s="460">
        <f t="shared" si="78"/>
        <v>0</v>
      </c>
      <c r="I296" s="461">
        <f t="shared" si="78"/>
        <v>459981736</v>
      </c>
      <c r="J296" s="345">
        <f t="shared" si="78"/>
        <v>464319805.0958904</v>
      </c>
      <c r="K296" s="345">
        <f t="shared" si="78"/>
        <v>0</v>
      </c>
      <c r="M296" s="333"/>
    </row>
    <row r="297" spans="1:13" ht="13">
      <c r="A297" s="331">
        <v>2</v>
      </c>
      <c r="D297" s="342"/>
      <c r="E297" s="195"/>
      <c r="G297" s="456"/>
      <c r="H297" s="457"/>
      <c r="I297" s="458"/>
    </row>
    <row r="298" spans="1:13" ht="13">
      <c r="A298" s="331">
        <v>3</v>
      </c>
      <c r="B298" s="330" t="s">
        <v>32</v>
      </c>
      <c r="D298" s="342"/>
      <c r="E298" s="195"/>
      <c r="G298" s="456"/>
      <c r="H298" s="457"/>
      <c r="I298" s="458"/>
    </row>
    <row r="299" spans="1:13" ht="13">
      <c r="A299" s="331">
        <v>4</v>
      </c>
      <c r="D299" s="342"/>
      <c r="E299" s="195"/>
      <c r="G299" s="456"/>
      <c r="H299" s="457"/>
      <c r="I299" s="458"/>
    </row>
    <row r="300" spans="1:13" ht="13">
      <c r="A300" s="331">
        <v>5</v>
      </c>
      <c r="B300" s="330" t="s">
        <v>33</v>
      </c>
      <c r="D300" s="342"/>
      <c r="E300" s="195"/>
      <c r="G300" s="456"/>
      <c r="H300" s="457"/>
      <c r="I300" s="458"/>
    </row>
    <row r="301" spans="1:13" ht="13">
      <c r="A301" s="331">
        <v>6</v>
      </c>
      <c r="C301" s="330" t="s">
        <v>145</v>
      </c>
      <c r="D301" s="723" t="s">
        <v>290</v>
      </c>
      <c r="E301" s="448" t="s">
        <v>1483</v>
      </c>
      <c r="F301" s="777">
        <f>[1]SCH_B5s!$O$29</f>
        <v>1785156</v>
      </c>
      <c r="G301" s="459">
        <f>F301-SUM(H301:I301)</f>
        <v>1785156</v>
      </c>
      <c r="H301" s="460">
        <f>ROUND(F301*VLOOKUP(D301,AllocTable_Functional,$H$10,FALSE),0)</f>
        <v>0</v>
      </c>
      <c r="I301" s="461">
        <f>ROUND(F301*VLOOKUP(D301,AllocTable_Functional,$I$10,FALSE),0)</f>
        <v>0</v>
      </c>
      <c r="J301" s="345">
        <f>SUM(G301:I301)</f>
        <v>1785156</v>
      </c>
      <c r="K301" s="345">
        <f>F301-J301</f>
        <v>0</v>
      </c>
      <c r="M301" s="333"/>
    </row>
    <row r="302" spans="1:13" ht="13">
      <c r="A302" s="331">
        <v>7</v>
      </c>
      <c r="C302" s="357" t="s">
        <v>146</v>
      </c>
      <c r="D302" s="723" t="s">
        <v>315</v>
      </c>
      <c r="E302" s="448" t="s">
        <v>1483</v>
      </c>
      <c r="F302" s="777">
        <f>[1]SCH_B5s!$O$35</f>
        <v>422179</v>
      </c>
      <c r="G302" s="459">
        <f>F302-SUM(H302:I302)</f>
        <v>3791</v>
      </c>
      <c r="H302" s="460">
        <f>ROUND(F302*VLOOKUP(D302,AllocTable_Functional,$H$10,FALSE),0)</f>
        <v>0</v>
      </c>
      <c r="I302" s="461">
        <f>ROUND(F302*VLOOKUP(D302,AllocTable_Functional,$I$10,FALSE),0)</f>
        <v>418388</v>
      </c>
      <c r="J302" s="345">
        <f>SUM(G302:I302)</f>
        <v>422179</v>
      </c>
      <c r="K302" s="345">
        <f>F302-J302</f>
        <v>0</v>
      </c>
      <c r="M302" s="333"/>
    </row>
    <row r="303" spans="1:13" ht="13">
      <c r="A303" s="331">
        <v>8</v>
      </c>
      <c r="C303" s="330" t="s">
        <v>147</v>
      </c>
      <c r="D303" s="723"/>
      <c r="E303" s="195"/>
      <c r="F303" s="346">
        <f t="shared" ref="F303:K303" si="79">SUM(F300:F302)</f>
        <v>2207335</v>
      </c>
      <c r="G303" s="1145">
        <f t="shared" si="79"/>
        <v>1788947</v>
      </c>
      <c r="H303" s="1146">
        <f t="shared" si="79"/>
        <v>0</v>
      </c>
      <c r="I303" s="1147">
        <f t="shared" si="79"/>
        <v>418388</v>
      </c>
      <c r="J303" s="346">
        <f t="shared" si="79"/>
        <v>2207335</v>
      </c>
      <c r="K303" s="346">
        <f t="shared" si="79"/>
        <v>0</v>
      </c>
    </row>
    <row r="304" spans="1:13" ht="13">
      <c r="A304" s="331">
        <v>9</v>
      </c>
      <c r="B304" s="330" t="s">
        <v>34</v>
      </c>
      <c r="D304" s="723"/>
      <c r="E304" s="195"/>
      <c r="F304" s="345">
        <f t="shared" ref="F304:K304" si="80">F303</f>
        <v>2207335</v>
      </c>
      <c r="G304" s="459">
        <f t="shared" si="80"/>
        <v>1788947</v>
      </c>
      <c r="H304" s="460">
        <f t="shared" si="80"/>
        <v>0</v>
      </c>
      <c r="I304" s="461">
        <f t="shared" si="80"/>
        <v>418388</v>
      </c>
      <c r="J304" s="345">
        <f t="shared" si="80"/>
        <v>2207335</v>
      </c>
      <c r="K304" s="345">
        <f t="shared" si="80"/>
        <v>0</v>
      </c>
    </row>
    <row r="305" spans="1:13" ht="13">
      <c r="A305" s="331">
        <v>10</v>
      </c>
      <c r="D305" s="723"/>
      <c r="E305" s="195"/>
      <c r="G305" s="456"/>
      <c r="H305" s="457"/>
      <c r="I305" s="458"/>
    </row>
    <row r="306" spans="1:13" ht="13">
      <c r="A306" s="331">
        <v>11</v>
      </c>
      <c r="B306" s="330" t="s">
        <v>35</v>
      </c>
      <c r="D306" s="723"/>
      <c r="E306" s="195"/>
      <c r="G306" s="456"/>
      <c r="H306" s="457"/>
      <c r="I306" s="458"/>
    </row>
    <row r="307" spans="1:13" ht="13">
      <c r="A307" s="331">
        <v>12</v>
      </c>
      <c r="C307" s="330" t="s">
        <v>399</v>
      </c>
      <c r="D307" s="723" t="s">
        <v>325</v>
      </c>
      <c r="E307" s="448" t="s">
        <v>1483</v>
      </c>
      <c r="F307" s="776">
        <f>[1]SCH_B5s!$O$37</f>
        <v>101112</v>
      </c>
      <c r="G307" s="459">
        <f>F307-SUM(H307:I307)</f>
        <v>69844</v>
      </c>
      <c r="H307" s="460">
        <f>ROUND(F307*VLOOKUP(D307,AllocTable_Functional,$H$10,FALSE),0)</f>
        <v>0</v>
      </c>
      <c r="I307" s="461">
        <f>ROUND(F307*VLOOKUP(D307,AllocTable_Functional,$I$10,FALSE),0)</f>
        <v>31268</v>
      </c>
      <c r="J307" s="345">
        <f>SUM(G307:I307)</f>
        <v>101112</v>
      </c>
      <c r="K307" s="345">
        <f>F307-J307</f>
        <v>0</v>
      </c>
    </row>
    <row r="308" spans="1:13" ht="13">
      <c r="A308" s="331">
        <v>13</v>
      </c>
      <c r="C308" s="330" t="s">
        <v>400</v>
      </c>
      <c r="D308" s="723" t="s">
        <v>325</v>
      </c>
      <c r="E308" s="448" t="s">
        <v>1483</v>
      </c>
      <c r="F308" s="776">
        <v>0</v>
      </c>
      <c r="G308" s="459">
        <f>F308-SUM(H308:I308)</f>
        <v>0</v>
      </c>
      <c r="H308" s="460">
        <f>ROUND(F308*VLOOKUP(D308,AllocTable_Functional,$H$10,FALSE),0)</f>
        <v>0</v>
      </c>
      <c r="I308" s="461">
        <f>ROUND(F308*VLOOKUP(D308,AllocTable_Functional,$I$10,FALSE),0)</f>
        <v>0</v>
      </c>
      <c r="J308" s="345">
        <f>SUM(G308:I308)</f>
        <v>0</v>
      </c>
      <c r="K308" s="345">
        <f>F308-J308</f>
        <v>0</v>
      </c>
    </row>
    <row r="309" spans="1:13" ht="13">
      <c r="A309" s="331">
        <v>14</v>
      </c>
      <c r="C309" s="330" t="s">
        <v>403</v>
      </c>
      <c r="D309" s="726" t="s">
        <v>290</v>
      </c>
      <c r="E309" s="448" t="s">
        <v>1483</v>
      </c>
      <c r="F309" s="776">
        <v>0</v>
      </c>
      <c r="G309" s="459">
        <f>F309-SUM(H309:I309)</f>
        <v>0</v>
      </c>
      <c r="H309" s="460">
        <f>ROUND(F309*VLOOKUP(D309,AllocTable_Functional,$H$10,FALSE),0)</f>
        <v>0</v>
      </c>
      <c r="I309" s="461">
        <f>ROUND(F309*VLOOKUP(D309,AllocTable_Functional,$I$10,FALSE),0)</f>
        <v>0</v>
      </c>
      <c r="J309" s="345">
        <f>SUM(G309:I309)</f>
        <v>0</v>
      </c>
      <c r="K309" s="345">
        <f>F309-J309</f>
        <v>0</v>
      </c>
    </row>
    <row r="310" spans="1:13" ht="13">
      <c r="A310" s="331">
        <v>15</v>
      </c>
      <c r="C310" s="337" t="s">
        <v>148</v>
      </c>
      <c r="D310" s="726"/>
      <c r="E310" s="195"/>
      <c r="F310" s="573">
        <f t="shared" ref="F310:K310" si="81">SUM(F306:F309)</f>
        <v>101112</v>
      </c>
      <c r="G310" s="778">
        <f t="shared" si="81"/>
        <v>69844</v>
      </c>
      <c r="H310" s="1148">
        <f t="shared" si="81"/>
        <v>0</v>
      </c>
      <c r="I310" s="1149">
        <f t="shared" si="81"/>
        <v>31268</v>
      </c>
      <c r="J310" s="573">
        <f t="shared" si="81"/>
        <v>101112</v>
      </c>
      <c r="K310" s="573">
        <f t="shared" si="81"/>
        <v>0</v>
      </c>
    </row>
    <row r="311" spans="1:13" ht="13">
      <c r="A311" s="331">
        <v>16</v>
      </c>
      <c r="D311" s="723"/>
      <c r="E311" s="195"/>
      <c r="G311" s="456"/>
      <c r="H311" s="457"/>
      <c r="I311" s="458"/>
    </row>
    <row r="312" spans="1:13" ht="13">
      <c r="A312" s="331">
        <v>17</v>
      </c>
      <c r="B312" s="330" t="s">
        <v>36</v>
      </c>
      <c r="D312" s="723"/>
      <c r="E312" s="195"/>
      <c r="F312" s="609">
        <f>IF(WorkingCap="No",[1]SCH_B5s!$O$17,ROUND((F433-F348-F353)/8,0))</f>
        <v>0</v>
      </c>
      <c r="G312" s="459">
        <f>IF(WorkingCap="No",0,ROUND((G433-G348-G353)/8,0))</f>
        <v>0</v>
      </c>
      <c r="H312" s="460">
        <f>IF(WorkingCap="No",0,ROUND((H433-H348-H353)/8,0))</f>
        <v>0</v>
      </c>
      <c r="I312" s="461">
        <f>IF(WorkingCap="No",0,F312-G312)</f>
        <v>0</v>
      </c>
      <c r="J312" s="345">
        <f>SUM(G312:I312)</f>
        <v>0</v>
      </c>
      <c r="K312" s="345">
        <f>F312-J312</f>
        <v>0</v>
      </c>
    </row>
    <row r="313" spans="1:13" ht="13">
      <c r="A313" s="331">
        <v>18</v>
      </c>
      <c r="B313" s="330" t="s">
        <v>37</v>
      </c>
      <c r="D313" s="723"/>
      <c r="E313" s="195"/>
      <c r="F313" s="345">
        <f t="shared" ref="F313:K313" si="82">F312</f>
        <v>0</v>
      </c>
      <c r="G313" s="459">
        <f t="shared" si="82"/>
        <v>0</v>
      </c>
      <c r="H313" s="460">
        <f t="shared" si="82"/>
        <v>0</v>
      </c>
      <c r="I313" s="461">
        <f t="shared" si="82"/>
        <v>0</v>
      </c>
      <c r="J313" s="345">
        <f t="shared" si="82"/>
        <v>0</v>
      </c>
      <c r="K313" s="345">
        <f t="shared" si="82"/>
        <v>0</v>
      </c>
    </row>
    <row r="314" spans="1:13" ht="13">
      <c r="A314" s="331">
        <v>19</v>
      </c>
      <c r="D314" s="723"/>
      <c r="E314" s="195"/>
      <c r="G314" s="456"/>
      <c r="H314" s="457"/>
      <c r="I314" s="458"/>
    </row>
    <row r="315" spans="1:13" ht="13">
      <c r="A315" s="331">
        <v>20</v>
      </c>
      <c r="B315" s="330" t="s">
        <v>38</v>
      </c>
      <c r="D315" s="723"/>
      <c r="E315" s="195"/>
      <c r="G315" s="456"/>
      <c r="H315" s="457"/>
      <c r="I315" s="458"/>
    </row>
    <row r="316" spans="1:13" ht="13">
      <c r="A316" s="331">
        <v>21</v>
      </c>
      <c r="C316" s="351" t="s">
        <v>149</v>
      </c>
      <c r="D316" s="726" t="s">
        <v>290</v>
      </c>
      <c r="E316" s="448" t="s">
        <v>1483</v>
      </c>
      <c r="F316" s="787">
        <f>[1]SCH_B5s!$O$31</f>
        <v>1692954</v>
      </c>
      <c r="G316" s="459">
        <f>F316-SUM(H316:I316)</f>
        <v>1692954</v>
      </c>
      <c r="H316" s="460">
        <f>ROUND(F316*VLOOKUP(D316,AllocTable_Functional,$H$10,FALSE),0)</f>
        <v>0</v>
      </c>
      <c r="I316" s="461">
        <f>ROUND(F316*VLOOKUP(D316,AllocTable_Functional,$I$10,FALSE),0)</f>
        <v>0</v>
      </c>
      <c r="J316" s="345">
        <f>SUM(G316:I316)</f>
        <v>1692954</v>
      </c>
      <c r="K316" s="345">
        <f>F316-J316</f>
        <v>0</v>
      </c>
      <c r="M316" s="333"/>
    </row>
    <row r="317" spans="1:13" ht="13">
      <c r="A317" s="331">
        <v>22</v>
      </c>
      <c r="C317" s="351" t="s">
        <v>401</v>
      </c>
      <c r="D317" s="726" t="s">
        <v>382</v>
      </c>
      <c r="E317" s="340"/>
      <c r="F317" s="777">
        <v>0</v>
      </c>
      <c r="G317" s="459">
        <f>F317-SUM(H317:I317)</f>
        <v>0</v>
      </c>
      <c r="H317" s="460">
        <f>ROUND(F317*VLOOKUP(D317,AllocTable_Functional,$H$10,FALSE),0)</f>
        <v>0</v>
      </c>
      <c r="I317" s="461">
        <f>ROUND(F317*VLOOKUP(D317,AllocTable_Functional,$I$10,FALSE),0)</f>
        <v>0</v>
      </c>
      <c r="J317" s="345">
        <f>SUM(G317:I317)</f>
        <v>0</v>
      </c>
      <c r="K317" s="345">
        <f>F317-J317</f>
        <v>0</v>
      </c>
      <c r="M317" s="333"/>
    </row>
    <row r="318" spans="1:13" ht="13">
      <c r="A318" s="331">
        <v>23</v>
      </c>
      <c r="C318" s="505" t="s">
        <v>1152</v>
      </c>
      <c r="D318" s="726" t="s">
        <v>312</v>
      </c>
      <c r="E318" s="340"/>
      <c r="F318" s="777">
        <v>0</v>
      </c>
      <c r="G318" s="459">
        <f>F318-SUM(H318:I318)</f>
        <v>0</v>
      </c>
      <c r="H318" s="460">
        <f>ROUND(F318*VLOOKUP(D318,AllocTable_Functional,$H$10,FALSE),0)</f>
        <v>0</v>
      </c>
      <c r="I318" s="461">
        <f>ROUND(F318*VLOOKUP(D318,AllocTable_Functional,$I$10,FALSE),0)</f>
        <v>0</v>
      </c>
      <c r="J318" s="345">
        <f>SUM(G318:I318)</f>
        <v>0</v>
      </c>
      <c r="K318" s="345">
        <f>F318-J318</f>
        <v>0</v>
      </c>
      <c r="M318" s="333"/>
    </row>
    <row r="319" spans="1:13" ht="13">
      <c r="A319" s="331">
        <v>24</v>
      </c>
      <c r="C319" s="330" t="s">
        <v>150</v>
      </c>
      <c r="D319" s="723"/>
      <c r="E319" s="195"/>
      <c r="F319" s="346">
        <f t="shared" ref="F319:K319" si="83">SUM(F315:F318)</f>
        <v>1692954</v>
      </c>
      <c r="G319" s="1145">
        <f t="shared" si="83"/>
        <v>1692954</v>
      </c>
      <c r="H319" s="1146">
        <f t="shared" si="83"/>
        <v>0</v>
      </c>
      <c r="I319" s="1147">
        <f t="shared" si="83"/>
        <v>0</v>
      </c>
      <c r="J319" s="346">
        <f t="shared" si="83"/>
        <v>1692954</v>
      </c>
      <c r="K319" s="346">
        <f t="shared" si="83"/>
        <v>0</v>
      </c>
      <c r="M319" s="333"/>
    </row>
    <row r="320" spans="1:13" ht="13">
      <c r="A320" s="331">
        <v>25</v>
      </c>
      <c r="D320" s="723"/>
      <c r="E320" s="195"/>
      <c r="G320" s="456"/>
      <c r="H320" s="457"/>
      <c r="I320" s="458"/>
      <c r="M320" s="333"/>
    </row>
    <row r="321" spans="1:13" ht="13">
      <c r="A321" s="331">
        <v>26</v>
      </c>
      <c r="B321" s="330" t="s">
        <v>39</v>
      </c>
      <c r="D321" s="723"/>
      <c r="E321" s="195"/>
      <c r="F321" s="345">
        <f t="shared" ref="F321:K321" si="84">F304+F310+F313+F319</f>
        <v>4001401</v>
      </c>
      <c r="G321" s="459">
        <f t="shared" si="84"/>
        <v>3551745</v>
      </c>
      <c r="H321" s="460">
        <f t="shared" si="84"/>
        <v>0</v>
      </c>
      <c r="I321" s="461">
        <f t="shared" si="84"/>
        <v>449656</v>
      </c>
      <c r="J321" s="345">
        <f t="shared" si="84"/>
        <v>4001401</v>
      </c>
      <c r="K321" s="345">
        <f t="shared" si="84"/>
        <v>0</v>
      </c>
      <c r="M321" s="333"/>
    </row>
    <row r="322" spans="1:13" ht="13">
      <c r="A322" s="331">
        <v>27</v>
      </c>
      <c r="B322" s="330" t="s">
        <v>40</v>
      </c>
      <c r="D322" s="723"/>
      <c r="E322" s="195"/>
      <c r="G322" s="456"/>
      <c r="H322" s="457"/>
      <c r="I322" s="458"/>
      <c r="M322" s="333"/>
    </row>
    <row r="323" spans="1:13" ht="13">
      <c r="A323" s="331">
        <v>28</v>
      </c>
      <c r="C323" s="330" t="s">
        <v>820</v>
      </c>
      <c r="D323" s="342"/>
      <c r="E323" s="195"/>
      <c r="F323" s="345">
        <f t="shared" ref="F323:K323" si="85">-F238</f>
        <v>-101091618.9041096</v>
      </c>
      <c r="G323" s="459">
        <f t="shared" si="85"/>
        <v>-815158.90410959721</v>
      </c>
      <c r="H323" s="460">
        <f t="shared" si="85"/>
        <v>0</v>
      </c>
      <c r="I323" s="461">
        <f t="shared" si="85"/>
        <v>-100276460</v>
      </c>
      <c r="J323" s="345">
        <f t="shared" si="85"/>
        <v>-101091618.9041096</v>
      </c>
      <c r="K323" s="345">
        <f t="shared" si="85"/>
        <v>0</v>
      </c>
      <c r="M323" s="333"/>
    </row>
    <row r="324" spans="1:13" ht="13">
      <c r="A324" s="331">
        <v>29</v>
      </c>
      <c r="C324" s="330" t="s">
        <v>818</v>
      </c>
      <c r="D324" s="342"/>
      <c r="E324" s="195"/>
      <c r="F324" s="345">
        <f t="shared" ref="F324:K324" si="86">F283</f>
        <v>506543</v>
      </c>
      <c r="G324" s="459">
        <f t="shared" si="86"/>
        <v>78671</v>
      </c>
      <c r="H324" s="460">
        <f t="shared" si="86"/>
        <v>0</v>
      </c>
      <c r="I324" s="461">
        <f t="shared" si="86"/>
        <v>427872</v>
      </c>
      <c r="J324" s="345">
        <f t="shared" si="86"/>
        <v>506543</v>
      </c>
      <c r="K324" s="345">
        <f t="shared" si="86"/>
        <v>0</v>
      </c>
      <c r="M324" s="333"/>
    </row>
    <row r="325" spans="1:13" ht="13">
      <c r="A325" s="331">
        <v>30</v>
      </c>
      <c r="C325" s="357" t="s">
        <v>39</v>
      </c>
      <c r="D325" s="342"/>
      <c r="E325" s="195"/>
      <c r="F325" s="345">
        <f t="shared" ref="F325:K325" si="87">F321</f>
        <v>4001401</v>
      </c>
      <c r="G325" s="459">
        <f t="shared" si="87"/>
        <v>3551745</v>
      </c>
      <c r="H325" s="460">
        <f t="shared" si="87"/>
        <v>0</v>
      </c>
      <c r="I325" s="461">
        <f t="shared" si="87"/>
        <v>449656</v>
      </c>
      <c r="J325" s="345">
        <f t="shared" si="87"/>
        <v>4001401</v>
      </c>
      <c r="K325" s="345">
        <f t="shared" si="87"/>
        <v>0</v>
      </c>
      <c r="M325" s="333"/>
    </row>
    <row r="326" spans="1:13" ht="13">
      <c r="A326" s="331">
        <v>31</v>
      </c>
      <c r="C326" s="330" t="s">
        <v>151</v>
      </c>
      <c r="D326" s="342"/>
      <c r="E326" s="195"/>
      <c r="F326" s="346">
        <f t="shared" ref="F326:K326" si="88">SUM(F322:F325)</f>
        <v>-96583674.904109597</v>
      </c>
      <c r="G326" s="1145">
        <f t="shared" si="88"/>
        <v>2815257.0958904028</v>
      </c>
      <c r="H326" s="1146">
        <f t="shared" si="88"/>
        <v>0</v>
      </c>
      <c r="I326" s="1147">
        <f t="shared" si="88"/>
        <v>-99398932</v>
      </c>
      <c r="J326" s="346">
        <f t="shared" si="88"/>
        <v>-96583674.904109597</v>
      </c>
      <c r="K326" s="346">
        <f t="shared" si="88"/>
        <v>0</v>
      </c>
      <c r="M326" s="333"/>
    </row>
    <row r="327" spans="1:13" ht="13">
      <c r="A327" s="331">
        <v>32</v>
      </c>
      <c r="D327" s="342"/>
      <c r="E327" s="195"/>
      <c r="G327" s="456"/>
      <c r="H327" s="457"/>
      <c r="I327" s="458"/>
      <c r="M327" s="333"/>
    </row>
    <row r="328" spans="1:13" ht="13">
      <c r="A328" s="331">
        <v>33</v>
      </c>
      <c r="B328" s="330" t="s">
        <v>41</v>
      </c>
      <c r="D328" s="342"/>
      <c r="E328" s="195"/>
      <c r="G328" s="456"/>
      <c r="H328" s="457"/>
      <c r="I328" s="458"/>
      <c r="M328" s="333"/>
    </row>
    <row r="329" spans="1:13" ht="13">
      <c r="A329" s="331">
        <v>34</v>
      </c>
      <c r="C329" s="330" t="s">
        <v>369</v>
      </c>
      <c r="D329" s="342"/>
      <c r="E329" s="195"/>
      <c r="F329" s="345">
        <f t="shared" ref="F329:K329" si="89">F191</f>
        <v>564904881</v>
      </c>
      <c r="G329" s="459">
        <f t="shared" si="89"/>
        <v>5074557</v>
      </c>
      <c r="H329" s="460">
        <f t="shared" si="89"/>
        <v>0</v>
      </c>
      <c r="I329" s="461">
        <f t="shared" si="89"/>
        <v>559830324</v>
      </c>
      <c r="J329" s="345">
        <f t="shared" si="89"/>
        <v>564904881</v>
      </c>
      <c r="K329" s="345">
        <f t="shared" si="89"/>
        <v>0</v>
      </c>
      <c r="M329" s="333"/>
    </row>
    <row r="330" spans="1:13" ht="13">
      <c r="A330" s="331">
        <v>35</v>
      </c>
      <c r="C330" s="357" t="s">
        <v>152</v>
      </c>
      <c r="D330" s="342"/>
      <c r="E330" s="195"/>
      <c r="F330" s="345">
        <f t="shared" ref="F330:K330" si="90">F326</f>
        <v>-96583674.904109597</v>
      </c>
      <c r="G330" s="459">
        <f t="shared" si="90"/>
        <v>2815257.0958904028</v>
      </c>
      <c r="H330" s="460">
        <f t="shared" si="90"/>
        <v>0</v>
      </c>
      <c r="I330" s="461">
        <f t="shared" si="90"/>
        <v>-99398932</v>
      </c>
      <c r="J330" s="345">
        <f t="shared" si="90"/>
        <v>-96583674.904109597</v>
      </c>
      <c r="K330" s="345">
        <f t="shared" si="90"/>
        <v>0</v>
      </c>
      <c r="M330" s="333"/>
    </row>
    <row r="331" spans="1:13" ht="13">
      <c r="A331" s="331">
        <v>36</v>
      </c>
      <c r="C331" s="330" t="s">
        <v>153</v>
      </c>
      <c r="D331" s="342"/>
      <c r="E331" s="195"/>
      <c r="F331" s="346">
        <f t="shared" ref="F331:K331" si="91">SUM(F328:F330)</f>
        <v>468321206.0958904</v>
      </c>
      <c r="G331" s="1145">
        <f t="shared" si="91"/>
        <v>7889814.0958904028</v>
      </c>
      <c r="H331" s="1146">
        <f t="shared" si="91"/>
        <v>0</v>
      </c>
      <c r="I331" s="1147">
        <f t="shared" si="91"/>
        <v>460431392</v>
      </c>
      <c r="J331" s="346">
        <f t="shared" si="91"/>
        <v>468321206.0958904</v>
      </c>
      <c r="K331" s="346">
        <f t="shared" si="91"/>
        <v>0</v>
      </c>
      <c r="M331" s="333"/>
    </row>
    <row r="332" spans="1:13" ht="13">
      <c r="A332" s="331">
        <v>37</v>
      </c>
      <c r="D332" s="342"/>
      <c r="E332" s="195"/>
      <c r="G332" s="456"/>
      <c r="H332" s="457"/>
      <c r="I332" s="458"/>
      <c r="M332" s="333"/>
    </row>
    <row r="333" spans="1:13" ht="13">
      <c r="A333" s="331">
        <v>38</v>
      </c>
      <c r="B333" s="330" t="s">
        <v>42</v>
      </c>
      <c r="D333" s="342"/>
      <c r="E333" s="195"/>
      <c r="F333" s="348">
        <f>$F$688</f>
        <v>7.060000000000001E-2</v>
      </c>
      <c r="G333" s="1270">
        <f>F688</f>
        <v>7.060000000000001E-2</v>
      </c>
      <c r="H333" s="1271">
        <f>F688</f>
        <v>7.060000000000001E-2</v>
      </c>
      <c r="I333" s="1272">
        <f>F688</f>
        <v>7.060000000000001E-2</v>
      </c>
      <c r="J333" s="348">
        <f>F688</f>
        <v>7.060000000000001E-2</v>
      </c>
      <c r="K333" s="348">
        <f>F688</f>
        <v>7.060000000000001E-2</v>
      </c>
    </row>
    <row r="334" spans="1:13" ht="13">
      <c r="A334" s="331">
        <v>39</v>
      </c>
      <c r="B334" s="330" t="s">
        <v>43</v>
      </c>
      <c r="D334" s="342"/>
      <c r="E334" s="195"/>
      <c r="F334" s="345">
        <f>ROUND(F333*F331,0)+[1]SCH_C1!$I$30-'[1]SCH_A Rate Base'!$I$25</f>
        <v>33063474</v>
      </c>
      <c r="G334" s="478">
        <f>F334-SUM(H334:I334)</f>
        <v>557018</v>
      </c>
      <c r="H334" s="489">
        <f>ROUND(H331*H333,0)</f>
        <v>0</v>
      </c>
      <c r="I334" s="490">
        <f>ROUND(I331*I333,0)</f>
        <v>32506456</v>
      </c>
      <c r="J334" s="345">
        <f>SUM(G334:I334)</f>
        <v>33063474</v>
      </c>
      <c r="K334" s="345">
        <f>F334-J334</f>
        <v>0</v>
      </c>
    </row>
    <row r="335" spans="1:13" ht="13">
      <c r="B335" s="341"/>
      <c r="C335" s="195"/>
      <c r="D335" s="342"/>
      <c r="E335" s="195"/>
      <c r="F335" s="195"/>
      <c r="G335" s="195"/>
      <c r="H335" s="195"/>
      <c r="I335" s="195"/>
      <c r="J335" s="195"/>
      <c r="K335" s="195"/>
    </row>
    <row r="336" spans="1:13" ht="13">
      <c r="A336" s="341" t="str">
        <f>co_name</f>
        <v>DUKE ENERGY KENTUCKY, INC.</v>
      </c>
      <c r="C336" s="195"/>
      <c r="D336" s="342"/>
      <c r="E336" s="195"/>
      <c r="F336" s="195"/>
      <c r="G336" s="195"/>
      <c r="H336" s="195"/>
      <c r="I336" s="195"/>
      <c r="J336" s="195" t="str">
        <f>$J$1</f>
        <v>FR-16(7)(v)-1</v>
      </c>
      <c r="K336" s="195"/>
    </row>
    <row r="337" spans="1:11" ht="13">
      <c r="A337" s="341" t="str">
        <f>$A$2</f>
        <v>FUNCTIONAL GAS COST OF SERVICE</v>
      </c>
      <c r="C337" s="195"/>
      <c r="D337" s="342"/>
      <c r="E337" s="195"/>
      <c r="F337" s="195"/>
      <c r="G337" s="1457"/>
      <c r="H337" s="195"/>
      <c r="I337" s="195"/>
      <c r="J337" s="195" t="str">
        <f>$J$2</f>
        <v>WITNESS RESPONSIBLE:</v>
      </c>
      <c r="K337" s="195"/>
    </row>
    <row r="338" spans="1:11" ht="13">
      <c r="A338" s="341" t="str">
        <f>case_name</f>
        <v>CASE NO: 2021-00190</v>
      </c>
      <c r="C338" s="195"/>
      <c r="D338" s="342"/>
      <c r="E338" s="195"/>
      <c r="F338" s="195"/>
      <c r="G338" s="195"/>
      <c r="H338" s="195"/>
      <c r="I338" s="195"/>
      <c r="J338" s="195" t="str">
        <f>Witness</f>
        <v>JAMES E. ZIOLKOWSKI</v>
      </c>
      <c r="K338" s="195"/>
    </row>
    <row r="339" spans="1:11" ht="13">
      <c r="A339" s="341" t="str">
        <f>data_filing</f>
        <v>DATA: 12 MONTH FORECASTED PERIOD</v>
      </c>
      <c r="C339" s="195"/>
      <c r="D339" s="342"/>
      <c r="E339" s="195"/>
      <c r="F339" s="195"/>
      <c r="G339" s="195"/>
      <c r="H339" s="195"/>
      <c r="I339" s="195"/>
      <c r="J339" s="195" t="str">
        <f>"PAGE "&amp;Pages-10&amp;" OF "&amp;Pages</f>
        <v>PAGE 8 OF 18</v>
      </c>
      <c r="K339" s="195"/>
    </row>
    <row r="340" spans="1:11" ht="13">
      <c r="A340" s="341" t="str">
        <f>type</f>
        <v xml:space="preserve">TYPE OF FILING: "X" ORIGINAL   UPDATED    REVISED  </v>
      </c>
      <c r="C340" s="195"/>
      <c r="D340" s="342"/>
      <c r="E340" s="195"/>
      <c r="F340" s="195"/>
      <c r="G340" s="195"/>
      <c r="H340" s="195"/>
      <c r="I340" s="195"/>
      <c r="J340" s="195"/>
      <c r="K340" s="195"/>
    </row>
    <row r="341" spans="1:11" ht="13">
      <c r="B341" s="341"/>
      <c r="C341" s="195"/>
      <c r="D341" s="342"/>
      <c r="E341" s="195"/>
      <c r="F341" s="195"/>
      <c r="G341" s="195"/>
      <c r="H341" s="195"/>
      <c r="I341" s="195"/>
      <c r="J341" s="195"/>
      <c r="K341" s="195"/>
    </row>
    <row r="342" spans="1:11" ht="13">
      <c r="B342" s="341"/>
      <c r="C342" s="195"/>
      <c r="D342" s="342"/>
      <c r="E342" s="195"/>
      <c r="F342" s="195"/>
      <c r="G342" s="195"/>
      <c r="H342" s="195"/>
      <c r="I342" s="195"/>
      <c r="J342" s="195"/>
      <c r="K342" s="195"/>
    </row>
    <row r="343" spans="1:11" ht="13">
      <c r="A343" s="342" t="s">
        <v>907</v>
      </c>
      <c r="B343" s="195"/>
      <c r="C343" s="195"/>
      <c r="D343" s="342"/>
      <c r="E343" s="195"/>
      <c r="F343" s="342" t="s">
        <v>229</v>
      </c>
      <c r="G343" s="467" t="s">
        <v>971</v>
      </c>
      <c r="H343" s="468"/>
      <c r="I343" s="469"/>
      <c r="J343" s="342" t="s">
        <v>229</v>
      </c>
      <c r="K343" s="342" t="s">
        <v>342</v>
      </c>
    </row>
    <row r="344" spans="1:11" ht="13">
      <c r="A344" s="344" t="s">
        <v>908</v>
      </c>
      <c r="B344" s="343" t="s">
        <v>44</v>
      </c>
      <c r="C344" s="343"/>
      <c r="D344" s="344" t="s">
        <v>337</v>
      </c>
      <c r="E344" s="343"/>
      <c r="F344" s="344" t="s">
        <v>284</v>
      </c>
      <c r="G344" s="454" t="s">
        <v>838</v>
      </c>
      <c r="H344" s="449" t="s">
        <v>970</v>
      </c>
      <c r="I344" s="455" t="s">
        <v>839</v>
      </c>
      <c r="J344" s="344" t="s">
        <v>341</v>
      </c>
      <c r="K344" s="344" t="s">
        <v>340</v>
      </c>
    </row>
    <row r="345" spans="1:11" ht="13">
      <c r="C345" s="572" t="s">
        <v>348</v>
      </c>
      <c r="D345" s="342"/>
      <c r="E345" s="195"/>
      <c r="G345" s="622">
        <f>$G$10</f>
        <v>3</v>
      </c>
      <c r="H345" s="623">
        <f>$H$10</f>
        <v>4</v>
      </c>
      <c r="I345" s="624">
        <f>$I$10</f>
        <v>5</v>
      </c>
    </row>
    <row r="346" spans="1:11" ht="13">
      <c r="A346" s="331">
        <v>1</v>
      </c>
      <c r="B346" s="330" t="s">
        <v>45</v>
      </c>
      <c r="D346" s="342"/>
      <c r="E346" s="195"/>
      <c r="G346" s="456"/>
      <c r="H346" s="457"/>
      <c r="I346" s="458"/>
    </row>
    <row r="347" spans="1:11" ht="13">
      <c r="A347" s="331">
        <v>2</v>
      </c>
      <c r="B347" s="330" t="s">
        <v>46</v>
      </c>
      <c r="D347" s="342"/>
      <c r="E347" s="195"/>
      <c r="G347" s="456"/>
      <c r="H347" s="457"/>
      <c r="I347" s="458"/>
    </row>
    <row r="348" spans="1:11" ht="13">
      <c r="A348" s="331">
        <v>3</v>
      </c>
      <c r="C348" s="330" t="s">
        <v>425</v>
      </c>
      <c r="D348" s="723" t="s">
        <v>290</v>
      </c>
      <c r="E348" s="448" t="s">
        <v>1483</v>
      </c>
      <c r="F348" s="787">
        <f>[1]SCH_C2!$N$30+[1]SCH_C2!$N$31</f>
        <v>41036376</v>
      </c>
      <c r="G348" s="459">
        <f>F348-SUM(H348:I348)</f>
        <v>41036376</v>
      </c>
      <c r="H348" s="460">
        <f>ROUND(F348*VLOOKUP(D348,AllocTable_Functional,$H$10,FALSE),0)</f>
        <v>0</v>
      </c>
      <c r="I348" s="461">
        <f>ROUND(F348*VLOOKUP(D348,AllocTable_Functional,$I$10,FALSE),0)</f>
        <v>0</v>
      </c>
      <c r="J348" s="345">
        <f>SUM(G348:I348)</f>
        <v>41036376</v>
      </c>
      <c r="K348" s="345">
        <f>F348-J348</f>
        <v>0</v>
      </c>
    </row>
    <row r="349" spans="1:11" ht="13">
      <c r="A349" s="331">
        <v>4</v>
      </c>
      <c r="C349" s="357" t="s">
        <v>1497</v>
      </c>
      <c r="D349" s="723" t="s">
        <v>379</v>
      </c>
      <c r="E349" s="448" t="s">
        <v>1483</v>
      </c>
      <c r="F349" s="787">
        <f>[1]SCH_C2!$N$26+[1]SCH_C2!$N$25+[1]SCH_C2!$N$33</f>
        <v>1244794</v>
      </c>
      <c r="G349" s="459">
        <f>F349-SUM(H349:I349)</f>
        <v>1244794</v>
      </c>
      <c r="H349" s="460">
        <f>ROUND(F349*VLOOKUP(D349,AllocTable_Functional,$H$10,FALSE),0)</f>
        <v>0</v>
      </c>
      <c r="I349" s="461">
        <f>ROUND(F349*VLOOKUP(D349,AllocTable_Functional,$I$10,FALSE),0)</f>
        <v>0</v>
      </c>
      <c r="J349" s="345">
        <f>SUM(G349:I349)</f>
        <v>1244794</v>
      </c>
      <c r="K349" s="345">
        <f>F349-J349</f>
        <v>0</v>
      </c>
    </row>
    <row r="350" spans="1:11" ht="13">
      <c r="A350" s="331">
        <v>5</v>
      </c>
      <c r="C350" s="330" t="s">
        <v>430</v>
      </c>
      <c r="D350" s="723"/>
      <c r="E350" s="195"/>
      <c r="F350" s="346">
        <f t="shared" ref="F350:K350" si="92">SUM(F348:F349)</f>
        <v>42281170</v>
      </c>
      <c r="G350" s="462">
        <f t="shared" si="92"/>
        <v>42281170</v>
      </c>
      <c r="H350" s="450">
        <f t="shared" si="92"/>
        <v>0</v>
      </c>
      <c r="I350" s="463">
        <f t="shared" si="92"/>
        <v>0</v>
      </c>
      <c r="J350" s="346">
        <f t="shared" si="92"/>
        <v>42281170</v>
      </c>
      <c r="K350" s="346">
        <f t="shared" si="92"/>
        <v>0</v>
      </c>
    </row>
    <row r="351" spans="1:11" ht="13">
      <c r="A351" s="331">
        <v>6</v>
      </c>
      <c r="D351" s="723"/>
      <c r="E351" s="195"/>
      <c r="F351" s="333"/>
      <c r="G351" s="456"/>
      <c r="H351" s="457"/>
      <c r="I351" s="458"/>
    </row>
    <row r="352" spans="1:11" ht="13">
      <c r="A352" s="331">
        <v>7</v>
      </c>
      <c r="B352" s="357" t="s">
        <v>47</v>
      </c>
      <c r="C352" s="357"/>
      <c r="D352" s="723"/>
      <c r="E352" s="195"/>
      <c r="F352" s="345"/>
      <c r="G352" s="459"/>
      <c r="H352" s="460"/>
      <c r="I352" s="461"/>
      <c r="J352" s="345"/>
      <c r="K352" s="345"/>
    </row>
    <row r="353" spans="1:20" ht="13">
      <c r="A353" s="331">
        <v>8</v>
      </c>
      <c r="C353" s="330" t="s">
        <v>154</v>
      </c>
      <c r="D353" s="723" t="s">
        <v>290</v>
      </c>
      <c r="E353" s="195"/>
      <c r="F353" s="777">
        <v>0</v>
      </c>
      <c r="G353" s="459">
        <f>F353-SUM(H353:I353)</f>
        <v>0</v>
      </c>
      <c r="H353" s="460">
        <f>ROUND(F353*VLOOKUP(D353,AllocTable_Functional,$H$10,FALSE),0)</f>
        <v>0</v>
      </c>
      <c r="I353" s="461">
        <f>ROUND(F353*VLOOKUP(D353,AllocTable_Functional,$I$10,FALSE),0)</f>
        <v>0</v>
      </c>
      <c r="J353" s="345">
        <f>SUM(G353:I353)</f>
        <v>0</v>
      </c>
      <c r="K353" s="345">
        <f>F353-J353</f>
        <v>0</v>
      </c>
    </row>
    <row r="354" spans="1:20" ht="13">
      <c r="A354" s="331">
        <v>9</v>
      </c>
      <c r="C354" s="330" t="s">
        <v>155</v>
      </c>
      <c r="D354" s="723"/>
      <c r="E354" s="195"/>
      <c r="F354" s="346">
        <f t="shared" ref="F354:K354" si="93">SUM(F352:F353)</f>
        <v>0</v>
      </c>
      <c r="G354" s="462">
        <f t="shared" si="93"/>
        <v>0</v>
      </c>
      <c r="H354" s="450">
        <f t="shared" si="93"/>
        <v>0</v>
      </c>
      <c r="I354" s="463">
        <f t="shared" si="93"/>
        <v>0</v>
      </c>
      <c r="J354" s="346">
        <f t="shared" si="93"/>
        <v>0</v>
      </c>
      <c r="K354" s="346">
        <f t="shared" si="93"/>
        <v>0</v>
      </c>
    </row>
    <row r="355" spans="1:20" ht="13">
      <c r="A355" s="331">
        <v>10</v>
      </c>
      <c r="D355" s="723"/>
      <c r="E355" s="195"/>
      <c r="F355" s="333"/>
      <c r="G355" s="456"/>
      <c r="H355" s="457"/>
      <c r="I355" s="458"/>
    </row>
    <row r="356" spans="1:20" ht="13">
      <c r="A356" s="331">
        <v>11</v>
      </c>
      <c r="B356" s="330" t="s">
        <v>1000</v>
      </c>
      <c r="D356" s="723"/>
      <c r="E356" s="195"/>
      <c r="F356" s="333"/>
      <c r="G356" s="456"/>
      <c r="H356" s="457"/>
      <c r="I356" s="458"/>
    </row>
    <row r="357" spans="1:20" ht="13">
      <c r="A357" s="331">
        <v>12</v>
      </c>
      <c r="C357" s="357" t="s">
        <v>156</v>
      </c>
      <c r="D357" s="723" t="s">
        <v>287</v>
      </c>
      <c r="E357" s="195"/>
      <c r="F357" s="787">
        <v>0</v>
      </c>
      <c r="G357" s="459">
        <f>F357-SUM(H357:I357)</f>
        <v>0</v>
      </c>
      <c r="H357" s="460">
        <f>ROUND(F357*VLOOKUP(D357,AllocTable_Functional,$H$10,FALSE),0)</f>
        <v>0</v>
      </c>
      <c r="I357" s="461">
        <f>ROUND(F357*VLOOKUP(D357,AllocTable_Functional,$I$10,FALSE),0)</f>
        <v>0</v>
      </c>
      <c r="J357" s="345">
        <f>SUM(G357:I357)</f>
        <v>0</v>
      </c>
      <c r="K357" s="345">
        <f>F357-J357</f>
        <v>0</v>
      </c>
    </row>
    <row r="358" spans="1:20" ht="13">
      <c r="A358" s="331">
        <v>13</v>
      </c>
      <c r="C358" s="330" t="s">
        <v>426</v>
      </c>
      <c r="D358" s="723"/>
      <c r="E358" s="195"/>
      <c r="F358" s="346">
        <f t="shared" ref="F358:K358" si="94">SUM(F356:F357)</f>
        <v>0</v>
      </c>
      <c r="G358" s="462">
        <f t="shared" si="94"/>
        <v>0</v>
      </c>
      <c r="H358" s="450">
        <f t="shared" si="94"/>
        <v>0</v>
      </c>
      <c r="I358" s="463">
        <f t="shared" si="94"/>
        <v>0</v>
      </c>
      <c r="J358" s="346">
        <f t="shared" si="94"/>
        <v>0</v>
      </c>
      <c r="K358" s="346">
        <f t="shared" si="94"/>
        <v>0</v>
      </c>
    </row>
    <row r="359" spans="1:20" ht="13">
      <c r="A359" s="331">
        <v>14</v>
      </c>
      <c r="D359" s="723"/>
      <c r="E359" s="195"/>
      <c r="F359" s="345"/>
      <c r="G359" s="459"/>
      <c r="H359" s="460"/>
      <c r="I359" s="461"/>
      <c r="J359" s="345"/>
      <c r="K359" s="345"/>
    </row>
    <row r="360" spans="1:20" ht="13">
      <c r="A360" s="331">
        <v>15</v>
      </c>
      <c r="B360" s="330" t="s">
        <v>48</v>
      </c>
      <c r="D360" s="723"/>
      <c r="E360" s="195" t="s">
        <v>343</v>
      </c>
      <c r="F360" s="345">
        <f t="shared" ref="F360:K360" si="95">F358+F354+F350</f>
        <v>42281170</v>
      </c>
      <c r="G360" s="459">
        <f t="shared" si="95"/>
        <v>42281170</v>
      </c>
      <c r="H360" s="460">
        <f t="shared" si="95"/>
        <v>0</v>
      </c>
      <c r="I360" s="461">
        <f t="shared" si="95"/>
        <v>0</v>
      </c>
      <c r="J360" s="345">
        <f t="shared" si="95"/>
        <v>42281170</v>
      </c>
      <c r="K360" s="345">
        <f t="shared" si="95"/>
        <v>0</v>
      </c>
    </row>
    <row r="361" spans="1:20" ht="13">
      <c r="A361" s="331">
        <v>16</v>
      </c>
      <c r="D361" s="723"/>
      <c r="E361" s="195"/>
      <c r="F361" s="333"/>
      <c r="G361" s="456"/>
      <c r="H361" s="457"/>
      <c r="I361" s="458"/>
    </row>
    <row r="362" spans="1:20" ht="13">
      <c r="A362" s="331">
        <v>17</v>
      </c>
      <c r="B362" s="330" t="s">
        <v>49</v>
      </c>
      <c r="D362" s="723"/>
      <c r="E362" s="195"/>
      <c r="F362" s="333"/>
      <c r="G362" s="456"/>
      <c r="H362" s="457"/>
      <c r="I362" s="458"/>
    </row>
    <row r="363" spans="1:20" ht="13">
      <c r="A363" s="331">
        <v>18</v>
      </c>
      <c r="C363" s="357" t="s">
        <v>49</v>
      </c>
      <c r="D363" s="723" t="s">
        <v>343</v>
      </c>
      <c r="E363" s="195"/>
      <c r="F363" s="471"/>
      <c r="G363" s="459"/>
      <c r="H363" s="460"/>
      <c r="I363" s="461"/>
      <c r="J363" s="345"/>
      <c r="K363" s="345"/>
    </row>
    <row r="364" spans="1:20" ht="13">
      <c r="A364" s="331">
        <v>19</v>
      </c>
      <c r="C364" s="330" t="s">
        <v>157</v>
      </c>
      <c r="D364" s="723"/>
      <c r="E364" s="195"/>
      <c r="F364" s="346">
        <f t="shared" ref="F364:K364" si="96">SUM(F363)</f>
        <v>0</v>
      </c>
      <c r="G364" s="462">
        <f t="shared" si="96"/>
        <v>0</v>
      </c>
      <c r="H364" s="450">
        <f t="shared" si="96"/>
        <v>0</v>
      </c>
      <c r="I364" s="463">
        <f t="shared" si="96"/>
        <v>0</v>
      </c>
      <c r="J364" s="346">
        <f t="shared" si="96"/>
        <v>0</v>
      </c>
      <c r="K364" s="346">
        <f t="shared" si="96"/>
        <v>0</v>
      </c>
    </row>
    <row r="365" spans="1:20" ht="13">
      <c r="A365" s="331">
        <v>20</v>
      </c>
      <c r="D365" s="723"/>
      <c r="E365" s="195"/>
      <c r="F365" s="333"/>
      <c r="G365" s="456"/>
      <c r="H365" s="457"/>
      <c r="I365" s="458"/>
      <c r="M365" s="351"/>
      <c r="N365" s="351"/>
      <c r="O365" s="351"/>
      <c r="P365" s="351"/>
      <c r="Q365" s="351"/>
      <c r="R365" s="351"/>
      <c r="S365" s="351"/>
      <c r="T365" s="351"/>
    </row>
    <row r="366" spans="1:20" ht="13">
      <c r="A366" s="331">
        <v>21</v>
      </c>
      <c r="B366" s="330" t="s">
        <v>50</v>
      </c>
      <c r="D366" s="723"/>
      <c r="E366" s="195"/>
      <c r="F366" s="333"/>
      <c r="G366" s="456"/>
      <c r="H366" s="457"/>
      <c r="I366" s="458"/>
      <c r="M366" s="351"/>
      <c r="N366" s="351"/>
      <c r="O366" s="351"/>
      <c r="P366" s="351"/>
      <c r="Q366" s="351"/>
      <c r="R366" s="351"/>
      <c r="S366" s="351"/>
      <c r="T366" s="351"/>
    </row>
    <row r="367" spans="1:20" ht="13">
      <c r="A367" s="331">
        <v>22</v>
      </c>
      <c r="C367" s="330" t="s">
        <v>386</v>
      </c>
      <c r="D367" s="726" t="s">
        <v>288</v>
      </c>
      <c r="E367" s="448" t="s">
        <v>1483</v>
      </c>
      <c r="F367" s="777">
        <f>'[1]SCH_C2.1 - Forecasted Period'!$J$134</f>
        <v>258339</v>
      </c>
      <c r="G367" s="459">
        <f t="shared" ref="G367:G377" si="97">F367-SUM(H367:I367)</f>
        <v>0</v>
      </c>
      <c r="H367" s="460">
        <f t="shared" ref="H367:H377" si="98">ROUND(F367*VLOOKUP(D367,AllocTable_Functional,$H$10,FALSE),0)</f>
        <v>0</v>
      </c>
      <c r="I367" s="461">
        <f t="shared" ref="I367:I377" si="99">ROUND(F367*VLOOKUP(D367,AllocTable_Functional,$I$10,FALSE),0)</f>
        <v>258339</v>
      </c>
      <c r="J367" s="345">
        <f t="shared" ref="J367:J377" si="100">SUM(G367:I367)</f>
        <v>258339</v>
      </c>
      <c r="K367" s="345">
        <f t="shared" ref="K367:K377" si="101">F367-J367</f>
        <v>0</v>
      </c>
      <c r="M367" s="351"/>
      <c r="N367" s="351"/>
      <c r="O367" s="351"/>
      <c r="P367" s="351"/>
      <c r="Q367" s="351"/>
      <c r="R367" s="351"/>
      <c r="S367" s="351"/>
      <c r="T367" s="351"/>
    </row>
    <row r="368" spans="1:20" ht="13">
      <c r="A368" s="331">
        <v>23</v>
      </c>
      <c r="C368" s="330" t="s">
        <v>158</v>
      </c>
      <c r="D368" s="723" t="s">
        <v>298</v>
      </c>
      <c r="E368" s="448" t="s">
        <v>1483</v>
      </c>
      <c r="F368" s="777">
        <f>'[1]SCH_C2.1 - Forecasted Period'!$J$135</f>
        <v>1332086</v>
      </c>
      <c r="G368" s="459">
        <f t="shared" si="97"/>
        <v>0</v>
      </c>
      <c r="H368" s="460">
        <f t="shared" si="98"/>
        <v>0</v>
      </c>
      <c r="I368" s="461">
        <f t="shared" si="99"/>
        <v>1332086</v>
      </c>
      <c r="J368" s="345">
        <f t="shared" si="100"/>
        <v>1332086</v>
      </c>
      <c r="K368" s="345">
        <f t="shared" si="101"/>
        <v>0</v>
      </c>
      <c r="M368" s="351"/>
      <c r="N368" s="351"/>
      <c r="O368" s="351"/>
      <c r="P368" s="351"/>
      <c r="Q368" s="351"/>
      <c r="R368" s="351"/>
      <c r="S368" s="351"/>
      <c r="T368" s="351"/>
    </row>
    <row r="369" spans="1:20" ht="13">
      <c r="A369" s="331">
        <v>24</v>
      </c>
      <c r="C369" s="330" t="s">
        <v>387</v>
      </c>
      <c r="D369" s="723" t="s">
        <v>288</v>
      </c>
      <c r="E369" s="448" t="s">
        <v>1483</v>
      </c>
      <c r="F369" s="777">
        <f>'[1]SCH_C2.1 - Forecasted Period'!$J$136+'[1]SCH_C2.1 - Forecasted Period'!$J$146+'[1]SCH_C2.1 - Forecasted Period'!$J$137</f>
        <v>198982</v>
      </c>
      <c r="G369" s="459">
        <f t="shared" si="97"/>
        <v>0</v>
      </c>
      <c r="H369" s="460">
        <f t="shared" si="98"/>
        <v>0</v>
      </c>
      <c r="I369" s="461">
        <f t="shared" si="99"/>
        <v>198982</v>
      </c>
      <c r="J369" s="345">
        <f t="shared" si="100"/>
        <v>198982</v>
      </c>
      <c r="K369" s="345">
        <f t="shared" si="101"/>
        <v>0</v>
      </c>
      <c r="M369" s="351"/>
      <c r="N369" s="351"/>
      <c r="O369" s="351"/>
      <c r="P369" s="351"/>
      <c r="Q369" s="351"/>
      <c r="R369" s="351"/>
      <c r="S369" s="351"/>
      <c r="T369" s="351"/>
    </row>
    <row r="370" spans="1:20" ht="13">
      <c r="A370" s="331">
        <v>25</v>
      </c>
      <c r="C370" s="330" t="s">
        <v>159</v>
      </c>
      <c r="D370" s="723" t="s">
        <v>295</v>
      </c>
      <c r="E370" s="448" t="s">
        <v>1483</v>
      </c>
      <c r="F370" s="777">
        <f>'[1]SCH_C2.1 - Forecasted Period'!$J$139</f>
        <v>1294237</v>
      </c>
      <c r="G370" s="459">
        <f t="shared" si="97"/>
        <v>0</v>
      </c>
      <c r="H370" s="460">
        <f t="shared" si="98"/>
        <v>0</v>
      </c>
      <c r="I370" s="461">
        <f t="shared" si="99"/>
        <v>1294237</v>
      </c>
      <c r="J370" s="345">
        <f t="shared" si="100"/>
        <v>1294237</v>
      </c>
      <c r="K370" s="345">
        <f t="shared" si="101"/>
        <v>0</v>
      </c>
      <c r="M370" s="351"/>
      <c r="N370" s="351"/>
      <c r="O370" s="351"/>
      <c r="P370" s="351"/>
      <c r="Q370" s="351"/>
      <c r="R370" s="351"/>
      <c r="S370" s="351"/>
      <c r="T370" s="351"/>
    </row>
    <row r="371" spans="1:20" ht="13">
      <c r="A371" s="331">
        <v>26</v>
      </c>
      <c r="C371" s="330" t="s">
        <v>160</v>
      </c>
      <c r="D371" s="723" t="s">
        <v>299</v>
      </c>
      <c r="E371" s="448" t="s">
        <v>1483</v>
      </c>
      <c r="F371" s="777">
        <f>'[1]SCH_C2.1 - Forecasted Period'!$J$138+'[1]SCH_C2.1 - Forecasted Period'!$J$148</f>
        <v>637813</v>
      </c>
      <c r="G371" s="459">
        <f t="shared" si="97"/>
        <v>0</v>
      </c>
      <c r="H371" s="460">
        <f t="shared" si="98"/>
        <v>0</v>
      </c>
      <c r="I371" s="461">
        <f t="shared" si="99"/>
        <v>637813</v>
      </c>
      <c r="J371" s="345">
        <f t="shared" si="100"/>
        <v>637813</v>
      </c>
      <c r="K371" s="345">
        <f t="shared" si="101"/>
        <v>0</v>
      </c>
      <c r="M371" s="351"/>
      <c r="N371" s="351"/>
      <c r="O371" s="351"/>
      <c r="P371" s="351"/>
      <c r="Q371" s="351"/>
      <c r="R371" s="351"/>
      <c r="S371" s="351"/>
      <c r="T371" s="351"/>
    </row>
    <row r="372" spans="1:20" ht="13">
      <c r="A372" s="331">
        <v>27</v>
      </c>
      <c r="C372" s="330" t="s">
        <v>161</v>
      </c>
      <c r="D372" s="723" t="s">
        <v>295</v>
      </c>
      <c r="E372" s="448" t="s">
        <v>1483</v>
      </c>
      <c r="F372" s="777">
        <f>'[1]SCH_C2.1 - Forecasted Period'!$J$145</f>
        <v>1128603</v>
      </c>
      <c r="G372" s="459">
        <f t="shared" si="97"/>
        <v>0</v>
      </c>
      <c r="H372" s="460">
        <f t="shared" si="98"/>
        <v>0</v>
      </c>
      <c r="I372" s="461">
        <f t="shared" si="99"/>
        <v>1128603</v>
      </c>
      <c r="J372" s="345">
        <f t="shared" si="100"/>
        <v>1128603</v>
      </c>
      <c r="K372" s="345">
        <f t="shared" si="101"/>
        <v>0</v>
      </c>
      <c r="M372" s="351"/>
      <c r="N372" s="351"/>
      <c r="O372" s="351"/>
      <c r="P372" s="351"/>
      <c r="Q372" s="351"/>
      <c r="R372" s="351"/>
      <c r="S372" s="351"/>
      <c r="T372" s="351"/>
    </row>
    <row r="373" spans="1:20" ht="13">
      <c r="A373" s="331">
        <v>28</v>
      </c>
      <c r="C373" s="330" t="s">
        <v>162</v>
      </c>
      <c r="D373" s="723" t="s">
        <v>292</v>
      </c>
      <c r="E373" s="448" t="s">
        <v>1483</v>
      </c>
      <c r="F373" s="777">
        <f>'[1]SCH_C2.1 - Forecasted Period'!$J$147</f>
        <v>647372</v>
      </c>
      <c r="G373" s="459">
        <f t="shared" si="97"/>
        <v>0</v>
      </c>
      <c r="H373" s="460">
        <f t="shared" si="98"/>
        <v>0</v>
      </c>
      <c r="I373" s="461">
        <f t="shared" si="99"/>
        <v>647372</v>
      </c>
      <c r="J373" s="345">
        <f t="shared" si="100"/>
        <v>647372</v>
      </c>
      <c r="K373" s="345">
        <f t="shared" si="101"/>
        <v>0</v>
      </c>
      <c r="M373" s="1316"/>
      <c r="N373" s="351"/>
      <c r="O373" s="351"/>
      <c r="P373" s="351"/>
      <c r="Q373" s="351"/>
      <c r="R373" s="351"/>
      <c r="S373" s="351"/>
      <c r="T373" s="351"/>
    </row>
    <row r="374" spans="1:20" ht="13">
      <c r="A374" s="331">
        <v>29</v>
      </c>
      <c r="C374" s="330" t="s">
        <v>388</v>
      </c>
      <c r="D374" s="728" t="s">
        <v>312</v>
      </c>
      <c r="E374" s="448" t="s">
        <v>1483</v>
      </c>
      <c r="F374" s="777">
        <v>0</v>
      </c>
      <c r="G374" s="459">
        <f t="shared" si="97"/>
        <v>0</v>
      </c>
      <c r="H374" s="460">
        <f t="shared" si="98"/>
        <v>0</v>
      </c>
      <c r="I374" s="461">
        <f t="shared" si="99"/>
        <v>0</v>
      </c>
      <c r="J374" s="345">
        <f t="shared" si="100"/>
        <v>0</v>
      </c>
      <c r="K374" s="345">
        <f t="shared" si="101"/>
        <v>0</v>
      </c>
      <c r="M374" s="351"/>
      <c r="N374" s="351"/>
      <c r="O374" s="351"/>
      <c r="P374" s="351"/>
      <c r="Q374" s="351"/>
      <c r="R374" s="351"/>
      <c r="S374" s="351"/>
      <c r="T374" s="351"/>
    </row>
    <row r="375" spans="1:20" ht="13">
      <c r="A375" s="331">
        <v>30</v>
      </c>
      <c r="C375" s="330" t="s">
        <v>1372</v>
      </c>
      <c r="D375" s="723" t="s">
        <v>296</v>
      </c>
      <c r="E375" s="448" t="s">
        <v>1483</v>
      </c>
      <c r="F375" s="777">
        <f>[1]SCH_D1!$AE$230</f>
        <v>-53783</v>
      </c>
      <c r="G375" s="459">
        <f t="shared" si="97"/>
        <v>0</v>
      </c>
      <c r="H375" s="460">
        <f t="shared" si="98"/>
        <v>0</v>
      </c>
      <c r="I375" s="461">
        <f t="shared" si="99"/>
        <v>-53783</v>
      </c>
      <c r="J375" s="345">
        <f t="shared" si="100"/>
        <v>-53783</v>
      </c>
      <c r="K375" s="345">
        <f t="shared" si="101"/>
        <v>0</v>
      </c>
      <c r="M375" s="351"/>
      <c r="N375" s="351"/>
      <c r="O375" s="351"/>
      <c r="P375" s="351"/>
      <c r="Q375" s="351"/>
      <c r="R375" s="351"/>
      <c r="S375" s="351"/>
      <c r="T375" s="351"/>
    </row>
    <row r="376" spans="1:20" ht="13">
      <c r="A376" s="331">
        <v>31</v>
      </c>
      <c r="C376" s="330" t="s">
        <v>1371</v>
      </c>
      <c r="D376" s="723" t="s">
        <v>288</v>
      </c>
      <c r="E376" s="448" t="s">
        <v>1483</v>
      </c>
      <c r="F376" s="777">
        <v>0</v>
      </c>
      <c r="G376" s="459">
        <f t="shared" si="97"/>
        <v>0</v>
      </c>
      <c r="H376" s="460">
        <f t="shared" si="98"/>
        <v>0</v>
      </c>
      <c r="I376" s="461">
        <f t="shared" si="99"/>
        <v>0</v>
      </c>
      <c r="J376" s="345">
        <f t="shared" si="100"/>
        <v>0</v>
      </c>
      <c r="K376" s="345">
        <f t="shared" si="101"/>
        <v>0</v>
      </c>
      <c r="M376" s="351"/>
      <c r="N376" s="351"/>
      <c r="O376" s="351"/>
      <c r="P376" s="351"/>
      <c r="Q376" s="351"/>
      <c r="R376" s="351"/>
      <c r="S376" s="351"/>
      <c r="T376" s="351"/>
    </row>
    <row r="377" spans="1:20" ht="13">
      <c r="A377" s="331">
        <v>32</v>
      </c>
      <c r="C377" s="357" t="s">
        <v>1162</v>
      </c>
      <c r="D377" s="723" t="s">
        <v>295</v>
      </c>
      <c r="E377" s="448" t="s">
        <v>1483</v>
      </c>
      <c r="F377" s="777">
        <f>'[1]SCH_C2.1 - Forecasted Period'!$J$140+'[1]SCH_C2.1 - Forecasted Period'!$J$149+[1]SCH_D1!$Y$295</f>
        <v>2870232</v>
      </c>
      <c r="G377" s="459">
        <f t="shared" si="97"/>
        <v>0</v>
      </c>
      <c r="H377" s="460">
        <f t="shared" si="98"/>
        <v>0</v>
      </c>
      <c r="I377" s="461">
        <f t="shared" si="99"/>
        <v>2870232</v>
      </c>
      <c r="J377" s="345">
        <f t="shared" si="100"/>
        <v>2870232</v>
      </c>
      <c r="K377" s="345">
        <f t="shared" si="101"/>
        <v>0</v>
      </c>
      <c r="M377" s="351"/>
      <c r="N377" s="351"/>
      <c r="O377" s="351"/>
      <c r="P377" s="351"/>
      <c r="Q377" s="351"/>
      <c r="R377" s="351"/>
      <c r="S377" s="351"/>
      <c r="T377" s="351"/>
    </row>
    <row r="378" spans="1:20" ht="13">
      <c r="A378" s="331">
        <v>33</v>
      </c>
      <c r="C378" s="330" t="s">
        <v>163</v>
      </c>
      <c r="D378" s="723"/>
      <c r="E378" s="195" t="s">
        <v>343</v>
      </c>
      <c r="F378" s="346">
        <f t="shared" ref="F378:K378" si="102">SUM(F366:F377)</f>
        <v>8313881</v>
      </c>
      <c r="G378" s="462">
        <f t="shared" si="102"/>
        <v>0</v>
      </c>
      <c r="H378" s="450">
        <f t="shared" si="102"/>
        <v>0</v>
      </c>
      <c r="I378" s="463">
        <f t="shared" si="102"/>
        <v>8313881</v>
      </c>
      <c r="J378" s="346">
        <f t="shared" si="102"/>
        <v>8313881</v>
      </c>
      <c r="K378" s="346">
        <f t="shared" si="102"/>
        <v>0</v>
      </c>
      <c r="M378" s="351"/>
      <c r="N378" s="351"/>
      <c r="O378" s="351"/>
      <c r="P378" s="351"/>
      <c r="Q378" s="351"/>
      <c r="R378" s="351"/>
      <c r="S378" s="351"/>
      <c r="T378" s="351"/>
    </row>
    <row r="379" spans="1:20" ht="13">
      <c r="A379" s="331">
        <v>34</v>
      </c>
      <c r="C379" s="330" t="s">
        <v>343</v>
      </c>
      <c r="D379" s="723"/>
      <c r="E379" s="195"/>
      <c r="G379" s="456"/>
      <c r="H379" s="457"/>
      <c r="I379" s="458"/>
      <c r="M379" s="351"/>
      <c r="N379" s="351"/>
      <c r="O379" s="351"/>
      <c r="P379" s="351"/>
      <c r="Q379" s="351"/>
      <c r="R379" s="351"/>
      <c r="S379" s="351"/>
      <c r="T379" s="351"/>
    </row>
    <row r="380" spans="1:20" ht="13">
      <c r="A380" s="331">
        <v>35</v>
      </c>
      <c r="B380" s="330" t="s">
        <v>51</v>
      </c>
      <c r="D380" s="723"/>
      <c r="E380" s="195"/>
      <c r="F380" s="330" t="s">
        <v>343</v>
      </c>
      <c r="G380" s="456"/>
      <c r="H380" s="457"/>
      <c r="I380" s="458"/>
      <c r="M380" s="351"/>
      <c r="N380" s="351"/>
      <c r="O380" s="351"/>
      <c r="P380" s="351"/>
      <c r="Q380" s="351"/>
      <c r="R380" s="351"/>
      <c r="S380" s="351"/>
      <c r="T380" s="351"/>
    </row>
    <row r="381" spans="1:20" ht="13">
      <c r="A381" s="331">
        <v>36</v>
      </c>
      <c r="C381" s="330" t="s">
        <v>389</v>
      </c>
      <c r="D381" s="723" t="s">
        <v>293</v>
      </c>
      <c r="E381" s="448" t="s">
        <v>1483</v>
      </c>
      <c r="F381" s="777">
        <f>'[1]SCH_C2.1 - Forecasted Period'!$J$171</f>
        <v>187499</v>
      </c>
      <c r="G381" s="459">
        <f t="shared" ref="G381:G388" si="103">F381-SUM(H381:I381)</f>
        <v>0</v>
      </c>
      <c r="H381" s="460">
        <f t="shared" ref="H381:H388" si="104">ROUND(F381*VLOOKUP(D381,AllocTable_Functional,$H$10,FALSE),0)</f>
        <v>0</v>
      </c>
      <c r="I381" s="461">
        <f t="shared" ref="I381:I388" si="105">ROUND(F381*VLOOKUP(D381,AllocTable_Functional,$I$10,FALSE),0)</f>
        <v>187499</v>
      </c>
      <c r="J381" s="345">
        <f t="shared" ref="J381:J388" si="106">SUM(G381:I381)</f>
        <v>187499</v>
      </c>
      <c r="K381" s="345">
        <f t="shared" ref="K381:K388" si="107">F381-J381</f>
        <v>0</v>
      </c>
      <c r="M381" s="351"/>
      <c r="N381" s="351"/>
      <c r="O381" s="351"/>
      <c r="P381" s="351"/>
      <c r="Q381" s="351"/>
      <c r="R381" s="351"/>
      <c r="S381" s="351"/>
      <c r="T381" s="351"/>
    </row>
    <row r="382" spans="1:20" ht="13">
      <c r="A382" s="331">
        <v>37</v>
      </c>
      <c r="C382" s="330" t="s">
        <v>390</v>
      </c>
      <c r="D382" s="723" t="s">
        <v>293</v>
      </c>
      <c r="E382" s="448" t="s">
        <v>1483</v>
      </c>
      <c r="F382" s="777">
        <f>'[1]SCH_C2.1 - Forecasted Period'!$J$172</f>
        <v>950</v>
      </c>
      <c r="G382" s="459">
        <f t="shared" si="103"/>
        <v>0</v>
      </c>
      <c r="H382" s="460">
        <f t="shared" si="104"/>
        <v>0</v>
      </c>
      <c r="I382" s="461">
        <f t="shared" si="105"/>
        <v>950</v>
      </c>
      <c r="J382" s="345">
        <f t="shared" si="106"/>
        <v>950</v>
      </c>
      <c r="K382" s="345">
        <f t="shared" si="107"/>
        <v>0</v>
      </c>
      <c r="M382" s="351"/>
      <c r="N382" s="351"/>
      <c r="O382" s="351"/>
      <c r="P382" s="351"/>
      <c r="Q382" s="351"/>
      <c r="R382" s="351"/>
      <c r="S382" s="351"/>
      <c r="T382" s="351"/>
    </row>
    <row r="383" spans="1:20" ht="13">
      <c r="A383" s="331">
        <v>38</v>
      </c>
      <c r="C383" s="330" t="s">
        <v>414</v>
      </c>
      <c r="D383" s="723" t="s">
        <v>293</v>
      </c>
      <c r="E383" s="448" t="s">
        <v>1483</v>
      </c>
      <c r="F383" s="777">
        <f>'[1]SCH_C2.1 - Forecasted Period'!$J$173</f>
        <v>4250853</v>
      </c>
      <c r="G383" s="459">
        <f t="shared" si="103"/>
        <v>0</v>
      </c>
      <c r="H383" s="460">
        <f t="shared" si="104"/>
        <v>0</v>
      </c>
      <c r="I383" s="461">
        <f t="shared" si="105"/>
        <v>4250853</v>
      </c>
      <c r="J383" s="345">
        <f t="shared" si="106"/>
        <v>4250853</v>
      </c>
      <c r="K383" s="345">
        <f t="shared" si="107"/>
        <v>0</v>
      </c>
      <c r="M383" s="351"/>
      <c r="N383" s="351"/>
      <c r="O383" s="351"/>
      <c r="P383" s="351"/>
      <c r="Q383" s="351"/>
      <c r="R383" s="351"/>
      <c r="S383" s="351"/>
      <c r="T383" s="351"/>
    </row>
    <row r="384" spans="1:20" ht="13">
      <c r="A384" s="331">
        <v>39</v>
      </c>
      <c r="C384" s="330" t="s">
        <v>373</v>
      </c>
      <c r="D384" s="723" t="s">
        <v>382</v>
      </c>
      <c r="E384" s="448" t="s">
        <v>1483</v>
      </c>
      <c r="F384" s="777">
        <f>'[1]SCH_C2.1 - Forecasted Period'!$J$174+[1]SCH_D1!$W$231</f>
        <v>-1227152</v>
      </c>
      <c r="G384" s="459">
        <f t="shared" si="103"/>
        <v>0</v>
      </c>
      <c r="H384" s="460">
        <f t="shared" si="104"/>
        <v>0</v>
      </c>
      <c r="I384" s="461">
        <f t="shared" si="105"/>
        <v>-1227152</v>
      </c>
      <c r="J384" s="345">
        <f t="shared" si="106"/>
        <v>-1227152</v>
      </c>
      <c r="K384" s="345">
        <f t="shared" si="107"/>
        <v>0</v>
      </c>
      <c r="M384" s="351"/>
      <c r="N384" s="351"/>
      <c r="O384" s="351"/>
      <c r="P384" s="351"/>
      <c r="Q384" s="351"/>
      <c r="R384" s="351"/>
      <c r="S384" s="351"/>
      <c r="T384" s="351"/>
    </row>
    <row r="385" spans="1:20" ht="13">
      <c r="A385" s="331">
        <v>40</v>
      </c>
      <c r="C385" s="330" t="s">
        <v>1373</v>
      </c>
      <c r="D385" s="723" t="s">
        <v>382</v>
      </c>
      <c r="E385" s="448" t="s">
        <v>1483</v>
      </c>
      <c r="F385" s="777">
        <f>[1]SCH_D1!$Y$296</f>
        <v>-29240</v>
      </c>
      <c r="G385" s="459">
        <f t="shared" si="103"/>
        <v>0</v>
      </c>
      <c r="H385" s="460">
        <f t="shared" si="104"/>
        <v>0</v>
      </c>
      <c r="I385" s="461">
        <f t="shared" si="105"/>
        <v>-29240</v>
      </c>
      <c r="J385" s="345">
        <f t="shared" si="106"/>
        <v>-29240</v>
      </c>
      <c r="K385" s="345">
        <f t="shared" si="107"/>
        <v>0</v>
      </c>
      <c r="M385" s="351"/>
      <c r="N385" s="351"/>
      <c r="O385" s="351"/>
      <c r="P385" s="351"/>
      <c r="Q385" s="351"/>
      <c r="R385" s="351"/>
      <c r="S385" s="351"/>
      <c r="T385" s="351"/>
    </row>
    <row r="386" spans="1:20" ht="13">
      <c r="A386" s="331">
        <v>41</v>
      </c>
      <c r="C386" s="330" t="s">
        <v>1365</v>
      </c>
      <c r="D386" s="723" t="s">
        <v>382</v>
      </c>
      <c r="E386" s="448" t="s">
        <v>1483</v>
      </c>
      <c r="F386" s="777">
        <f>'[1]SCH_C2.1 - Forecasted Period'!$J$175</f>
        <v>1171882</v>
      </c>
      <c r="G386" s="459">
        <f t="shared" si="103"/>
        <v>0</v>
      </c>
      <c r="H386" s="460">
        <f t="shared" si="104"/>
        <v>0</v>
      </c>
      <c r="I386" s="461">
        <f t="shared" si="105"/>
        <v>1171882</v>
      </c>
      <c r="J386" s="345">
        <f t="shared" si="106"/>
        <v>1171882</v>
      </c>
      <c r="K386" s="345">
        <f t="shared" si="107"/>
        <v>0</v>
      </c>
      <c r="M386" s="351"/>
      <c r="N386" s="351"/>
      <c r="O386" s="351"/>
      <c r="P386" s="351"/>
      <c r="Q386" s="351"/>
      <c r="R386" s="351"/>
      <c r="S386" s="351"/>
      <c r="T386" s="351"/>
    </row>
    <row r="387" spans="1:20" ht="13">
      <c r="A387" s="331">
        <v>42</v>
      </c>
      <c r="C387" s="330" t="s">
        <v>1163</v>
      </c>
      <c r="D387" s="723" t="s">
        <v>293</v>
      </c>
      <c r="E387" s="448" t="s">
        <v>1483</v>
      </c>
      <c r="F387" s="777">
        <v>0</v>
      </c>
      <c r="G387" s="459">
        <f t="shared" si="103"/>
        <v>0</v>
      </c>
      <c r="H387" s="460">
        <f t="shared" si="104"/>
        <v>0</v>
      </c>
      <c r="I387" s="461">
        <f t="shared" si="105"/>
        <v>0</v>
      </c>
      <c r="J387" s="345">
        <f t="shared" si="106"/>
        <v>0</v>
      </c>
      <c r="K387" s="345">
        <f t="shared" si="107"/>
        <v>0</v>
      </c>
      <c r="M387" s="351"/>
      <c r="N387" s="351"/>
      <c r="O387" s="351"/>
      <c r="P387" s="351"/>
      <c r="Q387" s="351"/>
      <c r="R387" s="351"/>
      <c r="S387" s="351"/>
      <c r="T387" s="351"/>
    </row>
    <row r="388" spans="1:20" ht="13">
      <c r="A388" s="331">
        <v>43</v>
      </c>
      <c r="C388" s="357" t="s">
        <v>428</v>
      </c>
      <c r="D388" s="723" t="s">
        <v>382</v>
      </c>
      <c r="E388" s="448" t="s">
        <v>1483</v>
      </c>
      <c r="F388" s="1033">
        <v>0</v>
      </c>
      <c r="G388" s="459">
        <f t="shared" si="103"/>
        <v>0</v>
      </c>
      <c r="H388" s="460">
        <f t="shared" si="104"/>
        <v>0</v>
      </c>
      <c r="I388" s="461">
        <f t="shared" si="105"/>
        <v>0</v>
      </c>
      <c r="J388" s="345">
        <f t="shared" si="106"/>
        <v>0</v>
      </c>
      <c r="K388" s="345">
        <f t="shared" si="107"/>
        <v>0</v>
      </c>
      <c r="M388" s="351"/>
      <c r="N388" s="351"/>
      <c r="O388" s="351"/>
      <c r="P388" s="351"/>
      <c r="Q388" s="351"/>
      <c r="R388" s="351"/>
      <c r="S388" s="351"/>
      <c r="T388" s="351"/>
    </row>
    <row r="389" spans="1:20" ht="13">
      <c r="A389" s="331">
        <v>44</v>
      </c>
      <c r="C389" s="330" t="s">
        <v>164</v>
      </c>
      <c r="D389" s="342"/>
      <c r="E389" s="195" t="s">
        <v>343</v>
      </c>
      <c r="F389" s="346">
        <f t="shared" ref="F389:K389" si="108">SUM(F380:F388)</f>
        <v>4354792</v>
      </c>
      <c r="G389" s="492">
        <f t="shared" si="108"/>
        <v>0</v>
      </c>
      <c r="H389" s="493">
        <f t="shared" si="108"/>
        <v>0</v>
      </c>
      <c r="I389" s="494">
        <f t="shared" si="108"/>
        <v>4354792</v>
      </c>
      <c r="J389" s="346">
        <f t="shared" si="108"/>
        <v>4354792</v>
      </c>
      <c r="K389" s="346">
        <f t="shared" si="108"/>
        <v>0</v>
      </c>
      <c r="M389" s="351"/>
      <c r="N389" s="351"/>
      <c r="O389" s="351"/>
      <c r="P389" s="351"/>
      <c r="Q389" s="351"/>
      <c r="R389" s="351"/>
      <c r="S389" s="351"/>
      <c r="T389" s="351"/>
    </row>
    <row r="390" spans="1:20" ht="13">
      <c r="B390" s="341"/>
      <c r="C390" s="195"/>
      <c r="D390" s="342"/>
      <c r="E390" s="195"/>
      <c r="F390" s="195"/>
      <c r="G390" s="195"/>
      <c r="H390" s="195"/>
      <c r="I390" s="195"/>
      <c r="J390" s="195"/>
      <c r="K390" s="195"/>
      <c r="M390" s="351"/>
      <c r="N390" s="351"/>
      <c r="O390" s="351"/>
      <c r="P390" s="351"/>
      <c r="Q390" s="351"/>
      <c r="R390" s="351"/>
      <c r="S390" s="351"/>
      <c r="T390" s="351"/>
    </row>
    <row r="391" spans="1:20" ht="13">
      <c r="A391" s="341" t="str">
        <f>co_name</f>
        <v>DUKE ENERGY KENTUCKY, INC.</v>
      </c>
      <c r="C391" s="195"/>
      <c r="D391" s="342"/>
      <c r="E391" s="195"/>
      <c r="F391" s="195"/>
      <c r="G391" s="195"/>
      <c r="H391" s="195"/>
      <c r="I391" s="195"/>
      <c r="J391" s="195" t="str">
        <f>$J$1</f>
        <v>FR-16(7)(v)-1</v>
      </c>
      <c r="K391" s="195"/>
      <c r="M391" s="351"/>
      <c r="N391" s="351"/>
      <c r="O391" s="351"/>
      <c r="P391" s="351"/>
      <c r="Q391" s="351"/>
      <c r="R391" s="351"/>
      <c r="S391" s="351"/>
      <c r="T391" s="351"/>
    </row>
    <row r="392" spans="1:20" ht="13">
      <c r="A392" s="341" t="str">
        <f>$A$2</f>
        <v>FUNCTIONAL GAS COST OF SERVICE</v>
      </c>
      <c r="C392" s="195"/>
      <c r="D392" s="342"/>
      <c r="E392" s="195"/>
      <c r="F392" s="195"/>
      <c r="G392" s="195"/>
      <c r="H392" s="195"/>
      <c r="I392" s="195"/>
      <c r="J392" s="195" t="str">
        <f>$J$2</f>
        <v>WITNESS RESPONSIBLE:</v>
      </c>
      <c r="K392" s="195"/>
      <c r="M392" s="351"/>
      <c r="N392" s="351"/>
      <c r="O392" s="351"/>
      <c r="P392" s="351"/>
      <c r="Q392" s="351"/>
      <c r="R392" s="351"/>
      <c r="S392" s="351"/>
      <c r="T392" s="351"/>
    </row>
    <row r="393" spans="1:20" ht="13">
      <c r="A393" s="341" t="str">
        <f>case_name</f>
        <v>CASE NO: 2021-00190</v>
      </c>
      <c r="C393" s="195"/>
      <c r="D393" s="342"/>
      <c r="E393" s="195"/>
      <c r="F393" s="195"/>
      <c r="G393" s="195"/>
      <c r="H393" s="195"/>
      <c r="I393" s="195"/>
      <c r="J393" s="195" t="str">
        <f>Witness</f>
        <v>JAMES E. ZIOLKOWSKI</v>
      </c>
      <c r="K393" s="195"/>
    </row>
    <row r="394" spans="1:20" ht="13">
      <c r="A394" s="341" t="str">
        <f>data_filing</f>
        <v>DATA: 12 MONTH FORECASTED PERIOD</v>
      </c>
      <c r="C394" s="195"/>
      <c r="D394" s="342"/>
      <c r="E394" s="195"/>
      <c r="F394" s="195"/>
      <c r="G394" s="195"/>
      <c r="H394" s="195"/>
      <c r="I394" s="195"/>
      <c r="J394" s="195" t="str">
        <f>"PAGE "&amp;Pages-9&amp;" OF "&amp;Pages</f>
        <v>PAGE 9 OF 18</v>
      </c>
      <c r="K394" s="195"/>
    </row>
    <row r="395" spans="1:20" ht="13">
      <c r="A395" s="341" t="str">
        <f>type</f>
        <v xml:space="preserve">TYPE OF FILING: "X" ORIGINAL   UPDATED    REVISED  </v>
      </c>
      <c r="C395" s="195"/>
      <c r="D395" s="342"/>
      <c r="E395" s="195"/>
      <c r="F395" s="195"/>
      <c r="G395" s="195"/>
      <c r="H395" s="195"/>
      <c r="I395" s="195"/>
      <c r="J395" s="195"/>
      <c r="K395" s="195"/>
    </row>
    <row r="396" spans="1:20" ht="13">
      <c r="B396" s="341"/>
      <c r="C396" s="195"/>
      <c r="D396" s="342"/>
      <c r="E396" s="195"/>
      <c r="F396" s="195"/>
      <c r="G396" s="195"/>
      <c r="H396" s="195"/>
      <c r="I396" s="195"/>
      <c r="J396" s="195"/>
      <c r="K396" s="195"/>
    </row>
    <row r="397" spans="1:20" ht="13">
      <c r="B397" s="341"/>
      <c r="C397" s="195"/>
      <c r="D397" s="342"/>
      <c r="E397" s="195"/>
      <c r="F397" s="195"/>
      <c r="G397" s="195"/>
      <c r="H397" s="195"/>
      <c r="I397" s="195"/>
      <c r="J397" s="195"/>
      <c r="K397" s="195"/>
    </row>
    <row r="398" spans="1:20" ht="13">
      <c r="A398" s="342" t="s">
        <v>907</v>
      </c>
      <c r="B398" s="195"/>
      <c r="C398" s="195"/>
      <c r="D398" s="342"/>
      <c r="E398" s="195"/>
      <c r="F398" s="342" t="s">
        <v>229</v>
      </c>
      <c r="G398" s="467" t="s">
        <v>971</v>
      </c>
      <c r="H398" s="468"/>
      <c r="I398" s="469"/>
      <c r="J398" s="342" t="s">
        <v>229</v>
      </c>
      <c r="K398" s="342" t="s">
        <v>342</v>
      </c>
    </row>
    <row r="399" spans="1:20" ht="13">
      <c r="A399" s="344" t="s">
        <v>908</v>
      </c>
      <c r="B399" s="343" t="s">
        <v>44</v>
      </c>
      <c r="C399" s="343"/>
      <c r="D399" s="344" t="s">
        <v>337</v>
      </c>
      <c r="E399" s="343"/>
      <c r="F399" s="344" t="s">
        <v>284</v>
      </c>
      <c r="G399" s="454" t="s">
        <v>838</v>
      </c>
      <c r="H399" s="449" t="s">
        <v>970</v>
      </c>
      <c r="I399" s="455" t="s">
        <v>839</v>
      </c>
      <c r="J399" s="344" t="s">
        <v>341</v>
      </c>
      <c r="K399" s="344" t="s">
        <v>340</v>
      </c>
    </row>
    <row r="400" spans="1:20" ht="13">
      <c r="C400" s="572" t="s">
        <v>557</v>
      </c>
      <c r="D400" s="342"/>
      <c r="E400" s="195"/>
      <c r="G400" s="622">
        <f>$G$10</f>
        <v>3</v>
      </c>
      <c r="H400" s="623">
        <f>$H$10</f>
        <v>4</v>
      </c>
      <c r="I400" s="624">
        <f>$I$10</f>
        <v>5</v>
      </c>
    </row>
    <row r="401" spans="1:11" ht="13">
      <c r="A401" s="331">
        <v>1</v>
      </c>
      <c r="B401" s="330" t="s">
        <v>52</v>
      </c>
      <c r="D401" s="342"/>
      <c r="E401" s="195"/>
      <c r="G401" s="456"/>
      <c r="H401" s="457"/>
      <c r="I401" s="458"/>
    </row>
    <row r="402" spans="1:11" ht="13">
      <c r="A402" s="331">
        <v>2</v>
      </c>
      <c r="C402" s="357" t="s">
        <v>165</v>
      </c>
      <c r="D402" s="723" t="s">
        <v>1027</v>
      </c>
      <c r="E402" s="448" t="s">
        <v>1483</v>
      </c>
      <c r="F402" s="787">
        <f>[1]SCH_C2!$N$36</f>
        <v>389010</v>
      </c>
      <c r="G402" s="459">
        <f>F402-SUM(H402:I402)</f>
        <v>0</v>
      </c>
      <c r="H402" s="460">
        <f>ROUND(F402*VLOOKUP(D402,AllocTable_Functional,$H$10,FALSE),0)</f>
        <v>0</v>
      </c>
      <c r="I402" s="461">
        <f>ROUND(F402*VLOOKUP(D402,AllocTable_Functional,$I$10,FALSE),0)</f>
        <v>389010</v>
      </c>
      <c r="J402" s="345">
        <f>SUM(G402:I402)</f>
        <v>389010</v>
      </c>
      <c r="K402" s="345">
        <f>F402-J402</f>
        <v>0</v>
      </c>
    </row>
    <row r="403" spans="1:11" ht="13">
      <c r="A403" s="331">
        <v>3</v>
      </c>
      <c r="C403" s="330" t="s">
        <v>166</v>
      </c>
      <c r="D403" s="723"/>
      <c r="E403" s="195" t="s">
        <v>343</v>
      </c>
      <c r="F403" s="346">
        <f t="shared" ref="F403:K403" si="109">SUM(F402:F402)</f>
        <v>389010</v>
      </c>
      <c r="G403" s="462">
        <f t="shared" si="109"/>
        <v>0</v>
      </c>
      <c r="H403" s="450">
        <f t="shared" si="109"/>
        <v>0</v>
      </c>
      <c r="I403" s="463">
        <f t="shared" si="109"/>
        <v>389010</v>
      </c>
      <c r="J403" s="346">
        <f t="shared" si="109"/>
        <v>389010</v>
      </c>
      <c r="K403" s="346">
        <f t="shared" si="109"/>
        <v>0</v>
      </c>
    </row>
    <row r="404" spans="1:11" ht="13">
      <c r="A404" s="331">
        <v>4</v>
      </c>
      <c r="D404" s="723"/>
      <c r="E404" s="195"/>
      <c r="F404" s="345"/>
      <c r="G404" s="459"/>
      <c r="H404" s="460"/>
      <c r="I404" s="461"/>
      <c r="J404" s="345"/>
      <c r="K404" s="345"/>
    </row>
    <row r="405" spans="1:11" ht="13">
      <c r="A405" s="331">
        <v>5</v>
      </c>
      <c r="B405" s="330" t="s">
        <v>53</v>
      </c>
      <c r="D405" s="723"/>
      <c r="E405" s="195"/>
      <c r="F405" s="345"/>
      <c r="G405" s="459"/>
      <c r="H405" s="460"/>
      <c r="I405" s="461"/>
      <c r="J405" s="345"/>
      <c r="K405" s="345"/>
    </row>
    <row r="406" spans="1:11" ht="13">
      <c r="A406" s="331">
        <v>6</v>
      </c>
      <c r="C406" s="357" t="s">
        <v>167</v>
      </c>
      <c r="D406" s="723" t="s">
        <v>1028</v>
      </c>
      <c r="E406" s="448" t="s">
        <v>1483</v>
      </c>
      <c r="F406" s="787">
        <f>[1]SCH_C2!$N$37</f>
        <v>399560</v>
      </c>
      <c r="G406" s="459">
        <f>F406-SUM(H406:I406)</f>
        <v>0</v>
      </c>
      <c r="H406" s="460">
        <f>ROUND(F406*VLOOKUP(D406,AllocTable_Functional,$H$10,FALSE),0)</f>
        <v>0</v>
      </c>
      <c r="I406" s="461">
        <f>ROUND(F406*VLOOKUP(D406,AllocTable_Functional,$I$10,FALSE),0)</f>
        <v>399560</v>
      </c>
      <c r="J406" s="345">
        <f>SUM(G406:I406)</f>
        <v>399560</v>
      </c>
      <c r="K406" s="345">
        <f>F406-J406</f>
        <v>0</v>
      </c>
    </row>
    <row r="407" spans="1:11" ht="13">
      <c r="A407" s="331">
        <v>7</v>
      </c>
      <c r="C407" s="330" t="s">
        <v>168</v>
      </c>
      <c r="D407" s="723"/>
      <c r="E407" s="195" t="s">
        <v>343</v>
      </c>
      <c r="F407" s="346">
        <f t="shared" ref="F407:K407" si="110">SUM(F405:F406)</f>
        <v>399560</v>
      </c>
      <c r="G407" s="462">
        <f t="shared" si="110"/>
        <v>0</v>
      </c>
      <c r="H407" s="450">
        <f t="shared" si="110"/>
        <v>0</v>
      </c>
      <c r="I407" s="463">
        <f t="shared" si="110"/>
        <v>399560</v>
      </c>
      <c r="J407" s="346">
        <f t="shared" si="110"/>
        <v>399560</v>
      </c>
      <c r="K407" s="346">
        <f t="shared" si="110"/>
        <v>0</v>
      </c>
    </row>
    <row r="408" spans="1:11" ht="13">
      <c r="A408" s="331">
        <v>8</v>
      </c>
      <c r="D408" s="723"/>
      <c r="E408" s="195"/>
      <c r="F408" s="333"/>
      <c r="G408" s="456"/>
      <c r="H408" s="457"/>
      <c r="I408" s="458"/>
    </row>
    <row r="409" spans="1:11" ht="13">
      <c r="A409" s="331">
        <v>9</v>
      </c>
      <c r="B409" s="330" t="s">
        <v>54</v>
      </c>
      <c r="D409" s="723"/>
      <c r="E409" s="195"/>
      <c r="F409" s="333"/>
      <c r="G409" s="456"/>
      <c r="H409" s="457"/>
      <c r="I409" s="458"/>
    </row>
    <row r="410" spans="1:11" ht="13">
      <c r="A410" s="331">
        <v>10</v>
      </c>
      <c r="C410" s="330" t="s">
        <v>424</v>
      </c>
      <c r="D410" s="723" t="s">
        <v>323</v>
      </c>
      <c r="E410" s="195"/>
      <c r="F410" s="473">
        <f>'WP FR-16(7)(v)-A&amp;G WP'!H12</f>
        <v>658571</v>
      </c>
      <c r="G410" s="459">
        <f t="shared" ref="G410:G415" si="111">F410-SUM(H410:I410)</f>
        <v>658571</v>
      </c>
      <c r="H410" s="460">
        <f t="shared" ref="H410:H415" si="112">ROUND(F410*VLOOKUP(D410,AllocTable_Functional,$H$10,FALSE),0)</f>
        <v>0</v>
      </c>
      <c r="I410" s="461">
        <f t="shared" ref="I410:I415" si="113">ROUND(F410*VLOOKUP(D410,AllocTable_Functional,$I$10,FALSE),0)</f>
        <v>0</v>
      </c>
      <c r="J410" s="345">
        <f t="shared" ref="J410:J415" si="114">SUM(G410:I410)</f>
        <v>658571</v>
      </c>
      <c r="K410" s="345">
        <f t="shared" ref="K410:K415" si="115">F410-J410</f>
        <v>0</v>
      </c>
    </row>
    <row r="411" spans="1:11" ht="13">
      <c r="A411" s="331">
        <v>11</v>
      </c>
      <c r="C411" s="330" t="s">
        <v>366</v>
      </c>
      <c r="D411" s="723" t="s">
        <v>290</v>
      </c>
      <c r="E411" s="195"/>
      <c r="F411" s="473">
        <f>'WP FR-16(7)(v)-A&amp;G WP'!H13</f>
        <v>485224</v>
      </c>
      <c r="G411" s="459">
        <f t="shared" si="111"/>
        <v>485224</v>
      </c>
      <c r="H411" s="460">
        <f t="shared" si="112"/>
        <v>0</v>
      </c>
      <c r="I411" s="461">
        <f t="shared" si="113"/>
        <v>0</v>
      </c>
      <c r="J411" s="345">
        <f t="shared" si="114"/>
        <v>485224</v>
      </c>
      <c r="K411" s="345">
        <f t="shared" si="115"/>
        <v>0</v>
      </c>
    </row>
    <row r="412" spans="1:11" ht="13">
      <c r="A412" s="331">
        <v>12</v>
      </c>
      <c r="C412" s="330" t="s">
        <v>17</v>
      </c>
      <c r="D412" s="723" t="s">
        <v>324</v>
      </c>
      <c r="E412" s="195"/>
      <c r="F412" s="473">
        <f>'WP FR-16(7)(v)-A&amp;G WP'!H15</f>
        <v>4337864</v>
      </c>
      <c r="G412" s="459">
        <f t="shared" si="111"/>
        <v>0</v>
      </c>
      <c r="H412" s="460">
        <f t="shared" si="112"/>
        <v>0</v>
      </c>
      <c r="I412" s="461">
        <f t="shared" si="113"/>
        <v>4337864</v>
      </c>
      <c r="J412" s="345">
        <f t="shared" si="114"/>
        <v>4337864</v>
      </c>
      <c r="K412" s="345">
        <f t="shared" si="115"/>
        <v>0</v>
      </c>
    </row>
    <row r="413" spans="1:11" ht="13">
      <c r="A413" s="331">
        <v>13</v>
      </c>
      <c r="C413" s="330" t="s">
        <v>51</v>
      </c>
      <c r="D413" s="723" t="s">
        <v>1007</v>
      </c>
      <c r="E413" s="195"/>
      <c r="F413" s="473">
        <f>'WP FR-16(7)(v)-A&amp;G WP'!H16</f>
        <v>1716742</v>
      </c>
      <c r="G413" s="459">
        <f t="shared" si="111"/>
        <v>0</v>
      </c>
      <c r="H413" s="460">
        <f t="shared" si="112"/>
        <v>0</v>
      </c>
      <c r="I413" s="461">
        <f t="shared" si="113"/>
        <v>1716742</v>
      </c>
      <c r="J413" s="345">
        <f t="shared" si="114"/>
        <v>1716742</v>
      </c>
      <c r="K413" s="345">
        <f t="shared" si="115"/>
        <v>0</v>
      </c>
    </row>
    <row r="414" spans="1:11" ht="13">
      <c r="A414" s="331">
        <v>14</v>
      </c>
      <c r="C414" s="330" t="s">
        <v>52</v>
      </c>
      <c r="D414" s="723" t="s">
        <v>1010</v>
      </c>
      <c r="E414" s="195"/>
      <c r="F414" s="473">
        <f>'WP FR-16(7)(v)-A&amp;G WP'!H17</f>
        <v>166198</v>
      </c>
      <c r="G414" s="459">
        <f t="shared" si="111"/>
        <v>0</v>
      </c>
      <c r="H414" s="460">
        <f t="shared" si="112"/>
        <v>0</v>
      </c>
      <c r="I414" s="461">
        <f t="shared" si="113"/>
        <v>166198</v>
      </c>
      <c r="J414" s="345">
        <f t="shared" si="114"/>
        <v>166198</v>
      </c>
      <c r="K414" s="345">
        <f t="shared" si="115"/>
        <v>0</v>
      </c>
    </row>
    <row r="415" spans="1:11" ht="13">
      <c r="A415" s="331">
        <v>15</v>
      </c>
      <c r="C415" s="357" t="s">
        <v>53</v>
      </c>
      <c r="D415" s="723" t="s">
        <v>1008</v>
      </c>
      <c r="E415" s="195"/>
      <c r="F415" s="495">
        <f>'WP FR-16(7)(v)-A&amp;G WP'!H18</f>
        <v>0</v>
      </c>
      <c r="G415" s="459">
        <f t="shared" si="111"/>
        <v>0</v>
      </c>
      <c r="H415" s="460">
        <f t="shared" si="112"/>
        <v>0</v>
      </c>
      <c r="I415" s="461">
        <f t="shared" si="113"/>
        <v>0</v>
      </c>
      <c r="J415" s="496">
        <f t="shared" si="114"/>
        <v>0</v>
      </c>
      <c r="K415" s="496">
        <f t="shared" si="115"/>
        <v>0</v>
      </c>
    </row>
    <row r="416" spans="1:11" ht="13">
      <c r="A416" s="331">
        <v>16</v>
      </c>
      <c r="C416" s="330" t="s">
        <v>368</v>
      </c>
      <c r="D416" s="723" t="s">
        <v>343</v>
      </c>
      <c r="E416" s="195"/>
      <c r="F416" s="497">
        <f t="shared" ref="F416:K416" si="116">SUM(F410:F415)</f>
        <v>7364599</v>
      </c>
      <c r="G416" s="502">
        <f t="shared" si="116"/>
        <v>1143795</v>
      </c>
      <c r="H416" s="498">
        <f t="shared" si="116"/>
        <v>0</v>
      </c>
      <c r="I416" s="503">
        <f t="shared" si="116"/>
        <v>6220804</v>
      </c>
      <c r="J416" s="471">
        <f t="shared" si="116"/>
        <v>7364599</v>
      </c>
      <c r="K416" s="471">
        <f t="shared" si="116"/>
        <v>0</v>
      </c>
    </row>
    <row r="417" spans="1:11" ht="13">
      <c r="A417" s="331">
        <v>17</v>
      </c>
      <c r="C417" s="330" t="s">
        <v>421</v>
      </c>
      <c r="D417" s="723" t="s">
        <v>1005</v>
      </c>
      <c r="E417" s="448" t="s">
        <v>1483</v>
      </c>
      <c r="F417" s="787">
        <f>[1]SCH_D1!$Y$234</f>
        <v>70692</v>
      </c>
      <c r="G417" s="459">
        <f t="shared" ref="G417:G430" si="117">F417-SUM(H417:I417)</f>
        <v>10979</v>
      </c>
      <c r="H417" s="460">
        <f t="shared" ref="H417:H430" si="118">ROUND(F417*VLOOKUP(D417,AllocTable_Functional,$H$10,FALSE),0)</f>
        <v>0</v>
      </c>
      <c r="I417" s="461">
        <f t="shared" ref="I417:I430" si="119">ROUND(F417*VLOOKUP(D417,AllocTable_Functional,$I$10,FALSE),0)</f>
        <v>59713</v>
      </c>
      <c r="J417" s="345">
        <f t="shared" ref="J417:J430" si="120">SUM(G417:I417)</f>
        <v>70692</v>
      </c>
      <c r="K417" s="345">
        <f t="shared" ref="K417:K430" si="121">F417-J417</f>
        <v>0</v>
      </c>
    </row>
    <row r="418" spans="1:11" ht="13">
      <c r="A418" s="331">
        <v>18</v>
      </c>
      <c r="C418" s="330" t="s">
        <v>1374</v>
      </c>
      <c r="D418" s="723" t="s">
        <v>1005</v>
      </c>
      <c r="E418" s="448" t="s">
        <v>1483</v>
      </c>
      <c r="F418" s="787">
        <f>[1]SCH_D1!$U$364</f>
        <v>-583357</v>
      </c>
      <c r="G418" s="459">
        <f t="shared" si="117"/>
        <v>-90601</v>
      </c>
      <c r="H418" s="460">
        <f t="shared" si="118"/>
        <v>0</v>
      </c>
      <c r="I418" s="461">
        <f t="shared" si="119"/>
        <v>-492756</v>
      </c>
      <c r="J418" s="345">
        <f t="shared" si="120"/>
        <v>-583357</v>
      </c>
      <c r="K418" s="345">
        <f t="shared" si="121"/>
        <v>0</v>
      </c>
    </row>
    <row r="419" spans="1:11" ht="13">
      <c r="A419" s="331">
        <v>19</v>
      </c>
      <c r="C419" s="330" t="s">
        <v>1366</v>
      </c>
      <c r="D419" s="723" t="s">
        <v>1005</v>
      </c>
      <c r="E419" s="448" t="s">
        <v>1483</v>
      </c>
      <c r="F419" s="787">
        <f>[1]SCH_D1!$Y$299</f>
        <v>-202083</v>
      </c>
      <c r="G419" s="459">
        <f t="shared" si="117"/>
        <v>-31386</v>
      </c>
      <c r="H419" s="460">
        <f t="shared" si="118"/>
        <v>0</v>
      </c>
      <c r="I419" s="461">
        <f t="shared" si="119"/>
        <v>-170697</v>
      </c>
      <c r="J419" s="345">
        <f t="shared" si="120"/>
        <v>-202083</v>
      </c>
      <c r="K419" s="345">
        <f t="shared" si="121"/>
        <v>0</v>
      </c>
    </row>
    <row r="420" spans="1:11" ht="13">
      <c r="A420" s="331">
        <v>20</v>
      </c>
      <c r="C420" s="330" t="s">
        <v>531</v>
      </c>
      <c r="D420" s="723" t="s">
        <v>315</v>
      </c>
      <c r="E420" s="448" t="s">
        <v>1483</v>
      </c>
      <c r="F420" s="787">
        <v>0</v>
      </c>
      <c r="G420" s="459">
        <f t="shared" si="117"/>
        <v>0</v>
      </c>
      <c r="H420" s="460">
        <f t="shared" si="118"/>
        <v>0</v>
      </c>
      <c r="I420" s="461">
        <f t="shared" si="119"/>
        <v>0</v>
      </c>
      <c r="J420" s="345">
        <f t="shared" si="120"/>
        <v>0</v>
      </c>
      <c r="K420" s="345">
        <f t="shared" si="121"/>
        <v>0</v>
      </c>
    </row>
    <row r="421" spans="1:11" ht="13">
      <c r="A421" s="331">
        <v>21</v>
      </c>
      <c r="C421" s="330" t="s">
        <v>1139</v>
      </c>
      <c r="D421" s="723" t="s">
        <v>1005</v>
      </c>
      <c r="E421" s="448" t="s">
        <v>1483</v>
      </c>
      <c r="F421" s="787">
        <f>[1]SCH_C2!$N$39</f>
        <v>407760</v>
      </c>
      <c r="G421" s="459">
        <f t="shared" si="117"/>
        <v>63329</v>
      </c>
      <c r="H421" s="460">
        <f t="shared" si="118"/>
        <v>0</v>
      </c>
      <c r="I421" s="461">
        <f t="shared" si="119"/>
        <v>344431</v>
      </c>
      <c r="J421" s="345">
        <f t="shared" si="120"/>
        <v>407760</v>
      </c>
      <c r="K421" s="345">
        <f t="shared" si="121"/>
        <v>0</v>
      </c>
    </row>
    <row r="422" spans="1:11" ht="13">
      <c r="A422" s="331">
        <v>22</v>
      </c>
      <c r="C422" s="330" t="s">
        <v>419</v>
      </c>
      <c r="D422" s="727" t="s">
        <v>1005</v>
      </c>
      <c r="E422" s="195"/>
      <c r="F422" s="787"/>
      <c r="G422" s="459">
        <f t="shared" si="117"/>
        <v>0</v>
      </c>
      <c r="H422" s="460">
        <f t="shared" si="118"/>
        <v>0</v>
      </c>
      <c r="I422" s="461">
        <f t="shared" si="119"/>
        <v>0</v>
      </c>
      <c r="J422" s="345">
        <f t="shared" si="120"/>
        <v>0</v>
      </c>
      <c r="K422" s="345">
        <f t="shared" si="121"/>
        <v>0</v>
      </c>
    </row>
    <row r="423" spans="1:11" ht="13">
      <c r="A423" s="331">
        <v>23</v>
      </c>
      <c r="C423" s="330" t="s">
        <v>420</v>
      </c>
      <c r="D423" s="727" t="s">
        <v>1005</v>
      </c>
      <c r="E423" s="195"/>
      <c r="F423" s="787"/>
      <c r="G423" s="459">
        <f t="shared" si="117"/>
        <v>0</v>
      </c>
      <c r="H423" s="460">
        <f t="shared" si="118"/>
        <v>0</v>
      </c>
      <c r="I423" s="461">
        <f t="shared" si="119"/>
        <v>0</v>
      </c>
      <c r="J423" s="345">
        <f t="shared" si="120"/>
        <v>0</v>
      </c>
      <c r="K423" s="345">
        <f t="shared" si="121"/>
        <v>0</v>
      </c>
    </row>
    <row r="424" spans="1:11" ht="13">
      <c r="A424" s="331">
        <v>24</v>
      </c>
      <c r="C424" s="330" t="s">
        <v>1137</v>
      </c>
      <c r="D424" s="727" t="s">
        <v>1005</v>
      </c>
      <c r="E424" s="195"/>
      <c r="F424" s="787"/>
      <c r="G424" s="459">
        <f t="shared" si="117"/>
        <v>0</v>
      </c>
      <c r="H424" s="460">
        <f t="shared" si="118"/>
        <v>0</v>
      </c>
      <c r="I424" s="461">
        <f t="shared" si="119"/>
        <v>0</v>
      </c>
      <c r="J424" s="345">
        <f t="shared" ref="J424:J429" si="122">SUM(G424:I424)</f>
        <v>0</v>
      </c>
      <c r="K424" s="345">
        <f t="shared" ref="K424:K429" si="123">F424-J424</f>
        <v>0</v>
      </c>
    </row>
    <row r="425" spans="1:11" ht="13">
      <c r="A425" s="331">
        <v>25</v>
      </c>
      <c r="C425" s="330" t="s">
        <v>1138</v>
      </c>
      <c r="D425" s="727" t="s">
        <v>1005</v>
      </c>
      <c r="E425" s="195"/>
      <c r="F425" s="787"/>
      <c r="G425" s="459">
        <f t="shared" si="117"/>
        <v>0</v>
      </c>
      <c r="H425" s="460">
        <f t="shared" si="118"/>
        <v>0</v>
      </c>
      <c r="I425" s="461">
        <f t="shared" si="119"/>
        <v>0</v>
      </c>
      <c r="J425" s="345">
        <f t="shared" si="122"/>
        <v>0</v>
      </c>
      <c r="K425" s="345">
        <f t="shared" si="123"/>
        <v>0</v>
      </c>
    </row>
    <row r="426" spans="1:11" ht="13">
      <c r="A426" s="331">
        <v>26</v>
      </c>
      <c r="C426" s="330" t="s">
        <v>1147</v>
      </c>
      <c r="D426" s="727" t="s">
        <v>294</v>
      </c>
      <c r="E426" s="195"/>
      <c r="F426" s="787"/>
      <c r="G426" s="459">
        <f t="shared" si="117"/>
        <v>0</v>
      </c>
      <c r="H426" s="460">
        <f t="shared" si="118"/>
        <v>0</v>
      </c>
      <c r="I426" s="461">
        <f t="shared" si="119"/>
        <v>0</v>
      </c>
      <c r="J426" s="345">
        <f t="shared" si="122"/>
        <v>0</v>
      </c>
      <c r="K426" s="345">
        <f t="shared" si="123"/>
        <v>0</v>
      </c>
    </row>
    <row r="427" spans="1:11" ht="13">
      <c r="A427" s="331">
        <v>27</v>
      </c>
      <c r="C427" s="330" t="s">
        <v>1148</v>
      </c>
      <c r="D427" s="727" t="s">
        <v>294</v>
      </c>
      <c r="E427" s="195"/>
      <c r="F427" s="787"/>
      <c r="G427" s="459">
        <f t="shared" si="117"/>
        <v>0</v>
      </c>
      <c r="H427" s="460">
        <f t="shared" si="118"/>
        <v>0</v>
      </c>
      <c r="I427" s="461">
        <f t="shared" si="119"/>
        <v>0</v>
      </c>
      <c r="J427" s="345">
        <f t="shared" si="122"/>
        <v>0</v>
      </c>
      <c r="K427" s="345">
        <f t="shared" si="123"/>
        <v>0</v>
      </c>
    </row>
    <row r="428" spans="1:11" ht="13">
      <c r="A428" s="331">
        <v>28</v>
      </c>
      <c r="C428" s="330" t="s">
        <v>1149</v>
      </c>
      <c r="D428" s="727" t="s">
        <v>1005</v>
      </c>
      <c r="E428" s="195"/>
      <c r="F428" s="787"/>
      <c r="G428" s="459">
        <f t="shared" si="117"/>
        <v>0</v>
      </c>
      <c r="H428" s="460">
        <f t="shared" si="118"/>
        <v>0</v>
      </c>
      <c r="I428" s="461">
        <f t="shared" si="119"/>
        <v>0</v>
      </c>
      <c r="J428" s="345">
        <f t="shared" si="122"/>
        <v>0</v>
      </c>
      <c r="K428" s="345">
        <f t="shared" si="123"/>
        <v>0</v>
      </c>
    </row>
    <row r="429" spans="1:11" ht="33" customHeight="1">
      <c r="A429" s="331">
        <v>29</v>
      </c>
      <c r="C429" s="330" t="s">
        <v>1150</v>
      </c>
      <c r="D429" s="723" t="s">
        <v>315</v>
      </c>
      <c r="E429" s="195"/>
      <c r="F429" s="787">
        <v>0</v>
      </c>
      <c r="G429" s="459">
        <f t="shared" si="117"/>
        <v>0</v>
      </c>
      <c r="H429" s="460">
        <f t="shared" si="118"/>
        <v>0</v>
      </c>
      <c r="I429" s="461">
        <f t="shared" si="119"/>
        <v>0</v>
      </c>
      <c r="J429" s="345">
        <f t="shared" si="122"/>
        <v>0</v>
      </c>
      <c r="K429" s="345">
        <f t="shared" si="123"/>
        <v>0</v>
      </c>
    </row>
    <row r="430" spans="1:11" ht="13">
      <c r="A430" s="331">
        <v>30</v>
      </c>
      <c r="C430" s="357" t="s">
        <v>1140</v>
      </c>
      <c r="D430" s="726" t="s">
        <v>315</v>
      </c>
      <c r="E430" s="195"/>
      <c r="F430" s="787"/>
      <c r="G430" s="459">
        <f t="shared" si="117"/>
        <v>0</v>
      </c>
      <c r="H430" s="460">
        <f t="shared" si="118"/>
        <v>0</v>
      </c>
      <c r="I430" s="461">
        <f t="shared" si="119"/>
        <v>0</v>
      </c>
      <c r="J430" s="345">
        <f t="shared" si="120"/>
        <v>0</v>
      </c>
      <c r="K430" s="345">
        <f t="shared" si="121"/>
        <v>0</v>
      </c>
    </row>
    <row r="431" spans="1:11" ht="13">
      <c r="A431" s="331">
        <v>31</v>
      </c>
      <c r="C431" s="330" t="s">
        <v>169</v>
      </c>
      <c r="D431" s="342"/>
      <c r="E431" s="195" t="s">
        <v>343</v>
      </c>
      <c r="F431" s="346">
        <f t="shared" ref="F431:K431" si="124">SUM(F416:F430)</f>
        <v>7057611</v>
      </c>
      <c r="G431" s="462">
        <f t="shared" si="124"/>
        <v>1096116</v>
      </c>
      <c r="H431" s="450">
        <f t="shared" si="124"/>
        <v>0</v>
      </c>
      <c r="I431" s="463">
        <f t="shared" si="124"/>
        <v>5961495</v>
      </c>
      <c r="J431" s="346">
        <f t="shared" si="124"/>
        <v>7057611</v>
      </c>
      <c r="K431" s="346">
        <f t="shared" si="124"/>
        <v>0</v>
      </c>
    </row>
    <row r="432" spans="1:11" ht="13">
      <c r="A432" s="331">
        <v>32</v>
      </c>
      <c r="D432" s="342"/>
      <c r="E432" s="195"/>
      <c r="F432" s="333"/>
      <c r="G432" s="459"/>
      <c r="H432" s="460"/>
      <c r="I432" s="461"/>
      <c r="J432" s="345"/>
      <c r="K432" s="345"/>
    </row>
    <row r="433" spans="1:11" ht="13">
      <c r="A433" s="331">
        <v>33</v>
      </c>
      <c r="C433" s="330" t="s">
        <v>170</v>
      </c>
      <c r="D433" s="342"/>
      <c r="E433" s="195"/>
      <c r="F433" s="345">
        <f t="shared" ref="F433:K433" si="125">F431+F407+F403+F389+F378+F364+F360</f>
        <v>62796024</v>
      </c>
      <c r="G433" s="478">
        <f t="shared" si="125"/>
        <v>43377286</v>
      </c>
      <c r="H433" s="479">
        <f t="shared" si="125"/>
        <v>0</v>
      </c>
      <c r="I433" s="480">
        <f t="shared" si="125"/>
        <v>19418738</v>
      </c>
      <c r="J433" s="345">
        <f t="shared" si="125"/>
        <v>62796024</v>
      </c>
      <c r="K433" s="345">
        <f t="shared" si="125"/>
        <v>0</v>
      </c>
    </row>
    <row r="434" spans="1:11" ht="13">
      <c r="B434" s="341"/>
      <c r="C434" s="195"/>
      <c r="D434" s="342"/>
      <c r="E434" s="195"/>
      <c r="F434" s="195"/>
      <c r="G434" s="195"/>
      <c r="H434" s="195"/>
      <c r="I434" s="195"/>
      <c r="J434" s="195"/>
      <c r="K434" s="195"/>
    </row>
    <row r="435" spans="1:11" ht="13">
      <c r="A435" s="341" t="str">
        <f>co_name</f>
        <v>DUKE ENERGY KENTUCKY, INC.</v>
      </c>
      <c r="C435" s="195"/>
      <c r="D435" s="342"/>
      <c r="E435" s="195"/>
      <c r="F435" s="195"/>
      <c r="G435" s="195"/>
      <c r="H435" s="195"/>
      <c r="I435" s="195"/>
      <c r="J435" s="195" t="str">
        <f>$J$1</f>
        <v>FR-16(7)(v)-1</v>
      </c>
      <c r="K435" s="195"/>
    </row>
    <row r="436" spans="1:11" ht="13">
      <c r="A436" s="341" t="str">
        <f>$A$2</f>
        <v>FUNCTIONAL GAS COST OF SERVICE</v>
      </c>
      <c r="C436" s="195"/>
      <c r="D436" s="342"/>
      <c r="E436" s="195"/>
      <c r="F436" s="195"/>
      <c r="G436" s="195"/>
      <c r="H436" s="195"/>
      <c r="I436" s="195"/>
      <c r="J436" s="195" t="str">
        <f>$J$2</f>
        <v>WITNESS RESPONSIBLE:</v>
      </c>
      <c r="K436" s="195"/>
    </row>
    <row r="437" spans="1:11" ht="13">
      <c r="A437" s="341" t="str">
        <f>case_name</f>
        <v>CASE NO: 2021-00190</v>
      </c>
      <c r="C437" s="195"/>
      <c r="D437" s="342"/>
      <c r="E437" s="195"/>
      <c r="F437" s="195"/>
      <c r="G437" s="195"/>
      <c r="H437" s="195"/>
      <c r="I437" s="195"/>
      <c r="J437" s="195" t="str">
        <f>Witness</f>
        <v>JAMES E. ZIOLKOWSKI</v>
      </c>
      <c r="K437" s="195"/>
    </row>
    <row r="438" spans="1:11" ht="13">
      <c r="A438" s="341" t="str">
        <f>data_filing</f>
        <v>DATA: 12 MONTH FORECASTED PERIOD</v>
      </c>
      <c r="C438" s="195"/>
      <c r="D438" s="342"/>
      <c r="E438" s="195"/>
      <c r="F438" s="195"/>
      <c r="G438" s="195"/>
      <c r="H438" s="195"/>
      <c r="I438" s="195"/>
      <c r="J438" s="195" t="str">
        <f>"PAGE "&amp;Pages-8&amp;" OF "&amp;Pages</f>
        <v>PAGE 10 OF 18</v>
      </c>
      <c r="K438" s="195"/>
    </row>
    <row r="439" spans="1:11" ht="13">
      <c r="A439" s="341" t="str">
        <f>type</f>
        <v xml:space="preserve">TYPE OF FILING: "X" ORIGINAL   UPDATED    REVISED  </v>
      </c>
      <c r="C439" s="195"/>
      <c r="D439" s="342"/>
      <c r="E439" s="195"/>
      <c r="F439" s="195"/>
      <c r="G439" s="195"/>
      <c r="H439" s="195"/>
      <c r="I439" s="195"/>
      <c r="J439" s="195"/>
      <c r="K439" s="195"/>
    </row>
    <row r="440" spans="1:11" ht="13">
      <c r="B440" s="341"/>
      <c r="C440" s="195"/>
      <c r="D440" s="342"/>
      <c r="E440" s="195"/>
      <c r="F440" s="195"/>
      <c r="G440" s="195"/>
      <c r="H440" s="195"/>
      <c r="I440" s="195"/>
      <c r="J440" s="195"/>
      <c r="K440" s="195"/>
    </row>
    <row r="441" spans="1:11" ht="13">
      <c r="B441" s="341"/>
      <c r="C441" s="195"/>
      <c r="D441" s="342"/>
      <c r="E441" s="195"/>
      <c r="F441" s="195"/>
      <c r="G441" s="195"/>
      <c r="H441" s="195"/>
      <c r="I441" s="195"/>
      <c r="J441" s="195"/>
      <c r="K441" s="195"/>
    </row>
    <row r="442" spans="1:11" ht="13">
      <c r="A442" s="342" t="s">
        <v>907</v>
      </c>
      <c r="B442" s="195"/>
      <c r="C442" s="195"/>
      <c r="D442" s="342"/>
      <c r="E442" s="195"/>
      <c r="F442" s="342" t="s">
        <v>229</v>
      </c>
      <c r="G442" s="467" t="s">
        <v>971</v>
      </c>
      <c r="H442" s="468"/>
      <c r="I442" s="469"/>
      <c r="J442" s="342" t="s">
        <v>229</v>
      </c>
      <c r="K442" s="342" t="s">
        <v>342</v>
      </c>
    </row>
    <row r="443" spans="1:11" ht="13">
      <c r="A443" s="344" t="s">
        <v>908</v>
      </c>
      <c r="B443" s="343" t="s">
        <v>55</v>
      </c>
      <c r="C443" s="343"/>
      <c r="D443" s="344" t="s">
        <v>337</v>
      </c>
      <c r="E443" s="343"/>
      <c r="F443" s="344" t="s">
        <v>284</v>
      </c>
      <c r="G443" s="454" t="s">
        <v>838</v>
      </c>
      <c r="H443" s="449" t="s">
        <v>970</v>
      </c>
      <c r="I443" s="455" t="s">
        <v>839</v>
      </c>
      <c r="J443" s="344" t="s">
        <v>341</v>
      </c>
      <c r="K443" s="344" t="s">
        <v>340</v>
      </c>
    </row>
    <row r="444" spans="1:11" ht="13">
      <c r="C444" s="572" t="s">
        <v>349</v>
      </c>
      <c r="D444" s="342"/>
      <c r="E444" s="195"/>
      <c r="F444" s="504"/>
      <c r="G444" s="622">
        <f>$G$10</f>
        <v>3</v>
      </c>
      <c r="H444" s="623">
        <f>$H$10</f>
        <v>4</v>
      </c>
      <c r="I444" s="624">
        <f>$I$10</f>
        <v>5</v>
      </c>
      <c r="J444" s="504"/>
      <c r="K444" s="504"/>
    </row>
    <row r="445" spans="1:11" ht="13">
      <c r="A445" s="331">
        <v>1</v>
      </c>
      <c r="B445" s="351" t="s">
        <v>56</v>
      </c>
      <c r="C445" s="351"/>
      <c r="D445" s="342"/>
      <c r="E445" s="195"/>
      <c r="G445" s="456"/>
      <c r="H445" s="457"/>
      <c r="I445" s="458"/>
    </row>
    <row r="446" spans="1:11" ht="13">
      <c r="A446" s="331">
        <v>2</v>
      </c>
      <c r="B446" s="351"/>
      <c r="C446" s="505" t="s">
        <v>56</v>
      </c>
      <c r="D446" s="723" t="s">
        <v>311</v>
      </c>
      <c r="E446" s="448" t="s">
        <v>1483</v>
      </c>
      <c r="F446" s="787">
        <f>[1]SCH_D2.23!$U$50+[1]SCH_D2.23!$U$53</f>
        <v>333766</v>
      </c>
      <c r="G446" s="459">
        <f>F446-SUM(H446:I446)</f>
        <v>333766</v>
      </c>
      <c r="H446" s="460">
        <f>ROUND(F446*VLOOKUP(D446,AllocTable_Functional,$H$10,FALSE),0)</f>
        <v>0</v>
      </c>
      <c r="I446" s="461">
        <f>ROUND(F446*VLOOKUP(D446,AllocTable_Functional,$I$10,FALSE),0)</f>
        <v>0</v>
      </c>
      <c r="J446" s="345">
        <f>SUM(G446:I446)</f>
        <v>333766</v>
      </c>
      <c r="K446" s="345">
        <f>F446-J446</f>
        <v>0</v>
      </c>
    </row>
    <row r="447" spans="1:11" ht="13">
      <c r="A447" s="331">
        <v>3</v>
      </c>
      <c r="B447" s="351"/>
      <c r="C447" s="351" t="s">
        <v>171</v>
      </c>
      <c r="D447" s="723"/>
      <c r="E447" s="195"/>
      <c r="F447" s="346">
        <f t="shared" ref="F447:K447" si="126">SUM(F446:F446)</f>
        <v>333766</v>
      </c>
      <c r="G447" s="462">
        <f t="shared" si="126"/>
        <v>333766</v>
      </c>
      <c r="H447" s="450">
        <f t="shared" si="126"/>
        <v>0</v>
      </c>
      <c r="I447" s="463">
        <f t="shared" si="126"/>
        <v>0</v>
      </c>
      <c r="J447" s="346">
        <f t="shared" si="126"/>
        <v>333766</v>
      </c>
      <c r="K447" s="346">
        <f t="shared" si="126"/>
        <v>0</v>
      </c>
    </row>
    <row r="448" spans="1:11" ht="13">
      <c r="A448" s="331">
        <v>4</v>
      </c>
      <c r="B448" s="351"/>
      <c r="C448" s="351"/>
      <c r="D448" s="723"/>
      <c r="E448" s="195"/>
      <c r="F448" s="1280"/>
      <c r="G448" s="456"/>
      <c r="H448" s="457"/>
      <c r="I448" s="458"/>
    </row>
    <row r="449" spans="1:11" ht="13">
      <c r="A449" s="331">
        <v>5</v>
      </c>
      <c r="B449" s="505" t="s">
        <v>57</v>
      </c>
      <c r="C449" s="505"/>
      <c r="D449" s="723"/>
      <c r="E449" s="195"/>
      <c r="F449" s="347"/>
      <c r="G449" s="459"/>
      <c r="H449" s="460"/>
      <c r="I449" s="461"/>
      <c r="J449" s="345"/>
      <c r="K449" s="345"/>
    </row>
    <row r="450" spans="1:11" ht="13">
      <c r="A450" s="331">
        <v>6</v>
      </c>
      <c r="B450" s="351"/>
      <c r="C450" s="351" t="s">
        <v>172</v>
      </c>
      <c r="D450" s="723"/>
      <c r="E450" s="195"/>
      <c r="F450" s="346">
        <f t="shared" ref="F450:K450" si="127">SUM(F449)</f>
        <v>0</v>
      </c>
      <c r="G450" s="462">
        <f t="shared" si="127"/>
        <v>0</v>
      </c>
      <c r="H450" s="450">
        <f t="shared" si="127"/>
        <v>0</v>
      </c>
      <c r="I450" s="463">
        <f t="shared" si="127"/>
        <v>0</v>
      </c>
      <c r="J450" s="346">
        <f t="shared" si="127"/>
        <v>0</v>
      </c>
      <c r="K450" s="346">
        <f t="shared" si="127"/>
        <v>0</v>
      </c>
    </row>
    <row r="451" spans="1:11" ht="13">
      <c r="A451" s="331">
        <v>7</v>
      </c>
      <c r="B451" s="351"/>
      <c r="C451" s="351"/>
      <c r="D451" s="723"/>
      <c r="E451" s="195"/>
      <c r="F451" s="1280"/>
      <c r="G451" s="456"/>
      <c r="H451" s="457"/>
      <c r="I451" s="458"/>
    </row>
    <row r="452" spans="1:11" ht="13">
      <c r="A452" s="331">
        <v>8</v>
      </c>
      <c r="B452" s="351" t="s">
        <v>58</v>
      </c>
      <c r="C452" s="351"/>
      <c r="D452" s="723"/>
      <c r="E452" s="195"/>
      <c r="F452" s="1280"/>
      <c r="G452" s="456"/>
      <c r="H452" s="457"/>
      <c r="I452" s="458"/>
    </row>
    <row r="453" spans="1:11" ht="13">
      <c r="A453" s="331">
        <v>9</v>
      </c>
      <c r="B453" s="351"/>
      <c r="C453" s="505" t="s">
        <v>58</v>
      </c>
      <c r="D453" s="723" t="s">
        <v>312</v>
      </c>
      <c r="E453" s="448" t="s">
        <v>1483</v>
      </c>
      <c r="F453" s="787">
        <f>[1]SCH_D2.23!$V$50+[1]SCH_D2.23!$V$53</f>
        <v>15192352</v>
      </c>
      <c r="G453" s="459">
        <f>F453-SUM(H453:I453)</f>
        <v>0</v>
      </c>
      <c r="H453" s="460">
        <f>ROUND(F453*VLOOKUP(D453,AllocTable_Functional,$H$10,FALSE),0)</f>
        <v>0</v>
      </c>
      <c r="I453" s="461">
        <f>ROUND(F453*VLOOKUP(D453,AllocTable_Functional,$I$10,FALSE),0)</f>
        <v>15192352</v>
      </c>
      <c r="J453" s="345">
        <f>SUM(G453:I453)</f>
        <v>15192352</v>
      </c>
      <c r="K453" s="345">
        <f>F453-J453</f>
        <v>0</v>
      </c>
    </row>
    <row r="454" spans="1:11" ht="13">
      <c r="A454" s="331">
        <v>10</v>
      </c>
      <c r="B454" s="351"/>
      <c r="C454" s="351" t="s">
        <v>173</v>
      </c>
      <c r="D454" s="723"/>
      <c r="E454" s="195"/>
      <c r="F454" s="346">
        <f t="shared" ref="F454:K454" si="128">SUM(F453:F453)</f>
        <v>15192352</v>
      </c>
      <c r="G454" s="462">
        <f t="shared" si="128"/>
        <v>0</v>
      </c>
      <c r="H454" s="450">
        <f t="shared" si="128"/>
        <v>0</v>
      </c>
      <c r="I454" s="463">
        <f t="shared" si="128"/>
        <v>15192352</v>
      </c>
      <c r="J454" s="346">
        <f t="shared" si="128"/>
        <v>15192352</v>
      </c>
      <c r="K454" s="346">
        <f t="shared" si="128"/>
        <v>0</v>
      </c>
    </row>
    <row r="455" spans="1:11" ht="13">
      <c r="A455" s="331">
        <v>11</v>
      </c>
      <c r="B455" s="351"/>
      <c r="C455" s="351"/>
      <c r="D455" s="723"/>
      <c r="E455" s="195"/>
      <c r="F455" s="1280" t="s">
        <v>343</v>
      </c>
      <c r="G455" s="456"/>
      <c r="H455" s="457"/>
      <c r="I455" s="458"/>
    </row>
    <row r="456" spans="1:11" ht="13">
      <c r="A456" s="331">
        <v>12</v>
      </c>
      <c r="B456" s="351" t="s">
        <v>59</v>
      </c>
      <c r="C456" s="351"/>
      <c r="D456" s="723"/>
      <c r="E456" s="195"/>
      <c r="F456" s="1280"/>
      <c r="G456" s="456"/>
      <c r="H456" s="457"/>
      <c r="I456" s="458"/>
    </row>
    <row r="457" spans="1:11" ht="13">
      <c r="A457" s="331">
        <v>13</v>
      </c>
      <c r="B457" s="351"/>
      <c r="C457" s="505" t="s">
        <v>59</v>
      </c>
      <c r="D457" s="723" t="s">
        <v>313</v>
      </c>
      <c r="E457" s="448" t="s">
        <v>1483</v>
      </c>
      <c r="F457" s="787">
        <f>[1]SCH_D2.23!$W$50+[1]SCH_D2.23!$W$53</f>
        <v>3525076</v>
      </c>
      <c r="G457" s="459">
        <f>F457-SUM(H457:I457)</f>
        <v>547480</v>
      </c>
      <c r="H457" s="460">
        <f>ROUND(F457*VLOOKUP(D457,AllocTable_Functional,$H$10,FALSE),0)</f>
        <v>0</v>
      </c>
      <c r="I457" s="461">
        <f>ROUND(F457*VLOOKUP(D457,AllocTable_Functional,$I$10,FALSE),0)</f>
        <v>2977596</v>
      </c>
      <c r="J457" s="345">
        <f>SUM(G457:I457)</f>
        <v>3525076</v>
      </c>
      <c r="K457" s="345">
        <f>F457-J457</f>
        <v>0</v>
      </c>
    </row>
    <row r="458" spans="1:11" ht="13">
      <c r="A458" s="331">
        <v>14</v>
      </c>
      <c r="B458" s="351"/>
      <c r="C458" s="351" t="s">
        <v>174</v>
      </c>
      <c r="D458" s="723"/>
      <c r="E458" s="195"/>
      <c r="F458" s="346">
        <f t="shared" ref="F458:K458" si="129">SUM(F457:F457)</f>
        <v>3525076</v>
      </c>
      <c r="G458" s="462">
        <f t="shared" si="129"/>
        <v>547480</v>
      </c>
      <c r="H458" s="450">
        <f t="shared" si="129"/>
        <v>0</v>
      </c>
      <c r="I458" s="463">
        <f t="shared" si="129"/>
        <v>2977596</v>
      </c>
      <c r="J458" s="346">
        <f t="shared" si="129"/>
        <v>3525076</v>
      </c>
      <c r="K458" s="346">
        <f t="shared" si="129"/>
        <v>0</v>
      </c>
    </row>
    <row r="459" spans="1:11" ht="13">
      <c r="A459" s="331">
        <v>15</v>
      </c>
      <c r="B459" s="351"/>
      <c r="C459" s="351"/>
      <c r="D459" s="723"/>
      <c r="E459" s="195"/>
      <c r="F459" s="1280"/>
      <c r="G459" s="456"/>
      <c r="H459" s="457"/>
      <c r="I459" s="458"/>
    </row>
    <row r="460" spans="1:11" ht="13">
      <c r="A460" s="331">
        <v>16</v>
      </c>
      <c r="B460" s="351" t="s">
        <v>60</v>
      </c>
      <c r="C460" s="351"/>
      <c r="D460" s="723"/>
      <c r="E460" s="195"/>
      <c r="F460" s="470"/>
      <c r="G460" s="459"/>
      <c r="H460" s="460"/>
      <c r="I460" s="461"/>
      <c r="J460" s="345"/>
      <c r="K460" s="345"/>
    </row>
    <row r="461" spans="1:11" ht="13">
      <c r="A461" s="331">
        <v>17</v>
      </c>
      <c r="B461" s="351"/>
      <c r="C461" s="505" t="s">
        <v>175</v>
      </c>
      <c r="D461" s="726" t="s">
        <v>314</v>
      </c>
      <c r="E461" s="448" t="s">
        <v>1483</v>
      </c>
      <c r="F461" s="787">
        <f>[1]SCH_D2.23!$X$53</f>
        <v>-46959.495999999999</v>
      </c>
      <c r="G461" s="459">
        <f>F461-SUM(H461:I461)</f>
        <v>-7293.4959999999992</v>
      </c>
      <c r="H461" s="460">
        <f>ROUND(F461*VLOOKUP(D461,AllocTable_Functional,$H$10,FALSE),0)</f>
        <v>0</v>
      </c>
      <c r="I461" s="461">
        <f>ROUND(F461*VLOOKUP(D461,AllocTable_Functional,$I$10,FALSE),0)</f>
        <v>-39666</v>
      </c>
      <c r="J461" s="345">
        <f>SUM(G461:I461)</f>
        <v>-46959.495999999999</v>
      </c>
      <c r="K461" s="345">
        <f>F461-J461</f>
        <v>0</v>
      </c>
    </row>
    <row r="462" spans="1:11" ht="13">
      <c r="A462" s="331">
        <v>18</v>
      </c>
      <c r="B462" s="351"/>
      <c r="C462" s="351" t="s">
        <v>176</v>
      </c>
      <c r="D462" s="723"/>
      <c r="E462" s="195"/>
      <c r="F462" s="346">
        <f t="shared" ref="F462:K462" si="130">SUM(F461:F461)</f>
        <v>-46959.495999999999</v>
      </c>
      <c r="G462" s="462">
        <f t="shared" si="130"/>
        <v>-7293.4959999999992</v>
      </c>
      <c r="H462" s="450">
        <f t="shared" si="130"/>
        <v>0</v>
      </c>
      <c r="I462" s="463">
        <f t="shared" si="130"/>
        <v>-39666</v>
      </c>
      <c r="J462" s="346">
        <f t="shared" si="130"/>
        <v>-46959.495999999999</v>
      </c>
      <c r="K462" s="346">
        <f t="shared" si="130"/>
        <v>0</v>
      </c>
    </row>
    <row r="463" spans="1:11" ht="13">
      <c r="A463" s="331">
        <v>19</v>
      </c>
      <c r="B463" s="351"/>
      <c r="C463" s="351"/>
      <c r="D463" s="723"/>
      <c r="E463" s="195"/>
      <c r="G463" s="456"/>
      <c r="H463" s="457"/>
      <c r="I463" s="458"/>
    </row>
    <row r="464" spans="1:11" ht="13">
      <c r="A464" s="331">
        <v>20</v>
      </c>
      <c r="B464" s="351"/>
      <c r="C464" s="351"/>
      <c r="D464" s="342"/>
      <c r="E464" s="195"/>
      <c r="G464" s="456"/>
      <c r="H464" s="457"/>
      <c r="I464" s="458"/>
    </row>
    <row r="465" spans="1:12" ht="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K465" si="131">F462+F458+F454+F450+F447</f>
        <v>19004234.504000001</v>
      </c>
      <c r="G465" s="478">
        <f t="shared" si="131"/>
        <v>873952.50399999996</v>
      </c>
      <c r="H465" s="479">
        <f t="shared" si="131"/>
        <v>0</v>
      </c>
      <c r="I465" s="480">
        <f t="shared" si="131"/>
        <v>18130282</v>
      </c>
      <c r="J465" s="345">
        <f t="shared" si="131"/>
        <v>19004234.504000001</v>
      </c>
      <c r="K465" s="345">
        <f t="shared" si="131"/>
        <v>0</v>
      </c>
    </row>
    <row r="466" spans="1:12" ht="13">
      <c r="B466" s="341"/>
      <c r="C466" s="195"/>
      <c r="D466" s="342"/>
      <c r="E466" s="195"/>
      <c r="F466" s="195"/>
      <c r="G466" s="195"/>
      <c r="H466" s="195"/>
      <c r="I466" s="195"/>
      <c r="J466" s="195"/>
      <c r="K466" s="195"/>
    </row>
    <row r="467" spans="1:12" ht="13">
      <c r="A467" s="341" t="str">
        <f>co_name</f>
        <v>DUKE ENERGY KENTUCKY, INC.</v>
      </c>
      <c r="C467" s="195"/>
      <c r="D467" s="342"/>
      <c r="E467" s="195"/>
      <c r="F467" s="195"/>
      <c r="G467" s="195"/>
      <c r="H467" s="195"/>
      <c r="I467" s="195"/>
      <c r="J467" s="195" t="str">
        <f>$J$1</f>
        <v>FR-16(7)(v)-1</v>
      </c>
      <c r="K467" s="195"/>
    </row>
    <row r="468" spans="1:12" ht="13">
      <c r="A468" s="341" t="str">
        <f>$A$2</f>
        <v>FUNCTIONAL GAS COST OF SERVICE</v>
      </c>
      <c r="C468" s="195"/>
      <c r="D468" s="342"/>
      <c r="E468" s="195"/>
      <c r="F468" s="195"/>
      <c r="G468" s="195"/>
      <c r="H468" s="195"/>
      <c r="I468" s="195"/>
      <c r="J468" s="195" t="str">
        <f>$J$2</f>
        <v>WITNESS RESPONSIBLE:</v>
      </c>
      <c r="K468" s="195"/>
    </row>
    <row r="469" spans="1:12" ht="13">
      <c r="A469" s="341" t="str">
        <f>case_name</f>
        <v>CASE NO: 2021-00190</v>
      </c>
      <c r="C469" s="195"/>
      <c r="D469" s="342"/>
      <c r="E469" s="195"/>
      <c r="F469" s="195"/>
      <c r="G469" s="195"/>
      <c r="H469" s="195"/>
      <c r="I469" s="195"/>
      <c r="J469" s="195" t="str">
        <f>Witness</f>
        <v>JAMES E. ZIOLKOWSKI</v>
      </c>
      <c r="K469" s="195"/>
    </row>
    <row r="470" spans="1:12" ht="13">
      <c r="A470" s="341" t="str">
        <f>data_filing</f>
        <v>DATA: 12 MONTH FORECASTED PERIOD</v>
      </c>
      <c r="C470" s="195"/>
      <c r="D470" s="342"/>
      <c r="E470" s="195"/>
      <c r="F470" s="195"/>
      <c r="G470" s="195"/>
      <c r="H470" s="195"/>
      <c r="I470" s="195"/>
      <c r="J470" s="195" t="str">
        <f>"PAGE "&amp;Pages-7&amp;" OF "&amp;Pages</f>
        <v>PAGE 11 OF 18</v>
      </c>
      <c r="K470" s="195"/>
    </row>
    <row r="471" spans="1:12" ht="13">
      <c r="A471" s="341" t="str">
        <f>type</f>
        <v xml:space="preserve">TYPE OF FILING: "X" ORIGINAL   UPDATED    REVISED  </v>
      </c>
      <c r="C471" s="195"/>
      <c r="D471" s="342"/>
      <c r="E471" s="195"/>
      <c r="F471" s="195"/>
      <c r="G471" s="195"/>
      <c r="H471" s="195"/>
      <c r="I471" s="195"/>
      <c r="J471" s="195"/>
      <c r="K471" s="195"/>
    </row>
    <row r="472" spans="1:12" ht="13">
      <c r="B472" s="341"/>
      <c r="C472" s="195"/>
      <c r="D472" s="342"/>
      <c r="E472" s="195"/>
      <c r="F472" s="195"/>
      <c r="G472" s="195"/>
      <c r="H472" s="195"/>
      <c r="I472" s="195"/>
      <c r="J472" s="195"/>
      <c r="K472" s="195"/>
    </row>
    <row r="473" spans="1:12" ht="13">
      <c r="B473" s="341"/>
      <c r="C473" s="195"/>
      <c r="D473" s="342"/>
      <c r="E473" s="195"/>
      <c r="F473" s="195"/>
      <c r="G473" s="195"/>
      <c r="H473" s="195"/>
      <c r="I473" s="195"/>
      <c r="J473" s="195"/>
      <c r="K473" s="195"/>
    </row>
    <row r="474" spans="1:12" ht="13">
      <c r="A474" s="342" t="s">
        <v>907</v>
      </c>
      <c r="B474" s="195"/>
      <c r="C474" s="195"/>
      <c r="D474" s="342"/>
      <c r="E474" s="195"/>
      <c r="F474" s="342" t="s">
        <v>229</v>
      </c>
      <c r="G474" s="467" t="s">
        <v>971</v>
      </c>
      <c r="H474" s="468"/>
      <c r="I474" s="469"/>
      <c r="J474" s="342" t="s">
        <v>229</v>
      </c>
      <c r="K474" s="342" t="s">
        <v>342</v>
      </c>
    </row>
    <row r="475" spans="1:12" ht="13">
      <c r="A475" s="344" t="s">
        <v>908</v>
      </c>
      <c r="B475" s="343" t="s">
        <v>62</v>
      </c>
      <c r="C475" s="343"/>
      <c r="D475" s="344" t="s">
        <v>337</v>
      </c>
      <c r="E475" s="343"/>
      <c r="F475" s="344" t="s">
        <v>284</v>
      </c>
      <c r="G475" s="454" t="s">
        <v>838</v>
      </c>
      <c r="H475" s="449" t="s">
        <v>970</v>
      </c>
      <c r="I475" s="455" t="s">
        <v>839</v>
      </c>
      <c r="J475" s="344" t="s">
        <v>341</v>
      </c>
      <c r="K475" s="344" t="s">
        <v>340</v>
      </c>
      <c r="L475" s="363"/>
    </row>
    <row r="476" spans="1:12" ht="13">
      <c r="C476" s="572" t="s">
        <v>350</v>
      </c>
      <c r="D476" s="342"/>
      <c r="E476" s="195"/>
      <c r="F476" s="504"/>
      <c r="G476" s="622">
        <f>$G$10</f>
        <v>3</v>
      </c>
      <c r="H476" s="623">
        <f>$H$10</f>
        <v>4</v>
      </c>
      <c r="I476" s="624">
        <f>$I$10</f>
        <v>5</v>
      </c>
      <c r="J476" s="504"/>
      <c r="K476" s="504"/>
    </row>
    <row r="477" spans="1:12" ht="13">
      <c r="A477" s="331">
        <v>1</v>
      </c>
      <c r="B477" s="330" t="s">
        <v>63</v>
      </c>
      <c r="D477" s="342"/>
      <c r="E477" s="195"/>
      <c r="G477" s="456"/>
      <c r="H477" s="457"/>
      <c r="I477" s="458"/>
    </row>
    <row r="478" spans="1:12" ht="13">
      <c r="A478" s="331">
        <v>2</v>
      </c>
      <c r="B478" s="330" t="s">
        <v>64</v>
      </c>
      <c r="D478" s="342"/>
      <c r="E478" s="195"/>
      <c r="G478" s="456"/>
      <c r="H478" s="457"/>
      <c r="I478" s="458"/>
    </row>
    <row r="479" spans="1:12" ht="13">
      <c r="A479" s="331">
        <v>3</v>
      </c>
      <c r="C479" s="330" t="s">
        <v>177</v>
      </c>
      <c r="D479" s="723" t="s">
        <v>315</v>
      </c>
      <c r="E479" s="448" t="s">
        <v>1483</v>
      </c>
      <c r="F479" s="788">
        <f>'[1]SCH_C2.1 - Forecasted Period'!$J$270+[1]SCH_D1!$AE$242</f>
        <v>4066038</v>
      </c>
      <c r="G479" s="459">
        <f>F479-SUM(H479:I479)</f>
        <v>36513</v>
      </c>
      <c r="H479" s="460">
        <f>ROUND(F479*VLOOKUP(D479,AllocTable_Functional,$H$10,FALSE),0)</f>
        <v>0</v>
      </c>
      <c r="I479" s="461">
        <f>ROUND(F479*VLOOKUP(D479,AllocTable_Functional,$I$10,FALSE),0)</f>
        <v>4029525</v>
      </c>
      <c r="J479" s="345">
        <f>SUM($G$479:$I$479)</f>
        <v>4066038</v>
      </c>
      <c r="K479" s="345">
        <f>F479-$J$479</f>
        <v>0</v>
      </c>
    </row>
    <row r="480" spans="1:12" ht="13">
      <c r="A480" s="331">
        <v>4</v>
      </c>
      <c r="C480" s="357" t="s">
        <v>178</v>
      </c>
      <c r="D480" s="723" t="s">
        <v>315</v>
      </c>
      <c r="E480" s="195" t="s">
        <v>343</v>
      </c>
      <c r="F480" s="787">
        <v>0</v>
      </c>
      <c r="G480" s="459">
        <f>F480-SUM(H480:I480)</f>
        <v>0</v>
      </c>
      <c r="H480" s="460">
        <f>ROUND(F480*VLOOKUP(D480,AllocTable_Functional,$H$10,FALSE),0)</f>
        <v>0</v>
      </c>
      <c r="I480" s="461">
        <f>ROUND(F480*VLOOKUP(D480,AllocTable_Functional,$I$10,FALSE),0)</f>
        <v>0</v>
      </c>
      <c r="J480" s="345">
        <f>SUM($G$480:$I$480)</f>
        <v>0</v>
      </c>
      <c r="K480" s="345">
        <f>F480-$J$480</f>
        <v>0</v>
      </c>
    </row>
    <row r="481" spans="1:11" ht="13">
      <c r="A481" s="331">
        <v>5</v>
      </c>
      <c r="C481" s="330" t="s">
        <v>1229</v>
      </c>
      <c r="D481" s="723"/>
      <c r="E481" s="195"/>
      <c r="F481" s="346">
        <f>SUM(F479:F480)</f>
        <v>4066038</v>
      </c>
      <c r="G481" s="462">
        <f>SUM($G$479:$G$480)</f>
        <v>36513</v>
      </c>
      <c r="H481" s="450">
        <f>SUM($H$479:$H$480)</f>
        <v>0</v>
      </c>
      <c r="I481" s="463">
        <f>SUM($I$479:$I$480)</f>
        <v>4029525</v>
      </c>
      <c r="J481" s="346">
        <f>SUM($J$479:$J$480)</f>
        <v>4066038</v>
      </c>
      <c r="K481" s="346">
        <f>SUM($K$479:$K$480)</f>
        <v>0</v>
      </c>
    </row>
    <row r="482" spans="1:11" ht="13">
      <c r="A482" s="331">
        <v>6</v>
      </c>
      <c r="D482" s="723"/>
      <c r="E482" s="195"/>
      <c r="F482" s="1280"/>
      <c r="G482" s="456"/>
      <c r="H482" s="457"/>
      <c r="I482" s="458"/>
    </row>
    <row r="483" spans="1:11" ht="13">
      <c r="A483" s="331">
        <v>7</v>
      </c>
      <c r="B483" s="330" t="s">
        <v>65</v>
      </c>
      <c r="D483" s="723"/>
      <c r="E483" s="195"/>
      <c r="F483" s="1280"/>
      <c r="G483" s="456"/>
      <c r="H483" s="457"/>
      <c r="I483" s="458"/>
    </row>
    <row r="484" spans="1:11" ht="13">
      <c r="A484" s="331">
        <v>8</v>
      </c>
      <c r="C484" s="330" t="s">
        <v>179</v>
      </c>
      <c r="D484" s="723" t="s">
        <v>1005</v>
      </c>
      <c r="E484" s="448" t="s">
        <v>1483</v>
      </c>
      <c r="F484" s="788">
        <f>'[1]SCH_C2.1 - Forecasted Period'!$J$273</f>
        <v>620302</v>
      </c>
      <c r="G484" s="459">
        <f>F484-SUM(H484:I484)</f>
        <v>96339</v>
      </c>
      <c r="H484" s="460">
        <f>ROUND(F484*VLOOKUP(D484,AllocTable_Functional,$H$10,FALSE),0)</f>
        <v>0</v>
      </c>
      <c r="I484" s="461">
        <f>ROUND(F484*VLOOKUP(D484,AllocTable_Functional,$I$10,FALSE),0)</f>
        <v>523963</v>
      </c>
      <c r="J484" s="345">
        <f>SUM($G$484:$I$484)</f>
        <v>620302</v>
      </c>
      <c r="K484" s="345">
        <f>F484-$J$484</f>
        <v>0</v>
      </c>
    </row>
    <row r="485" spans="1:11" ht="13">
      <c r="A485" s="331">
        <v>9</v>
      </c>
      <c r="C485" s="330" t="s">
        <v>391</v>
      </c>
      <c r="D485" s="723" t="s">
        <v>1005</v>
      </c>
      <c r="E485" s="448" t="s">
        <v>1483</v>
      </c>
      <c r="F485" s="787">
        <v>0</v>
      </c>
      <c r="G485" s="459">
        <f>F485-SUM(H485:I485)</f>
        <v>0</v>
      </c>
      <c r="H485" s="460">
        <f>ROUND(F485*VLOOKUP(D485,AllocTable_Functional,$H$10,FALSE),0)</f>
        <v>0</v>
      </c>
      <c r="I485" s="461">
        <f>ROUND(F485*VLOOKUP(D485,AllocTable_Functional,$I$10,FALSE),0)</f>
        <v>0</v>
      </c>
      <c r="J485" s="345">
        <f>SUM($G$485:$I$485)</f>
        <v>0</v>
      </c>
      <c r="K485" s="345">
        <f>F485-$J$485</f>
        <v>0</v>
      </c>
    </row>
    <row r="486" spans="1:11" ht="13">
      <c r="A486" s="331">
        <v>10</v>
      </c>
      <c r="C486" s="330" t="s">
        <v>533</v>
      </c>
      <c r="D486" s="726" t="s">
        <v>325</v>
      </c>
      <c r="E486" s="448" t="s">
        <v>1483</v>
      </c>
      <c r="F486" s="787">
        <v>0</v>
      </c>
      <c r="G486" s="459">
        <f>F486-SUM(H486:I486)</f>
        <v>0</v>
      </c>
      <c r="H486" s="460">
        <f>ROUND(F486*VLOOKUP(D486,AllocTable_Functional,$H$10,FALSE),0)</f>
        <v>0</v>
      </c>
      <c r="I486" s="461">
        <f>ROUND(F486*VLOOKUP(D486,AllocTable_Functional,$I$10,FALSE),0)</f>
        <v>0</v>
      </c>
      <c r="J486" s="345">
        <f>SUM($G$486:$I$486)</f>
        <v>0</v>
      </c>
      <c r="K486" s="345">
        <f>F486-$J$486</f>
        <v>0</v>
      </c>
    </row>
    <row r="487" spans="1:11" ht="13">
      <c r="A487" s="331">
        <v>11</v>
      </c>
      <c r="C487" s="357" t="s">
        <v>534</v>
      </c>
      <c r="D487" s="726" t="s">
        <v>325</v>
      </c>
      <c r="E487" s="448" t="s">
        <v>1483</v>
      </c>
      <c r="F487" s="787">
        <v>0</v>
      </c>
      <c r="G487" s="459">
        <f>F487-SUM(H487:I487)</f>
        <v>0</v>
      </c>
      <c r="H487" s="460">
        <f>ROUND(F487*VLOOKUP(D487,AllocTable_Functional,$H$10,FALSE),0)</f>
        <v>0</v>
      </c>
      <c r="I487" s="461">
        <f>ROUND(F487*VLOOKUP(D487,AllocTable_Functional,$I$10,FALSE),0)</f>
        <v>0</v>
      </c>
      <c r="J487" s="345">
        <f>SUM($G$487:$I$487)</f>
        <v>0</v>
      </c>
      <c r="K487" s="345">
        <f>F487-$J$487</f>
        <v>0</v>
      </c>
    </row>
    <row r="488" spans="1:11" ht="13">
      <c r="A488" s="331">
        <v>12</v>
      </c>
      <c r="C488" s="330" t="s">
        <v>180</v>
      </c>
      <c r="D488" s="726"/>
      <c r="E488" s="195"/>
      <c r="F488" s="346">
        <f>SUM(F484:F487)</f>
        <v>620302</v>
      </c>
      <c r="G488" s="462">
        <f>SUM($G$484:$G$487)</f>
        <v>96339</v>
      </c>
      <c r="H488" s="450">
        <f>SUM($H$484:$H$487)</f>
        <v>0</v>
      </c>
      <c r="I488" s="463">
        <f>SUM($I$484:$I$487)</f>
        <v>523963</v>
      </c>
      <c r="J488" s="346">
        <f>SUM($J$484:$J$487)</f>
        <v>620302</v>
      </c>
      <c r="K488" s="346">
        <f>SUM($K$484:$K$487)</f>
        <v>0</v>
      </c>
    </row>
    <row r="489" spans="1:11" ht="13">
      <c r="A489" s="331">
        <v>13</v>
      </c>
      <c r="D489" s="726"/>
      <c r="E489" s="195"/>
      <c r="F489" s="1280"/>
      <c r="G489" s="456"/>
      <c r="H489" s="457"/>
      <c r="I489" s="458"/>
    </row>
    <row r="490" spans="1:11" ht="13">
      <c r="A490" s="331">
        <v>14</v>
      </c>
      <c r="B490" s="330" t="s">
        <v>66</v>
      </c>
      <c r="D490" s="726"/>
      <c r="E490" s="195"/>
      <c r="F490" s="1280"/>
      <c r="G490" s="456"/>
      <c r="H490" s="457"/>
      <c r="I490" s="458"/>
    </row>
    <row r="491" spans="1:11" ht="13">
      <c r="A491" s="331">
        <v>15</v>
      </c>
      <c r="C491" s="646" t="s">
        <v>1417</v>
      </c>
      <c r="D491" s="769" t="s">
        <v>1005</v>
      </c>
      <c r="E491" s="448" t="s">
        <v>1483</v>
      </c>
      <c r="F491" s="1449">
        <f>[1]SCH_C1!$G$22</f>
        <v>30456</v>
      </c>
      <c r="G491" s="459">
        <f>F491-SUM(H491:I491)</f>
        <v>4730</v>
      </c>
      <c r="H491" s="460">
        <f>ROUND(F491*VLOOKUP(D491,AllocTable_Functional,$H$10,FALSE),0)</f>
        <v>0</v>
      </c>
      <c r="I491" s="461">
        <f>ROUND(F491*VLOOKUP(D491,AllocTable_Functional,$I$10,FALSE),0)</f>
        <v>25726</v>
      </c>
      <c r="J491" s="345">
        <f>SUM($G$491:$I$491)</f>
        <v>30456</v>
      </c>
      <c r="K491" s="345">
        <f>F491-$J$491</f>
        <v>0</v>
      </c>
    </row>
    <row r="492" spans="1:11" ht="13">
      <c r="A492" s="331">
        <v>16</v>
      </c>
      <c r="C492" s="357" t="s">
        <v>1152</v>
      </c>
      <c r="D492" s="769" t="str">
        <f>D491</f>
        <v>AG39</v>
      </c>
      <c r="E492" s="448" t="s">
        <v>1483</v>
      </c>
      <c r="F492" s="1032">
        <v>0</v>
      </c>
      <c r="G492" s="459">
        <f>F492-SUM(H492:I492)</f>
        <v>0</v>
      </c>
      <c r="H492" s="460">
        <f>ROUND(F492*VLOOKUP(D492,AllocTable_Functional,$H$10,FALSE),0)</f>
        <v>0</v>
      </c>
      <c r="I492" s="461">
        <f>ROUND(F492*VLOOKUP(D492,AllocTable_Functional,$I$10,FALSE),0)</f>
        <v>0</v>
      </c>
      <c r="J492" s="345">
        <f>SUM($G$492:$I$492)</f>
        <v>0</v>
      </c>
      <c r="K492" s="345">
        <f>F492-$J$492</f>
        <v>0</v>
      </c>
    </row>
    <row r="493" spans="1:11" ht="13">
      <c r="A493" s="331">
        <v>17</v>
      </c>
      <c r="C493" s="330" t="s">
        <v>181</v>
      </c>
      <c r="D493" s="726"/>
      <c r="E493" s="195"/>
      <c r="F493" s="474">
        <f>SUM(F491:F492)</f>
        <v>30456</v>
      </c>
      <c r="G493" s="462">
        <f>SUM($G$491:$G$492)</f>
        <v>4730</v>
      </c>
      <c r="H493" s="450">
        <f>SUM($H$491:$H$492)</f>
        <v>0</v>
      </c>
      <c r="I493" s="463">
        <f>SUM($I$491:$I$492)</f>
        <v>25726</v>
      </c>
      <c r="J493" s="346">
        <f>SUM($J$491:$J$492)</f>
        <v>30456</v>
      </c>
      <c r="K493" s="346">
        <f>SUM($K$491:$K$492)</f>
        <v>0</v>
      </c>
    </row>
    <row r="494" spans="1:11" ht="13">
      <c r="A494" s="331">
        <v>18</v>
      </c>
      <c r="D494" s="342"/>
      <c r="E494" s="195"/>
      <c r="F494" s="333"/>
      <c r="G494" s="456"/>
      <c r="H494" s="457"/>
      <c r="I494" s="458"/>
    </row>
    <row r="495" spans="1:11" ht="13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4716796</v>
      </c>
      <c r="G495" s="459">
        <f>$G$488+$G$481+$G$493</f>
        <v>137582</v>
      </c>
      <c r="H495" s="460">
        <f>$H$488+$H$481+$H$493</f>
        <v>0</v>
      </c>
      <c r="I495" s="461">
        <f>$I$488+$I$481+$I$493</f>
        <v>4579214</v>
      </c>
      <c r="J495" s="345">
        <f>$J$488+$J$481+$J$493</f>
        <v>4716796</v>
      </c>
      <c r="K495" s="345">
        <f>$K$488+$K$481+$K$493</f>
        <v>0</v>
      </c>
    </row>
    <row r="496" spans="1:11" ht="13">
      <c r="A496" s="331">
        <v>20</v>
      </c>
      <c r="D496" s="342"/>
      <c r="E496" s="195"/>
      <c r="G496" s="456"/>
      <c r="H496" s="457"/>
      <c r="I496" s="458"/>
    </row>
    <row r="497" spans="1:11" ht="13">
      <c r="A497" s="331">
        <v>21</v>
      </c>
      <c r="B497" s="330" t="s">
        <v>40</v>
      </c>
      <c r="D497" s="342"/>
      <c r="E497" s="195"/>
      <c r="G497" s="456"/>
      <c r="H497" s="457"/>
      <c r="I497" s="458"/>
    </row>
    <row r="498" spans="1:11" ht="13">
      <c r="A498" s="331">
        <v>22</v>
      </c>
      <c r="C498" s="330" t="s">
        <v>182</v>
      </c>
      <c r="D498" s="342"/>
      <c r="E498" s="195"/>
      <c r="F498" s="345">
        <f t="shared" ref="F498:K498" si="132">F433</f>
        <v>62796024</v>
      </c>
      <c r="G498" s="459">
        <f t="shared" si="132"/>
        <v>43377286</v>
      </c>
      <c r="H498" s="460">
        <f t="shared" si="132"/>
        <v>0</v>
      </c>
      <c r="I498" s="461">
        <f t="shared" si="132"/>
        <v>19418738</v>
      </c>
      <c r="J498" s="345">
        <f t="shared" si="132"/>
        <v>62796024</v>
      </c>
      <c r="K498" s="345">
        <f t="shared" si="132"/>
        <v>0</v>
      </c>
    </row>
    <row r="499" spans="1:11" ht="13">
      <c r="A499" s="331">
        <v>23</v>
      </c>
      <c r="C499" s="330" t="s">
        <v>61</v>
      </c>
      <c r="D499" s="342"/>
      <c r="E499" s="195"/>
      <c r="F499" s="345">
        <f t="shared" ref="F499:K499" si="133">F465</f>
        <v>19004234.504000001</v>
      </c>
      <c r="G499" s="459">
        <f t="shared" si="133"/>
        <v>873952.50399999996</v>
      </c>
      <c r="H499" s="460">
        <f t="shared" si="133"/>
        <v>0</v>
      </c>
      <c r="I499" s="461">
        <f t="shared" si="133"/>
        <v>18130282</v>
      </c>
      <c r="J499" s="345">
        <f t="shared" si="133"/>
        <v>19004234.504000001</v>
      </c>
      <c r="K499" s="345">
        <f t="shared" si="133"/>
        <v>0</v>
      </c>
    </row>
    <row r="500" spans="1:11" ht="13">
      <c r="A500" s="331">
        <v>24</v>
      </c>
      <c r="C500" s="357" t="s">
        <v>67</v>
      </c>
      <c r="D500" s="342"/>
      <c r="E500" s="195"/>
      <c r="F500" s="345">
        <f>F495</f>
        <v>4716796</v>
      </c>
      <c r="G500" s="459">
        <f>$G$495</f>
        <v>137582</v>
      </c>
      <c r="H500" s="460">
        <f>$H$495</f>
        <v>0</v>
      </c>
      <c r="I500" s="461">
        <f>$I$495</f>
        <v>4579214</v>
      </c>
      <c r="J500" s="345">
        <f>$J$495</f>
        <v>4716796</v>
      </c>
      <c r="K500" s="345">
        <f>K238</f>
        <v>0</v>
      </c>
    </row>
    <row r="501" spans="1:11" ht="13">
      <c r="A501" s="331">
        <v>25</v>
      </c>
      <c r="C501" s="330" t="s">
        <v>1022</v>
      </c>
      <c r="D501" s="342"/>
      <c r="E501" s="195"/>
      <c r="F501" s="346">
        <f>SUM(F498:F500)</f>
        <v>86517054.504000008</v>
      </c>
      <c r="G501" s="492">
        <f>SUM($G$498:$G$500)</f>
        <v>44388820.504000001</v>
      </c>
      <c r="H501" s="493">
        <f>SUM($H$498:$H$500)</f>
        <v>0</v>
      </c>
      <c r="I501" s="494">
        <f>SUM($I$498:$I$500)</f>
        <v>42128234</v>
      </c>
      <c r="J501" s="346">
        <f>SUM($J$498:$J$500)</f>
        <v>86517054.504000008</v>
      </c>
      <c r="K501" s="346">
        <f>SUM($K$498:$K$500)</f>
        <v>0</v>
      </c>
    </row>
    <row r="502" spans="1:11" ht="13">
      <c r="B502" s="341"/>
      <c r="C502" s="195"/>
      <c r="D502" s="342"/>
      <c r="E502" s="195"/>
      <c r="F502" s="195"/>
      <c r="G502" s="195"/>
      <c r="H502" s="195"/>
      <c r="I502" s="195"/>
      <c r="J502" s="195"/>
      <c r="K502" s="195"/>
    </row>
    <row r="503" spans="1:11" ht="13">
      <c r="A503" s="341" t="str">
        <f>co_name</f>
        <v>DUKE ENERGY KENTUCKY, INC.</v>
      </c>
      <c r="C503" s="195"/>
      <c r="D503" s="342"/>
      <c r="E503" s="195"/>
      <c r="F503" s="195"/>
      <c r="G503" s="195"/>
      <c r="H503" s="195"/>
      <c r="I503" s="195"/>
      <c r="J503" s="195" t="str">
        <f>$J$1</f>
        <v>FR-16(7)(v)-1</v>
      </c>
      <c r="K503" s="195"/>
    </row>
    <row r="504" spans="1:11" ht="13">
      <c r="A504" s="341" t="str">
        <f>$A$2</f>
        <v>FUNCTIONAL GAS COST OF SERVICE</v>
      </c>
      <c r="C504" s="195"/>
      <c r="D504" s="342"/>
      <c r="E504" s="195"/>
      <c r="F504" s="195"/>
      <c r="G504" s="195"/>
      <c r="H504" s="195"/>
      <c r="I504" s="195"/>
      <c r="J504" s="195" t="str">
        <f>$J$2</f>
        <v>WITNESS RESPONSIBLE:</v>
      </c>
      <c r="K504" s="195"/>
    </row>
    <row r="505" spans="1:11" ht="13">
      <c r="A505" s="341" t="str">
        <f>case_name</f>
        <v>CASE NO: 2021-00190</v>
      </c>
      <c r="C505" s="195"/>
      <c r="D505" s="342"/>
      <c r="E505" s="195"/>
      <c r="F505" s="195"/>
      <c r="G505" s="195"/>
      <c r="H505" s="195"/>
      <c r="I505" s="195"/>
      <c r="J505" s="195" t="str">
        <f>Witness</f>
        <v>JAMES E. ZIOLKOWSKI</v>
      </c>
      <c r="K505" s="195"/>
    </row>
    <row r="506" spans="1:11" ht="13">
      <c r="A506" s="341" t="str">
        <f>data_filing</f>
        <v>DATA: 12 MONTH FORECASTED PERIOD</v>
      </c>
      <c r="C506" s="195"/>
      <c r="D506" s="342"/>
      <c r="E506" s="195"/>
      <c r="F506" s="195"/>
      <c r="G506" s="195"/>
      <c r="H506" s="195"/>
      <c r="I506" s="195"/>
      <c r="J506" s="195" t="str">
        <f>"PAGE "&amp;Pages-6&amp;" OF "&amp;Pages</f>
        <v>PAGE 12 OF 18</v>
      </c>
      <c r="K506" s="195"/>
    </row>
    <row r="507" spans="1:11" ht="13">
      <c r="A507" s="341" t="str">
        <f>type</f>
        <v xml:space="preserve">TYPE OF FILING: "X" ORIGINAL   UPDATED    REVISED  </v>
      </c>
      <c r="C507" s="195"/>
      <c r="D507" s="342"/>
      <c r="E507" s="195"/>
      <c r="F507" s="195"/>
      <c r="G507" s="195"/>
      <c r="H507" s="195"/>
      <c r="I507" s="195"/>
      <c r="J507" s="195"/>
      <c r="K507" s="195"/>
    </row>
    <row r="508" spans="1:11" ht="13">
      <c r="B508" s="341"/>
      <c r="C508" s="195"/>
      <c r="D508" s="342"/>
      <c r="E508" s="195"/>
      <c r="F508" s="195"/>
      <c r="G508" s="195"/>
      <c r="H508" s="195"/>
      <c r="I508" s="195"/>
      <c r="J508" s="195"/>
      <c r="K508" s="195"/>
    </row>
    <row r="509" spans="1:11" ht="13">
      <c r="B509" s="341"/>
      <c r="C509" s="195"/>
      <c r="D509" s="342"/>
      <c r="E509" s="195"/>
      <c r="F509" s="195"/>
      <c r="G509" s="195"/>
      <c r="H509" s="195"/>
      <c r="I509" s="195"/>
      <c r="J509" s="195"/>
      <c r="K509" s="195"/>
    </row>
    <row r="510" spans="1:11" ht="13">
      <c r="A510" s="342" t="s">
        <v>907</v>
      </c>
      <c r="B510" s="195"/>
      <c r="C510" s="195"/>
      <c r="D510" s="342"/>
      <c r="E510" s="195"/>
      <c r="F510" s="342" t="s">
        <v>229</v>
      </c>
      <c r="G510" s="467" t="s">
        <v>971</v>
      </c>
      <c r="H510" s="468"/>
      <c r="I510" s="469"/>
      <c r="J510" s="342" t="s">
        <v>229</v>
      </c>
      <c r="K510" s="342" t="s">
        <v>342</v>
      </c>
    </row>
    <row r="511" spans="1:11" ht="13">
      <c r="A511" s="344" t="s">
        <v>908</v>
      </c>
      <c r="B511" s="343" t="s">
        <v>1375</v>
      </c>
      <c r="C511" s="343"/>
      <c r="D511" s="344" t="s">
        <v>337</v>
      </c>
      <c r="E511" s="343"/>
      <c r="F511" s="344" t="s">
        <v>284</v>
      </c>
      <c r="G511" s="454" t="s">
        <v>838</v>
      </c>
      <c r="H511" s="449" t="s">
        <v>970</v>
      </c>
      <c r="I511" s="455" t="s">
        <v>839</v>
      </c>
      <c r="J511" s="344" t="s">
        <v>341</v>
      </c>
      <c r="K511" s="344" t="s">
        <v>340</v>
      </c>
    </row>
    <row r="512" spans="1:11" ht="13">
      <c r="C512" s="572" t="s">
        <v>351</v>
      </c>
      <c r="D512" s="342"/>
      <c r="E512" s="195"/>
      <c r="G512" s="622">
        <f>$G$10</f>
        <v>3</v>
      </c>
      <c r="H512" s="623">
        <f>$H$10</f>
        <v>4</v>
      </c>
      <c r="I512" s="624">
        <f>$I$10</f>
        <v>5</v>
      </c>
    </row>
    <row r="513" spans="1:14" ht="13">
      <c r="A513" s="331">
        <v>1</v>
      </c>
      <c r="B513" s="330" t="s">
        <v>69</v>
      </c>
      <c r="D513" s="342"/>
      <c r="E513" s="195"/>
      <c r="G513" s="456"/>
      <c r="H513" s="457"/>
      <c r="I513" s="458"/>
    </row>
    <row r="514" spans="1:14" ht="13">
      <c r="A514" s="331">
        <v>2</v>
      </c>
      <c r="B514" s="330" t="s">
        <v>70</v>
      </c>
      <c r="D514" s="342"/>
      <c r="E514" s="195"/>
      <c r="F514" s="330" t="s">
        <v>343</v>
      </c>
      <c r="G514" s="456"/>
      <c r="H514" s="457"/>
      <c r="I514" s="458"/>
    </row>
    <row r="515" spans="1:14" ht="13">
      <c r="A515" s="331">
        <v>3</v>
      </c>
      <c r="C515" s="357" t="s">
        <v>183</v>
      </c>
      <c r="D515" s="723" t="s">
        <v>322</v>
      </c>
      <c r="E515" s="448" t="s">
        <v>1483</v>
      </c>
      <c r="F515" s="788">
        <f>-[1]SCH_E1!$Q$22</f>
        <v>8610382</v>
      </c>
      <c r="G515" s="459">
        <f>F515-SUM(H515:I515)</f>
        <v>145085</v>
      </c>
      <c r="H515" s="460">
        <f>ROUND(F515*VLOOKUP(D515,AllocTable_Functional,$H$10,FALSE),0)</f>
        <v>0</v>
      </c>
      <c r="I515" s="461">
        <f>ROUND(F515*VLOOKUP(D515,AllocTable_Functional,$I$10,FALSE),0)</f>
        <v>8465297</v>
      </c>
      <c r="J515" s="345">
        <f>SUM($G$515:$I$515)</f>
        <v>8610382</v>
      </c>
      <c r="K515" s="345">
        <f>F515-$J$515</f>
        <v>0</v>
      </c>
    </row>
    <row r="516" spans="1:14" ht="13">
      <c r="A516" s="331">
        <v>4</v>
      </c>
      <c r="C516" s="330" t="s">
        <v>184</v>
      </c>
      <c r="D516" s="723"/>
      <c r="E516" s="195"/>
      <c r="F516" s="346">
        <f>F515</f>
        <v>8610382</v>
      </c>
      <c r="G516" s="462">
        <f>$G$515</f>
        <v>145085</v>
      </c>
      <c r="H516" s="450">
        <f>$H$515</f>
        <v>0</v>
      </c>
      <c r="I516" s="463">
        <f>$I$515</f>
        <v>8465297</v>
      </c>
      <c r="J516" s="346">
        <f>$J$515</f>
        <v>8610382</v>
      </c>
      <c r="K516" s="346">
        <f>$K$515</f>
        <v>0</v>
      </c>
    </row>
    <row r="517" spans="1:14" ht="13">
      <c r="A517" s="331">
        <v>5</v>
      </c>
      <c r="D517" s="723"/>
      <c r="E517" s="195"/>
      <c r="F517" s="1280"/>
      <c r="G517" s="456"/>
      <c r="H517" s="457"/>
      <c r="I517" s="458"/>
    </row>
    <row r="518" spans="1:14" ht="13">
      <c r="A518" s="331">
        <v>6</v>
      </c>
      <c r="B518" s="330" t="s">
        <v>71</v>
      </c>
      <c r="D518" s="723"/>
      <c r="E518" s="195"/>
      <c r="F518" s="1280"/>
      <c r="G518" s="456"/>
      <c r="H518" s="457"/>
      <c r="I518" s="458"/>
    </row>
    <row r="519" spans="1:14" ht="13">
      <c r="A519" s="331">
        <v>7</v>
      </c>
      <c r="C519" s="330" t="s">
        <v>185</v>
      </c>
      <c r="D519" s="723" t="s">
        <v>330</v>
      </c>
      <c r="E519" s="448" t="s">
        <v>1483</v>
      </c>
      <c r="F519" s="788">
        <f>-[1]SCH_E1!$Q$29</f>
        <v>9503788</v>
      </c>
      <c r="G519" s="459">
        <f>F519-SUM(H519:I519)</f>
        <v>437079</v>
      </c>
      <c r="H519" s="460">
        <f>ROUND(F519*VLOOKUP(D519,AllocTable_Functional,$H$10,FALSE),0)</f>
        <v>0</v>
      </c>
      <c r="I519" s="461">
        <f>ROUND(F519*VLOOKUP(D519,AllocTable_Functional,$I$10,FALSE),0)</f>
        <v>9066709</v>
      </c>
      <c r="J519" s="345">
        <f>SUM($G$519:$I$519)</f>
        <v>9503788</v>
      </c>
      <c r="K519" s="345">
        <f>F519-$J$519</f>
        <v>0</v>
      </c>
    </row>
    <row r="520" spans="1:14" ht="13">
      <c r="A520" s="331">
        <v>8</v>
      </c>
      <c r="C520" s="330" t="s">
        <v>536</v>
      </c>
      <c r="D520" s="723" t="s">
        <v>1005</v>
      </c>
      <c r="E520" s="448" t="s">
        <v>1483</v>
      </c>
      <c r="F520" s="788">
        <f>-[1]SCH_E1!$Q$25</f>
        <v>-234602</v>
      </c>
      <c r="G520" s="459">
        <f>F520-SUM(H520:I520)</f>
        <v>-36436</v>
      </c>
      <c r="H520" s="460">
        <f>ROUND(F520*VLOOKUP(D520,AllocTable_Functional,$H$10,FALSE),0)</f>
        <v>0</v>
      </c>
      <c r="I520" s="461">
        <f>ROUND(F520*VLOOKUP(D520,AllocTable_Functional,$I$10,FALSE),0)</f>
        <v>-198166</v>
      </c>
      <c r="J520" s="345">
        <f>SUM($G$520:$I$520)</f>
        <v>-234602</v>
      </c>
      <c r="K520" s="345">
        <f>F520-$J$520</f>
        <v>0</v>
      </c>
    </row>
    <row r="521" spans="1:14" ht="13">
      <c r="A521" s="331">
        <v>9</v>
      </c>
      <c r="C521" s="357" t="s">
        <v>535</v>
      </c>
      <c r="D521" s="723" t="s">
        <v>330</v>
      </c>
      <c r="E521" s="448" t="s">
        <v>1483</v>
      </c>
      <c r="F521" s="788">
        <f>-[1]SCH_E1!$Q$32-[1]SCH_E1!$Q$33</f>
        <v>-2045654</v>
      </c>
      <c r="G521" s="459">
        <f>F521-SUM(H521:I521)</f>
        <v>-94080</v>
      </c>
      <c r="H521" s="460">
        <f>ROUND(F521*VLOOKUP(D521,AllocTable_Functional,$H$10,FALSE),0)</f>
        <v>0</v>
      </c>
      <c r="I521" s="461">
        <f>ROUND(F521*VLOOKUP(D521,AllocTable_Functional,$I$10,FALSE),0)</f>
        <v>-1951574</v>
      </c>
      <c r="J521" s="345">
        <f>SUM($G$521:$I$521)</f>
        <v>-2045654</v>
      </c>
      <c r="K521" s="345">
        <f>F521-$J$521</f>
        <v>0</v>
      </c>
    </row>
    <row r="522" spans="1:14" ht="13">
      <c r="A522" s="331">
        <v>10</v>
      </c>
      <c r="C522" s="330" t="s">
        <v>186</v>
      </c>
      <c r="D522" s="723"/>
      <c r="E522" s="195"/>
      <c r="F522" s="346">
        <f>SUM(F519:F521)</f>
        <v>7223532</v>
      </c>
      <c r="G522" s="462">
        <f>SUM($G$519:$G$521)</f>
        <v>306563</v>
      </c>
      <c r="H522" s="450">
        <f>SUM($H$519:$H$521)</f>
        <v>0</v>
      </c>
      <c r="I522" s="463">
        <f>SUM($I$519:$I$521)</f>
        <v>6916969</v>
      </c>
      <c r="J522" s="346">
        <f>SUM($J$519:$J$521)</f>
        <v>7223532</v>
      </c>
      <c r="K522" s="474">
        <f>SUM($K$519:$K$521)</f>
        <v>0</v>
      </c>
    </row>
    <row r="523" spans="1:14" ht="13">
      <c r="A523" s="331">
        <v>11</v>
      </c>
      <c r="D523" s="723"/>
      <c r="E523" s="195"/>
      <c r="F523" s="1280"/>
      <c r="G523" s="456"/>
      <c r="H523" s="457"/>
      <c r="I523" s="458"/>
    </row>
    <row r="524" spans="1:14" ht="13">
      <c r="A524" s="331">
        <v>12</v>
      </c>
      <c r="B524" s="330" t="s">
        <v>72</v>
      </c>
      <c r="D524" s="723"/>
      <c r="E524" s="195"/>
      <c r="F524" s="347">
        <f>F522+F516</f>
        <v>15833914</v>
      </c>
      <c r="G524" s="459">
        <f>$G$522+$G$516</f>
        <v>451648</v>
      </c>
      <c r="H524" s="460">
        <f>$H$522+$H$516</f>
        <v>0</v>
      </c>
      <c r="I524" s="461">
        <f>$I$522+$I$516</f>
        <v>15382266</v>
      </c>
      <c r="J524" s="345">
        <f>$J$522+$J$516</f>
        <v>15833914</v>
      </c>
      <c r="K524" s="345">
        <f>$K$522+$K$516</f>
        <v>0</v>
      </c>
      <c r="N524" s="333">
        <f>F524</f>
        <v>15833914</v>
      </c>
    </row>
    <row r="525" spans="1:14" ht="13">
      <c r="A525" s="331">
        <v>13</v>
      </c>
      <c r="D525" s="723"/>
      <c r="E525" s="195"/>
      <c r="F525" s="1280"/>
      <c r="G525" s="456"/>
      <c r="H525" s="457"/>
      <c r="I525" s="458"/>
      <c r="N525" s="333">
        <v>15757921</v>
      </c>
    </row>
    <row r="526" spans="1:14" ht="13">
      <c r="A526" s="331">
        <v>14</v>
      </c>
      <c r="B526" s="338" t="s">
        <v>541</v>
      </c>
      <c r="D526" s="723"/>
      <c r="E526" s="195"/>
      <c r="F526" s="1280"/>
      <c r="G526" s="456"/>
      <c r="H526" s="457"/>
      <c r="I526" s="458"/>
      <c r="N526" s="333">
        <f>N524-N525</f>
        <v>75993</v>
      </c>
    </row>
    <row r="527" spans="1:14" ht="13">
      <c r="A527" s="331">
        <v>15</v>
      </c>
      <c r="C527" s="330" t="s">
        <v>537</v>
      </c>
      <c r="D527" s="723" t="s">
        <v>325</v>
      </c>
      <c r="E527" s="448" t="s">
        <v>1483</v>
      </c>
      <c r="F527" s="788">
        <f>[1]SCH_E1!$Q$120</f>
        <v>1417793</v>
      </c>
      <c r="G527" s="459">
        <f>ROUND(F527*VLOOKUP(D527,AllocTable_Functional,$G$10,FALSE),0)</f>
        <v>979355</v>
      </c>
      <c r="H527" s="460">
        <f>ROUND(F527*VLOOKUP(D527,AllocTable_Functional,$H$10,FALSE),0)</f>
        <v>0</v>
      </c>
      <c r="I527" s="461">
        <f>ROUND(F527*VLOOKUP(D527,AllocTable_Functional,$I$10,FALSE),0)</f>
        <v>438438</v>
      </c>
      <c r="J527" s="345">
        <f>SUM($G$527:$I$527)</f>
        <v>1417793</v>
      </c>
      <c r="K527" s="345">
        <f>F527-$J$527</f>
        <v>0</v>
      </c>
    </row>
    <row r="528" spans="1:14" ht="13">
      <c r="A528" s="331">
        <v>16</v>
      </c>
      <c r="C528" s="330" t="s">
        <v>1500</v>
      </c>
      <c r="D528" s="723" t="s">
        <v>1005</v>
      </c>
      <c r="E528" s="448" t="s">
        <v>1483</v>
      </c>
      <c r="F528" s="787">
        <f>[1]SCH_E1!$Q$123</f>
        <v>15664</v>
      </c>
      <c r="G528" s="459">
        <f>ROUND(F528*VLOOKUP(D528,AllocTable_Functional,$G$10,FALSE),0)</f>
        <v>2433</v>
      </c>
      <c r="H528" s="460">
        <f>ROUND(F528*VLOOKUP(D528,AllocTable_Functional,$H$10,FALSE),0)</f>
        <v>0</v>
      </c>
      <c r="I528" s="461">
        <f>ROUND(F528*VLOOKUP(D528,AllocTable_Functional,$I$10,FALSE),0)</f>
        <v>13231</v>
      </c>
      <c r="J528" s="345">
        <f>SUM($G$528:$I$528)</f>
        <v>15664</v>
      </c>
      <c r="K528" s="345">
        <f>F528-$J$528</f>
        <v>0</v>
      </c>
    </row>
    <row r="529" spans="1:11" ht="13">
      <c r="A529" s="331">
        <v>17</v>
      </c>
      <c r="C529" s="351" t="s">
        <v>540</v>
      </c>
      <c r="D529" s="726" t="s">
        <v>330</v>
      </c>
      <c r="E529" s="448" t="s">
        <v>1483</v>
      </c>
      <c r="F529" s="1019">
        <v>0</v>
      </c>
      <c r="G529" s="459">
        <f>ROUND(F529*VLOOKUP(D529,AllocTable_Functional,$G$10,FALSE),0)</f>
        <v>0</v>
      </c>
      <c r="H529" s="460">
        <f>ROUND(F529*VLOOKUP(D529,AllocTable_Functional,$H$10,FALSE),0)</f>
        <v>0</v>
      </c>
      <c r="I529" s="461">
        <f>ROUND(F529*VLOOKUP(D529,AllocTable_Functional,$I$10,FALSE),0)</f>
        <v>0</v>
      </c>
      <c r="J529" s="345">
        <f>SUM($G$529:$I$529)</f>
        <v>0</v>
      </c>
      <c r="K529" s="345">
        <f>F529-$J$529</f>
        <v>0</v>
      </c>
    </row>
    <row r="530" spans="1:11" ht="13">
      <c r="A530" s="331">
        <v>18</v>
      </c>
      <c r="C530" s="330" t="s">
        <v>539</v>
      </c>
      <c r="D530" s="723" t="s">
        <v>287</v>
      </c>
      <c r="E530" s="448" t="s">
        <v>1483</v>
      </c>
      <c r="F530" s="788">
        <f>[1]SCH_E1!$Q$121</f>
        <v>-72079</v>
      </c>
      <c r="G530" s="459">
        <f>ROUND(F530*VLOOKUP(D530,AllocTable_Functional,$G$10,FALSE),0)</f>
        <v>-72079</v>
      </c>
      <c r="H530" s="460">
        <f>ROUND(F530*VLOOKUP(D530,AllocTable_Functional,$H$10,FALSE),0)</f>
        <v>0</v>
      </c>
      <c r="I530" s="461">
        <f>ROUND(F530*VLOOKUP(D530,AllocTable_Functional,$I$10,FALSE),0)</f>
        <v>0</v>
      </c>
      <c r="J530" s="345">
        <f>SUM($G$530:$I$530)</f>
        <v>-72079</v>
      </c>
      <c r="K530" s="345">
        <f>F530-$J$530</f>
        <v>0</v>
      </c>
    </row>
    <row r="531" spans="1:11" ht="13">
      <c r="A531" s="331">
        <v>19</v>
      </c>
      <c r="C531" s="357" t="s">
        <v>1418</v>
      </c>
      <c r="D531" s="723" t="s">
        <v>1005</v>
      </c>
      <c r="E531" s="448" t="s">
        <v>1483</v>
      </c>
      <c r="F531" s="788">
        <f>[1]SCH_E1!$Q$122</f>
        <v>-630436</v>
      </c>
      <c r="G531" s="459">
        <f>ROUND(F531*VLOOKUP(D531,AllocTable_Functional,$G$10,FALSE),0)</f>
        <v>-97913</v>
      </c>
      <c r="H531" s="460">
        <f>ROUND(F531*VLOOKUP(D531,AllocTable_Functional,$H$10,FALSE),0)</f>
        <v>0</v>
      </c>
      <c r="I531" s="461">
        <f>ROUND(F531*VLOOKUP(D531,AllocTable_Functional,$I$10,FALSE),0)</f>
        <v>-532523</v>
      </c>
      <c r="J531" s="345">
        <f>SUM($G$531:$I$531)</f>
        <v>-630436</v>
      </c>
      <c r="K531" s="345">
        <f>F531-$J$531</f>
        <v>0</v>
      </c>
    </row>
    <row r="532" spans="1:11" ht="13">
      <c r="A532" s="331">
        <v>20</v>
      </c>
      <c r="C532" s="330" t="s">
        <v>543</v>
      </c>
      <c r="D532" s="723"/>
      <c r="E532" s="195"/>
      <c r="F532" s="346">
        <f>SUM(F527:F531)</f>
        <v>730942</v>
      </c>
      <c r="G532" s="462">
        <f>SUM($G$527:$G$531)</f>
        <v>811796</v>
      </c>
      <c r="H532" s="450">
        <f>SUM($H$527:$H$531)</f>
        <v>0</v>
      </c>
      <c r="I532" s="463">
        <f>SUM($I$527:$I$531)</f>
        <v>-80854</v>
      </c>
      <c r="J532" s="346">
        <f>SUM($J$527:$J$531)</f>
        <v>730942</v>
      </c>
      <c r="K532" s="474">
        <f>SUM($K$527:$K$531)</f>
        <v>0</v>
      </c>
    </row>
    <row r="533" spans="1:11" ht="13">
      <c r="A533" s="331">
        <v>21</v>
      </c>
      <c r="D533" s="723"/>
      <c r="E533" s="195"/>
      <c r="F533" s="351"/>
      <c r="G533" s="456"/>
      <c r="H533" s="457"/>
      <c r="I533" s="458"/>
    </row>
    <row r="534" spans="1:11" ht="13">
      <c r="A534" s="331">
        <v>22</v>
      </c>
      <c r="B534" s="330" t="s">
        <v>418</v>
      </c>
      <c r="D534" s="723"/>
      <c r="E534" s="195"/>
      <c r="F534" s="351"/>
      <c r="G534" s="456"/>
      <c r="H534" s="457"/>
      <c r="I534" s="458"/>
    </row>
    <row r="535" spans="1:11" ht="13">
      <c r="A535" s="331">
        <v>23</v>
      </c>
      <c r="C535" s="357" t="s">
        <v>187</v>
      </c>
      <c r="D535" s="723" t="s">
        <v>315</v>
      </c>
      <c r="E535" s="448" t="s">
        <v>1483</v>
      </c>
      <c r="F535" s="1450">
        <f>-[1]SCH_E1!$Q$127</f>
        <v>60747</v>
      </c>
      <c r="G535" s="459">
        <f>ROUND(F535*VLOOKUP(D535,AllocTable_Functional,$G$10,FALSE),0)</f>
        <v>546</v>
      </c>
      <c r="H535" s="460">
        <f>ROUND(F535*VLOOKUP(D535,AllocTable_Functional,$H$10,FALSE),0)</f>
        <v>0</v>
      </c>
      <c r="I535" s="461">
        <f>ROUND(F535*VLOOKUP(D535,AllocTable_Functional,$I$10,FALSE),0)</f>
        <v>60201</v>
      </c>
      <c r="J535" s="506">
        <f>SUM($G$535:$I$535)</f>
        <v>60747</v>
      </c>
      <c r="K535" s="506">
        <f>F535-$J$535</f>
        <v>0</v>
      </c>
    </row>
    <row r="536" spans="1:11" ht="13">
      <c r="A536" s="331">
        <v>24</v>
      </c>
      <c r="C536" s="330" t="s">
        <v>412</v>
      </c>
      <c r="D536" s="342"/>
      <c r="E536" s="195"/>
      <c r="F536" s="346">
        <f>SUM(F535:F535)</f>
        <v>60747</v>
      </c>
      <c r="G536" s="462">
        <f>SUM($G$535:$G$535)</f>
        <v>546</v>
      </c>
      <c r="H536" s="450">
        <f>SUM($H$535:$H$535)</f>
        <v>0</v>
      </c>
      <c r="I536" s="463">
        <f>SUM($I$535:$I$535)</f>
        <v>60201</v>
      </c>
      <c r="J536" s="346">
        <f>SUM($J$535:$J$535)</f>
        <v>60747</v>
      </c>
      <c r="K536" s="474">
        <f>SUM($K$535:$K$535)</f>
        <v>0</v>
      </c>
    </row>
    <row r="537" spans="1:11" ht="13">
      <c r="A537" s="331">
        <v>25</v>
      </c>
      <c r="D537" s="342"/>
      <c r="E537" s="195"/>
      <c r="F537" s="504"/>
      <c r="G537" s="511"/>
      <c r="H537" s="510"/>
      <c r="I537" s="512"/>
      <c r="J537" s="504"/>
      <c r="K537" s="664"/>
    </row>
    <row r="538" spans="1:11" ht="15.5">
      <c r="A538" s="331">
        <v>26</v>
      </c>
      <c r="B538" s="330" t="s">
        <v>73</v>
      </c>
      <c r="D538" s="729"/>
      <c r="E538" s="1"/>
      <c r="F538" s="504"/>
      <c r="G538" s="511"/>
      <c r="H538" s="510"/>
      <c r="I538" s="512"/>
      <c r="J538" s="504"/>
      <c r="K538" s="664"/>
    </row>
    <row r="539" spans="1:11" ht="13">
      <c r="A539" s="331">
        <v>27</v>
      </c>
      <c r="C539" s="330" t="s">
        <v>188</v>
      </c>
      <c r="D539" s="723" t="s">
        <v>315</v>
      </c>
      <c r="E539" s="448" t="s">
        <v>1483</v>
      </c>
      <c r="F539" s="787">
        <v>0</v>
      </c>
      <c r="G539" s="459">
        <f>ROUND(F539*VLOOKUP(D539,AllocTable_Functional,$G$10,FALSE),0)</f>
        <v>0</v>
      </c>
      <c r="H539" s="460">
        <f>ROUND(F539*VLOOKUP(D539,AllocTable_Functional,$H$10,FALSE),0)</f>
        <v>0</v>
      </c>
      <c r="I539" s="461">
        <f>ROUND(F539*VLOOKUP(D539,AllocTable_Functional,$I$10,FALSE),0)</f>
        <v>0</v>
      </c>
      <c r="J539" s="345">
        <f>SUM($G$539:$I$539)</f>
        <v>0</v>
      </c>
      <c r="K539" s="345">
        <f>F539-$J$539</f>
        <v>0</v>
      </c>
    </row>
    <row r="540" spans="1:11" ht="15.5">
      <c r="A540" s="331">
        <v>28</v>
      </c>
      <c r="C540" s="337" t="s">
        <v>189</v>
      </c>
      <c r="D540" s="729"/>
      <c r="E540" s="1"/>
      <c r="F540" s="346">
        <f>SUM(F539:F539)</f>
        <v>0</v>
      </c>
      <c r="G540" s="462">
        <f>SUM($G$539:$G$539)</f>
        <v>0</v>
      </c>
      <c r="H540" s="450">
        <f>SUM($H$539:$H$539)</f>
        <v>0</v>
      </c>
      <c r="I540" s="463">
        <f>SUM($I$539:$I$539)</f>
        <v>0</v>
      </c>
      <c r="J540" s="346">
        <f>SUM($J$539:$J$539)</f>
        <v>0</v>
      </c>
      <c r="K540" s="346">
        <f>SUM($K$539:$K$539)</f>
        <v>0</v>
      </c>
    </row>
    <row r="541" spans="1:11" ht="15.5">
      <c r="A541" s="331">
        <v>29</v>
      </c>
      <c r="B541" s="192"/>
      <c r="C541" s="192"/>
      <c r="D541" s="729"/>
      <c r="E541" s="1"/>
      <c r="F541" s="504"/>
      <c r="G541" s="511"/>
      <c r="H541" s="510"/>
      <c r="I541" s="512"/>
      <c r="J541" s="504"/>
      <c r="K541" s="504"/>
    </row>
    <row r="542" spans="1:11" ht="15.5">
      <c r="A542" s="331">
        <v>30</v>
      </c>
      <c r="B542" s="330" t="s">
        <v>40</v>
      </c>
      <c r="C542" s="192"/>
      <c r="D542" s="729"/>
      <c r="E542" s="1"/>
      <c r="F542" s="504"/>
      <c r="G542" s="511"/>
      <c r="H542" s="510"/>
      <c r="I542" s="512"/>
      <c r="J542" s="504"/>
      <c r="K542" s="504"/>
    </row>
    <row r="543" spans="1:11" ht="13">
      <c r="A543" s="331">
        <v>31</v>
      </c>
      <c r="C543" s="330" t="s">
        <v>542</v>
      </c>
      <c r="D543" s="342"/>
      <c r="E543" s="195"/>
      <c r="F543" s="347">
        <f>F532</f>
        <v>730942</v>
      </c>
      <c r="G543" s="459">
        <f>$G$532</f>
        <v>811796</v>
      </c>
      <c r="H543" s="460">
        <f>$H$532</f>
        <v>0</v>
      </c>
      <c r="I543" s="461">
        <f>$I$532</f>
        <v>-80854</v>
      </c>
      <c r="J543" s="345">
        <f>$J$532</f>
        <v>730942</v>
      </c>
      <c r="K543" s="345">
        <f>$K$532</f>
        <v>0</v>
      </c>
    </row>
    <row r="544" spans="1:11" ht="13">
      <c r="A544" s="331">
        <v>32</v>
      </c>
      <c r="C544" s="357" t="s">
        <v>411</v>
      </c>
      <c r="D544" s="342"/>
      <c r="E544" s="195"/>
      <c r="F544" s="347">
        <f>-F536</f>
        <v>-60747</v>
      </c>
      <c r="G544" s="459">
        <f>-$G$536</f>
        <v>-546</v>
      </c>
      <c r="H544" s="460">
        <f>-$H$536</f>
        <v>0</v>
      </c>
      <c r="I544" s="461">
        <f>-$I$536</f>
        <v>-60201</v>
      </c>
      <c r="J544" s="345">
        <f>-$J$536</f>
        <v>-60747</v>
      </c>
      <c r="K544" s="345">
        <f>-$K$536</f>
        <v>0</v>
      </c>
    </row>
    <row r="545" spans="1:11" ht="13">
      <c r="A545" s="331">
        <v>33</v>
      </c>
      <c r="C545" s="330" t="s">
        <v>190</v>
      </c>
      <c r="D545" s="342"/>
      <c r="E545" s="195"/>
      <c r="F545" s="346">
        <f>SUM(F543:F544)</f>
        <v>670195</v>
      </c>
      <c r="G545" s="462">
        <f>SUM($G$543:$G$544)</f>
        <v>811250</v>
      </c>
      <c r="H545" s="450">
        <f>SUM($H$543:$H$544)</f>
        <v>0</v>
      </c>
      <c r="I545" s="463">
        <f>SUM($I$543:$I$544)</f>
        <v>-141055</v>
      </c>
      <c r="J545" s="346">
        <f>SUM($J$543:$J$544)</f>
        <v>670195</v>
      </c>
      <c r="K545" s="346">
        <f>SUM($K$543:$K$544)</f>
        <v>0</v>
      </c>
    </row>
    <row r="546" spans="1:11" ht="13">
      <c r="A546" s="331">
        <v>34</v>
      </c>
      <c r="D546" s="342"/>
      <c r="E546" s="195"/>
      <c r="F546" s="351"/>
      <c r="G546" s="456"/>
      <c r="H546" s="457"/>
      <c r="I546" s="458"/>
    </row>
    <row r="547" spans="1:11" ht="13">
      <c r="A547" s="331">
        <v>35</v>
      </c>
      <c r="B547" s="330" t="s">
        <v>74</v>
      </c>
      <c r="D547" s="342"/>
      <c r="E547" s="195"/>
      <c r="F547" s="351"/>
      <c r="G547" s="456"/>
      <c r="H547" s="457"/>
      <c r="I547" s="458"/>
    </row>
    <row r="548" spans="1:11" ht="13">
      <c r="A548" s="331">
        <v>36</v>
      </c>
      <c r="C548" s="330" t="s">
        <v>43</v>
      </c>
      <c r="D548" s="342"/>
      <c r="E548" s="195"/>
      <c r="F548" s="347">
        <f t="shared" ref="F548:K548" si="134">F334</f>
        <v>33063474</v>
      </c>
      <c r="G548" s="459">
        <f t="shared" si="134"/>
        <v>557018</v>
      </c>
      <c r="H548" s="460">
        <f t="shared" si="134"/>
        <v>0</v>
      </c>
      <c r="I548" s="461">
        <f t="shared" si="134"/>
        <v>32506456</v>
      </c>
      <c r="J548" s="345">
        <f t="shared" si="134"/>
        <v>33063474</v>
      </c>
      <c r="K548" s="345">
        <f t="shared" si="134"/>
        <v>0</v>
      </c>
    </row>
    <row r="549" spans="1:11" ht="13">
      <c r="A549" s="331">
        <v>37</v>
      </c>
      <c r="C549" s="330" t="s">
        <v>72</v>
      </c>
      <c r="D549" s="342"/>
      <c r="E549" s="195"/>
      <c r="F549" s="347">
        <f>-F524</f>
        <v>-15833914</v>
      </c>
      <c r="G549" s="459">
        <f>-$G$524</f>
        <v>-451648</v>
      </c>
      <c r="H549" s="460">
        <f>-$H$524</f>
        <v>0</v>
      </c>
      <c r="I549" s="461">
        <f>-$I$524</f>
        <v>-15382266</v>
      </c>
      <c r="J549" s="345">
        <f>-$J$524</f>
        <v>-15833914</v>
      </c>
      <c r="K549" s="345">
        <f>-$K$524</f>
        <v>0</v>
      </c>
    </row>
    <row r="550" spans="1:11" ht="13">
      <c r="A550" s="331">
        <v>38</v>
      </c>
      <c r="C550" s="330" t="s">
        <v>1419</v>
      </c>
      <c r="D550" s="342"/>
      <c r="E550" s="195"/>
      <c r="F550" s="347">
        <f t="shared" ref="F550:K550" si="135">F591</f>
        <v>632684</v>
      </c>
      <c r="G550" s="459">
        <f t="shared" si="135"/>
        <v>5682</v>
      </c>
      <c r="H550" s="460">
        <f t="shared" si="135"/>
        <v>0</v>
      </c>
      <c r="I550" s="461">
        <f t="shared" si="135"/>
        <v>627002</v>
      </c>
      <c r="J550" s="345">
        <f t="shared" si="135"/>
        <v>632684</v>
      </c>
      <c r="K550" s="345">
        <f t="shared" si="135"/>
        <v>0</v>
      </c>
    </row>
    <row r="551" spans="1:11" ht="13">
      <c r="A551" s="331">
        <v>39</v>
      </c>
      <c r="C551" s="357" t="s">
        <v>194</v>
      </c>
      <c r="D551" s="342"/>
      <c r="E551" s="195"/>
      <c r="F551" s="347">
        <f>F545</f>
        <v>670195</v>
      </c>
      <c r="G551" s="459">
        <f>$G$545</f>
        <v>811250</v>
      </c>
      <c r="H551" s="460">
        <f>$H$545</f>
        <v>0</v>
      </c>
      <c r="I551" s="461">
        <f>$I$545</f>
        <v>-141055</v>
      </c>
      <c r="J551" s="345">
        <f>$J$545</f>
        <v>670195</v>
      </c>
      <c r="K551" s="345">
        <f>$K$545</f>
        <v>0</v>
      </c>
    </row>
    <row r="552" spans="1:11" ht="13">
      <c r="A552" s="331">
        <v>40</v>
      </c>
      <c r="C552" s="330" t="s">
        <v>191</v>
      </c>
      <c r="D552" s="342"/>
      <c r="E552" s="195"/>
      <c r="F552" s="346">
        <f>SUM(F548:F551)</f>
        <v>18532439</v>
      </c>
      <c r="G552" s="462">
        <f>SUM($G$548:$G$551)</f>
        <v>922302</v>
      </c>
      <c r="H552" s="450">
        <f>SUM($H$548:$H$551)</f>
        <v>0</v>
      </c>
      <c r="I552" s="463">
        <f>SUM($I$548:$I$551)</f>
        <v>17610137</v>
      </c>
      <c r="J552" s="346">
        <f>SUM($J$548:$J$551)</f>
        <v>18532439</v>
      </c>
      <c r="K552" s="346">
        <f>SUM($K$548:$K$551)</f>
        <v>0</v>
      </c>
    </row>
    <row r="553" spans="1:11" ht="13">
      <c r="A553" s="331">
        <v>41</v>
      </c>
      <c r="D553" s="342"/>
      <c r="E553" s="195"/>
      <c r="F553" s="351"/>
      <c r="G553" s="456"/>
      <c r="H553" s="457"/>
      <c r="I553" s="458"/>
    </row>
    <row r="554" spans="1:11" ht="13">
      <c r="A554" s="331">
        <v>42</v>
      </c>
      <c r="C554" s="330" t="s">
        <v>192</v>
      </c>
      <c r="D554" s="342"/>
      <c r="E554" s="195"/>
      <c r="F554" s="354">
        <f>ROUND(F692/(1-F692),9)</f>
        <v>0.26582278500000001</v>
      </c>
      <c r="G554" s="464">
        <f>ROUND(G692/(1-G692),9)</f>
        <v>0.26582278500000001</v>
      </c>
      <c r="H554" s="465">
        <f>ROUND(H692/(1-H692),9)</f>
        <v>0.26582278500000001</v>
      </c>
      <c r="I554" s="466">
        <f>ROUND(I692/(1-I692),9)</f>
        <v>0.26582278500000001</v>
      </c>
      <c r="J554" s="348"/>
      <c r="K554" s="348">
        <f>ROUND(K692/(1-K692),9)</f>
        <v>0.26582278500000001</v>
      </c>
    </row>
    <row r="555" spans="1:11" ht="13">
      <c r="A555" s="331">
        <v>43</v>
      </c>
      <c r="C555" s="330" t="s">
        <v>193</v>
      </c>
      <c r="D555" s="1393" t="s">
        <v>1398</v>
      </c>
      <c r="E555" s="340"/>
      <c r="F555" s="347">
        <f>F554*F552</f>
        <v>4926344.5478226151</v>
      </c>
      <c r="G555" s="499">
        <f>ROUND($G$552*$G$554,0)</f>
        <v>245169</v>
      </c>
      <c r="H555" s="500">
        <f>ROUND($H$552*$H$554,0)</f>
        <v>0</v>
      </c>
      <c r="I555" s="501">
        <f>ROUND($I$552*$I$554,0)</f>
        <v>4681176</v>
      </c>
      <c r="J555" s="345">
        <f>SUM($G$555:$I$555)</f>
        <v>4926345</v>
      </c>
      <c r="K555" s="345">
        <f>ROUND($K$552*$K$554,0)</f>
        <v>0</v>
      </c>
    </row>
    <row r="556" spans="1:11" ht="13">
      <c r="A556" s="331">
        <v>44</v>
      </c>
      <c r="C556" s="357" t="s">
        <v>194</v>
      </c>
      <c r="D556" s="342"/>
      <c r="E556" s="195"/>
      <c r="F556" s="347">
        <f>F545</f>
        <v>670195</v>
      </c>
      <c r="G556" s="459">
        <f>$G$545</f>
        <v>811250</v>
      </c>
      <c r="H556" s="460">
        <f>$H$545</f>
        <v>0</v>
      </c>
      <c r="I556" s="461">
        <f>$I$545</f>
        <v>-141055</v>
      </c>
      <c r="J556" s="345">
        <f>$J$545</f>
        <v>670195</v>
      </c>
      <c r="K556" s="345">
        <f>$K$545</f>
        <v>0</v>
      </c>
    </row>
    <row r="557" spans="1:11" ht="13">
      <c r="A557" s="331">
        <v>45</v>
      </c>
      <c r="C557" s="351" t="s">
        <v>195</v>
      </c>
      <c r="D557" s="352"/>
      <c r="E557" s="340"/>
      <c r="F557" s="346">
        <f>SUM(F555:F556)</f>
        <v>5596539.5478226151</v>
      </c>
      <c r="G557" s="462">
        <f>SUM($G$555:$G$556)</f>
        <v>1056419</v>
      </c>
      <c r="H557" s="450">
        <f>SUM($H$555:$H$556)</f>
        <v>0</v>
      </c>
      <c r="I557" s="463">
        <f>SUM($I$555:$I$556)</f>
        <v>4540121</v>
      </c>
      <c r="J557" s="346">
        <f>SUM($J$555:$J$556)</f>
        <v>5596540</v>
      </c>
      <c r="K557" s="346">
        <f>SUM($K$555:$K$556)</f>
        <v>0</v>
      </c>
    </row>
    <row r="558" spans="1:11" ht="13">
      <c r="A558" s="331">
        <v>46</v>
      </c>
      <c r="D558" s="342"/>
      <c r="E558" s="195"/>
      <c r="F558" s="351"/>
      <c r="G558" s="456"/>
      <c r="H558" s="457"/>
      <c r="I558" s="458"/>
    </row>
    <row r="559" spans="1:11" ht="13">
      <c r="A559" s="331">
        <v>47</v>
      </c>
      <c r="B559" s="330" t="s">
        <v>68</v>
      </c>
      <c r="D559" s="342"/>
      <c r="E559" s="195"/>
      <c r="F559" s="351"/>
      <c r="G559" s="456"/>
      <c r="H559" s="457"/>
      <c r="I559" s="458"/>
    </row>
    <row r="560" spans="1:11" ht="13">
      <c r="A560" s="331">
        <v>48</v>
      </c>
      <c r="B560" s="330" t="s">
        <v>75</v>
      </c>
      <c r="D560" s="342"/>
      <c r="E560" s="195"/>
      <c r="F560" s="351"/>
      <c r="G560" s="456"/>
      <c r="H560" s="457"/>
      <c r="I560" s="458"/>
    </row>
    <row r="561" spans="1:12" ht="13">
      <c r="A561" s="331">
        <v>49</v>
      </c>
      <c r="C561" s="330" t="s">
        <v>196</v>
      </c>
      <c r="D561" s="342"/>
      <c r="E561" s="195"/>
      <c r="F561" s="347">
        <f>F555</f>
        <v>4926344.5478226151</v>
      </c>
      <c r="G561" s="459">
        <f>$G$555</f>
        <v>245169</v>
      </c>
      <c r="H561" s="460">
        <f>$H$555</f>
        <v>0</v>
      </c>
      <c r="I561" s="461">
        <f>$I$555</f>
        <v>4681176</v>
      </c>
      <c r="J561" s="345">
        <f>$J$555</f>
        <v>4926345</v>
      </c>
      <c r="K561" s="345">
        <f>$K$555</f>
        <v>0</v>
      </c>
    </row>
    <row r="562" spans="1:12" ht="13">
      <c r="A562" s="331">
        <v>50</v>
      </c>
      <c r="B562" s="612"/>
      <c r="C562" s="1434" t="s">
        <v>197</v>
      </c>
      <c r="D562" s="1432"/>
      <c r="E562" s="448"/>
      <c r="F562" s="609">
        <f>-F540</f>
        <v>0</v>
      </c>
      <c r="G562" s="1436">
        <f>-$G$540</f>
        <v>0</v>
      </c>
      <c r="H562" s="1437">
        <f>-$H$540</f>
        <v>0</v>
      </c>
      <c r="I562" s="1438">
        <f>-$I$540</f>
        <v>0</v>
      </c>
      <c r="J562" s="609">
        <f>-$J$540</f>
        <v>0</v>
      </c>
      <c r="K562" s="609">
        <f>-$K$540</f>
        <v>0</v>
      </c>
      <c r="L562" s="612"/>
    </row>
    <row r="563" spans="1:12" ht="13">
      <c r="A563" s="331">
        <v>51</v>
      </c>
      <c r="C563" s="330" t="s">
        <v>198</v>
      </c>
      <c r="D563" s="342"/>
      <c r="E563" s="195"/>
      <c r="F563" s="346">
        <f>SUM(F560:F562)</f>
        <v>4926344.5478226151</v>
      </c>
      <c r="G563" s="462">
        <f>SUM($G$560:$G$562)</f>
        <v>245169</v>
      </c>
      <c r="H563" s="450">
        <f>SUM($H$560:$H$562)</f>
        <v>0</v>
      </c>
      <c r="I563" s="463">
        <f>SUM($I$560:$I$562)</f>
        <v>4681176</v>
      </c>
      <c r="J563" s="346">
        <f>SUM($J$560:$J$562)</f>
        <v>4926345</v>
      </c>
      <c r="K563" s="346">
        <f>SUM($K$560:$K$562)</f>
        <v>0</v>
      </c>
    </row>
    <row r="564" spans="1:12" ht="13">
      <c r="A564" s="331">
        <v>52</v>
      </c>
      <c r="D564" s="342"/>
      <c r="E564" s="195"/>
      <c r="G564" s="456"/>
      <c r="H564" s="457"/>
      <c r="I564" s="458"/>
    </row>
    <row r="565" spans="1:12" ht="13">
      <c r="A565" s="331">
        <v>53</v>
      </c>
      <c r="B565" s="612" t="s">
        <v>76</v>
      </c>
      <c r="C565" s="612"/>
      <c r="D565" s="1432"/>
      <c r="E565" s="448"/>
      <c r="F565" s="1476">
        <f>ROUND((F693*(1-F692))+((1-F693)*(1-F692)*F694)+F692,5)</f>
        <v>0.24925</v>
      </c>
      <c r="G565" s="1433">
        <f>ROUND((G693*(1-G692))+((1-G693)*(1-G692)*G694)+G692,5)</f>
        <v>0.24925</v>
      </c>
      <c r="H565" s="1434">
        <f>ROUND((H693*(1-H692))+((1-H693)*(1-H692)*H694)+H692,5)</f>
        <v>0.24925</v>
      </c>
      <c r="I565" s="1435">
        <f>ROUND((I693*(1-I692))+((1-I693)*(1-I692)*I694)+I692,5)</f>
        <v>0.24925</v>
      </c>
      <c r="J565" s="612"/>
      <c r="K565" s="612">
        <f>ROUND((K693*(1-K692))+((1-K693)*(1-K692)*K694)+K692,5)</f>
        <v>0.24925</v>
      </c>
      <c r="L565" s="612"/>
    </row>
    <row r="566" spans="1:12" ht="13">
      <c r="B566" s="341"/>
      <c r="C566" s="195"/>
      <c r="D566" s="342"/>
      <c r="E566" s="195"/>
      <c r="F566" s="195"/>
      <c r="G566" s="195"/>
      <c r="H566" s="195"/>
      <c r="I566" s="195"/>
      <c r="J566" s="195"/>
      <c r="K566" s="195"/>
    </row>
    <row r="567" spans="1:12" ht="13">
      <c r="A567" s="341" t="str">
        <f>co_name</f>
        <v>DUKE ENERGY KENTUCKY, INC.</v>
      </c>
      <c r="C567" s="195"/>
      <c r="D567" s="342"/>
      <c r="E567" s="195"/>
      <c r="F567" s="195"/>
      <c r="G567" s="195"/>
      <c r="H567" s="195"/>
      <c r="I567" s="195"/>
      <c r="J567" s="195" t="str">
        <f>$J$1</f>
        <v>FR-16(7)(v)-1</v>
      </c>
      <c r="K567" s="195"/>
    </row>
    <row r="568" spans="1:12" ht="13">
      <c r="A568" s="341" t="str">
        <f>$A$2</f>
        <v>FUNCTIONAL GAS COST OF SERVICE</v>
      </c>
      <c r="C568" s="195"/>
      <c r="D568" s="342"/>
      <c r="E568" s="195"/>
      <c r="F568" s="195"/>
      <c r="G568" s="195"/>
      <c r="H568" s="195"/>
      <c r="I568" s="195"/>
      <c r="J568" s="195" t="str">
        <f>$J$2</f>
        <v>WITNESS RESPONSIBLE:</v>
      </c>
      <c r="K568" s="195"/>
    </row>
    <row r="569" spans="1:12" ht="13">
      <c r="A569" s="341" t="str">
        <f>case_name</f>
        <v>CASE NO: 2021-00190</v>
      </c>
      <c r="C569" s="195"/>
      <c r="D569" s="342"/>
      <c r="E569" s="195"/>
      <c r="F569" s="195"/>
      <c r="G569" s="195"/>
      <c r="H569" s="195"/>
      <c r="I569" s="195"/>
      <c r="J569" s="195" t="str">
        <f>Witness</f>
        <v>JAMES E. ZIOLKOWSKI</v>
      </c>
      <c r="K569" s="195"/>
    </row>
    <row r="570" spans="1:12" ht="13">
      <c r="A570" s="341" t="str">
        <f>data_filing</f>
        <v>DATA: 12 MONTH FORECASTED PERIOD</v>
      </c>
      <c r="C570" s="195"/>
      <c r="D570" s="342"/>
      <c r="E570" s="195"/>
      <c r="F570" s="195"/>
      <c r="G570" s="195"/>
      <c r="H570" s="195"/>
      <c r="I570" s="195"/>
      <c r="J570" s="195" t="str">
        <f>"PAGE "&amp;Pages-5&amp;" OF "&amp;Pages</f>
        <v>PAGE 13 OF 18</v>
      </c>
      <c r="K570" s="195"/>
    </row>
    <row r="571" spans="1:12" ht="13">
      <c r="A571" s="341" t="str">
        <f>type</f>
        <v xml:space="preserve">TYPE OF FILING: "X" ORIGINAL   UPDATED    REVISED  </v>
      </c>
      <c r="C571" s="195"/>
      <c r="D571" s="342"/>
      <c r="E571" s="195"/>
      <c r="F571" s="195"/>
      <c r="G571" s="195"/>
      <c r="H571" s="195"/>
      <c r="I571" s="195"/>
      <c r="J571" s="195"/>
      <c r="K571" s="195"/>
    </row>
    <row r="574" spans="1:12" ht="13">
      <c r="A574" s="342" t="s">
        <v>907</v>
      </c>
      <c r="B574" s="1352"/>
      <c r="C574" s="1083"/>
      <c r="D574" s="1083"/>
      <c r="E574" s="340"/>
      <c r="F574" s="352" t="s">
        <v>229</v>
      </c>
      <c r="G574" s="467" t="s">
        <v>971</v>
      </c>
      <c r="H574" s="1353"/>
      <c r="I574" s="469"/>
      <c r="J574" s="342" t="s">
        <v>229</v>
      </c>
      <c r="K574" s="342" t="s">
        <v>342</v>
      </c>
    </row>
    <row r="575" spans="1:12" ht="13">
      <c r="A575" s="344" t="s">
        <v>908</v>
      </c>
      <c r="B575" s="1354" t="s">
        <v>1376</v>
      </c>
      <c r="C575" s="1355"/>
      <c r="D575" s="1356" t="s">
        <v>1377</v>
      </c>
      <c r="E575" s="1357"/>
      <c r="F575" s="353" t="str">
        <f>$F$9</f>
        <v>GAS</v>
      </c>
      <c r="G575" s="454" t="s">
        <v>838</v>
      </c>
      <c r="H575" s="449" t="s">
        <v>970</v>
      </c>
      <c r="I575" s="455" t="s">
        <v>839</v>
      </c>
      <c r="J575" s="344" t="s">
        <v>341</v>
      </c>
      <c r="K575" s="344" t="s">
        <v>340</v>
      </c>
    </row>
    <row r="576" spans="1:12" ht="15.5">
      <c r="A576" s="1358"/>
      <c r="B576" s="1359"/>
      <c r="C576" s="1360" t="s">
        <v>1378</v>
      </c>
      <c r="D576" s="1361"/>
      <c r="E576" s="340"/>
      <c r="F576" s="351"/>
      <c r="G576" s="1362">
        <f>$G$10</f>
        <v>3</v>
      </c>
      <c r="H576" s="1363">
        <f>$H$10</f>
        <v>4</v>
      </c>
      <c r="I576" s="1364">
        <f>$I$10</f>
        <v>5</v>
      </c>
    </row>
    <row r="577" spans="1:11" ht="13">
      <c r="A577" s="961">
        <v>1</v>
      </c>
      <c r="B577" s="1365" t="s">
        <v>1379</v>
      </c>
      <c r="C577" s="1352"/>
      <c r="D577" s="1352"/>
      <c r="E577" s="340"/>
      <c r="F577" s="340"/>
      <c r="G577" s="1366"/>
      <c r="H577" s="1367"/>
      <c r="I577" s="1368"/>
      <c r="J577" s="195"/>
      <c r="K577" s="195"/>
    </row>
    <row r="578" spans="1:11" ht="13">
      <c r="A578" s="961">
        <v>2</v>
      </c>
      <c r="B578" s="1369" t="s">
        <v>1380</v>
      </c>
      <c r="C578" s="1352"/>
      <c r="D578" s="1370" t="s">
        <v>315</v>
      </c>
      <c r="E578" s="448" t="s">
        <v>1483</v>
      </c>
      <c r="F578" s="473">
        <f>-[1]SCH_E1!$Q$65</f>
        <v>6777000</v>
      </c>
      <c r="G578" s="459">
        <f>ROUND(F578*VLOOKUP(D578,AllocTable_Functional,$G$10,FALSE),0)</f>
        <v>60857</v>
      </c>
      <c r="H578" s="460">
        <f>ROUND(F578*VLOOKUP(D578,AllocTable_Functional,$H$10,FALSE),0)</f>
        <v>0</v>
      </c>
      <c r="I578" s="461">
        <f>ROUND(F578*VLOOKUP(D578,AllocTable_Functional,$I$10,FALSE),0)</f>
        <v>6716143</v>
      </c>
      <c r="J578" s="345">
        <f>SUM(G578:I578)</f>
        <v>6777000</v>
      </c>
      <c r="K578" s="345">
        <f>F578-J578</f>
        <v>0</v>
      </c>
    </row>
    <row r="579" spans="1:11" ht="13">
      <c r="A579" s="961">
        <v>3</v>
      </c>
      <c r="B579" s="1369" t="s">
        <v>1152</v>
      </c>
      <c r="C579" s="1371"/>
      <c r="D579" s="1370" t="s">
        <v>315</v>
      </c>
      <c r="E579" s="340"/>
      <c r="F579" s="1372"/>
      <c r="G579" s="478">
        <f>ROUND(F579*VLOOKUP(D579,AllocTable_Functional,$G$10,FALSE),0)</f>
        <v>0</v>
      </c>
      <c r="H579" s="479">
        <f>ROUND(F579*VLOOKUP(D579,AllocTable_Functional,$H$10,FALSE),0)</f>
        <v>0</v>
      </c>
      <c r="I579" s="480">
        <f>ROUND(F579*VLOOKUP(D579,AllocTable_Functional,$I$10,FALSE),0)</f>
        <v>0</v>
      </c>
      <c r="J579" s="496">
        <f>SUM(G579:I579)</f>
        <v>0</v>
      </c>
      <c r="K579" s="496">
        <f>F579-J579</f>
        <v>0</v>
      </c>
    </row>
    <row r="580" spans="1:11" ht="13">
      <c r="A580" s="961">
        <v>4</v>
      </c>
      <c r="B580" s="1373" t="s">
        <v>1381</v>
      </c>
      <c r="C580" s="1352"/>
      <c r="D580" s="1374"/>
      <c r="E580" s="340"/>
      <c r="F580" s="1280">
        <f t="shared" ref="F580:K580" si="136">SUM(F578:F579)</f>
        <v>6777000</v>
      </c>
      <c r="G580" s="1281">
        <f t="shared" si="136"/>
        <v>60857</v>
      </c>
      <c r="H580" s="1282">
        <f t="shared" si="136"/>
        <v>0</v>
      </c>
      <c r="I580" s="1283">
        <f t="shared" si="136"/>
        <v>6716143</v>
      </c>
      <c r="J580" s="333">
        <f t="shared" si="136"/>
        <v>6777000</v>
      </c>
      <c r="K580" s="333">
        <f t="shared" si="136"/>
        <v>0</v>
      </c>
    </row>
    <row r="581" spans="1:11" ht="15.5">
      <c r="A581" s="961">
        <v>5</v>
      </c>
      <c r="B581" s="1358"/>
      <c r="C581" s="1361"/>
      <c r="D581" s="1375"/>
      <c r="E581" s="340"/>
      <c r="F581" s="351"/>
      <c r="G581" s="456"/>
      <c r="H581" s="457"/>
      <c r="I581" s="458"/>
    </row>
    <row r="582" spans="1:11" ht="13">
      <c r="A582" s="961">
        <v>6</v>
      </c>
      <c r="B582" s="1376" t="s">
        <v>1382</v>
      </c>
      <c r="C582" s="1352"/>
      <c r="D582" s="1374"/>
      <c r="E582" s="340"/>
      <c r="F582" s="351"/>
      <c r="G582" s="456"/>
      <c r="H582" s="457"/>
      <c r="I582" s="458"/>
    </row>
    <row r="583" spans="1:11" ht="13">
      <c r="A583" s="961">
        <v>7</v>
      </c>
      <c r="B583" s="1377" t="s">
        <v>1383</v>
      </c>
      <c r="C583" s="1352"/>
      <c r="D583" s="1374"/>
      <c r="E583" s="340"/>
      <c r="F583" s="351"/>
      <c r="G583" s="456"/>
      <c r="H583" s="457"/>
      <c r="I583" s="458"/>
    </row>
    <row r="584" spans="1:11" ht="13">
      <c r="A584" s="961">
        <v>8</v>
      </c>
      <c r="B584" s="1378" t="s">
        <v>1384</v>
      </c>
      <c r="C584" s="1371"/>
      <c r="D584" s="1370" t="s">
        <v>315</v>
      </c>
      <c r="E584" s="448" t="s">
        <v>1483</v>
      </c>
      <c r="F584" s="1431">
        <f>[1]SCH_E1!$Q$105</f>
        <v>632684</v>
      </c>
      <c r="G584" s="478">
        <f>F584-SUM(H584:I584)</f>
        <v>5682</v>
      </c>
      <c r="H584" s="479">
        <f>ROUND(F584*VLOOKUP(D584,AllocTable_Functional,$H$10,FALSE),0)</f>
        <v>0</v>
      </c>
      <c r="I584" s="480">
        <f>ROUND(F584*VLOOKUP(D584,AllocTable_Functional,$I$10,FALSE),0)</f>
        <v>627002</v>
      </c>
      <c r="J584" s="496">
        <f>SUM(G584:I584)</f>
        <v>632684</v>
      </c>
      <c r="K584" s="496">
        <f>F584-J584</f>
        <v>0</v>
      </c>
    </row>
    <row r="585" spans="1:11" ht="13">
      <c r="A585" s="961">
        <v>9</v>
      </c>
      <c r="B585" s="1373" t="s">
        <v>1386</v>
      </c>
      <c r="C585" s="1352"/>
      <c r="D585" s="1374"/>
      <c r="E585" s="340"/>
      <c r="F585" s="1280">
        <f t="shared" ref="F585:K585" si="137">SUM(F584)</f>
        <v>632684</v>
      </c>
      <c r="G585" s="1281">
        <f t="shared" si="137"/>
        <v>5682</v>
      </c>
      <c r="H585" s="1282">
        <f t="shared" si="137"/>
        <v>0</v>
      </c>
      <c r="I585" s="1283">
        <f t="shared" si="137"/>
        <v>627002</v>
      </c>
      <c r="J585" s="333">
        <f t="shared" si="137"/>
        <v>632684</v>
      </c>
      <c r="K585" s="333">
        <f t="shared" si="137"/>
        <v>0</v>
      </c>
    </row>
    <row r="586" spans="1:11" ht="13">
      <c r="A586" s="961">
        <v>10</v>
      </c>
      <c r="B586" s="1082"/>
      <c r="C586" s="1352"/>
      <c r="D586" s="1374"/>
      <c r="E586" s="340"/>
      <c r="F586" s="351"/>
      <c r="G586" s="456"/>
      <c r="H586" s="457"/>
      <c r="I586" s="458"/>
    </row>
    <row r="587" spans="1:11" ht="13">
      <c r="A587" s="961">
        <v>11</v>
      </c>
      <c r="B587" s="1379" t="s">
        <v>1387</v>
      </c>
      <c r="C587" s="1380"/>
      <c r="D587" s="1381"/>
      <c r="E587" s="340"/>
      <c r="F587" s="351"/>
      <c r="G587" s="456"/>
      <c r="H587" s="457"/>
      <c r="I587" s="458"/>
    </row>
    <row r="588" spans="1:11" ht="13">
      <c r="A588" s="961">
        <v>12</v>
      </c>
      <c r="B588" s="1369" t="s">
        <v>1388</v>
      </c>
      <c r="C588" s="1371"/>
      <c r="D588" s="1370" t="s">
        <v>315</v>
      </c>
      <c r="E588" s="340"/>
      <c r="F588" s="1372">
        <v>0</v>
      </c>
      <c r="G588" s="478">
        <f>ROUND(F588*VLOOKUP(D588,AllocTable_Functional,$G$10,FALSE),0)</f>
        <v>0</v>
      </c>
      <c r="H588" s="479">
        <f>ROUND(F588*VLOOKUP(D588,AllocTable_Functional,$H$10,FALSE),0)</f>
        <v>0</v>
      </c>
      <c r="I588" s="480">
        <f>ROUND(F588*VLOOKUP(D588,AllocTable_Functional,$I$10,FALSE),0)</f>
        <v>0</v>
      </c>
      <c r="J588" s="496">
        <f>SUM(G588:I588)</f>
        <v>0</v>
      </c>
      <c r="K588" s="496">
        <f>F588-J588</f>
        <v>0</v>
      </c>
    </row>
    <row r="589" spans="1:11" ht="13">
      <c r="A589" s="961">
        <v>13</v>
      </c>
      <c r="B589" s="1373" t="s">
        <v>1389</v>
      </c>
      <c r="C589" s="1352"/>
      <c r="D589" s="1374"/>
      <c r="E589" s="340"/>
      <c r="F589" s="1280">
        <f t="shared" ref="F589:K589" si="138">SUM(F588)</f>
        <v>0</v>
      </c>
      <c r="G589" s="1281">
        <f t="shared" si="138"/>
        <v>0</v>
      </c>
      <c r="H589" s="1282">
        <f t="shared" si="138"/>
        <v>0</v>
      </c>
      <c r="I589" s="1283">
        <f t="shared" si="138"/>
        <v>0</v>
      </c>
      <c r="J589" s="333">
        <f t="shared" si="138"/>
        <v>0</v>
      </c>
      <c r="K589" s="333">
        <f t="shared" si="138"/>
        <v>0</v>
      </c>
    </row>
    <row r="590" spans="1:11" ht="13">
      <c r="A590" s="961">
        <v>14</v>
      </c>
      <c r="B590" s="1352"/>
      <c r="C590" s="1352"/>
      <c r="D590" s="1374"/>
      <c r="E590" s="340"/>
      <c r="F590" s="351"/>
      <c r="G590" s="456"/>
      <c r="H590" s="457"/>
      <c r="I590" s="458"/>
    </row>
    <row r="591" spans="1:11" ht="13">
      <c r="A591" s="961">
        <v>15</v>
      </c>
      <c r="B591" s="1352" t="s">
        <v>1390</v>
      </c>
      <c r="C591" s="1352"/>
      <c r="D591" s="1374"/>
      <c r="E591" s="340"/>
      <c r="F591" s="1280">
        <f>F589+F585</f>
        <v>632684</v>
      </c>
      <c r="G591" s="1281">
        <f t="shared" ref="G591:K591" si="139">G589+G585</f>
        <v>5682</v>
      </c>
      <c r="H591" s="1282">
        <f t="shared" si="139"/>
        <v>0</v>
      </c>
      <c r="I591" s="1283">
        <f t="shared" si="139"/>
        <v>627002</v>
      </c>
      <c r="J591" s="333">
        <f t="shared" si="139"/>
        <v>632684</v>
      </c>
      <c r="K591" s="333">
        <f t="shared" si="139"/>
        <v>0</v>
      </c>
    </row>
    <row r="592" spans="1:11" ht="13">
      <c r="A592" s="961">
        <v>16</v>
      </c>
      <c r="B592" s="1352"/>
      <c r="C592" s="1352"/>
      <c r="D592" s="1374"/>
      <c r="E592" s="340"/>
      <c r="F592" s="351"/>
      <c r="G592" s="456"/>
      <c r="H592" s="457"/>
      <c r="I592" s="458"/>
    </row>
    <row r="593" spans="1:11" ht="13">
      <c r="A593" s="961">
        <v>17</v>
      </c>
      <c r="B593" s="1382" t="s">
        <v>68</v>
      </c>
      <c r="C593" s="1383"/>
      <c r="D593" s="961"/>
      <c r="E593" s="340"/>
      <c r="F593" s="351"/>
      <c r="G593" s="456"/>
      <c r="H593" s="457"/>
      <c r="I593" s="458"/>
    </row>
    <row r="594" spans="1:11" ht="13">
      <c r="A594" s="961">
        <v>18</v>
      </c>
      <c r="B594" s="1377" t="s">
        <v>1391</v>
      </c>
      <c r="C594" s="1352"/>
      <c r="D594" s="1374"/>
      <c r="E594" s="340"/>
      <c r="F594" s="351"/>
      <c r="G594" s="456"/>
      <c r="H594" s="457"/>
      <c r="I594" s="458"/>
    </row>
    <row r="595" spans="1:11" ht="13">
      <c r="A595" s="961">
        <v>19</v>
      </c>
      <c r="B595" s="1352" t="s">
        <v>43</v>
      </c>
      <c r="C595" s="1352"/>
      <c r="D595" s="1374"/>
      <c r="E595" s="340"/>
      <c r="F595" s="1280">
        <f>F334</f>
        <v>33063474</v>
      </c>
      <c r="G595" s="1281">
        <f>G334</f>
        <v>557018</v>
      </c>
      <c r="H595" s="1282">
        <f>H334</f>
        <v>0</v>
      </c>
      <c r="I595" s="1283">
        <f>I334</f>
        <v>32506456</v>
      </c>
      <c r="J595" s="1280">
        <f>J334</f>
        <v>33063474</v>
      </c>
      <c r="K595" s="1280">
        <f t="shared" ref="K595" si="140">K316</f>
        <v>0</v>
      </c>
    </row>
    <row r="596" spans="1:11" ht="13">
      <c r="A596" s="961">
        <v>20</v>
      </c>
      <c r="B596" s="1352" t="s">
        <v>199</v>
      </c>
      <c r="C596" s="1352"/>
      <c r="D596" s="1374"/>
      <c r="E596" s="340"/>
      <c r="F596" s="1280">
        <f t="shared" ref="F596:K596" si="141">F557</f>
        <v>5596539.5478226151</v>
      </c>
      <c r="G596" s="1281">
        <f t="shared" si="141"/>
        <v>1056419</v>
      </c>
      <c r="H596" s="1282">
        <f t="shared" si="141"/>
        <v>0</v>
      </c>
      <c r="I596" s="1283">
        <f t="shared" si="141"/>
        <v>4540121</v>
      </c>
      <c r="J596" s="333">
        <f t="shared" si="141"/>
        <v>5596540</v>
      </c>
      <c r="K596" s="333">
        <f t="shared" si="141"/>
        <v>0</v>
      </c>
    </row>
    <row r="597" spans="1:11" ht="13">
      <c r="A597" s="961">
        <v>21</v>
      </c>
      <c r="B597" s="1352" t="s">
        <v>1392</v>
      </c>
      <c r="C597" s="1352"/>
      <c r="D597" s="1374"/>
      <c r="E597" s="340"/>
      <c r="F597" s="1280">
        <f>-F524</f>
        <v>-15833914</v>
      </c>
      <c r="G597" s="1281">
        <f t="shared" ref="G597:K597" si="142">-G524</f>
        <v>-451648</v>
      </c>
      <c r="H597" s="1282">
        <f t="shared" si="142"/>
        <v>0</v>
      </c>
      <c r="I597" s="1283">
        <f t="shared" si="142"/>
        <v>-15382266</v>
      </c>
      <c r="J597" s="333">
        <f t="shared" si="142"/>
        <v>-15833914</v>
      </c>
      <c r="K597" s="333">
        <f t="shared" si="142"/>
        <v>0</v>
      </c>
    </row>
    <row r="598" spans="1:11" ht="13">
      <c r="A598" s="961">
        <v>22</v>
      </c>
      <c r="B598" s="1352" t="s">
        <v>1393</v>
      </c>
      <c r="C598" s="1352"/>
      <c r="D598" s="1374"/>
      <c r="E598" s="340"/>
      <c r="F598" s="1280">
        <f t="shared" ref="F598:K598" si="143">-F580</f>
        <v>-6777000</v>
      </c>
      <c r="G598" s="1281">
        <f t="shared" si="143"/>
        <v>-60857</v>
      </c>
      <c r="H598" s="1282">
        <f t="shared" si="143"/>
        <v>0</v>
      </c>
      <c r="I598" s="1283">
        <f t="shared" si="143"/>
        <v>-6716143</v>
      </c>
      <c r="J598" s="333">
        <f t="shared" si="143"/>
        <v>-6777000</v>
      </c>
      <c r="K598" s="333">
        <f t="shared" si="143"/>
        <v>0</v>
      </c>
    </row>
    <row r="599" spans="1:11" ht="13">
      <c r="A599" s="961">
        <v>23</v>
      </c>
      <c r="B599" s="1371" t="s">
        <v>1394</v>
      </c>
      <c r="C599" s="1371"/>
      <c r="D599" s="1374"/>
      <c r="E599" s="340"/>
      <c r="F599" s="1384">
        <f t="shared" ref="F599:K599" si="144">F591</f>
        <v>632684</v>
      </c>
      <c r="G599" s="1385">
        <f t="shared" si="144"/>
        <v>5682</v>
      </c>
      <c r="H599" s="1386">
        <f t="shared" si="144"/>
        <v>0</v>
      </c>
      <c r="I599" s="1387">
        <f t="shared" si="144"/>
        <v>627002</v>
      </c>
      <c r="J599" s="1388">
        <f t="shared" si="144"/>
        <v>632684</v>
      </c>
      <c r="K599" s="1388">
        <f t="shared" si="144"/>
        <v>0</v>
      </c>
    </row>
    <row r="600" spans="1:11" ht="13">
      <c r="A600" s="961">
        <v>24</v>
      </c>
      <c r="B600" s="1082" t="s">
        <v>1395</v>
      </c>
      <c r="C600" s="1352"/>
      <c r="D600" s="1374"/>
      <c r="E600" s="340"/>
      <c r="F600" s="1280">
        <f t="shared" ref="F600:K600" si="145">SUM(F595:F599)</f>
        <v>16681783.547822617</v>
      </c>
      <c r="G600" s="1281">
        <f t="shared" si="145"/>
        <v>1106614</v>
      </c>
      <c r="H600" s="1282">
        <f t="shared" si="145"/>
        <v>0</v>
      </c>
      <c r="I600" s="1283">
        <f t="shared" si="145"/>
        <v>15575170</v>
      </c>
      <c r="J600" s="333">
        <f t="shared" si="145"/>
        <v>16681784</v>
      </c>
      <c r="K600" s="333">
        <f t="shared" si="145"/>
        <v>0</v>
      </c>
    </row>
    <row r="601" spans="1:11" ht="13">
      <c r="A601" s="961">
        <v>25</v>
      </c>
      <c r="B601" s="1352"/>
      <c r="C601" s="1352"/>
      <c r="D601" s="1374"/>
      <c r="E601" s="340"/>
      <c r="F601" s="351"/>
      <c r="G601" s="456"/>
      <c r="H601" s="457"/>
      <c r="I601" s="458"/>
    </row>
    <row r="602" spans="1:11" ht="13">
      <c r="A602" s="961">
        <v>26</v>
      </c>
      <c r="B602" s="1352" t="s">
        <v>1396</v>
      </c>
      <c r="C602" s="1352"/>
      <c r="D602" s="1374"/>
      <c r="E602" s="340"/>
      <c r="F602" s="1389">
        <f>ROUND(SIT/(1-SIT),8)</f>
        <v>5.2282660000000002E-2</v>
      </c>
      <c r="G602" s="1390">
        <f t="shared" ref="G602:K602" si="146">ROUND(SIT/(1-SIT),8)</f>
        <v>5.2282660000000002E-2</v>
      </c>
      <c r="H602" s="1391">
        <f t="shared" si="146"/>
        <v>5.2282660000000002E-2</v>
      </c>
      <c r="I602" s="1392">
        <f t="shared" si="146"/>
        <v>5.2282660000000002E-2</v>
      </c>
      <c r="J602" s="1389">
        <f t="shared" si="146"/>
        <v>5.2282660000000002E-2</v>
      </c>
      <c r="K602" s="1389">
        <f t="shared" si="146"/>
        <v>5.2282660000000002E-2</v>
      </c>
    </row>
    <row r="603" spans="1:11" ht="13">
      <c r="A603" s="961">
        <v>27</v>
      </c>
      <c r="B603" s="1352" t="s">
        <v>1397</v>
      </c>
      <c r="C603" s="1352"/>
      <c r="D603" s="1393" t="s">
        <v>1398</v>
      </c>
      <c r="E603" s="340"/>
      <c r="F603" s="1394">
        <f>F600*F602</f>
        <v>872168.01742440369</v>
      </c>
      <c r="G603" s="1281">
        <f>ROUND(G600*G602,0)</f>
        <v>57857</v>
      </c>
      <c r="H603" s="1282">
        <f>ROUND(H600*H602,0)</f>
        <v>0</v>
      </c>
      <c r="I603" s="1283">
        <f>ROUND(I600*I602,0)</f>
        <v>814311</v>
      </c>
      <c r="J603" s="345">
        <f>SUM(G603:I603)</f>
        <v>872168</v>
      </c>
      <c r="K603" s="345">
        <f>F603-J603</f>
        <v>1.7424403689801693E-2</v>
      </c>
    </row>
    <row r="604" spans="1:11" ht="13">
      <c r="A604" s="961">
        <v>28</v>
      </c>
      <c r="B604" s="1371" t="s">
        <v>1399</v>
      </c>
      <c r="C604" s="1371"/>
      <c r="D604" s="1374"/>
      <c r="E604" s="1395"/>
      <c r="F604" s="1394">
        <f>F591</f>
        <v>632684</v>
      </c>
      <c r="G604" s="1396">
        <f>G591</f>
        <v>5682</v>
      </c>
      <c r="H604" s="1397">
        <f>H591</f>
        <v>0</v>
      </c>
      <c r="I604" s="1398">
        <f>I591</f>
        <v>627002</v>
      </c>
      <c r="J604" s="345">
        <f>SUM(G604:I604)</f>
        <v>632684</v>
      </c>
      <c r="K604" s="345">
        <f>F604-J604</f>
        <v>0</v>
      </c>
    </row>
    <row r="605" spans="1:11" ht="13">
      <c r="A605" s="961">
        <v>29</v>
      </c>
      <c r="B605" s="1082" t="s">
        <v>1400</v>
      </c>
      <c r="C605" s="1352"/>
      <c r="D605" s="1374"/>
      <c r="E605" s="340"/>
      <c r="F605" s="1399">
        <f t="shared" ref="F605:K605" si="147">F604+F603</f>
        <v>1504852.0174244037</v>
      </c>
      <c r="G605" s="1400">
        <f t="shared" si="147"/>
        <v>63539</v>
      </c>
      <c r="H605" s="1401">
        <f t="shared" si="147"/>
        <v>0</v>
      </c>
      <c r="I605" s="1402">
        <f t="shared" si="147"/>
        <v>1441313</v>
      </c>
      <c r="J605" s="1399">
        <f t="shared" si="147"/>
        <v>1504852</v>
      </c>
      <c r="K605" s="1399">
        <f t="shared" si="147"/>
        <v>1.7424403689801693E-2</v>
      </c>
    </row>
    <row r="606" spans="1:11" ht="13">
      <c r="A606" s="961">
        <v>30</v>
      </c>
      <c r="B606" s="1352"/>
      <c r="C606" s="1352"/>
      <c r="D606" s="1374"/>
      <c r="E606" s="340"/>
      <c r="F606" s="351"/>
      <c r="G606" s="456"/>
      <c r="H606" s="457"/>
      <c r="I606" s="458"/>
    </row>
    <row r="607" spans="1:11" ht="13">
      <c r="A607" s="961">
        <v>31</v>
      </c>
      <c r="B607" s="1352" t="s">
        <v>1401</v>
      </c>
      <c r="C607" s="1352"/>
      <c r="D607" s="1374"/>
      <c r="E607" s="340"/>
      <c r="F607" s="351"/>
      <c r="G607" s="456"/>
      <c r="H607" s="457"/>
      <c r="I607" s="458"/>
    </row>
    <row r="608" spans="1:11" ht="13">
      <c r="A608" s="961">
        <v>32</v>
      </c>
      <c r="B608" s="1352" t="s">
        <v>1397</v>
      </c>
      <c r="C608" s="1352"/>
      <c r="D608" s="1374"/>
      <c r="E608" s="340"/>
      <c r="F608" s="1394">
        <f t="shared" ref="F608:K608" si="148">F603</f>
        <v>872168.01742440369</v>
      </c>
      <c r="G608" s="1396">
        <f t="shared" si="148"/>
        <v>57857</v>
      </c>
      <c r="H608" s="1397">
        <f t="shared" si="148"/>
        <v>0</v>
      </c>
      <c r="I608" s="1398">
        <f t="shared" si="148"/>
        <v>814311</v>
      </c>
      <c r="J608" s="1394">
        <f t="shared" si="148"/>
        <v>872168</v>
      </c>
      <c r="K608" s="1394">
        <f t="shared" si="148"/>
        <v>1.7424403689801693E-2</v>
      </c>
    </row>
    <row r="609" spans="1:11" ht="13">
      <c r="A609" s="961">
        <v>33</v>
      </c>
      <c r="B609" s="1371" t="s">
        <v>1387</v>
      </c>
      <c r="C609" s="1371"/>
      <c r="D609" s="1374"/>
      <c r="E609" s="340"/>
      <c r="F609" s="1394">
        <f t="shared" ref="F609:K609" si="149">F589</f>
        <v>0</v>
      </c>
      <c r="G609" s="1396">
        <f t="shared" si="149"/>
        <v>0</v>
      </c>
      <c r="H609" s="1397">
        <f t="shared" si="149"/>
        <v>0</v>
      </c>
      <c r="I609" s="1398">
        <f t="shared" si="149"/>
        <v>0</v>
      </c>
      <c r="J609" s="1394">
        <f t="shared" si="149"/>
        <v>0</v>
      </c>
      <c r="K609" s="1394">
        <f t="shared" si="149"/>
        <v>0</v>
      </c>
    </row>
    <row r="610" spans="1:11" ht="13">
      <c r="A610" s="961">
        <v>34</v>
      </c>
      <c r="B610" s="1082" t="s">
        <v>1402</v>
      </c>
      <c r="C610" s="1352"/>
      <c r="D610" s="1374"/>
      <c r="E610" s="340"/>
      <c r="F610" s="1399">
        <f t="shared" ref="F610:K610" si="150">F608+F609</f>
        <v>872168.01742440369</v>
      </c>
      <c r="G610" s="1400">
        <f t="shared" si="150"/>
        <v>57857</v>
      </c>
      <c r="H610" s="1401">
        <f t="shared" si="150"/>
        <v>0</v>
      </c>
      <c r="I610" s="1402">
        <f t="shared" si="150"/>
        <v>814311</v>
      </c>
      <c r="J610" s="1399">
        <f t="shared" si="150"/>
        <v>872168</v>
      </c>
      <c r="K610" s="1399">
        <f t="shared" si="150"/>
        <v>1.7424403689801693E-2</v>
      </c>
    </row>
    <row r="611" spans="1:11" ht="13">
      <c r="A611" s="961">
        <v>35</v>
      </c>
      <c r="B611" s="1352"/>
      <c r="C611" s="1352"/>
      <c r="D611" s="1352"/>
      <c r="E611" s="340"/>
      <c r="F611" s="1394"/>
      <c r="G611" s="1396"/>
      <c r="H611" s="1397"/>
      <c r="I611" s="1398"/>
      <c r="J611" s="1394"/>
      <c r="K611" s="1394"/>
    </row>
    <row r="612" spans="1:11" ht="13">
      <c r="A612" s="961">
        <v>36</v>
      </c>
      <c r="B612" s="1352" t="s">
        <v>76</v>
      </c>
      <c r="C612" s="1352"/>
      <c r="D612" s="1352"/>
      <c r="E612" s="340"/>
      <c r="F612" s="1477">
        <f t="shared" ref="F612:K612" si="151">(SIT*(1-FIT))+((1-SIT)*(1-FIT)*RevTax)+FIT</f>
        <v>0.24925115</v>
      </c>
      <c r="G612" s="1404">
        <f t="shared" si="151"/>
        <v>0.24925115</v>
      </c>
      <c r="H612" s="1405">
        <f t="shared" si="151"/>
        <v>0.24925115</v>
      </c>
      <c r="I612" s="1406">
        <f t="shared" si="151"/>
        <v>0.24925115</v>
      </c>
      <c r="J612" s="1403">
        <f t="shared" si="151"/>
        <v>0.24925115</v>
      </c>
      <c r="K612" s="1403">
        <f t="shared" si="151"/>
        <v>0.24925115</v>
      </c>
    </row>
    <row r="614" spans="1:11" ht="13">
      <c r="A614" s="341" t="str">
        <f>co_name</f>
        <v>DUKE ENERGY KENTUCKY, INC.</v>
      </c>
      <c r="C614" s="195"/>
      <c r="D614" s="342"/>
      <c r="E614" s="195"/>
      <c r="F614" s="195"/>
      <c r="G614" s="195"/>
      <c r="H614" s="195"/>
      <c r="I614" s="195"/>
      <c r="J614" s="195" t="str">
        <f>$J$1</f>
        <v>FR-16(7)(v)-1</v>
      </c>
      <c r="K614" s="195"/>
    </row>
    <row r="615" spans="1:11" ht="13">
      <c r="A615" s="341" t="str">
        <f>$A$2</f>
        <v>FUNCTIONAL GAS COST OF SERVICE</v>
      </c>
      <c r="C615" s="195"/>
      <c r="D615" s="342"/>
      <c r="E615" s="195"/>
      <c r="F615" s="195"/>
      <c r="G615" s="195"/>
      <c r="H615" s="195"/>
      <c r="I615" s="195"/>
      <c r="J615" s="195" t="str">
        <f>$J$2</f>
        <v>WITNESS RESPONSIBLE:</v>
      </c>
      <c r="K615" s="195"/>
    </row>
    <row r="616" spans="1:11" ht="13">
      <c r="A616" s="341" t="str">
        <f>case_name</f>
        <v>CASE NO: 2021-00190</v>
      </c>
      <c r="C616" s="195"/>
      <c r="D616" s="342"/>
      <c r="E616" s="195"/>
      <c r="F616" s="195"/>
      <c r="G616" s="195"/>
      <c r="H616" s="195"/>
      <c r="I616" s="195"/>
      <c r="J616" s="195" t="str">
        <f>Witness</f>
        <v>JAMES E. ZIOLKOWSKI</v>
      </c>
      <c r="K616" s="195"/>
    </row>
    <row r="617" spans="1:11" ht="13">
      <c r="A617" s="341" t="str">
        <f>data_filing</f>
        <v>DATA: 12 MONTH FORECASTED PERIOD</v>
      </c>
      <c r="C617" s="195"/>
      <c r="D617" s="342"/>
      <c r="E617" s="195"/>
      <c r="F617" s="195"/>
      <c r="G617" s="195"/>
      <c r="H617" s="195"/>
      <c r="I617" s="195"/>
      <c r="J617" s="195" t="str">
        <f>"PAGE "&amp;Pages-4&amp;" OF "&amp;Pages</f>
        <v>PAGE 14 OF 18</v>
      </c>
      <c r="K617" s="195"/>
    </row>
    <row r="618" spans="1:11" ht="13">
      <c r="A618" s="341" t="str">
        <f>type</f>
        <v xml:space="preserve">TYPE OF FILING: "X" ORIGINAL   UPDATED    REVISED  </v>
      </c>
      <c r="C618" s="195"/>
      <c r="D618" s="342"/>
      <c r="E618" s="195"/>
      <c r="F618" s="195"/>
      <c r="G618" s="195"/>
      <c r="H618" s="195"/>
      <c r="I618" s="195"/>
      <c r="J618" s="195"/>
      <c r="K618" s="195"/>
    </row>
    <row r="619" spans="1:11" ht="13">
      <c r="B619" s="341"/>
      <c r="C619" s="195"/>
      <c r="D619" s="342"/>
      <c r="E619" s="195"/>
      <c r="F619" s="195"/>
      <c r="G619" s="195"/>
      <c r="H619" s="195"/>
      <c r="I619" s="195"/>
      <c r="J619" s="195"/>
      <c r="K619" s="195"/>
    </row>
    <row r="620" spans="1:11" ht="13">
      <c r="B620" s="341"/>
      <c r="C620" s="195"/>
      <c r="D620" s="342"/>
      <c r="E620" s="195"/>
      <c r="F620" s="195"/>
      <c r="G620" s="195"/>
      <c r="H620" s="195"/>
      <c r="I620" s="195"/>
      <c r="J620" s="195"/>
      <c r="K620" s="195"/>
    </row>
    <row r="621" spans="1:11" ht="13">
      <c r="A621" s="342" t="s">
        <v>907</v>
      </c>
      <c r="B621" s="195"/>
      <c r="C621" s="195"/>
      <c r="D621" s="342"/>
      <c r="E621" s="195"/>
      <c r="F621" s="342" t="s">
        <v>229</v>
      </c>
      <c r="G621" s="467" t="s">
        <v>971</v>
      </c>
      <c r="H621" s="468"/>
      <c r="I621" s="469"/>
      <c r="J621" s="342" t="s">
        <v>229</v>
      </c>
      <c r="K621" s="342" t="s">
        <v>342</v>
      </c>
    </row>
    <row r="622" spans="1:11" ht="13">
      <c r="A622" s="344" t="s">
        <v>908</v>
      </c>
      <c r="B622" s="343" t="s">
        <v>77</v>
      </c>
      <c r="C622" s="343"/>
      <c r="D622" s="344" t="s">
        <v>337</v>
      </c>
      <c r="E622" s="343"/>
      <c r="F622" s="344" t="s">
        <v>284</v>
      </c>
      <c r="G622" s="454" t="s">
        <v>838</v>
      </c>
      <c r="H622" s="449" t="s">
        <v>970</v>
      </c>
      <c r="I622" s="455" t="s">
        <v>839</v>
      </c>
      <c r="J622" s="344" t="s">
        <v>341</v>
      </c>
      <c r="K622" s="344" t="s">
        <v>340</v>
      </c>
    </row>
    <row r="623" spans="1:11" ht="13">
      <c r="C623" s="572" t="s">
        <v>352</v>
      </c>
      <c r="D623" s="342"/>
      <c r="E623" s="195"/>
      <c r="G623" s="622">
        <f>$G$10</f>
        <v>3</v>
      </c>
      <c r="H623" s="623">
        <f>$H$10</f>
        <v>4</v>
      </c>
      <c r="I623" s="624">
        <f>$I$10</f>
        <v>5</v>
      </c>
    </row>
    <row r="624" spans="1:11" ht="13">
      <c r="A624" s="331">
        <v>1</v>
      </c>
      <c r="B624" s="330" t="s">
        <v>78</v>
      </c>
      <c r="D624" s="342"/>
      <c r="E624" s="195"/>
      <c r="G624" s="456"/>
      <c r="H624" s="457"/>
      <c r="I624" s="458"/>
    </row>
    <row r="625" spans="1:11" ht="13">
      <c r="A625" s="331">
        <v>2</v>
      </c>
      <c r="C625" s="330" t="s">
        <v>200</v>
      </c>
      <c r="D625" s="723" t="s">
        <v>291</v>
      </c>
      <c r="E625" s="448" t="s">
        <v>1483</v>
      </c>
      <c r="F625" s="1540">
        <f>310224-SUM(F626:F629)</f>
        <v>51468</v>
      </c>
      <c r="G625" s="459">
        <f>ROUND(F625*VLOOKUP(D625,AllocTable_Functional,$G$10,FALSE),0)</f>
        <v>0</v>
      </c>
      <c r="H625" s="460">
        <f>ROUND(F625*VLOOKUP(D625,AllocTable_Functional,$H$10,FALSE),0)</f>
        <v>0</v>
      </c>
      <c r="I625" s="461">
        <f>ROUND(F625*VLOOKUP(D625,AllocTable_Functional,$I$10,FALSE),0)</f>
        <v>51468</v>
      </c>
      <c r="J625" s="345">
        <f>SUM($G$625:$I$625)</f>
        <v>51468</v>
      </c>
      <c r="K625" s="345">
        <f>F625-$J$625</f>
        <v>0</v>
      </c>
    </row>
    <row r="626" spans="1:11" ht="13">
      <c r="A626" s="331">
        <v>3</v>
      </c>
      <c r="C626" s="330" t="s">
        <v>228</v>
      </c>
      <c r="D626" s="769" t="str">
        <f>D491</f>
        <v>AG39</v>
      </c>
      <c r="E626" s="448" t="s">
        <v>1483</v>
      </c>
      <c r="F626" s="1540">
        <v>0</v>
      </c>
      <c r="G626" s="459">
        <f>ROUND(F626*VLOOKUP(D626,AllocTable_Functional,$G$10,FALSE),0)</f>
        <v>0</v>
      </c>
      <c r="H626" s="460">
        <f>ROUND(F626*VLOOKUP(D626,AllocTable_Functional,$H$10,FALSE),0)</f>
        <v>0</v>
      </c>
      <c r="I626" s="461">
        <f>ROUND(F626*VLOOKUP(D626,AllocTable_Functional,$I$10,FALSE),0)</f>
        <v>0</v>
      </c>
      <c r="J626" s="345">
        <f>SUM($G$626:$I$626)</f>
        <v>0</v>
      </c>
      <c r="K626" s="345">
        <f>F626-$J$626</f>
        <v>0</v>
      </c>
    </row>
    <row r="627" spans="1:11" ht="13">
      <c r="A627" s="331">
        <v>4</v>
      </c>
      <c r="C627" s="330" t="s">
        <v>413</v>
      </c>
      <c r="D627" s="726" t="s">
        <v>291</v>
      </c>
      <c r="E627" s="448" t="s">
        <v>1483</v>
      </c>
      <c r="F627" s="1541">
        <v>528</v>
      </c>
      <c r="G627" s="459">
        <f>ROUND(F627*VLOOKUP(D627,AllocTable_Functional,$G$10,FALSE),0)</f>
        <v>0</v>
      </c>
      <c r="H627" s="460">
        <f>ROUND(F627*VLOOKUP(D627,AllocTable_Functional,$H$10,FALSE),0)</f>
        <v>0</v>
      </c>
      <c r="I627" s="461">
        <f>ROUND(F627*VLOOKUP(D627,AllocTable_Functional,$I$10,FALSE),0)</f>
        <v>528</v>
      </c>
      <c r="J627" s="345">
        <f>SUM($G$627:$I$627)</f>
        <v>528</v>
      </c>
      <c r="K627" s="345">
        <f>F627-$J$627</f>
        <v>0</v>
      </c>
    </row>
    <row r="628" spans="1:11" ht="13">
      <c r="A628" s="331">
        <v>5</v>
      </c>
      <c r="C628" s="330" t="s">
        <v>378</v>
      </c>
      <c r="D628" s="726" t="s">
        <v>312</v>
      </c>
      <c r="E628" s="448" t="s">
        <v>1483</v>
      </c>
      <c r="F628" s="1541">
        <v>0</v>
      </c>
      <c r="G628" s="459">
        <f>ROUND(F628*VLOOKUP(D628,AllocTable_Functional,$G$10,FALSE),0)</f>
        <v>0</v>
      </c>
      <c r="H628" s="460">
        <f>ROUND(F628*VLOOKUP(D628,AllocTable_Functional,$H$10,FALSE),0)</f>
        <v>0</v>
      </c>
      <c r="I628" s="461">
        <f>ROUND(F628*VLOOKUP(D628,AllocTable_Functional,$I$10,FALSE),0)</f>
        <v>0</v>
      </c>
      <c r="J628" s="345">
        <f>SUM($G$628:$I$628)</f>
        <v>0</v>
      </c>
      <c r="K628" s="345">
        <f>F628-$J$628</f>
        <v>0</v>
      </c>
    </row>
    <row r="629" spans="1:11" ht="13">
      <c r="A629" s="331">
        <v>6</v>
      </c>
      <c r="C629" s="357" t="s">
        <v>407</v>
      </c>
      <c r="D629" s="769" t="str">
        <f>D491</f>
        <v>AG39</v>
      </c>
      <c r="E629" s="448" t="s">
        <v>1483</v>
      </c>
      <c r="F629" s="1542">
        <v>258228</v>
      </c>
      <c r="G629" s="459">
        <f>ROUND(F629*VLOOKUP(D629,AllocTable_Functional,$G$10,FALSE),0)</f>
        <v>40105</v>
      </c>
      <c r="H629" s="460">
        <f>ROUND(F629*VLOOKUP(D629,AllocTable_Functional,$H$10,FALSE),0)</f>
        <v>0</v>
      </c>
      <c r="I629" s="461">
        <f>ROUND(F629*VLOOKUP(D629,AllocTable_Functional,$I$10,FALSE),0)</f>
        <v>218123</v>
      </c>
      <c r="J629" s="345">
        <f>SUM($G$629:$I$629)</f>
        <v>258228</v>
      </c>
      <c r="K629" s="345">
        <f>F629-$J$629</f>
        <v>0</v>
      </c>
    </row>
    <row r="630" spans="1:11" ht="13">
      <c r="A630" s="331">
        <v>7</v>
      </c>
      <c r="C630" s="330" t="s">
        <v>201</v>
      </c>
      <c r="D630" s="352"/>
      <c r="E630" s="195"/>
      <c r="F630" s="346">
        <f>SUM(F625:F629)</f>
        <v>310224</v>
      </c>
      <c r="G630" s="462">
        <f>SUM($G$625:$G$629)</f>
        <v>40105</v>
      </c>
      <c r="H630" s="450">
        <f>SUM($H$625:$H$629)</f>
        <v>0</v>
      </c>
      <c r="I630" s="463">
        <f>SUM($I$625:$I$629)</f>
        <v>270119</v>
      </c>
      <c r="J630" s="346">
        <f>SUM($J$625:$J$629)</f>
        <v>310224</v>
      </c>
      <c r="K630" s="346">
        <f>SUM($K$625:$K$629)</f>
        <v>0</v>
      </c>
    </row>
    <row r="631" spans="1:11" ht="13">
      <c r="A631" s="331">
        <v>8</v>
      </c>
      <c r="D631" s="342"/>
      <c r="E631" s="195"/>
      <c r="G631" s="456"/>
      <c r="H631" s="457"/>
      <c r="I631" s="458"/>
    </row>
    <row r="632" spans="1:11" ht="13">
      <c r="A632" s="331">
        <v>9</v>
      </c>
      <c r="B632" s="330" t="s">
        <v>77</v>
      </c>
      <c r="D632" s="342"/>
      <c r="E632" s="195"/>
      <c r="G632" s="456"/>
      <c r="H632" s="457"/>
      <c r="I632" s="458"/>
    </row>
    <row r="633" spans="1:11" ht="13">
      <c r="A633" s="331">
        <v>10</v>
      </c>
      <c r="C633" s="330" t="s">
        <v>202</v>
      </c>
      <c r="D633" s="342"/>
      <c r="E633" s="195"/>
      <c r="F633" s="345">
        <f>F501</f>
        <v>86517054.504000008</v>
      </c>
      <c r="G633" s="459">
        <f>$G$501</f>
        <v>44388820.504000001</v>
      </c>
      <c r="H633" s="460">
        <f>$H$501</f>
        <v>0</v>
      </c>
      <c r="I633" s="461">
        <f>$I$501</f>
        <v>42128234</v>
      </c>
      <c r="J633" s="345">
        <f>$J$501</f>
        <v>86517054.504000008</v>
      </c>
      <c r="K633" s="345">
        <f>$K$501</f>
        <v>0</v>
      </c>
    </row>
    <row r="634" spans="1:11" ht="13">
      <c r="A634" s="331">
        <v>11</v>
      </c>
      <c r="C634" s="330" t="s">
        <v>43</v>
      </c>
      <c r="D634" s="342"/>
      <c r="E634" s="195"/>
      <c r="F634" s="345">
        <f t="shared" ref="F634:K634" si="152">F334</f>
        <v>33063474</v>
      </c>
      <c r="G634" s="459">
        <f t="shared" si="152"/>
        <v>557018</v>
      </c>
      <c r="H634" s="460">
        <f t="shared" si="152"/>
        <v>0</v>
      </c>
      <c r="I634" s="461">
        <f t="shared" si="152"/>
        <v>32506456</v>
      </c>
      <c r="J634" s="345">
        <f t="shared" si="152"/>
        <v>33063474</v>
      </c>
      <c r="K634" s="345">
        <f t="shared" si="152"/>
        <v>0</v>
      </c>
    </row>
    <row r="635" spans="1:11" ht="13">
      <c r="A635" s="331">
        <v>12</v>
      </c>
      <c r="C635" s="330" t="s">
        <v>199</v>
      </c>
      <c r="D635" s="342"/>
      <c r="E635" s="195"/>
      <c r="F635" s="345">
        <f>F557</f>
        <v>5596539.5478226151</v>
      </c>
      <c r="G635" s="459">
        <f>$G$557</f>
        <v>1056419</v>
      </c>
      <c r="H635" s="460">
        <f>$H$557</f>
        <v>0</v>
      </c>
      <c r="I635" s="461">
        <f>$I$557</f>
        <v>4540121</v>
      </c>
      <c r="J635" s="345">
        <f>$J$557</f>
        <v>5596540</v>
      </c>
      <c r="K635" s="345">
        <f>$K$557</f>
        <v>0</v>
      </c>
    </row>
    <row r="636" spans="1:11" ht="13">
      <c r="A636" s="331">
        <v>13</v>
      </c>
      <c r="C636" s="357" t="s">
        <v>103</v>
      </c>
      <c r="D636" s="342"/>
      <c r="E636" s="195"/>
      <c r="F636" s="345">
        <f>-F630</f>
        <v>-310224</v>
      </c>
      <c r="G636" s="459">
        <f>-$G$630</f>
        <v>-40105</v>
      </c>
      <c r="H636" s="460">
        <f>-$H$630</f>
        <v>0</v>
      </c>
      <c r="I636" s="461">
        <f>-$I$630</f>
        <v>-270119</v>
      </c>
      <c r="J636" s="345">
        <f>-$J$630</f>
        <v>-310224</v>
      </c>
      <c r="K636" s="345">
        <f>-$K$630</f>
        <v>0</v>
      </c>
    </row>
    <row r="637" spans="1:11" ht="13">
      <c r="A637" s="331">
        <v>14</v>
      </c>
      <c r="C637" s="330" t="s">
        <v>203</v>
      </c>
      <c r="D637" s="342"/>
      <c r="E637" s="195"/>
      <c r="F637" s="346">
        <f>SUM(F632:F636)</f>
        <v>124866844.05182262</v>
      </c>
      <c r="G637" s="462">
        <f>SUM($G$632:$G$636)</f>
        <v>45962152.504000001</v>
      </c>
      <c r="H637" s="450">
        <f>SUM($H$632:$H$636)</f>
        <v>0</v>
      </c>
      <c r="I637" s="463">
        <f>SUM($I$632:$I$636)</f>
        <v>78904692</v>
      </c>
      <c r="J637" s="346">
        <f>SUM($J$632:$J$636)</f>
        <v>124866844.50400001</v>
      </c>
      <c r="K637" s="346">
        <f>$J$637-F637</f>
        <v>0.45217739045619965</v>
      </c>
    </row>
    <row r="638" spans="1:11" ht="13">
      <c r="A638" s="331">
        <v>15</v>
      </c>
      <c r="D638" s="342"/>
      <c r="E638" s="195"/>
      <c r="G638" s="456"/>
      <c r="H638" s="457"/>
      <c r="I638" s="458"/>
    </row>
    <row r="639" spans="1:11" ht="13">
      <c r="A639" s="331">
        <v>16</v>
      </c>
      <c r="C639" s="330" t="s">
        <v>103</v>
      </c>
      <c r="D639" s="342"/>
      <c r="E639" s="195"/>
      <c r="F639" s="345">
        <f>-F636</f>
        <v>310224</v>
      </c>
      <c r="G639" s="459">
        <f>-$G$636</f>
        <v>40105</v>
      </c>
      <c r="H639" s="460">
        <f>-$H$636</f>
        <v>0</v>
      </c>
      <c r="I639" s="461">
        <f>-$I$636</f>
        <v>270119</v>
      </c>
      <c r="J639" s="345">
        <f>-$J$636</f>
        <v>310224</v>
      </c>
      <c r="K639" s="345">
        <f>-$K$636</f>
        <v>0</v>
      </c>
    </row>
    <row r="640" spans="1:11" ht="13">
      <c r="A640" s="331">
        <v>17</v>
      </c>
      <c r="C640" s="357" t="s">
        <v>204</v>
      </c>
      <c r="D640" s="342"/>
      <c r="E640" s="195"/>
      <c r="F640" s="347">
        <f>'FR-16(7)(v)-3 PROD Comm Alloc'!F855</f>
        <v>0</v>
      </c>
      <c r="G640" s="459">
        <f>G855</f>
        <v>0</v>
      </c>
      <c r="H640" s="479">
        <f>H855</f>
        <v>0</v>
      </c>
      <c r="I640" s="480">
        <f>I855</f>
        <v>0</v>
      </c>
      <c r="J640" s="345">
        <f>SUM(G640:I640)</f>
        <v>0</v>
      </c>
      <c r="K640" s="345">
        <f>F640-J640</f>
        <v>0</v>
      </c>
    </row>
    <row r="641" spans="1:11" ht="13">
      <c r="A641" s="331">
        <v>18</v>
      </c>
      <c r="C641" s="330" t="s">
        <v>205</v>
      </c>
      <c r="D641" s="342"/>
      <c r="E641" s="195"/>
      <c r="F641" s="346">
        <f>F639-F640</f>
        <v>310224</v>
      </c>
      <c r="G641" s="462">
        <f>$G$639-G640</f>
        <v>40105</v>
      </c>
      <c r="H641" s="450">
        <f>$H$639-H640</f>
        <v>0</v>
      </c>
      <c r="I641" s="463">
        <f>$I$639-I640</f>
        <v>270119</v>
      </c>
      <c r="J641" s="346">
        <f>$J$639-J640</f>
        <v>310224</v>
      </c>
      <c r="K641" s="346">
        <f>$K$639-K640</f>
        <v>0</v>
      </c>
    </row>
    <row r="642" spans="1:11" ht="13">
      <c r="A642" s="331">
        <v>19</v>
      </c>
      <c r="D642" s="342"/>
      <c r="E642" s="195"/>
      <c r="G642" s="456"/>
      <c r="H642" s="457"/>
      <c r="I642" s="458"/>
    </row>
    <row r="643" spans="1:11" ht="13">
      <c r="A643" s="331">
        <v>20</v>
      </c>
      <c r="C643" s="330" t="s">
        <v>206</v>
      </c>
      <c r="D643" s="342"/>
      <c r="E643" s="195"/>
      <c r="F643" s="348">
        <f t="shared" ref="F643:K643" si="153">ROUND(F694/(1-F694),8)</f>
        <v>0</v>
      </c>
      <c r="G643" s="464">
        <f t="shared" si="153"/>
        <v>0</v>
      </c>
      <c r="H643" s="465">
        <f t="shared" si="153"/>
        <v>0</v>
      </c>
      <c r="I643" s="466">
        <f t="shared" si="153"/>
        <v>0</v>
      </c>
      <c r="J643" s="348">
        <f t="shared" si="153"/>
        <v>0</v>
      </c>
      <c r="K643" s="348">
        <f t="shared" si="153"/>
        <v>0</v>
      </c>
    </row>
    <row r="644" spans="1:11" ht="13">
      <c r="A644" s="331">
        <v>21</v>
      </c>
      <c r="C644" s="330" t="s">
        <v>207</v>
      </c>
      <c r="D644" s="342"/>
      <c r="E644" s="195"/>
      <c r="F644" s="345">
        <f>ROUND(F643*F641,0)</f>
        <v>0</v>
      </c>
      <c r="G644" s="459">
        <f>ROUND(G643*G641,0)</f>
        <v>0</v>
      </c>
      <c r="H644" s="460">
        <f>ROUND(H643*H641,0)</f>
        <v>0</v>
      </c>
      <c r="I644" s="461">
        <f>ROUND(I643*I641,0)</f>
        <v>0</v>
      </c>
      <c r="J644" s="345">
        <f>SUM(G644:I644)</f>
        <v>0</v>
      </c>
      <c r="K644" s="345">
        <f>ROUND(K643*K641,0)</f>
        <v>0</v>
      </c>
    </row>
    <row r="645" spans="1:11" ht="13">
      <c r="A645" s="331">
        <v>22</v>
      </c>
      <c r="C645" s="330" t="s">
        <v>208</v>
      </c>
      <c r="D645" s="342"/>
      <c r="E645" s="195"/>
      <c r="F645" s="506">
        <f>ROUND(F643*F637,0)</f>
        <v>0</v>
      </c>
      <c r="G645" s="459">
        <f>ROUND(G643*$G$637,0)</f>
        <v>0</v>
      </c>
      <c r="H645" s="460">
        <f>ROUND(H643*$H$637,0)</f>
        <v>0</v>
      </c>
      <c r="I645" s="461">
        <f>ROUND(I643*$I$637,0)</f>
        <v>0</v>
      </c>
      <c r="J645" s="506">
        <f>SUM(G645:I645)</f>
        <v>0</v>
      </c>
      <c r="K645" s="506">
        <f>ROUND(K643*$K$637,0)</f>
        <v>0</v>
      </c>
    </row>
    <row r="646" spans="1:11" ht="13">
      <c r="A646" s="331">
        <v>23</v>
      </c>
      <c r="C646" s="357" t="s">
        <v>209</v>
      </c>
      <c r="D646" s="342"/>
      <c r="E646" s="195"/>
      <c r="F646" s="504">
        <f t="shared" ref="F646:K646" si="154">F645+F644</f>
        <v>0</v>
      </c>
      <c r="G646" s="511">
        <f t="shared" si="154"/>
        <v>0</v>
      </c>
      <c r="H646" s="510">
        <f t="shared" si="154"/>
        <v>0</v>
      </c>
      <c r="I646" s="512">
        <f t="shared" si="154"/>
        <v>0</v>
      </c>
      <c r="J646" s="504">
        <f t="shared" si="154"/>
        <v>0</v>
      </c>
      <c r="K646" s="504">
        <f t="shared" si="154"/>
        <v>0</v>
      </c>
    </row>
    <row r="647" spans="1:11" ht="13">
      <c r="A647" s="331">
        <v>24</v>
      </c>
      <c r="C647" s="330" t="s">
        <v>433</v>
      </c>
      <c r="D647" s="342"/>
      <c r="E647" s="195"/>
      <c r="F647" s="346">
        <f>F646+F637</f>
        <v>124866844.05182262</v>
      </c>
      <c r="G647" s="462">
        <f>G646+$G$637</f>
        <v>45962152.504000001</v>
      </c>
      <c r="H647" s="450">
        <f>H646+$H$637</f>
        <v>0</v>
      </c>
      <c r="I647" s="463">
        <f>I646+$I$637</f>
        <v>78904692</v>
      </c>
      <c r="J647" s="346">
        <f>J646+$J$637</f>
        <v>124866844.50400001</v>
      </c>
      <c r="K647" s="346">
        <f>K646+$K$637</f>
        <v>0.45217739045619965</v>
      </c>
    </row>
    <row r="648" spans="1:11" ht="13">
      <c r="A648" s="331">
        <v>25</v>
      </c>
      <c r="D648" s="342"/>
      <c r="E648" s="195"/>
      <c r="G648" s="456"/>
      <c r="H648" s="457"/>
      <c r="I648" s="458"/>
    </row>
    <row r="649" spans="1:11" ht="13">
      <c r="A649" s="331">
        <v>26</v>
      </c>
      <c r="B649" s="330" t="s">
        <v>843</v>
      </c>
      <c r="D649" s="342"/>
      <c r="E649" s="195"/>
      <c r="F649" s="347">
        <f>F745</f>
        <v>126434590</v>
      </c>
      <c r="G649" s="459">
        <f>G745</f>
        <v>46539308</v>
      </c>
      <c r="H649" s="460">
        <f>H745</f>
        <v>0</v>
      </c>
      <c r="I649" s="461">
        <f>I745</f>
        <v>79895282</v>
      </c>
      <c r="J649" s="345">
        <f>J745</f>
        <v>126434590</v>
      </c>
      <c r="K649" s="345">
        <f>F649-J649</f>
        <v>0</v>
      </c>
    </row>
    <row r="650" spans="1:11" ht="13">
      <c r="A650" s="331">
        <v>27</v>
      </c>
      <c r="B650" s="330" t="s">
        <v>79</v>
      </c>
      <c r="D650" s="342"/>
      <c r="E650" s="195"/>
      <c r="F650" s="345">
        <f>-F647</f>
        <v>-124866844.05182262</v>
      </c>
      <c r="G650" s="459">
        <f>-G647</f>
        <v>-45962152.504000001</v>
      </c>
      <c r="H650" s="460">
        <f>-H647</f>
        <v>0</v>
      </c>
      <c r="I650" s="461">
        <f>-I647</f>
        <v>-78904692</v>
      </c>
      <c r="J650" s="345">
        <f>-J647</f>
        <v>-124866844.50400001</v>
      </c>
      <c r="K650" s="345">
        <f>F650-J650</f>
        <v>0.45217739045619965</v>
      </c>
    </row>
    <row r="651" spans="1:11" ht="13">
      <c r="A651" s="331">
        <v>28</v>
      </c>
      <c r="B651" s="330" t="s">
        <v>80</v>
      </c>
      <c r="D651" s="342"/>
      <c r="E651" s="195"/>
      <c r="F651" s="345">
        <f>F650+F649</f>
        <v>1567745.9481773823</v>
      </c>
      <c r="G651" s="459">
        <f>G650+G649</f>
        <v>577155.49599999934</v>
      </c>
      <c r="H651" s="460">
        <f>H650+H649</f>
        <v>0</v>
      </c>
      <c r="I651" s="461">
        <f>I650+I649</f>
        <v>990590</v>
      </c>
      <c r="J651" s="345">
        <f>SUM(G651:I651)</f>
        <v>1567745.4959999993</v>
      </c>
      <c r="K651" s="345">
        <f>K650+K649</f>
        <v>0.45217739045619965</v>
      </c>
    </row>
    <row r="652" spans="1:11" ht="13">
      <c r="A652" s="331">
        <v>29</v>
      </c>
      <c r="B652" s="330" t="s">
        <v>76</v>
      </c>
      <c r="D652" s="342"/>
      <c r="E652" s="195"/>
      <c r="F652" s="348">
        <f>F565</f>
        <v>0.24925</v>
      </c>
      <c r="G652" s="464">
        <f>$G$565</f>
        <v>0.24925</v>
      </c>
      <c r="H652" s="465">
        <f>$H$565</f>
        <v>0.24925</v>
      </c>
      <c r="I652" s="466">
        <f>$I$565</f>
        <v>0.24925</v>
      </c>
      <c r="J652" s="348">
        <f>$K$565</f>
        <v>0.24925</v>
      </c>
      <c r="K652" s="348">
        <f>$K$565</f>
        <v>0.24925</v>
      </c>
    </row>
    <row r="653" spans="1:11" ht="13">
      <c r="A653" s="331">
        <v>30</v>
      </c>
      <c r="B653" s="330" t="s">
        <v>81</v>
      </c>
      <c r="D653" s="342"/>
      <c r="E653" s="195"/>
      <c r="F653" s="345">
        <f>ROUND(F652*F651,0)</f>
        <v>390761</v>
      </c>
      <c r="G653" s="459">
        <f>ROUND(G652*G651,0)</f>
        <v>143856</v>
      </c>
      <c r="H653" s="460">
        <f>ROUND(H652*H651,0)</f>
        <v>0</v>
      </c>
      <c r="I653" s="461">
        <f>ROUND(I652*I651,0)</f>
        <v>246905</v>
      </c>
      <c r="J653" s="345">
        <f>SUM(G653:I653)</f>
        <v>390761</v>
      </c>
      <c r="K653" s="345">
        <f>F653-J653</f>
        <v>0</v>
      </c>
    </row>
    <row r="654" spans="1:11" ht="13">
      <c r="A654" s="331">
        <v>31</v>
      </c>
      <c r="B654" s="330" t="s">
        <v>82</v>
      </c>
      <c r="D654" s="342"/>
      <c r="E654" s="195"/>
      <c r="F654" s="345">
        <f>F651-F653</f>
        <v>1176984.9481773823</v>
      </c>
      <c r="G654" s="478">
        <f>G651-G653</f>
        <v>433299.49599999934</v>
      </c>
      <c r="H654" s="479">
        <f>H651-H653</f>
        <v>0</v>
      </c>
      <c r="I654" s="480">
        <f>I651-I653</f>
        <v>743685</v>
      </c>
      <c r="J654" s="345">
        <f>SUM(G654:I654)</f>
        <v>1176984.4959999993</v>
      </c>
      <c r="K654" s="345">
        <f>F654-J654</f>
        <v>0.45217738300561905</v>
      </c>
    </row>
    <row r="655" spans="1:11" ht="13">
      <c r="A655" s="526"/>
      <c r="B655" s="578"/>
      <c r="C655" s="578"/>
      <c r="D655" s="730"/>
      <c r="E655" s="578"/>
      <c r="F655" s="526"/>
      <c r="G655" s="526"/>
      <c r="H655" s="526"/>
      <c r="I655" s="526"/>
      <c r="J655" s="526"/>
      <c r="K655" s="526"/>
    </row>
    <row r="656" spans="1:11" ht="13">
      <c r="A656" s="341" t="str">
        <f>co_name</f>
        <v>DUKE ENERGY KENTUCKY, INC.</v>
      </c>
      <c r="C656" s="195"/>
      <c r="D656" s="342"/>
      <c r="E656" s="195"/>
      <c r="F656" s="195"/>
      <c r="G656" s="195"/>
      <c r="H656" s="195"/>
      <c r="I656" s="195"/>
      <c r="J656" s="195" t="str">
        <f>$J$1</f>
        <v>FR-16(7)(v)-1</v>
      </c>
      <c r="K656" s="195"/>
    </row>
    <row r="657" spans="1:11" ht="13">
      <c r="A657" s="341" t="str">
        <f>$A$2</f>
        <v>FUNCTIONAL GAS COST OF SERVICE</v>
      </c>
      <c r="C657" s="195"/>
      <c r="D657" s="342"/>
      <c r="E657" s="195"/>
      <c r="F657" s="195"/>
      <c r="G657" s="195"/>
      <c r="H657" s="195"/>
      <c r="I657" s="195"/>
      <c r="J657" s="195" t="str">
        <f>$J$2</f>
        <v>WITNESS RESPONSIBLE:</v>
      </c>
      <c r="K657" s="195"/>
    </row>
    <row r="658" spans="1:11" ht="13">
      <c r="A658" s="341" t="str">
        <f>case_name</f>
        <v>CASE NO: 2021-00190</v>
      </c>
      <c r="C658" s="195"/>
      <c r="D658" s="342"/>
      <c r="E658" s="195"/>
      <c r="F658" s="195"/>
      <c r="G658" s="195"/>
      <c r="H658" s="195"/>
      <c r="I658" s="195"/>
      <c r="J658" s="195" t="str">
        <f>Witness</f>
        <v>JAMES E. ZIOLKOWSKI</v>
      </c>
      <c r="K658" s="195"/>
    </row>
    <row r="659" spans="1:11" ht="13">
      <c r="A659" s="341" t="str">
        <f>data_filing</f>
        <v>DATA: 12 MONTH FORECASTED PERIOD</v>
      </c>
      <c r="C659" s="195"/>
      <c r="D659" s="342"/>
      <c r="E659" s="195"/>
      <c r="F659" s="195"/>
      <c r="G659" s="195"/>
      <c r="H659" s="195"/>
      <c r="I659" s="195"/>
      <c r="J659" s="195" t="str">
        <f>"PAGE "&amp;Pages-3&amp;" OF "&amp;Pages</f>
        <v>PAGE 15 OF 18</v>
      </c>
      <c r="K659" s="195"/>
    </row>
    <row r="660" spans="1:11" ht="13">
      <c r="A660" s="341" t="str">
        <f>type</f>
        <v xml:space="preserve">TYPE OF FILING: "X" ORIGINAL   UPDATED    REVISED  </v>
      </c>
      <c r="C660" s="195"/>
      <c r="D660" s="342"/>
      <c r="E660" s="195"/>
      <c r="F660" s="195"/>
      <c r="G660" s="195"/>
      <c r="H660" s="195"/>
      <c r="I660" s="195"/>
      <c r="J660" s="195"/>
      <c r="K660" s="195"/>
    </row>
    <row r="661" spans="1:11" ht="13">
      <c r="B661" s="341"/>
      <c r="C661" s="195"/>
      <c r="D661" s="342"/>
      <c r="E661" s="195"/>
      <c r="F661" s="195"/>
      <c r="G661" s="195"/>
      <c r="H661" s="195"/>
      <c r="I661" s="195"/>
      <c r="J661" s="195"/>
      <c r="K661" s="195"/>
    </row>
    <row r="662" spans="1:11" ht="13">
      <c r="B662" s="341"/>
      <c r="C662" s="195"/>
      <c r="D662" s="342"/>
      <c r="E662" s="195"/>
      <c r="F662" s="195"/>
      <c r="G662" s="195"/>
      <c r="H662" s="195"/>
      <c r="I662" s="195"/>
      <c r="J662" s="195"/>
      <c r="K662" s="195"/>
    </row>
    <row r="663" spans="1:11" ht="13">
      <c r="A663" s="342" t="s">
        <v>907</v>
      </c>
      <c r="B663" s="195"/>
      <c r="C663" s="195"/>
      <c r="D663" s="342"/>
      <c r="E663" s="195"/>
      <c r="F663" s="342" t="s">
        <v>229</v>
      </c>
      <c r="G663" s="467" t="s">
        <v>971</v>
      </c>
      <c r="H663" s="468"/>
      <c r="I663" s="469"/>
      <c r="J663" s="342" t="s">
        <v>229</v>
      </c>
      <c r="K663" s="342" t="s">
        <v>342</v>
      </c>
    </row>
    <row r="664" spans="1:11" ht="13">
      <c r="A664" s="344" t="s">
        <v>908</v>
      </c>
      <c r="B664" s="343" t="s">
        <v>83</v>
      </c>
      <c r="C664" s="343"/>
      <c r="D664" s="344" t="s">
        <v>337</v>
      </c>
      <c r="E664" s="343"/>
      <c r="F664" s="344" t="s">
        <v>284</v>
      </c>
      <c r="G664" s="454" t="s">
        <v>838</v>
      </c>
      <c r="H664" s="449" t="s">
        <v>970</v>
      </c>
      <c r="I664" s="455" t="s">
        <v>839</v>
      </c>
      <c r="J664" s="344" t="s">
        <v>341</v>
      </c>
      <c r="K664" s="344" t="s">
        <v>340</v>
      </c>
    </row>
    <row r="665" spans="1:11" ht="13">
      <c r="C665" s="572" t="s">
        <v>353</v>
      </c>
      <c r="D665" s="342"/>
      <c r="E665" s="195"/>
      <c r="G665" s="785">
        <f>$G$10</f>
        <v>3</v>
      </c>
      <c r="H665" s="785">
        <f>$H$10</f>
        <v>4</v>
      </c>
      <c r="I665" s="785">
        <f>$I$10</f>
        <v>5</v>
      </c>
    </row>
    <row r="666" spans="1:11" ht="13">
      <c r="A666" s="331">
        <v>1</v>
      </c>
      <c r="B666" s="330" t="s">
        <v>84</v>
      </c>
      <c r="D666" s="342"/>
      <c r="E666" s="195"/>
    </row>
    <row r="667" spans="1:11" ht="13">
      <c r="A667" s="331">
        <v>2</v>
      </c>
      <c r="B667" s="330" t="s">
        <v>85</v>
      </c>
      <c r="D667" s="342"/>
      <c r="E667" s="195"/>
      <c r="G667" s="513" t="s">
        <v>339</v>
      </c>
    </row>
    <row r="668" spans="1:11" ht="13">
      <c r="A668" s="331">
        <v>3</v>
      </c>
      <c r="C668" s="330" t="s">
        <v>210</v>
      </c>
      <c r="D668" s="342"/>
      <c r="E668" s="448" t="s">
        <v>1483</v>
      </c>
      <c r="F668" s="787">
        <f>'[1]SCH_J1 - Forecast'!$G$18</f>
        <v>794320510</v>
      </c>
      <c r="G668" s="348">
        <f>IF($F$673=0,0,ROUND(F668/$F$673,5))</f>
        <v>0.46721000000000001</v>
      </c>
    </row>
    <row r="669" spans="1:11" ht="13">
      <c r="A669" s="331">
        <v>4</v>
      </c>
      <c r="C669" s="330" t="s">
        <v>211</v>
      </c>
      <c r="D669" s="342"/>
      <c r="E669" s="195"/>
      <c r="F669" s="470">
        <v>0</v>
      </c>
      <c r="G669" s="348">
        <f>IF($F$673=0,0,ROUND(F669/$F$673,5))</f>
        <v>0</v>
      </c>
    </row>
    <row r="670" spans="1:11" ht="13">
      <c r="A670" s="331">
        <v>5</v>
      </c>
      <c r="C670" s="330" t="s">
        <v>212</v>
      </c>
      <c r="D670" s="342"/>
      <c r="E670" s="448" t="s">
        <v>1483</v>
      </c>
      <c r="F670" s="787">
        <f>'[1]SCH_J1 - Forecast'!$G$17</f>
        <v>861861344</v>
      </c>
      <c r="G670" s="348">
        <f>1-G668-G669-G671-G672</f>
        <v>0.50695000000000001</v>
      </c>
    </row>
    <row r="671" spans="1:11" ht="13">
      <c r="A671" s="331">
        <v>6</v>
      </c>
      <c r="C671" s="330" t="s">
        <v>213</v>
      </c>
      <c r="D671" s="342"/>
      <c r="E671" s="448" t="s">
        <v>1483</v>
      </c>
      <c r="F671" s="787">
        <f>'[1]SCH_J1 - Forecast'!$G$19</f>
        <v>43936209</v>
      </c>
      <c r="G671" s="348">
        <f>IF($F$673=0,0,ROUND(F671/$F$673,5))</f>
        <v>2.5839999999999998E-2</v>
      </c>
    </row>
    <row r="672" spans="1:11" ht="13">
      <c r="A672" s="331">
        <v>7</v>
      </c>
      <c r="C672" s="330" t="s">
        <v>214</v>
      </c>
      <c r="D672" s="342"/>
      <c r="E672" s="195"/>
      <c r="F672" s="470">
        <v>0</v>
      </c>
      <c r="G672" s="348">
        <f>IF($F$673=0,0,ROUND(F672/$F$673,5))</f>
        <v>0</v>
      </c>
    </row>
    <row r="673" spans="1:9" ht="13">
      <c r="A673" s="331">
        <v>8</v>
      </c>
      <c r="C673" s="330" t="s">
        <v>215</v>
      </c>
      <c r="D673" s="342"/>
      <c r="E673" s="195"/>
      <c r="F673" s="474">
        <f>SUM(F667:F672)</f>
        <v>1700118063</v>
      </c>
      <c r="G673" s="1448">
        <f>SUM(G668:G672)</f>
        <v>1</v>
      </c>
    </row>
    <row r="674" spans="1:9" ht="13">
      <c r="A674" s="331">
        <v>9</v>
      </c>
      <c r="D674" s="342"/>
      <c r="E674" s="195"/>
    </row>
    <row r="675" spans="1:9" ht="13">
      <c r="A675" s="331">
        <v>10</v>
      </c>
      <c r="B675" s="330" t="s">
        <v>86</v>
      </c>
      <c r="D675" s="342"/>
      <c r="E675" s="195"/>
    </row>
    <row r="676" spans="1:9" ht="13">
      <c r="A676" s="331">
        <v>11</v>
      </c>
      <c r="C676" s="330" t="s">
        <v>210</v>
      </c>
      <c r="D676" s="342"/>
      <c r="E676" s="448" t="s">
        <v>1483</v>
      </c>
      <c r="F676" s="789">
        <f>'[1]SCH_J1 - Forecast'!$K$18</f>
        <v>3.8429999999999999E-2</v>
      </c>
      <c r="G676" s="516"/>
      <c r="H676" s="516"/>
      <c r="I676" s="516"/>
    </row>
    <row r="677" spans="1:9" ht="13">
      <c r="A677" s="331">
        <v>12</v>
      </c>
      <c r="C677" s="330" t="s">
        <v>211</v>
      </c>
      <c r="D677" s="342"/>
      <c r="E677" s="195"/>
      <c r="F677" s="516">
        <v>0</v>
      </c>
      <c r="G677" s="516"/>
      <c r="H677" s="516"/>
      <c r="I677" s="516"/>
    </row>
    <row r="678" spans="1:9" ht="13">
      <c r="A678" s="331">
        <v>13</v>
      </c>
      <c r="C678" s="330" t="s">
        <v>212</v>
      </c>
      <c r="D678" s="342"/>
      <c r="E678" s="448" t="s">
        <v>1483</v>
      </c>
      <c r="F678" s="789">
        <f>'[1]SCH_J1 - Forecast'!$K$17</f>
        <v>0.10299999999999999</v>
      </c>
      <c r="G678" s="516"/>
      <c r="H678" s="516"/>
      <c r="I678" s="516"/>
    </row>
    <row r="679" spans="1:9" ht="13">
      <c r="A679" s="331">
        <v>14</v>
      </c>
      <c r="C679" s="330" t="s">
        <v>213</v>
      </c>
      <c r="D679" s="342"/>
      <c r="E679" s="448" t="s">
        <v>1483</v>
      </c>
      <c r="F679" s="789">
        <f>'[1]SCH_J1 - Forecast'!$K$19</f>
        <v>1.6670000000000001E-2</v>
      </c>
      <c r="G679" s="516"/>
      <c r="H679" s="516"/>
      <c r="I679" s="516"/>
    </row>
    <row r="680" spans="1:9" ht="13">
      <c r="A680" s="331">
        <v>15</v>
      </c>
      <c r="C680" s="330" t="s">
        <v>214</v>
      </c>
      <c r="D680" s="342"/>
      <c r="E680" s="195"/>
      <c r="F680" s="516">
        <v>0</v>
      </c>
      <c r="G680" s="516"/>
      <c r="H680" s="516"/>
      <c r="I680" s="516"/>
    </row>
    <row r="681" spans="1:9" ht="13">
      <c r="A681" s="331">
        <v>16</v>
      </c>
      <c r="D681" s="342"/>
      <c r="E681" s="195"/>
    </row>
    <row r="682" spans="1:9" ht="13">
      <c r="A682" s="331">
        <v>17</v>
      </c>
      <c r="B682" s="330" t="s">
        <v>87</v>
      </c>
      <c r="D682" s="342"/>
      <c r="E682" s="195"/>
    </row>
    <row r="683" spans="1:9" ht="13">
      <c r="A683" s="331">
        <v>18</v>
      </c>
      <c r="C683" s="330" t="s">
        <v>210</v>
      </c>
      <c r="D683" s="342"/>
      <c r="E683" s="195"/>
      <c r="F683" s="348">
        <f>ROUND(G668*F676,5)</f>
        <v>1.7950000000000001E-2</v>
      </c>
      <c r="G683" s="514"/>
      <c r="H683" s="514"/>
      <c r="I683" s="514"/>
    </row>
    <row r="684" spans="1:9" ht="13">
      <c r="A684" s="331">
        <v>19</v>
      </c>
      <c r="C684" s="330" t="s">
        <v>211</v>
      </c>
      <c r="D684" s="342"/>
      <c r="E684" s="195"/>
      <c r="F684" s="348">
        <f>ROUND(G669*F677,5)</f>
        <v>0</v>
      </c>
      <c r="G684" s="514"/>
      <c r="H684" s="514"/>
      <c r="I684" s="514"/>
    </row>
    <row r="685" spans="1:9" ht="13">
      <c r="A685" s="331">
        <v>20</v>
      </c>
      <c r="C685" s="330" t="s">
        <v>212</v>
      </c>
      <c r="D685" s="342"/>
      <c r="E685" s="195"/>
      <c r="F685" s="348">
        <f>ROUND(G670*F678,5)</f>
        <v>5.2220000000000003E-2</v>
      </c>
      <c r="G685" s="514"/>
      <c r="H685" s="514"/>
      <c r="I685" s="514"/>
    </row>
    <row r="686" spans="1:9" ht="13">
      <c r="A686" s="331">
        <v>21</v>
      </c>
      <c r="C686" s="330" t="s">
        <v>213</v>
      </c>
      <c r="D686" s="342"/>
      <c r="E686" s="195"/>
      <c r="F686" s="348">
        <f>ROUND(G671*F679,5)</f>
        <v>4.2999999999999999E-4</v>
      </c>
      <c r="G686" s="514"/>
      <c r="H686" s="514"/>
      <c r="I686" s="514"/>
    </row>
    <row r="687" spans="1:9" ht="13">
      <c r="A687" s="331">
        <v>22</v>
      </c>
      <c r="C687" s="330" t="s">
        <v>214</v>
      </c>
      <c r="D687" s="342"/>
      <c r="E687" s="195"/>
      <c r="F687" s="348">
        <f>ROUND(G672*F680,5)</f>
        <v>0</v>
      </c>
      <c r="G687" s="514"/>
      <c r="H687" s="514"/>
      <c r="I687" s="514"/>
    </row>
    <row r="688" spans="1:9" ht="13">
      <c r="A688" s="331">
        <v>23</v>
      </c>
      <c r="C688" s="330" t="s">
        <v>216</v>
      </c>
      <c r="D688" s="342"/>
      <c r="E688" s="195"/>
      <c r="F688" s="1447">
        <f>SUM(F683:F687)</f>
        <v>7.060000000000001E-2</v>
      </c>
      <c r="G688" s="518"/>
      <c r="H688" s="518"/>
      <c r="I688" s="518"/>
    </row>
    <row r="689" spans="1:11" ht="13">
      <c r="A689" s="331">
        <v>24</v>
      </c>
      <c r="D689" s="342"/>
      <c r="E689" s="195"/>
    </row>
    <row r="690" spans="1:11" ht="13">
      <c r="A690" s="331">
        <v>25</v>
      </c>
      <c r="B690" s="330" t="s">
        <v>88</v>
      </c>
      <c r="D690" s="342"/>
      <c r="E690" s="195"/>
    </row>
    <row r="691" spans="1:11" ht="13">
      <c r="A691" s="331">
        <v>26</v>
      </c>
      <c r="C691" s="330" t="s">
        <v>217</v>
      </c>
      <c r="D691" s="342"/>
      <c r="E691" s="195"/>
      <c r="F691" s="760">
        <v>0</v>
      </c>
      <c r="G691" s="519">
        <f>$F$691</f>
        <v>0</v>
      </c>
      <c r="H691" s="519">
        <f>$F$691</f>
        <v>0</v>
      </c>
      <c r="I691" s="519">
        <f>$F$691</f>
        <v>0</v>
      </c>
      <c r="J691" s="519">
        <f>$F$691</f>
        <v>0</v>
      </c>
      <c r="K691" s="519">
        <f>$F$691</f>
        <v>0</v>
      </c>
    </row>
    <row r="692" spans="1:11" ht="13">
      <c r="A692" s="331">
        <v>27</v>
      </c>
      <c r="C692" s="330" t="s">
        <v>218</v>
      </c>
      <c r="D692" s="342"/>
      <c r="E692" s="448" t="s">
        <v>1483</v>
      </c>
      <c r="F692" s="789">
        <v>0.21</v>
      </c>
      <c r="G692" s="519">
        <f>FIT</f>
        <v>0.21</v>
      </c>
      <c r="H692" s="519">
        <f>FIT</f>
        <v>0.21</v>
      </c>
      <c r="I692" s="519">
        <f>FIT</f>
        <v>0.21</v>
      </c>
      <c r="J692" s="519">
        <f>FIT</f>
        <v>0.21</v>
      </c>
      <c r="K692" s="519">
        <f>FIT</f>
        <v>0.21</v>
      </c>
    </row>
    <row r="693" spans="1:11" ht="13">
      <c r="A693" s="331">
        <v>28</v>
      </c>
      <c r="C693" s="330" t="s">
        <v>219</v>
      </c>
      <c r="D693" s="342"/>
      <c r="E693" s="448" t="s">
        <v>1483</v>
      </c>
      <c r="F693" s="1553">
        <f>[1]!SIT*[1]SCH_E1!AJ254</f>
        <v>4.9685000000000007E-2</v>
      </c>
      <c r="G693" s="519">
        <f>SIT</f>
        <v>4.9685000000000007E-2</v>
      </c>
      <c r="H693" s="519">
        <f>SIT</f>
        <v>4.9685000000000007E-2</v>
      </c>
      <c r="I693" s="519">
        <f>SIT</f>
        <v>4.9685000000000007E-2</v>
      </c>
      <c r="J693" s="519">
        <f>SIT</f>
        <v>4.9685000000000007E-2</v>
      </c>
      <c r="K693" s="519">
        <f>SIT</f>
        <v>4.9685000000000007E-2</v>
      </c>
    </row>
    <row r="694" spans="1:11" ht="13">
      <c r="A694" s="331">
        <v>29</v>
      </c>
      <c r="C694" s="330" t="s">
        <v>220</v>
      </c>
      <c r="D694" s="342"/>
      <c r="E694" s="195"/>
      <c r="F694" s="516">
        <v>0</v>
      </c>
      <c r="G694" s="519">
        <f>RevTax</f>
        <v>0</v>
      </c>
      <c r="H694" s="519">
        <f>RevTax</f>
        <v>0</v>
      </c>
      <c r="I694" s="519">
        <f>RevTax</f>
        <v>0</v>
      </c>
      <c r="J694" s="519">
        <f>RevTax</f>
        <v>0</v>
      </c>
      <c r="K694" s="519">
        <f>RevTax</f>
        <v>0</v>
      </c>
    </row>
    <row r="696" spans="1:11" ht="13">
      <c r="A696" s="341" t="str">
        <f>co_name</f>
        <v>DUKE ENERGY KENTUCKY, INC.</v>
      </c>
      <c r="C696" s="195"/>
      <c r="D696" s="342"/>
      <c r="E696" s="195"/>
      <c r="F696" s="195"/>
      <c r="G696" s="195"/>
      <c r="H696" s="195"/>
      <c r="I696" s="195"/>
      <c r="J696" s="195" t="str">
        <f>$J$1</f>
        <v>FR-16(7)(v)-1</v>
      </c>
      <c r="K696" s="195"/>
    </row>
    <row r="697" spans="1:11" ht="13">
      <c r="A697" s="341" t="str">
        <f>$A$2</f>
        <v>FUNCTIONAL GAS COST OF SERVICE</v>
      </c>
      <c r="C697" s="195"/>
      <c r="D697" s="342"/>
      <c r="E697" s="195"/>
      <c r="F697" s="195"/>
      <c r="G697" s="195"/>
      <c r="H697" s="195"/>
      <c r="I697" s="195"/>
      <c r="J697" s="195" t="str">
        <f>$J$2</f>
        <v>WITNESS RESPONSIBLE:</v>
      </c>
      <c r="K697" s="195"/>
    </row>
    <row r="698" spans="1:11" ht="13">
      <c r="A698" s="341" t="str">
        <f>case_name</f>
        <v>CASE NO: 2021-00190</v>
      </c>
      <c r="C698" s="195"/>
      <c r="D698" s="342"/>
      <c r="E698" s="195"/>
      <c r="F698" s="195"/>
      <c r="G698" s="195"/>
      <c r="H698" s="195"/>
      <c r="I698" s="195"/>
      <c r="J698" s="195" t="str">
        <f>Witness</f>
        <v>JAMES E. ZIOLKOWSKI</v>
      </c>
      <c r="K698" s="195"/>
    </row>
    <row r="699" spans="1:11" ht="13">
      <c r="A699" s="341" t="str">
        <f>data_filing</f>
        <v>DATA: 12 MONTH FORECASTED PERIOD</v>
      </c>
      <c r="C699" s="195"/>
      <c r="D699" s="342"/>
      <c r="E699" s="195"/>
      <c r="F699" s="195"/>
      <c r="G699" s="195"/>
      <c r="H699" s="195"/>
      <c r="I699" s="195"/>
      <c r="J699" s="195" t="str">
        <f>"PAGE "&amp;Pages-2&amp;" OF "&amp;Pages</f>
        <v>PAGE 16 OF 18</v>
      </c>
      <c r="K699" s="195"/>
    </row>
    <row r="700" spans="1:11" ht="13">
      <c r="A700" s="341" t="str">
        <f>type</f>
        <v xml:space="preserve">TYPE OF FILING: "X" ORIGINAL   UPDATED    REVISED  </v>
      </c>
      <c r="C700" s="195"/>
      <c r="D700" s="342"/>
      <c r="E700" s="195"/>
      <c r="F700" s="195"/>
      <c r="G700" s="195"/>
      <c r="H700" s="195"/>
      <c r="I700" s="195"/>
      <c r="J700" s="195"/>
      <c r="K700" s="195"/>
    </row>
    <row r="703" spans="1:11" ht="13">
      <c r="A703" s="342" t="s">
        <v>907</v>
      </c>
      <c r="B703" s="195"/>
      <c r="C703" s="195"/>
      <c r="D703" s="342"/>
      <c r="E703" s="342"/>
      <c r="F703" s="583" t="s">
        <v>229</v>
      </c>
      <c r="G703" s="467" t="s">
        <v>971</v>
      </c>
      <c r="H703" s="468"/>
      <c r="I703" s="469"/>
      <c r="J703" s="342" t="s">
        <v>229</v>
      </c>
      <c r="K703" s="342" t="s">
        <v>342</v>
      </c>
    </row>
    <row r="704" spans="1:11" ht="13">
      <c r="A704" s="344" t="s">
        <v>908</v>
      </c>
      <c r="B704" s="584" t="s">
        <v>89</v>
      </c>
      <c r="C704" s="343"/>
      <c r="D704" s="585" t="s">
        <v>1001</v>
      </c>
      <c r="E704" s="585" t="s">
        <v>337</v>
      </c>
      <c r="F704" s="586" t="s">
        <v>284</v>
      </c>
      <c r="G704" s="476" t="s">
        <v>838</v>
      </c>
      <c r="H704" s="475" t="s">
        <v>970</v>
      </c>
      <c r="I704" s="477" t="s">
        <v>839</v>
      </c>
      <c r="J704" s="344" t="s">
        <v>341</v>
      </c>
      <c r="K704" s="344" t="s">
        <v>340</v>
      </c>
    </row>
    <row r="705" spans="1:11" ht="13">
      <c r="A705" s="195"/>
      <c r="B705" s="588"/>
      <c r="C705" s="838" t="s">
        <v>558</v>
      </c>
      <c r="D705" s="712"/>
      <c r="E705" s="783">
        <v>1</v>
      </c>
      <c r="F705" s="783">
        <v>2</v>
      </c>
      <c r="G705" s="784">
        <f>$G$10</f>
        <v>3</v>
      </c>
      <c r="H705" s="785">
        <f>$H$10</f>
        <v>4</v>
      </c>
      <c r="I705" s="786">
        <f>$I$10</f>
        <v>5</v>
      </c>
    </row>
    <row r="706" spans="1:11" ht="13">
      <c r="A706" s="342">
        <v>1</v>
      </c>
      <c r="B706" s="591" t="s">
        <v>90</v>
      </c>
      <c r="C706" s="484"/>
      <c r="D706" s="706"/>
      <c r="E706" s="706"/>
      <c r="F706" s="504"/>
      <c r="G706" s="511"/>
      <c r="H706" s="510"/>
      <c r="I706" s="512"/>
    </row>
    <row r="707" spans="1:11" ht="13">
      <c r="A707" s="342">
        <v>2</v>
      </c>
      <c r="C707" s="592" t="s">
        <v>221</v>
      </c>
      <c r="D707" s="717" t="s">
        <v>1002</v>
      </c>
      <c r="E707" s="707"/>
      <c r="F707" s="473">
        <f>'Alloc Factors Summary'!$D$16</f>
        <v>11107573</v>
      </c>
      <c r="G707" s="499">
        <f>'Alloc Factors Summary'!$D$16</f>
        <v>11107573</v>
      </c>
      <c r="H707" s="594">
        <v>0</v>
      </c>
      <c r="I707" s="595">
        <v>0</v>
      </c>
      <c r="J707" s="732">
        <f>SUM(G707:I707)</f>
        <v>11107573</v>
      </c>
      <c r="K707" s="495">
        <f>F707-J707</f>
        <v>0</v>
      </c>
    </row>
    <row r="708" spans="1:11" ht="13">
      <c r="A708" s="342">
        <v>3</v>
      </c>
      <c r="B708" s="195"/>
      <c r="C708" s="491" t="s">
        <v>355</v>
      </c>
      <c r="D708" s="583"/>
      <c r="E708" s="728" t="s">
        <v>287</v>
      </c>
      <c r="F708" s="643">
        <v>1</v>
      </c>
      <c r="G708" s="464">
        <f>ROUND(G707/(G707+H707+I707),5)</f>
        <v>1</v>
      </c>
      <c r="H708" s="465">
        <f>ROUND(H707/(G707+H707+I707),5)</f>
        <v>0</v>
      </c>
      <c r="I708" s="466">
        <v>0</v>
      </c>
      <c r="J708" s="733">
        <f t="shared" ref="J708:J742" si="155">SUM(G708:I708)</f>
        <v>1</v>
      </c>
      <c r="K708" s="731">
        <f t="shared" ref="K708:K742" si="156">F708-J708</f>
        <v>0</v>
      </c>
    </row>
    <row r="709" spans="1:11" ht="13">
      <c r="A709" s="342">
        <v>4</v>
      </c>
      <c r="C709" s="592" t="s">
        <v>855</v>
      </c>
      <c r="D709" s="717" t="s">
        <v>1002</v>
      </c>
      <c r="E709" s="723"/>
      <c r="F709" s="598">
        <v>100</v>
      </c>
      <c r="G709" s="596">
        <v>0</v>
      </c>
      <c r="H709" s="594">
        <v>0</v>
      </c>
      <c r="I709" s="597">
        <f>ROUND('Alloc Factors Summary'!$D$25*100,3)</f>
        <v>100</v>
      </c>
      <c r="J709" s="734">
        <f t="shared" si="155"/>
        <v>100</v>
      </c>
      <c r="K709" s="737">
        <f t="shared" si="156"/>
        <v>0</v>
      </c>
    </row>
    <row r="710" spans="1:11" ht="13">
      <c r="A710" s="342">
        <v>5</v>
      </c>
      <c r="B710" s="195"/>
      <c r="C710" s="491" t="s">
        <v>355</v>
      </c>
      <c r="D710" s="583"/>
      <c r="E710" s="728" t="s">
        <v>288</v>
      </c>
      <c r="F710" s="643">
        <v>1</v>
      </c>
      <c r="G710" s="464">
        <f>ROUND(G709/(G709+H709+I709),5)</f>
        <v>0</v>
      </c>
      <c r="H710" s="465">
        <f>ROUND(H709/(G709+H709+I709),5)</f>
        <v>0</v>
      </c>
      <c r="I710" s="466">
        <f>ROUND(I709/(G709+H709+I709),5)</f>
        <v>1</v>
      </c>
      <c r="J710" s="733">
        <f t="shared" si="155"/>
        <v>1</v>
      </c>
      <c r="K710" s="731">
        <f t="shared" si="156"/>
        <v>0</v>
      </c>
    </row>
    <row r="711" spans="1:11" ht="13">
      <c r="A711" s="342">
        <v>6</v>
      </c>
      <c r="C711" s="592" t="s">
        <v>856</v>
      </c>
      <c r="D711" s="717" t="s">
        <v>1002</v>
      </c>
      <c r="E711" s="723"/>
      <c r="F711" s="598">
        <v>100</v>
      </c>
      <c r="G711" s="1070">
        <f>ROUND('Alloc Factors Summary'!$E$25*100,3)</f>
        <v>100</v>
      </c>
      <c r="H711" s="594">
        <v>0</v>
      </c>
      <c r="I711" s="597">
        <v>0</v>
      </c>
      <c r="J711" s="734">
        <f t="shared" si="155"/>
        <v>100</v>
      </c>
      <c r="K711" s="737">
        <f t="shared" si="156"/>
        <v>0</v>
      </c>
    </row>
    <row r="712" spans="1:11" ht="13">
      <c r="A712" s="342">
        <v>7</v>
      </c>
      <c r="B712" s="195"/>
      <c r="C712" s="491" t="s">
        <v>355</v>
      </c>
      <c r="D712" s="583"/>
      <c r="E712" s="728" t="s">
        <v>289</v>
      </c>
      <c r="F712" s="643">
        <v>1</v>
      </c>
      <c r="G712" s="464">
        <f>ROUND(G711/(G711+H711+I711),5)</f>
        <v>1</v>
      </c>
      <c r="H712" s="465">
        <f>ROUND(H711/(G711+H711+I711),5)</f>
        <v>0</v>
      </c>
      <c r="I712" s="466">
        <f>ROUND(I711/(G711+H711+I711),5)</f>
        <v>0</v>
      </c>
      <c r="J712" s="733">
        <f t="shared" si="155"/>
        <v>1</v>
      </c>
      <c r="K712" s="731">
        <f t="shared" si="156"/>
        <v>0</v>
      </c>
    </row>
    <row r="713" spans="1:11" ht="13">
      <c r="A713" s="342">
        <v>8</v>
      </c>
      <c r="B713" s="195"/>
      <c r="C713" s="592" t="s">
        <v>405</v>
      </c>
      <c r="D713" s="717" t="s">
        <v>1002</v>
      </c>
      <c r="E713" s="723"/>
      <c r="F713" s="473">
        <f>'Alloc Factors Summary'!$D$34</f>
        <v>12746023</v>
      </c>
      <c r="G713" s="499">
        <f>'Alloc Factors Summary'!$D$34</f>
        <v>12746023</v>
      </c>
      <c r="H713" s="594">
        <v>0</v>
      </c>
      <c r="I713" s="595">
        <v>0</v>
      </c>
      <c r="J713" s="732">
        <f t="shared" si="155"/>
        <v>12746023</v>
      </c>
      <c r="K713" s="495">
        <f t="shared" si="156"/>
        <v>0</v>
      </c>
    </row>
    <row r="714" spans="1:11" ht="13">
      <c r="A714" s="342">
        <v>9</v>
      </c>
      <c r="B714" s="195"/>
      <c r="C714" s="491" t="s">
        <v>355</v>
      </c>
      <c r="D714" s="583"/>
      <c r="E714" s="728" t="s">
        <v>379</v>
      </c>
      <c r="F714" s="643">
        <v>1</v>
      </c>
      <c r="G714" s="464">
        <f>ROUND(G713/(G713+H713+I713),5)</f>
        <v>1</v>
      </c>
      <c r="H714" s="465">
        <f>ROUND(H713/(G713+H713+I713),5)</f>
        <v>0</v>
      </c>
      <c r="I714" s="466">
        <f>ROUND(I713/(G713+H713+I713),5)</f>
        <v>0</v>
      </c>
      <c r="J714" s="733">
        <f t="shared" si="155"/>
        <v>1</v>
      </c>
      <c r="K714" s="731">
        <f t="shared" si="156"/>
        <v>0</v>
      </c>
    </row>
    <row r="715" spans="1:11" ht="13">
      <c r="A715" s="342">
        <v>10</v>
      </c>
      <c r="C715" s="592" t="s">
        <v>375</v>
      </c>
      <c r="D715" s="717" t="s">
        <v>1002</v>
      </c>
      <c r="E715" s="723"/>
      <c r="F715" s="473">
        <f>'Alloc Factors Summary'!$D$43</f>
        <v>8817610</v>
      </c>
      <c r="G715" s="499">
        <f>'Alloc Factors Summary'!$D$43</f>
        <v>8817610</v>
      </c>
      <c r="H715" s="594">
        <v>0</v>
      </c>
      <c r="I715" s="595">
        <v>0</v>
      </c>
      <c r="J715" s="732">
        <f t="shared" si="155"/>
        <v>8817610</v>
      </c>
      <c r="K715" s="495">
        <f t="shared" si="156"/>
        <v>0</v>
      </c>
    </row>
    <row r="716" spans="1:11" ht="13">
      <c r="A716" s="342">
        <v>11</v>
      </c>
      <c r="B716" s="195"/>
      <c r="C716" s="491" t="s">
        <v>355</v>
      </c>
      <c r="D716" s="583"/>
      <c r="E716" s="728" t="s">
        <v>290</v>
      </c>
      <c r="F716" s="643">
        <v>1</v>
      </c>
      <c r="G716" s="464">
        <f>ROUND(G715/(G715+H715+I715),5)</f>
        <v>1</v>
      </c>
      <c r="H716" s="465">
        <f>ROUND(H715/(G715+H715+I715),5)</f>
        <v>0</v>
      </c>
      <c r="I716" s="466">
        <f>ROUND(I715/(G715+H715+I715),5)</f>
        <v>0</v>
      </c>
      <c r="J716" s="733">
        <f t="shared" si="155"/>
        <v>1</v>
      </c>
      <c r="K716" s="731">
        <f t="shared" si="156"/>
        <v>0</v>
      </c>
    </row>
    <row r="717" spans="1:11" ht="13">
      <c r="A717" s="342">
        <v>12</v>
      </c>
      <c r="C717" s="592" t="s">
        <v>222</v>
      </c>
      <c r="D717" s="717" t="s">
        <v>1002</v>
      </c>
      <c r="E717" s="723"/>
      <c r="F717" s="473">
        <f>'Alloc Factors Summary'!$D$64</f>
        <v>101373</v>
      </c>
      <c r="G717" s="596">
        <v>0</v>
      </c>
      <c r="H717" s="594">
        <v>0</v>
      </c>
      <c r="I717" s="501">
        <f>'Alloc Factors Summary'!$D$64</f>
        <v>101373</v>
      </c>
      <c r="J717" s="734">
        <f t="shared" si="155"/>
        <v>101373</v>
      </c>
      <c r="K717" s="737">
        <f t="shared" si="156"/>
        <v>0</v>
      </c>
    </row>
    <row r="718" spans="1:11" ht="13">
      <c r="A718" s="342">
        <v>13</v>
      </c>
      <c r="B718" s="195"/>
      <c r="C718" s="491" t="s">
        <v>355</v>
      </c>
      <c r="D718" s="583"/>
      <c r="E718" s="728" t="s">
        <v>291</v>
      </c>
      <c r="F718" s="643">
        <v>1</v>
      </c>
      <c r="G718" s="464">
        <f>ROUND(G717/(G717+H717+I717),5)</f>
        <v>0</v>
      </c>
      <c r="H718" s="465">
        <f>ROUND(H717/(G717+H717+I717),5)</f>
        <v>0</v>
      </c>
      <c r="I718" s="466">
        <f>ROUND(I717/(G717+H717+I717),5)</f>
        <v>1</v>
      </c>
      <c r="J718" s="733">
        <f t="shared" si="155"/>
        <v>1</v>
      </c>
      <c r="K718" s="731">
        <f t="shared" si="156"/>
        <v>0</v>
      </c>
    </row>
    <row r="719" spans="1:11" ht="13">
      <c r="A719" s="342">
        <v>14</v>
      </c>
      <c r="C719" s="592" t="s">
        <v>223</v>
      </c>
      <c r="D719" s="717" t="s">
        <v>1002</v>
      </c>
      <c r="E719" s="723"/>
      <c r="F719" s="473">
        <f>'Alloc Factors Summary'!$F$76</f>
        <v>106848</v>
      </c>
      <c r="G719" s="596">
        <v>0</v>
      </c>
      <c r="H719" s="594">
        <v>0</v>
      </c>
      <c r="I719" s="501">
        <f>'Alloc Factors Summary'!$F$76</f>
        <v>106848</v>
      </c>
      <c r="J719" s="734">
        <f t="shared" si="155"/>
        <v>106848</v>
      </c>
      <c r="K719" s="737">
        <f t="shared" si="156"/>
        <v>0</v>
      </c>
    </row>
    <row r="720" spans="1:11" ht="13">
      <c r="A720" s="342">
        <v>15</v>
      </c>
      <c r="B720" s="195"/>
      <c r="C720" s="491" t="s">
        <v>355</v>
      </c>
      <c r="D720" s="583"/>
      <c r="E720" s="728" t="s">
        <v>292</v>
      </c>
      <c r="F720" s="643">
        <v>1</v>
      </c>
      <c r="G720" s="464">
        <f>ROUND(G719/(G719+H719+I719),5)</f>
        <v>0</v>
      </c>
      <c r="H720" s="465">
        <f>ROUND(H719/(G719+H719+I719),5)</f>
        <v>0</v>
      </c>
      <c r="I720" s="466">
        <f>ROUND(I719/(G719+H719+I719),5)</f>
        <v>1</v>
      </c>
      <c r="J720" s="733">
        <f t="shared" si="155"/>
        <v>1</v>
      </c>
      <c r="K720" s="731">
        <f t="shared" si="156"/>
        <v>0</v>
      </c>
    </row>
    <row r="721" spans="1:11" ht="13">
      <c r="A721" s="342">
        <v>16</v>
      </c>
      <c r="C721" s="592" t="s">
        <v>385</v>
      </c>
      <c r="D721" s="717" t="s">
        <v>1002</v>
      </c>
      <c r="E721" s="723"/>
      <c r="F721" s="473">
        <f>'Alloc Factors Summary'!$G$88</f>
        <v>2925179.9999999995</v>
      </c>
      <c r="G721" s="596">
        <v>0</v>
      </c>
      <c r="H721" s="594">
        <v>0</v>
      </c>
      <c r="I721" s="501">
        <f>'Alloc Factors Summary'!$G$88</f>
        <v>2925179.9999999995</v>
      </c>
      <c r="J721" s="734">
        <f t="shared" si="155"/>
        <v>2925179.9999999995</v>
      </c>
      <c r="K721" s="737">
        <f t="shared" si="156"/>
        <v>0</v>
      </c>
    </row>
    <row r="722" spans="1:11" ht="13">
      <c r="A722" s="342">
        <v>17</v>
      </c>
      <c r="B722" s="195"/>
      <c r="C722" s="491" t="s">
        <v>355</v>
      </c>
      <c r="D722" s="583"/>
      <c r="E722" s="728" t="s">
        <v>293</v>
      </c>
      <c r="F722" s="643">
        <v>1</v>
      </c>
      <c r="G722" s="464">
        <f>ROUND(G721/(G721+H721+I721),5)</f>
        <v>0</v>
      </c>
      <c r="H722" s="465">
        <f>ROUND(H721/(G721+H721+I721),5)</f>
        <v>0</v>
      </c>
      <c r="I722" s="466">
        <f>ROUND(I721/(G721+H721+I721),5)</f>
        <v>1</v>
      </c>
      <c r="J722" s="733">
        <f t="shared" si="155"/>
        <v>1</v>
      </c>
      <c r="K722" s="731">
        <f t="shared" si="156"/>
        <v>0</v>
      </c>
    </row>
    <row r="723" spans="1:11" ht="13">
      <c r="A723" s="342">
        <v>18</v>
      </c>
      <c r="C723" s="592" t="s">
        <v>373</v>
      </c>
      <c r="D723" s="717" t="s">
        <v>1002</v>
      </c>
      <c r="E723" s="723"/>
      <c r="F723" s="473">
        <f>'Alloc Factors Summary'!$D$98</f>
        <v>6856</v>
      </c>
      <c r="G723" s="596">
        <v>0</v>
      </c>
      <c r="H723" s="594">
        <v>0</v>
      </c>
      <c r="I723" s="501">
        <f>'Alloc Factors Summary'!$D$98</f>
        <v>6856</v>
      </c>
      <c r="J723" s="734">
        <f t="shared" si="155"/>
        <v>6856</v>
      </c>
      <c r="K723" s="737">
        <f t="shared" si="156"/>
        <v>0</v>
      </c>
    </row>
    <row r="724" spans="1:11" ht="13">
      <c r="A724" s="342">
        <v>19</v>
      </c>
      <c r="B724" s="195"/>
      <c r="C724" s="491" t="s">
        <v>355</v>
      </c>
      <c r="D724" s="583"/>
      <c r="E724" s="728" t="s">
        <v>382</v>
      </c>
      <c r="F724" s="643">
        <v>1</v>
      </c>
      <c r="G724" s="464">
        <f>ROUND(G723/(G723+H723+I723),5)</f>
        <v>0</v>
      </c>
      <c r="H724" s="465">
        <f>ROUND(H723/(G723+H723+I723),5)</f>
        <v>0</v>
      </c>
      <c r="I724" s="466">
        <f>ROUND(I723/(G723+H723+I723),5)</f>
        <v>1</v>
      </c>
      <c r="J724" s="733">
        <f t="shared" si="155"/>
        <v>1</v>
      </c>
      <c r="K724" s="731">
        <f t="shared" si="156"/>
        <v>0</v>
      </c>
    </row>
    <row r="725" spans="1:11" ht="13">
      <c r="A725" s="342">
        <v>20</v>
      </c>
      <c r="C725" s="592" t="s">
        <v>1025</v>
      </c>
      <c r="D725" s="717" t="s">
        <v>1002</v>
      </c>
      <c r="E725" s="723"/>
      <c r="F725" s="473">
        <f>'Alloc Factors Summary'!$G$108</f>
        <v>108184.00000000001</v>
      </c>
      <c r="G725" s="596">
        <v>0</v>
      </c>
      <c r="H725" s="594">
        <v>0</v>
      </c>
      <c r="I725" s="501">
        <f>'Alloc Factors Summary'!$G$108</f>
        <v>108184.00000000001</v>
      </c>
      <c r="J725" s="734">
        <f t="shared" si="155"/>
        <v>108184.00000000001</v>
      </c>
      <c r="K725" s="737">
        <f t="shared" si="156"/>
        <v>0</v>
      </c>
    </row>
    <row r="726" spans="1:11" ht="13">
      <c r="A726" s="342">
        <v>21</v>
      </c>
      <c r="B726" s="195"/>
      <c r="C726" s="491" t="s">
        <v>355</v>
      </c>
      <c r="D726" s="583"/>
      <c r="E726" s="728" t="s">
        <v>1027</v>
      </c>
      <c r="F726" s="643">
        <v>1</v>
      </c>
      <c r="G726" s="464">
        <f>ROUND(G725/(G725+H725+I725),5)</f>
        <v>0</v>
      </c>
      <c r="H726" s="465">
        <f>ROUND(H725/(G725+H725+I725),5)</f>
        <v>0</v>
      </c>
      <c r="I726" s="466">
        <f>ROUND(I725/(G725+H725+I725),5)</f>
        <v>1</v>
      </c>
      <c r="J726" s="733">
        <f t="shared" si="155"/>
        <v>1</v>
      </c>
      <c r="K726" s="731">
        <f t="shared" si="156"/>
        <v>0</v>
      </c>
    </row>
    <row r="727" spans="1:11" ht="13">
      <c r="A727" s="342">
        <v>22</v>
      </c>
      <c r="C727" s="592" t="s">
        <v>1026</v>
      </c>
      <c r="D727" s="717" t="s">
        <v>1002</v>
      </c>
      <c r="E727" s="723"/>
      <c r="F727" s="473">
        <f>'Alloc Factors Summary'!$F$118</f>
        <v>2602</v>
      </c>
      <c r="G727" s="596">
        <v>0</v>
      </c>
      <c r="H727" s="594">
        <v>0</v>
      </c>
      <c r="I727" s="501">
        <f>'Alloc Factors Summary'!$F$118</f>
        <v>2602</v>
      </c>
      <c r="J727" s="734">
        <f t="shared" si="155"/>
        <v>2602</v>
      </c>
      <c r="K727" s="737">
        <f t="shared" si="156"/>
        <v>0</v>
      </c>
    </row>
    <row r="728" spans="1:11" ht="13">
      <c r="A728" s="342">
        <v>23</v>
      </c>
      <c r="B728" s="195"/>
      <c r="C728" s="491" t="s">
        <v>355</v>
      </c>
      <c r="D728" s="583"/>
      <c r="E728" s="728" t="s">
        <v>1028</v>
      </c>
      <c r="F728" s="643">
        <v>1</v>
      </c>
      <c r="G728" s="464">
        <f>ROUND(G727/(G727+H727+I727),5)</f>
        <v>0</v>
      </c>
      <c r="H728" s="465">
        <f>ROUND(H727/(G727+H727+I727),5)</f>
        <v>0</v>
      </c>
      <c r="I728" s="466">
        <f>ROUND(I727/(G727+H727+I727),5)</f>
        <v>1</v>
      </c>
      <c r="J728" s="733">
        <f t="shared" si="155"/>
        <v>1</v>
      </c>
      <c r="K728" s="731">
        <f t="shared" si="156"/>
        <v>0</v>
      </c>
    </row>
    <row r="729" spans="1:11" ht="13">
      <c r="A729" s="342">
        <v>24</v>
      </c>
      <c r="C729" s="592" t="s">
        <v>224</v>
      </c>
      <c r="D729" s="717" t="s">
        <v>1002</v>
      </c>
      <c r="E729" s="723"/>
      <c r="F729" s="473">
        <f>'Alloc Factors Summary'!$D$141</f>
        <v>8662854</v>
      </c>
      <c r="G729" s="596">
        <v>0</v>
      </c>
      <c r="H729" s="594">
        <v>0</v>
      </c>
      <c r="I729" s="501">
        <f>'Alloc Factors Summary'!$D$141</f>
        <v>8662854</v>
      </c>
      <c r="J729" s="734">
        <f t="shared" si="155"/>
        <v>8662854</v>
      </c>
      <c r="K729" s="737">
        <f t="shared" si="156"/>
        <v>0</v>
      </c>
    </row>
    <row r="730" spans="1:11" ht="13">
      <c r="A730" s="342">
        <v>25</v>
      </c>
      <c r="B730" s="195"/>
      <c r="C730" s="491" t="s">
        <v>355</v>
      </c>
      <c r="D730" s="583"/>
      <c r="E730" s="728" t="s">
        <v>294</v>
      </c>
      <c r="F730" s="643">
        <v>1</v>
      </c>
      <c r="G730" s="464">
        <f>ROUND(G729/(G729+H729+I729),5)</f>
        <v>0</v>
      </c>
      <c r="H730" s="465">
        <f>ROUND(H729/(G729+H729+I729),5)</f>
        <v>0</v>
      </c>
      <c r="I730" s="466">
        <f>ROUND(I729/(G729+H729+I729),5)</f>
        <v>1</v>
      </c>
      <c r="J730" s="733">
        <f t="shared" si="155"/>
        <v>1</v>
      </c>
      <c r="K730" s="731">
        <f t="shared" si="156"/>
        <v>0</v>
      </c>
    </row>
    <row r="731" spans="1:11" ht="13">
      <c r="A731" s="342">
        <v>26</v>
      </c>
      <c r="C731" s="663" t="s">
        <v>1004</v>
      </c>
      <c r="D731" s="717" t="s">
        <v>1002</v>
      </c>
      <c r="E731" s="723"/>
      <c r="F731" s="473">
        <f>ROUND('Alloc Factors Summary'!$H$171*100,0)</f>
        <v>100</v>
      </c>
      <c r="G731" s="596">
        <v>0</v>
      </c>
      <c r="H731" s="594">
        <v>0</v>
      </c>
      <c r="I731" s="501">
        <f>ROUND('Alloc Factors Summary'!$H$171*100,0)</f>
        <v>100</v>
      </c>
      <c r="J731" s="734">
        <f t="shared" si="155"/>
        <v>100</v>
      </c>
      <c r="K731" s="737">
        <f t="shared" si="156"/>
        <v>0</v>
      </c>
    </row>
    <row r="732" spans="1:11" ht="13">
      <c r="A732" s="342">
        <v>27</v>
      </c>
      <c r="B732" s="195"/>
      <c r="C732" s="491" t="s">
        <v>355</v>
      </c>
      <c r="D732" s="583"/>
      <c r="E732" s="728" t="s">
        <v>295</v>
      </c>
      <c r="F732" s="643">
        <v>1</v>
      </c>
      <c r="G732" s="464">
        <f>ROUND(G731/(G731+H731+I731),5)</f>
        <v>0</v>
      </c>
      <c r="H732" s="465">
        <f>ROUND(H731/(G731+H731+I731),5)</f>
        <v>0</v>
      </c>
      <c r="I732" s="466">
        <f>ROUND(I731/(G731+H731+I731),5)</f>
        <v>1</v>
      </c>
      <c r="J732" s="733">
        <f t="shared" si="155"/>
        <v>1</v>
      </c>
      <c r="K732" s="731">
        <f t="shared" si="156"/>
        <v>0</v>
      </c>
    </row>
    <row r="733" spans="1:11" ht="13">
      <c r="A733" s="342">
        <v>28</v>
      </c>
      <c r="C733" s="592" t="s">
        <v>376</v>
      </c>
      <c r="D733" s="717" t="s">
        <v>1002</v>
      </c>
      <c r="E733" s="723"/>
      <c r="F733" s="473">
        <f>'Alloc Factors Summary'!$D$151</f>
        <v>151324</v>
      </c>
      <c r="G733" s="596">
        <v>0</v>
      </c>
      <c r="H733" s="594">
        <v>0</v>
      </c>
      <c r="I733" s="501">
        <f>'Alloc Factors Summary'!$D$151</f>
        <v>151324</v>
      </c>
      <c r="J733" s="734">
        <f t="shared" si="155"/>
        <v>151324</v>
      </c>
      <c r="K733" s="737">
        <f t="shared" si="156"/>
        <v>0</v>
      </c>
    </row>
    <row r="734" spans="1:11" ht="13">
      <c r="A734" s="342">
        <v>29</v>
      </c>
      <c r="B734" s="195"/>
      <c r="C734" s="491" t="s">
        <v>355</v>
      </c>
      <c r="D734" s="583"/>
      <c r="E734" s="728" t="s">
        <v>301</v>
      </c>
      <c r="F734" s="643">
        <v>1</v>
      </c>
      <c r="G734" s="464">
        <f>ROUND(G733/(G733+H733+I733),5)</f>
        <v>0</v>
      </c>
      <c r="H734" s="465">
        <f>ROUND(H733/(G733+H733+I733),5)</f>
        <v>0</v>
      </c>
      <c r="I734" s="466">
        <f>ROUND(I733/(G733+H733+I733),5)</f>
        <v>1</v>
      </c>
      <c r="J734" s="733">
        <f t="shared" si="155"/>
        <v>1</v>
      </c>
      <c r="K734" s="731">
        <f t="shared" si="156"/>
        <v>0</v>
      </c>
    </row>
    <row r="735" spans="1:11" ht="13">
      <c r="A735" s="342">
        <v>30</v>
      </c>
      <c r="B735" s="485"/>
      <c r="C735" s="592" t="s">
        <v>226</v>
      </c>
      <c r="D735" s="717" t="s">
        <v>1002</v>
      </c>
      <c r="E735" s="739"/>
      <c r="F735" s="347">
        <f>'Alloc Factors Summary'!$D$62+'Alloc Factors Summary'!$D$63</f>
        <v>128</v>
      </c>
      <c r="G735" s="596">
        <v>0</v>
      </c>
      <c r="H735" s="594">
        <v>0</v>
      </c>
      <c r="I735" s="501">
        <f>F735</f>
        <v>128</v>
      </c>
      <c r="J735" s="734">
        <f t="shared" si="155"/>
        <v>128</v>
      </c>
      <c r="K735" s="737">
        <f t="shared" si="156"/>
        <v>0</v>
      </c>
    </row>
    <row r="736" spans="1:11" ht="13">
      <c r="A736" s="342">
        <v>31</v>
      </c>
      <c r="B736" s="195"/>
      <c r="C736" s="491" t="str">
        <f>C734</f>
        <v>RATIO TO TOTAL GAS</v>
      </c>
      <c r="D736" s="583"/>
      <c r="E736" s="728" t="s">
        <v>381</v>
      </c>
      <c r="F736" s="348">
        <v>1</v>
      </c>
      <c r="G736" s="464">
        <f>ROUND(G735/(G735+H735+I735),5)</f>
        <v>0</v>
      </c>
      <c r="H736" s="465">
        <f>ROUND(H735/(G735+H735+I735),5)</f>
        <v>0</v>
      </c>
      <c r="I736" s="466">
        <f>ROUND(I735/(G735+H735+I735),5)</f>
        <v>1</v>
      </c>
      <c r="J736" s="733">
        <f t="shared" si="155"/>
        <v>1</v>
      </c>
      <c r="K736" s="731">
        <f t="shared" si="156"/>
        <v>0</v>
      </c>
    </row>
    <row r="737" spans="1:13" ht="13">
      <c r="A737" s="342">
        <v>32</v>
      </c>
      <c r="C737" s="602" t="s">
        <v>1131</v>
      </c>
      <c r="D737" s="717" t="s">
        <v>1002</v>
      </c>
      <c r="E737" s="723"/>
      <c r="F737" s="473">
        <f>'Alloc Factors Summary'!$D$159</f>
        <v>3928413</v>
      </c>
      <c r="G737" s="596">
        <v>0</v>
      </c>
      <c r="H737" s="594">
        <v>0</v>
      </c>
      <c r="I737" s="501">
        <f>'Alloc Factors Summary'!$D$159</f>
        <v>3928413</v>
      </c>
      <c r="J737" s="734">
        <f t="shared" si="155"/>
        <v>3928413</v>
      </c>
      <c r="K737" s="737">
        <f t="shared" si="156"/>
        <v>0</v>
      </c>
    </row>
    <row r="738" spans="1:13" ht="13">
      <c r="A738" s="342">
        <v>33</v>
      </c>
      <c r="B738" s="195"/>
      <c r="C738" s="491" t="s">
        <v>355</v>
      </c>
      <c r="D738" s="583"/>
      <c r="E738" s="728" t="s">
        <v>296</v>
      </c>
      <c r="F738" s="643">
        <v>1</v>
      </c>
      <c r="G738" s="464">
        <f>ROUND(G737/(G737+H737+I737),5)</f>
        <v>0</v>
      </c>
      <c r="H738" s="465">
        <f>ROUND(H737/(G737+H737+I737),5)</f>
        <v>0</v>
      </c>
      <c r="I738" s="466">
        <f>ROUND(I737/(G737+H737+I737),5)</f>
        <v>1</v>
      </c>
      <c r="J738" s="733">
        <f t="shared" si="155"/>
        <v>1</v>
      </c>
      <c r="K738" s="731">
        <f t="shared" si="156"/>
        <v>0</v>
      </c>
    </row>
    <row r="739" spans="1:13" ht="13">
      <c r="A739" s="342">
        <v>34</v>
      </c>
      <c r="B739" s="593"/>
      <c r="C739" s="592" t="s">
        <v>225</v>
      </c>
      <c r="D739" s="717" t="s">
        <v>1002</v>
      </c>
      <c r="E739" s="723"/>
      <c r="F739" s="470">
        <v>1</v>
      </c>
      <c r="G739" s="596">
        <v>0</v>
      </c>
      <c r="H739" s="594">
        <v>0</v>
      </c>
      <c r="I739" s="638">
        <v>1</v>
      </c>
      <c r="J739" s="734">
        <f t="shared" si="155"/>
        <v>1</v>
      </c>
      <c r="K739" s="737">
        <f t="shared" si="156"/>
        <v>0</v>
      </c>
    </row>
    <row r="740" spans="1:13" ht="13">
      <c r="A740" s="342">
        <v>35</v>
      </c>
      <c r="B740" s="195"/>
      <c r="C740" s="491" t="s">
        <v>355</v>
      </c>
      <c r="D740" s="583"/>
      <c r="E740" s="728" t="s">
        <v>297</v>
      </c>
      <c r="F740" s="643">
        <v>1</v>
      </c>
      <c r="G740" s="464">
        <f>ROUND(G739/(G739+H739+I739),5)</f>
        <v>0</v>
      </c>
      <c r="H740" s="465">
        <f>ROUND(H739/(G739+H739+I739),5)</f>
        <v>0</v>
      </c>
      <c r="I740" s="466">
        <f>ROUND(I739/(G739+H739+I739),5)</f>
        <v>1</v>
      </c>
      <c r="J740" s="733">
        <f t="shared" si="155"/>
        <v>1</v>
      </c>
      <c r="K740" s="731">
        <f t="shared" si="156"/>
        <v>0</v>
      </c>
    </row>
    <row r="741" spans="1:13" ht="13">
      <c r="A741" s="342">
        <v>36</v>
      </c>
      <c r="C741" s="592" t="s">
        <v>431</v>
      </c>
      <c r="D741" s="621"/>
      <c r="E741" s="740"/>
      <c r="F741" s="488">
        <v>1</v>
      </c>
      <c r="G741" s="596">
        <v>0</v>
      </c>
      <c r="H741" s="594">
        <v>0</v>
      </c>
      <c r="I741" s="638">
        <v>1</v>
      </c>
      <c r="J741" s="734">
        <f t="shared" si="155"/>
        <v>1</v>
      </c>
      <c r="K741" s="737">
        <f t="shared" si="156"/>
        <v>0</v>
      </c>
    </row>
    <row r="742" spans="1:13" ht="13">
      <c r="A742" s="342">
        <v>37</v>
      </c>
      <c r="C742" s="491" t="s">
        <v>355</v>
      </c>
      <c r="D742" s="583"/>
      <c r="E742" s="728" t="s">
        <v>432</v>
      </c>
      <c r="F742" s="642">
        <v>1</v>
      </c>
      <c r="G742" s="464">
        <f>ROUND(G741/(G741+H741+I741),5)</f>
        <v>0</v>
      </c>
      <c r="H742" s="465">
        <f>ROUND(H741/(G741+H741+I741),5)</f>
        <v>0</v>
      </c>
      <c r="I742" s="466">
        <f>ROUND(I741/(G741+H741+I741),5)</f>
        <v>1</v>
      </c>
      <c r="J742" s="733">
        <f t="shared" si="155"/>
        <v>1</v>
      </c>
      <c r="K742" s="731">
        <f t="shared" si="156"/>
        <v>0</v>
      </c>
    </row>
    <row r="743" spans="1:13" ht="13">
      <c r="A743" s="342">
        <v>38</v>
      </c>
      <c r="B743" s="363"/>
      <c r="C743" s="363"/>
      <c r="D743" s="718"/>
      <c r="E743" s="331"/>
      <c r="G743" s="456"/>
      <c r="H743" s="457"/>
      <c r="I743" s="458"/>
      <c r="J743" s="735"/>
      <c r="K743" s="526"/>
    </row>
    <row r="744" spans="1:13" ht="13">
      <c r="A744" s="342">
        <v>39</v>
      </c>
      <c r="C744" s="592" t="s">
        <v>108</v>
      </c>
      <c r="D744" s="727" t="s">
        <v>335</v>
      </c>
      <c r="E744" s="709" t="s">
        <v>302</v>
      </c>
      <c r="F744" s="473">
        <f>'FR-16(7)(v)-3 PROD Comm Alloc'!F761</f>
        <v>111143535</v>
      </c>
      <c r="G744" s="459">
        <f t="shared" ref="G744:G745" si="157">F744-SUM(H744:I744)</f>
        <v>40910824</v>
      </c>
      <c r="H744" s="460">
        <f t="shared" ref="H744:H745" si="158">ROUND(F744*VLOOKUP(D744,AllocTable_Functional,$H$10,FALSE),0)</f>
        <v>0</v>
      </c>
      <c r="I744" s="461">
        <f t="shared" ref="I744:I745" si="159">ROUND(F744*VLOOKUP(D744,AllocTable_Functional,$I$10,FALSE),0)</f>
        <v>70232711</v>
      </c>
      <c r="J744" s="736">
        <f>SUM(G744:I744)</f>
        <v>111143535</v>
      </c>
      <c r="K744" s="664">
        <f>F744-J744</f>
        <v>0</v>
      </c>
      <c r="M744" s="653" t="s">
        <v>1182</v>
      </c>
    </row>
    <row r="745" spans="1:13" ht="13">
      <c r="A745" s="342">
        <v>40</v>
      </c>
      <c r="C745" s="592" t="s">
        <v>843</v>
      </c>
      <c r="D745" s="727" t="s">
        <v>335</v>
      </c>
      <c r="E745" s="709" t="s">
        <v>286</v>
      </c>
      <c r="F745" s="473">
        <f>'FR-16(7)(v)-3 PROD Comm Alloc'!F763</f>
        <v>126434590</v>
      </c>
      <c r="G745" s="478">
        <f t="shared" si="157"/>
        <v>46539308</v>
      </c>
      <c r="H745" s="479">
        <f t="shared" si="158"/>
        <v>0</v>
      </c>
      <c r="I745" s="480">
        <f t="shared" si="159"/>
        <v>79895282</v>
      </c>
      <c r="J745" s="736">
        <f>SUM(G745:I745)</f>
        <v>126434590</v>
      </c>
      <c r="K745" s="664">
        <f>F745-J745</f>
        <v>0</v>
      </c>
      <c r="M745" s="653" t="s">
        <v>1183</v>
      </c>
    </row>
    <row r="746" spans="1:13">
      <c r="E746" s="331"/>
      <c r="F746" s="333"/>
    </row>
    <row r="747" spans="1:13" ht="13">
      <c r="A747" s="341" t="str">
        <f>co_name</f>
        <v>DUKE ENERGY KENTUCKY, INC.</v>
      </c>
      <c r="C747" s="195"/>
      <c r="D747" s="342"/>
      <c r="E747" s="195"/>
      <c r="F747" s="195"/>
      <c r="G747" s="195"/>
      <c r="H747" s="195"/>
      <c r="I747" s="195"/>
      <c r="J747" s="195" t="str">
        <f>$J$1</f>
        <v>FR-16(7)(v)-1</v>
      </c>
      <c r="K747" s="195"/>
      <c r="M747" s="333"/>
    </row>
    <row r="748" spans="1:13" ht="13">
      <c r="A748" s="341" t="str">
        <f>$A$2</f>
        <v>FUNCTIONAL GAS COST OF SERVICE</v>
      </c>
      <c r="C748" s="195"/>
      <c r="D748" s="342"/>
      <c r="E748" s="195"/>
      <c r="F748" s="195"/>
      <c r="G748" s="195"/>
      <c r="H748" s="195"/>
      <c r="I748" s="195"/>
      <c r="J748" s="195" t="str">
        <f>$J$2</f>
        <v>WITNESS RESPONSIBLE:</v>
      </c>
      <c r="K748" s="195"/>
      <c r="M748" s="333"/>
    </row>
    <row r="749" spans="1:13" ht="13">
      <c r="A749" s="341" t="str">
        <f>case_name</f>
        <v>CASE NO: 2021-00190</v>
      </c>
      <c r="C749" s="195"/>
      <c r="D749" s="342"/>
      <c r="E749" s="195"/>
      <c r="F749" s="195"/>
      <c r="G749" s="195"/>
      <c r="H749" s="195"/>
      <c r="I749" s="195"/>
      <c r="J749" s="195" t="str">
        <f>Witness</f>
        <v>JAMES E. ZIOLKOWSKI</v>
      </c>
      <c r="K749" s="195"/>
      <c r="M749" s="333"/>
    </row>
    <row r="750" spans="1:13" ht="13">
      <c r="A750" s="341" t="str">
        <f>data_filing</f>
        <v>DATA: 12 MONTH FORECASTED PERIOD</v>
      </c>
      <c r="C750" s="195"/>
      <c r="D750" s="342"/>
      <c r="E750" s="195"/>
      <c r="F750" s="195"/>
      <c r="G750" s="195"/>
      <c r="H750" s="195"/>
      <c r="I750" s="195"/>
      <c r="J750" s="195" t="str">
        <f>"PAGE "&amp;Pages-1&amp;" OF "&amp;Pages</f>
        <v>PAGE 17 OF 18</v>
      </c>
      <c r="K750" s="195"/>
      <c r="M750" s="333"/>
    </row>
    <row r="751" spans="1:13" ht="13">
      <c r="A751" s="341" t="str">
        <f>type</f>
        <v xml:space="preserve">TYPE OF FILING: "X" ORIGINAL   UPDATED    REVISED  </v>
      </c>
      <c r="C751" s="195"/>
      <c r="D751" s="342"/>
      <c r="E751" s="195"/>
      <c r="F751" s="195"/>
      <c r="G751" s="195"/>
      <c r="H751" s="195"/>
      <c r="I751" s="195"/>
      <c r="J751" s="195"/>
      <c r="K751" s="195"/>
      <c r="M751" s="333"/>
    </row>
    <row r="752" spans="1:13" ht="13">
      <c r="B752" s="195"/>
      <c r="E752" s="331"/>
      <c r="G752" s="526"/>
      <c r="H752" s="526"/>
      <c r="I752" s="526"/>
      <c r="M752" s="333"/>
    </row>
    <row r="753" spans="1:13" ht="13">
      <c r="B753" s="195"/>
      <c r="E753" s="331"/>
      <c r="G753" s="526"/>
      <c r="H753" s="526"/>
      <c r="I753" s="526"/>
      <c r="M753" s="333"/>
    </row>
    <row r="754" spans="1:13" ht="13">
      <c r="A754" s="342" t="s">
        <v>907</v>
      </c>
      <c r="B754" s="195"/>
      <c r="C754" s="195"/>
      <c r="D754" s="342"/>
      <c r="E754" s="342"/>
      <c r="F754" s="583" t="s">
        <v>229</v>
      </c>
      <c r="G754" s="467" t="s">
        <v>971</v>
      </c>
      <c r="H754" s="468"/>
      <c r="I754" s="469"/>
      <c r="J754" s="342" t="s">
        <v>229</v>
      </c>
      <c r="K754" s="342" t="s">
        <v>342</v>
      </c>
    </row>
    <row r="755" spans="1:13" ht="13">
      <c r="A755" s="344" t="s">
        <v>908</v>
      </c>
      <c r="B755" s="584" t="s">
        <v>89</v>
      </c>
      <c r="C755" s="343"/>
      <c r="D755" s="585" t="s">
        <v>1001</v>
      </c>
      <c r="E755" s="585" t="s">
        <v>337</v>
      </c>
      <c r="F755" s="586" t="s">
        <v>284</v>
      </c>
      <c r="G755" s="605" t="s">
        <v>838</v>
      </c>
      <c r="H755" s="606" t="s">
        <v>970</v>
      </c>
      <c r="I755" s="607" t="s">
        <v>839</v>
      </c>
      <c r="J755" s="344" t="s">
        <v>341</v>
      </c>
      <c r="K755" s="344" t="s">
        <v>340</v>
      </c>
    </row>
    <row r="756" spans="1:13" ht="13">
      <c r="C756" s="839" t="s">
        <v>559</v>
      </c>
      <c r="E756" s="782">
        <v>1</v>
      </c>
      <c r="F756" s="782">
        <v>2</v>
      </c>
      <c r="G756" s="622">
        <f>$G$10</f>
        <v>3</v>
      </c>
      <c r="H756" s="623">
        <f>$H$10</f>
        <v>4</v>
      </c>
      <c r="I756" s="624">
        <f>$I$10</f>
        <v>5</v>
      </c>
    </row>
    <row r="757" spans="1:13" ht="13">
      <c r="A757" s="342">
        <v>1</v>
      </c>
      <c r="B757" s="599"/>
      <c r="C757" s="654" t="s">
        <v>1012</v>
      </c>
      <c r="D757" s="719" t="s">
        <v>1003</v>
      </c>
      <c r="E757" s="710"/>
      <c r="F757" s="345">
        <f>F771</f>
        <v>448302289</v>
      </c>
      <c r="G757" s="459">
        <f>G771</f>
        <v>0</v>
      </c>
      <c r="H757" s="460">
        <f>H771</f>
        <v>0</v>
      </c>
      <c r="I757" s="461">
        <f>I771</f>
        <v>448302289</v>
      </c>
      <c r="J757" s="736">
        <f t="shared" ref="J757:J762" si="160">SUM(G757:I757)</f>
        <v>448302289</v>
      </c>
      <c r="K757" s="664">
        <f t="shared" ref="K757:K762" si="161">F757-J757</f>
        <v>0</v>
      </c>
    </row>
    <row r="758" spans="1:13" ht="13">
      <c r="A758" s="342">
        <v>2</v>
      </c>
      <c r="B758" s="195"/>
      <c r="C758" s="491" t="s">
        <v>355</v>
      </c>
      <c r="D758" s="583"/>
      <c r="E758" s="728" t="s">
        <v>298</v>
      </c>
      <c r="F758" s="642">
        <v>1</v>
      </c>
      <c r="G758" s="464">
        <f>ROUND(G757/(G757+H757+I757),5)</f>
        <v>0</v>
      </c>
      <c r="H758" s="465">
        <f>ROUND(H757/(G757+H757+I757),5)</f>
        <v>0</v>
      </c>
      <c r="I758" s="466">
        <f>ROUND(I757/(G757+H757+I757),5)</f>
        <v>1</v>
      </c>
      <c r="J758" s="731">
        <f t="shared" si="160"/>
        <v>1</v>
      </c>
      <c r="K758" s="731">
        <f t="shared" si="161"/>
        <v>0</v>
      </c>
    </row>
    <row r="759" spans="1:13" ht="13">
      <c r="A759" s="342">
        <v>3</v>
      </c>
      <c r="B759" s="599"/>
      <c r="C759" s="654" t="s">
        <v>1021</v>
      </c>
      <c r="D759" s="719" t="s">
        <v>1003</v>
      </c>
      <c r="E759" s="723"/>
      <c r="F759" s="345">
        <f>F778</f>
        <v>40444763</v>
      </c>
      <c r="G759" s="459">
        <f>G778</f>
        <v>0</v>
      </c>
      <c r="H759" s="460">
        <f>H778</f>
        <v>0</v>
      </c>
      <c r="I759" s="461">
        <f>I778</f>
        <v>40444763</v>
      </c>
      <c r="J759" s="664">
        <f t="shared" si="160"/>
        <v>40444763</v>
      </c>
      <c r="K759" s="664">
        <f t="shared" si="161"/>
        <v>0</v>
      </c>
    </row>
    <row r="760" spans="1:13" ht="13">
      <c r="A760" s="342">
        <v>4</v>
      </c>
      <c r="B760" s="195"/>
      <c r="C760" s="491" t="s">
        <v>355</v>
      </c>
      <c r="D760" s="583"/>
      <c r="E760" s="728" t="s">
        <v>299</v>
      </c>
      <c r="F760" s="642">
        <v>1</v>
      </c>
      <c r="G760" s="464">
        <f>ROUND(G759/(G759+H759+I759),5)</f>
        <v>0</v>
      </c>
      <c r="H760" s="465">
        <f>ROUND(H759/(G759+H759+I759),5)</f>
        <v>0</v>
      </c>
      <c r="I760" s="466">
        <f>ROUND(I759/(G759+H759+I759),5)</f>
        <v>1</v>
      </c>
      <c r="J760" s="731">
        <f t="shared" si="160"/>
        <v>1</v>
      </c>
      <c r="K760" s="731">
        <f t="shared" si="161"/>
        <v>0</v>
      </c>
    </row>
    <row r="761" spans="1:13" ht="13">
      <c r="A761" s="342">
        <v>5</v>
      </c>
      <c r="B761" s="600"/>
      <c r="C761" s="654" t="s">
        <v>108</v>
      </c>
      <c r="D761" s="719" t="s">
        <v>1003</v>
      </c>
      <c r="E761" s="723"/>
      <c r="F761" s="345">
        <f>F744</f>
        <v>111143535</v>
      </c>
      <c r="G761" s="459">
        <f>G744</f>
        <v>40910824</v>
      </c>
      <c r="H761" s="460">
        <f>H744</f>
        <v>0</v>
      </c>
      <c r="I761" s="461">
        <f>I744</f>
        <v>70232711</v>
      </c>
      <c r="J761" s="664">
        <f t="shared" si="160"/>
        <v>111143535</v>
      </c>
      <c r="K761" s="664">
        <f t="shared" si="161"/>
        <v>0</v>
      </c>
    </row>
    <row r="762" spans="1:13" ht="13">
      <c r="A762" s="342">
        <v>6</v>
      </c>
      <c r="B762" s="195"/>
      <c r="C762" s="491" t="s">
        <v>355</v>
      </c>
      <c r="D762" s="583"/>
      <c r="E762" s="728" t="s">
        <v>300</v>
      </c>
      <c r="F762" s="642">
        <v>1</v>
      </c>
      <c r="G762" s="464">
        <f>ROUND(G761/(G761+H761+I761),5)</f>
        <v>0.36808999999999997</v>
      </c>
      <c r="H762" s="465">
        <f>ROUND(H761/(G761+H761+I761),5)</f>
        <v>0</v>
      </c>
      <c r="I762" s="466">
        <f>ROUND(I761/(G761+H761+I761),5)</f>
        <v>0.63190999999999997</v>
      </c>
      <c r="J762" s="731">
        <f t="shared" si="160"/>
        <v>1</v>
      </c>
      <c r="K762" s="731">
        <f t="shared" si="161"/>
        <v>0</v>
      </c>
    </row>
    <row r="763" spans="1:13" ht="13">
      <c r="A763" s="342">
        <v>7</v>
      </c>
      <c r="C763" s="654" t="s">
        <v>843</v>
      </c>
      <c r="D763" s="719" t="s">
        <v>1003</v>
      </c>
      <c r="E763" s="723"/>
      <c r="F763" s="345">
        <f>F745</f>
        <v>126434590</v>
      </c>
      <c r="G763" s="459">
        <f>G745</f>
        <v>46539308</v>
      </c>
      <c r="H763" s="460">
        <f>H745</f>
        <v>0</v>
      </c>
      <c r="I763" s="461">
        <f>I745</f>
        <v>79895282</v>
      </c>
      <c r="J763" s="664">
        <f>SUM(G763:I763)</f>
        <v>126434590</v>
      </c>
      <c r="K763" s="664">
        <f>F763-J763</f>
        <v>0</v>
      </c>
    </row>
    <row r="764" spans="1:13" ht="13">
      <c r="A764" s="342">
        <v>8</v>
      </c>
      <c r="C764" s="491" t="s">
        <v>355</v>
      </c>
      <c r="D764" s="583"/>
      <c r="E764" s="728" t="s">
        <v>1179</v>
      </c>
      <c r="F764" s="642">
        <v>1</v>
      </c>
      <c r="G764" s="464">
        <f>ROUND(G763/(G763+H763+I763),5)</f>
        <v>0.36808999999999997</v>
      </c>
      <c r="H764" s="465">
        <f>ROUND(H763/(G763+H763+I763),5)</f>
        <v>0</v>
      </c>
      <c r="I764" s="466">
        <f>ROUND(I763/(G763+H763+I763),5)</f>
        <v>0.63190999999999997</v>
      </c>
      <c r="J764" s="731">
        <f>SUM(G764:I764)</f>
        <v>1</v>
      </c>
      <c r="K764" s="731">
        <f>F764-J764</f>
        <v>0</v>
      </c>
    </row>
    <row r="765" spans="1:13" ht="13">
      <c r="A765" s="342">
        <v>9</v>
      </c>
      <c r="E765" s="740"/>
      <c r="G765" s="456"/>
      <c r="H765" s="457"/>
      <c r="I765" s="458"/>
      <c r="J765" s="526"/>
      <c r="K765" s="526"/>
    </row>
    <row r="766" spans="1:13" ht="13">
      <c r="A766" s="342">
        <v>10</v>
      </c>
      <c r="B766" s="702" t="s">
        <v>92</v>
      </c>
      <c r="C766" s="703"/>
      <c r="D766" s="720"/>
      <c r="E766" s="723"/>
      <c r="F766" s="615"/>
      <c r="G766" s="616"/>
      <c r="H766" s="617"/>
      <c r="I766" s="618"/>
      <c r="J766" s="738"/>
      <c r="K766" s="738"/>
    </row>
    <row r="767" spans="1:13" ht="13">
      <c r="A767" s="342">
        <v>11</v>
      </c>
      <c r="B767" s="653"/>
      <c r="C767" s="654" t="s">
        <v>1015</v>
      </c>
      <c r="D767" s="719"/>
      <c r="E767" s="723"/>
      <c r="F767" s="345">
        <f>'FR-16(7)(v)-1 Functional'!$F$71</f>
        <v>396995775</v>
      </c>
      <c r="G767" s="459">
        <f>$G$71</f>
        <v>0</v>
      </c>
      <c r="H767" s="460">
        <f>$H$71</f>
        <v>0</v>
      </c>
      <c r="I767" s="461">
        <f>$I$71</f>
        <v>396995775</v>
      </c>
      <c r="J767" s="664">
        <f>SUM(G767:I767)</f>
        <v>396995775</v>
      </c>
      <c r="K767" s="664">
        <f>F767-J767</f>
        <v>0</v>
      </c>
    </row>
    <row r="768" spans="1:13" ht="13">
      <c r="A768" s="342">
        <v>12</v>
      </c>
      <c r="B768" s="653"/>
      <c r="C768" s="654" t="s">
        <v>1016</v>
      </c>
      <c r="D768" s="719"/>
      <c r="E768" s="723"/>
      <c r="F768" s="345">
        <f>'FR-16(7)(v)-1 Functional'!$F$72</f>
        <v>226116720</v>
      </c>
      <c r="G768" s="459">
        <f>$G$72</f>
        <v>0</v>
      </c>
      <c r="H768" s="460">
        <f>$H$72</f>
        <v>0</v>
      </c>
      <c r="I768" s="461">
        <f>$I$72</f>
        <v>226116720</v>
      </c>
      <c r="J768" s="664">
        <f>SUM(G768:I768)</f>
        <v>226116720</v>
      </c>
      <c r="K768" s="664">
        <f>F768-J768</f>
        <v>0</v>
      </c>
    </row>
    <row r="769" spans="1:11" ht="13">
      <c r="A769" s="342">
        <v>13</v>
      </c>
      <c r="B769" s="653"/>
      <c r="C769" s="654" t="s">
        <v>1013</v>
      </c>
      <c r="D769" s="719"/>
      <c r="E769" s="723"/>
      <c r="F769" s="345">
        <f>-'FR-16(7)(v)-1 Functional'!$F$125</f>
        <v>-113499887</v>
      </c>
      <c r="G769" s="459">
        <f>-$G$125</f>
        <v>0</v>
      </c>
      <c r="H769" s="460">
        <f>-$H$125</f>
        <v>0</v>
      </c>
      <c r="I769" s="461">
        <f>-$I$125</f>
        <v>-113499887</v>
      </c>
      <c r="J769" s="664">
        <f>SUM(G769:I769)</f>
        <v>-113499887</v>
      </c>
      <c r="K769" s="664">
        <f>F769-J769</f>
        <v>0</v>
      </c>
    </row>
    <row r="770" spans="1:11" ht="13">
      <c r="A770" s="342">
        <v>14</v>
      </c>
      <c r="B770" s="653"/>
      <c r="C770" s="654" t="s">
        <v>1014</v>
      </c>
      <c r="D770" s="719"/>
      <c r="E770" s="741"/>
      <c r="F770" s="496">
        <f>-'FR-16(7)(v)-1 Functional'!$F$126</f>
        <v>-61310319</v>
      </c>
      <c r="G770" s="478">
        <f>-$G$126</f>
        <v>0</v>
      </c>
      <c r="H770" s="479">
        <f>-$H$126</f>
        <v>0</v>
      </c>
      <c r="I770" s="480">
        <f>-$I$126</f>
        <v>-61310319</v>
      </c>
      <c r="J770" s="620">
        <f>SUM(G770:I770)</f>
        <v>-61310319</v>
      </c>
      <c r="K770" s="620">
        <f>F770-J770</f>
        <v>0</v>
      </c>
    </row>
    <row r="771" spans="1:11" ht="13">
      <c r="A771" s="342">
        <v>15</v>
      </c>
      <c r="B771" s="653"/>
      <c r="C771" s="704" t="s">
        <v>1023</v>
      </c>
      <c r="D771" s="719"/>
      <c r="E771" s="723"/>
      <c r="F771" s="345">
        <f>SUM(F767:F770)</f>
        <v>448302289</v>
      </c>
      <c r="G771" s="459">
        <f>SUM(G767:G770)</f>
        <v>0</v>
      </c>
      <c r="H771" s="460">
        <f>SUM(H767:H770)</f>
        <v>0</v>
      </c>
      <c r="I771" s="461">
        <f>SUM(I767:I770)</f>
        <v>448302289</v>
      </c>
      <c r="J771" s="664">
        <f>SUM(G771:I771)</f>
        <v>448302289</v>
      </c>
      <c r="K771" s="664">
        <f>F771-J771</f>
        <v>0</v>
      </c>
    </row>
    <row r="772" spans="1:11" ht="13">
      <c r="A772" s="342">
        <v>16</v>
      </c>
      <c r="B772" s="653"/>
      <c r="C772" s="653"/>
      <c r="D772" s="707"/>
      <c r="E772" s="723"/>
      <c r="G772" s="456"/>
      <c r="H772" s="457"/>
      <c r="I772" s="458"/>
      <c r="J772" s="526"/>
      <c r="K772" s="526"/>
    </row>
    <row r="773" spans="1:11" ht="13">
      <c r="A773" s="342">
        <v>17</v>
      </c>
      <c r="B773" s="705" t="s">
        <v>93</v>
      </c>
      <c r="C773" s="610"/>
      <c r="D773" s="707"/>
      <c r="E773" s="723"/>
      <c r="G773" s="456"/>
      <c r="H773" s="457"/>
      <c r="I773" s="458"/>
      <c r="J773" s="526"/>
      <c r="K773" s="526"/>
    </row>
    <row r="774" spans="1:11" ht="13">
      <c r="A774" s="342">
        <v>18</v>
      </c>
      <c r="B774" s="653"/>
      <c r="C774" s="654" t="s">
        <v>1017</v>
      </c>
      <c r="D774" s="707"/>
      <c r="E774" s="723"/>
      <c r="F774" s="345">
        <f>'FR-16(7)(v)-1 Functional'!$F$73</f>
        <v>30766213</v>
      </c>
      <c r="G774" s="459">
        <f>$G$73</f>
        <v>0</v>
      </c>
      <c r="H774" s="460">
        <f>$H$73</f>
        <v>0</v>
      </c>
      <c r="I774" s="461">
        <f>$I$73</f>
        <v>30766213</v>
      </c>
      <c r="J774" s="664">
        <f>SUM(G774:I774)</f>
        <v>30766213</v>
      </c>
      <c r="K774" s="664">
        <f>F774-J774</f>
        <v>0</v>
      </c>
    </row>
    <row r="775" spans="1:11" ht="13">
      <c r="A775" s="342">
        <v>19</v>
      </c>
      <c r="B775" s="653"/>
      <c r="C775" s="654" t="s">
        <v>1018</v>
      </c>
      <c r="D775" s="707"/>
      <c r="E775" s="723"/>
      <c r="F775" s="345">
        <f>'FR-16(7)(v)-1 Functional'!$F$75</f>
        <v>14731367</v>
      </c>
      <c r="G775" s="459">
        <f>$G$75</f>
        <v>0</v>
      </c>
      <c r="H775" s="460">
        <f>$H$75</f>
        <v>0</v>
      </c>
      <c r="I775" s="461">
        <f>$I$75</f>
        <v>14731367</v>
      </c>
      <c r="J775" s="664">
        <f>SUM(G775:I775)</f>
        <v>14731367</v>
      </c>
      <c r="K775" s="664">
        <f>F775-J775</f>
        <v>0</v>
      </c>
    </row>
    <row r="776" spans="1:11" ht="13">
      <c r="A776" s="342">
        <v>20</v>
      </c>
      <c r="B776" s="653"/>
      <c r="C776" s="654" t="s">
        <v>1019</v>
      </c>
      <c r="D776" s="707"/>
      <c r="E776" s="723"/>
      <c r="F776" s="345">
        <f>-'FR-16(7)(v)-1 Functional'!$F$127</f>
        <v>895430</v>
      </c>
      <c r="G776" s="459">
        <f>-$G$127</f>
        <v>0</v>
      </c>
      <c r="H776" s="460">
        <f>-$H$127</f>
        <v>0</v>
      </c>
      <c r="I776" s="461">
        <f>-$I$127</f>
        <v>895430</v>
      </c>
      <c r="J776" s="664">
        <f>SUM(G776:I776)</f>
        <v>895430</v>
      </c>
      <c r="K776" s="664">
        <f>F776-J776</f>
        <v>0</v>
      </c>
    </row>
    <row r="777" spans="1:11" ht="13">
      <c r="A777" s="342">
        <v>21</v>
      </c>
      <c r="B777" s="653"/>
      <c r="C777" s="654" t="s">
        <v>1020</v>
      </c>
      <c r="D777" s="707"/>
      <c r="E777" s="723"/>
      <c r="F777" s="496">
        <f>-'FR-16(7)(v)-1 Functional'!$F$129</f>
        <v>-5948247</v>
      </c>
      <c r="G777" s="478">
        <f>-$G$129</f>
        <v>0</v>
      </c>
      <c r="H777" s="479">
        <f>-$H$129</f>
        <v>0</v>
      </c>
      <c r="I777" s="480">
        <f>-$I$129</f>
        <v>-5948247</v>
      </c>
      <c r="J777" s="620">
        <f>SUM(G777:I777)</f>
        <v>-5948247</v>
      </c>
      <c r="K777" s="620">
        <f>F777-J777</f>
        <v>0</v>
      </c>
    </row>
    <row r="778" spans="1:11" ht="13">
      <c r="A778" s="342">
        <v>22</v>
      </c>
      <c r="B778" s="653"/>
      <c r="C778" s="704" t="s">
        <v>1024</v>
      </c>
      <c r="D778" s="707"/>
      <c r="E778" s="723"/>
      <c r="F778" s="345">
        <f>SUM(F774:F777)</f>
        <v>40444763</v>
      </c>
      <c r="G778" s="459">
        <f>SUM(G774:G777)</f>
        <v>0</v>
      </c>
      <c r="H778" s="460">
        <f>SUM(H774:H777)</f>
        <v>0</v>
      </c>
      <c r="I778" s="461">
        <f>SUM(I774:I777)</f>
        <v>40444763</v>
      </c>
      <c r="J778" s="664">
        <f>SUM(G778:I778)</f>
        <v>40444763</v>
      </c>
      <c r="K778" s="664">
        <f>F778-J778</f>
        <v>0</v>
      </c>
    </row>
    <row r="779" spans="1:11" ht="13">
      <c r="A779" s="342">
        <v>23</v>
      </c>
      <c r="E779" s="740"/>
      <c r="G779" s="456"/>
      <c r="H779" s="457"/>
      <c r="I779" s="458"/>
    </row>
    <row r="780" spans="1:11" ht="13">
      <c r="A780" s="342">
        <v>24</v>
      </c>
      <c r="B780" s="625" t="s">
        <v>94</v>
      </c>
      <c r="C780" s="195"/>
      <c r="D780" s="712"/>
      <c r="E780" s="742"/>
      <c r="F780" s="626"/>
      <c r="G780" s="622"/>
      <c r="H780" s="623"/>
      <c r="I780" s="624"/>
    </row>
    <row r="781" spans="1:11" ht="13">
      <c r="A781" s="342">
        <v>25</v>
      </c>
      <c r="B781" s="591" t="s">
        <v>95</v>
      </c>
      <c r="C781" s="628"/>
      <c r="D781" s="713"/>
      <c r="E781" s="739"/>
      <c r="F781" s="504"/>
      <c r="G781" s="511"/>
      <c r="H781" s="510"/>
      <c r="I781" s="512"/>
    </row>
    <row r="782" spans="1:11" ht="13">
      <c r="A782" s="342">
        <v>26</v>
      </c>
      <c r="B782" s="195"/>
      <c r="C782" s="581" t="s">
        <v>230</v>
      </c>
      <c r="D782" s="719" t="s">
        <v>1003</v>
      </c>
      <c r="E782" s="728" t="s">
        <v>303</v>
      </c>
      <c r="F782" s="642">
        <v>1</v>
      </c>
      <c r="G782" s="464">
        <f>ROUND(IF($F$59=0,0,$G$59/$F$59),5)</f>
        <v>1</v>
      </c>
      <c r="H782" s="465">
        <f>ROUND(IF($F$59=0,0,$H$59/$F$59),5)</f>
        <v>0</v>
      </c>
      <c r="I782" s="466">
        <f>ROUND(IF($F$59=0,0,$I$59/$F$59),5)</f>
        <v>0</v>
      </c>
      <c r="J782" s="731">
        <f t="shared" ref="J782:J789" si="162">SUM(G782:I782)</f>
        <v>1</v>
      </c>
      <c r="K782" s="731">
        <f t="shared" ref="K782:K789" si="163">F782-J782</f>
        <v>0</v>
      </c>
    </row>
    <row r="783" spans="1:11" ht="13">
      <c r="A783" s="342">
        <v>27</v>
      </c>
      <c r="B783" s="195"/>
      <c r="C783" s="581" t="s">
        <v>231</v>
      </c>
      <c r="D783" s="719" t="s">
        <v>1003</v>
      </c>
      <c r="E783" s="728" t="s">
        <v>304</v>
      </c>
      <c r="F783" s="642">
        <v>1</v>
      </c>
      <c r="G783" s="464">
        <f>ROUND(IF($F$78=0,0,$G$78/$F$78),5)</f>
        <v>0</v>
      </c>
      <c r="H783" s="465">
        <f>ROUND(IF($F$78=0,0,$H$78/$F$78),5)</f>
        <v>0</v>
      </c>
      <c r="I783" s="466">
        <f>1-SUM(G783:H783)</f>
        <v>1</v>
      </c>
      <c r="J783" s="731">
        <f t="shared" si="162"/>
        <v>1</v>
      </c>
      <c r="K783" s="731">
        <f t="shared" si="163"/>
        <v>0</v>
      </c>
    </row>
    <row r="784" spans="1:11" ht="13">
      <c r="A784" s="342">
        <v>28</v>
      </c>
      <c r="B784" s="195"/>
      <c r="C784" s="581" t="s">
        <v>232</v>
      </c>
      <c r="D784" s="719" t="s">
        <v>1003</v>
      </c>
      <c r="E784" s="728" t="s">
        <v>305</v>
      </c>
      <c r="F784" s="642">
        <v>1</v>
      </c>
      <c r="G784" s="464">
        <f>ROUND(IF($F$81=0,0,$G$81/$F$81),5)</f>
        <v>6.3400000000000001E-3</v>
      </c>
      <c r="H784" s="465">
        <f>ROUND(IF($F$81=0,0,$H$81/$F$81),5)</f>
        <v>0</v>
      </c>
      <c r="I784" s="466">
        <f t="shared" ref="I784:I789" si="164">1-SUM(G784:H784)</f>
        <v>0.99365999999999999</v>
      </c>
      <c r="J784" s="731">
        <f t="shared" si="162"/>
        <v>1</v>
      </c>
      <c r="K784" s="731">
        <f t="shared" si="163"/>
        <v>0</v>
      </c>
    </row>
    <row r="785" spans="1:11" ht="13">
      <c r="A785" s="342">
        <v>29</v>
      </c>
      <c r="B785" s="195"/>
      <c r="C785" s="581" t="s">
        <v>233</v>
      </c>
      <c r="D785" s="719" t="s">
        <v>1003</v>
      </c>
      <c r="E785" s="728" t="s">
        <v>306</v>
      </c>
      <c r="F785" s="642">
        <v>1</v>
      </c>
      <c r="G785" s="464">
        <f>ROUND(IF($F$90=0,0,$G$90/$F$90),5)</f>
        <v>0.15531</v>
      </c>
      <c r="H785" s="465">
        <f>ROUND(IF($F$90=0,0,$H$90/$F$90),5)</f>
        <v>0</v>
      </c>
      <c r="I785" s="466">
        <f t="shared" si="164"/>
        <v>0.84468999999999994</v>
      </c>
      <c r="J785" s="731">
        <f t="shared" si="162"/>
        <v>1</v>
      </c>
      <c r="K785" s="731">
        <f t="shared" si="163"/>
        <v>0</v>
      </c>
    </row>
    <row r="786" spans="1:11" ht="13">
      <c r="A786" s="342">
        <v>30</v>
      </c>
      <c r="B786" s="195"/>
      <c r="C786" s="581" t="s">
        <v>234</v>
      </c>
      <c r="D786" s="719" t="s">
        <v>1003</v>
      </c>
      <c r="E786" s="728" t="s">
        <v>307</v>
      </c>
      <c r="F786" s="642">
        <v>1</v>
      </c>
      <c r="G786" s="464">
        <f>ROUND(IF($F$99=0,0,$G$99/$F$99),5)</f>
        <v>0.15531</v>
      </c>
      <c r="H786" s="465">
        <f>ROUND(IF($F$99=0,0,$H$99/$F$99),5)</f>
        <v>0</v>
      </c>
      <c r="I786" s="466">
        <f t="shared" si="164"/>
        <v>0.84468999999999994</v>
      </c>
      <c r="J786" s="731">
        <f t="shared" si="162"/>
        <v>1</v>
      </c>
      <c r="K786" s="731">
        <f t="shared" si="163"/>
        <v>0</v>
      </c>
    </row>
    <row r="787" spans="1:11" ht="13">
      <c r="A787" s="342">
        <v>31</v>
      </c>
      <c r="B787" s="195"/>
      <c r="C787" s="581" t="s">
        <v>235</v>
      </c>
      <c r="D787" s="719" t="s">
        <v>1003</v>
      </c>
      <c r="E787" s="728" t="s">
        <v>308</v>
      </c>
      <c r="F787" s="642">
        <v>1</v>
      </c>
      <c r="G787" s="464">
        <f>ROUND(IF($F$101=0,0,$G$101/$F$101),5)</f>
        <v>1.4500000000000001E-2</v>
      </c>
      <c r="H787" s="465">
        <f>ROUND(IF($F$101=0,0,$H$101/$F$101),5)</f>
        <v>0</v>
      </c>
      <c r="I787" s="466">
        <f t="shared" si="164"/>
        <v>0.98550000000000004</v>
      </c>
      <c r="J787" s="731">
        <f t="shared" si="162"/>
        <v>1</v>
      </c>
      <c r="K787" s="731">
        <f t="shared" si="163"/>
        <v>0</v>
      </c>
    </row>
    <row r="788" spans="1:11" ht="13">
      <c r="A788" s="342">
        <v>32</v>
      </c>
      <c r="B788" s="195"/>
      <c r="C788" s="581" t="s">
        <v>236</v>
      </c>
      <c r="D788" s="719" t="s">
        <v>1003</v>
      </c>
      <c r="E788" s="728" t="s">
        <v>309</v>
      </c>
      <c r="F788" s="642">
        <v>1</v>
      </c>
      <c r="G788" s="464">
        <f>ROUND(IF($F$131=0,0,$G$131/$F$131),5)</f>
        <v>0</v>
      </c>
      <c r="H788" s="465">
        <f>ROUND(IF($F$131=0,0,$H$131/$F$131),5)</f>
        <v>0</v>
      </c>
      <c r="I788" s="466">
        <f t="shared" si="164"/>
        <v>1</v>
      </c>
      <c r="J788" s="731">
        <f t="shared" si="162"/>
        <v>1</v>
      </c>
      <c r="K788" s="731">
        <f t="shared" si="163"/>
        <v>0</v>
      </c>
    </row>
    <row r="789" spans="1:11" ht="13">
      <c r="A789" s="342">
        <v>33</v>
      </c>
      <c r="B789" s="195"/>
      <c r="C789" s="581" t="s">
        <v>237</v>
      </c>
      <c r="D789" s="719" t="s">
        <v>1003</v>
      </c>
      <c r="E789" s="728" t="s">
        <v>310</v>
      </c>
      <c r="F789" s="642">
        <v>1</v>
      </c>
      <c r="G789" s="464">
        <f>ROUND(IF($F$151=0,0,$G$151/$F$151),5)</f>
        <v>2.9579999999999999E-2</v>
      </c>
      <c r="H789" s="465">
        <f>ROUND(IF($F$151=0,0,$H$151/$F$151),5)</f>
        <v>0</v>
      </c>
      <c r="I789" s="466">
        <f t="shared" si="164"/>
        <v>0.97041999999999995</v>
      </c>
      <c r="J789" s="731">
        <f t="shared" si="162"/>
        <v>1</v>
      </c>
      <c r="K789" s="731">
        <f t="shared" si="163"/>
        <v>0</v>
      </c>
    </row>
    <row r="790" spans="1:11" ht="13">
      <c r="A790" s="342">
        <v>34</v>
      </c>
      <c r="B790" s="195"/>
      <c r="C790" s="195"/>
      <c r="D790" s="342"/>
      <c r="E790" s="723"/>
      <c r="F790" s="642"/>
      <c r="G790" s="464"/>
      <c r="H790" s="465"/>
      <c r="I790" s="466"/>
      <c r="J790" s="731"/>
      <c r="K790" s="731"/>
    </row>
    <row r="791" spans="1:11" ht="13">
      <c r="A791" s="342">
        <v>35</v>
      </c>
      <c r="B791" s="581" t="s">
        <v>96</v>
      </c>
      <c r="C791" s="195"/>
      <c r="D791" s="342"/>
      <c r="E791" s="723"/>
      <c r="F791" s="642"/>
      <c r="G791" s="464"/>
      <c r="H791" s="465"/>
      <c r="I791" s="466"/>
      <c r="J791" s="731"/>
      <c r="K791" s="731"/>
    </row>
    <row r="792" spans="1:11" ht="13">
      <c r="A792" s="342">
        <v>36</v>
      </c>
      <c r="B792" s="195"/>
      <c r="C792" s="581" t="s">
        <v>238</v>
      </c>
      <c r="D792" s="719" t="s">
        <v>1003</v>
      </c>
      <c r="E792" s="728" t="s">
        <v>311</v>
      </c>
      <c r="F792" s="642">
        <v>1</v>
      </c>
      <c r="G792" s="464">
        <f>ROUND(IF($F$166=0,0,$G$166/$F$166),5)</f>
        <v>1</v>
      </c>
      <c r="H792" s="465">
        <f>ROUND(IF($F$166=0,0,$H$166/$F$166),5)</f>
        <v>0</v>
      </c>
      <c r="I792" s="466">
        <f>ROUND(IF($F$166=0,0,$I$166/$F$166),5)</f>
        <v>0</v>
      </c>
      <c r="J792" s="731">
        <f>SUM(G792:I792)</f>
        <v>1</v>
      </c>
      <c r="K792" s="731">
        <f>F792-J792</f>
        <v>0</v>
      </c>
    </row>
    <row r="793" spans="1:11" ht="13">
      <c r="A793" s="342">
        <v>37</v>
      </c>
      <c r="B793" s="195"/>
      <c r="C793" s="581" t="s">
        <v>239</v>
      </c>
      <c r="D793" s="719" t="s">
        <v>1003</v>
      </c>
      <c r="E793" s="728" t="s">
        <v>312</v>
      </c>
      <c r="F793" s="642">
        <v>1</v>
      </c>
      <c r="G793" s="464">
        <f>ROUND(IF($F$176=0,0,$G$176/$F$176),5)</f>
        <v>0</v>
      </c>
      <c r="H793" s="465">
        <f>ROUND(IF($F$176=0,0,$H$176/$F$176),5)</f>
        <v>0</v>
      </c>
      <c r="I793" s="466">
        <f>1-SUM(G793:H793)</f>
        <v>1</v>
      </c>
      <c r="J793" s="731">
        <f>SUM(G793:I793)</f>
        <v>1</v>
      </c>
      <c r="K793" s="731">
        <f>F793-J793</f>
        <v>0</v>
      </c>
    </row>
    <row r="794" spans="1:11" ht="13">
      <c r="A794" s="342">
        <v>38</v>
      </c>
      <c r="B794" s="195"/>
      <c r="C794" s="581" t="s">
        <v>240</v>
      </c>
      <c r="D794" s="719" t="s">
        <v>1003</v>
      </c>
      <c r="E794" s="728" t="s">
        <v>313</v>
      </c>
      <c r="F794" s="642">
        <v>1</v>
      </c>
      <c r="G794" s="464">
        <f>ROUND(IF($F$184=0,0,$G$184/$F$184),5)</f>
        <v>0.15531</v>
      </c>
      <c r="H794" s="465">
        <f>ROUND(IF($F$184=0,0,$H$184/$F$184),5)</f>
        <v>0</v>
      </c>
      <c r="I794" s="466">
        <f>1-SUM(G794:H794)</f>
        <v>0.84468999999999994</v>
      </c>
      <c r="J794" s="731">
        <f>SUM(G794:I794)</f>
        <v>1</v>
      </c>
      <c r="K794" s="731">
        <f>F794-J794</f>
        <v>0</v>
      </c>
    </row>
    <row r="795" spans="1:11" ht="13">
      <c r="A795" s="342">
        <v>39</v>
      </c>
      <c r="B795" s="195"/>
      <c r="C795" s="581" t="s">
        <v>241</v>
      </c>
      <c r="D795" s="719" t="s">
        <v>1003</v>
      </c>
      <c r="E795" s="728" t="s">
        <v>314</v>
      </c>
      <c r="F795" s="642">
        <v>1</v>
      </c>
      <c r="G795" s="464">
        <f>ROUND(IF($F$189=0,0,$G$189/$F$189),5)</f>
        <v>0.15531</v>
      </c>
      <c r="H795" s="465">
        <f>ROUND(IF($F$189=0,0,$H$189/$F$189),5)</f>
        <v>0</v>
      </c>
      <c r="I795" s="466">
        <f>1-SUM(G795:H795)</f>
        <v>0.84468999999999994</v>
      </c>
      <c r="J795" s="731">
        <f>SUM(G795:I795)</f>
        <v>1</v>
      </c>
      <c r="K795" s="731">
        <f>F795-J795</f>
        <v>0</v>
      </c>
    </row>
    <row r="796" spans="1:11" ht="13">
      <c r="A796" s="342">
        <v>40</v>
      </c>
      <c r="B796" s="195"/>
      <c r="C796" s="581" t="s">
        <v>242</v>
      </c>
      <c r="D796" s="719" t="s">
        <v>1003</v>
      </c>
      <c r="E796" s="728" t="s">
        <v>315</v>
      </c>
      <c r="F796" s="642">
        <v>1</v>
      </c>
      <c r="G796" s="464">
        <f>ROUND(IF($F$191=0,0,$G$191/$F$191),5)</f>
        <v>8.9800000000000001E-3</v>
      </c>
      <c r="H796" s="465">
        <f>ROUND(IF($F$191=0,0,$H$191/$F$191),5)</f>
        <v>0</v>
      </c>
      <c r="I796" s="466">
        <f>1-SUM(G796:H796)</f>
        <v>0.99102000000000001</v>
      </c>
      <c r="J796" s="731">
        <f>SUM(G796:I796)</f>
        <v>1</v>
      </c>
      <c r="K796" s="731">
        <f>F796-J796</f>
        <v>0</v>
      </c>
    </row>
    <row r="797" spans="1:11" ht="13">
      <c r="A797" s="342">
        <v>41</v>
      </c>
      <c r="B797" s="195"/>
      <c r="C797" s="581"/>
      <c r="D797" s="708"/>
      <c r="E797" s="728"/>
      <c r="F797" s="348"/>
      <c r="G797" s="464"/>
      <c r="H797" s="465"/>
      <c r="I797" s="466"/>
      <c r="J797" s="731"/>
      <c r="K797" s="731"/>
    </row>
    <row r="798" spans="1:11" ht="13">
      <c r="A798" s="342">
        <v>42</v>
      </c>
      <c r="B798" s="581" t="s">
        <v>32</v>
      </c>
      <c r="C798" s="195"/>
      <c r="D798" s="342"/>
      <c r="E798" s="723"/>
      <c r="F798" s="348"/>
      <c r="G798" s="464"/>
      <c r="H798" s="465"/>
      <c r="I798" s="466"/>
      <c r="J798" s="731"/>
      <c r="K798" s="731"/>
    </row>
    <row r="799" spans="1:11" ht="13">
      <c r="A799" s="342">
        <v>43</v>
      </c>
      <c r="B799" s="195"/>
      <c r="C799" s="581" t="s">
        <v>243</v>
      </c>
      <c r="D799" s="719" t="s">
        <v>1003</v>
      </c>
      <c r="E799" s="728" t="s">
        <v>316</v>
      </c>
      <c r="F799" s="642">
        <v>1</v>
      </c>
      <c r="G799" s="464">
        <f>ROUND(IF($F$304=0,0,$G$304/$F$304),5)</f>
        <v>0.81045999999999996</v>
      </c>
      <c r="H799" s="465">
        <f>ROUND(IF($F$304=0,0,$H$304/$F$304),5)</f>
        <v>0</v>
      </c>
      <c r="I799" s="466">
        <f>ROUND(IF($F$304=0,0,$I$304/$F$304),5)</f>
        <v>0.18953999999999999</v>
      </c>
      <c r="J799" s="731">
        <f>SUM(G799:I799)</f>
        <v>1</v>
      </c>
      <c r="K799" s="731">
        <f>F799-J799</f>
        <v>0</v>
      </c>
    </row>
    <row r="800" spans="1:11" ht="13">
      <c r="A800" s="342">
        <v>44</v>
      </c>
      <c r="B800" s="195"/>
      <c r="C800" s="581" t="s">
        <v>244</v>
      </c>
      <c r="D800" s="719" t="s">
        <v>1003</v>
      </c>
      <c r="E800" s="728" t="s">
        <v>317</v>
      </c>
      <c r="F800" s="642">
        <v>1</v>
      </c>
      <c r="G800" s="464">
        <f>ROUND(IF($F$310=0,0,$G$310/$F$310),5)</f>
        <v>0.69076000000000004</v>
      </c>
      <c r="H800" s="465">
        <f>ROUND(IF($F$310=0,0,$H$310/$F$310),5)</f>
        <v>0</v>
      </c>
      <c r="I800" s="466">
        <f>ROUND(IF($F$310=0,0,$I$310/$F$310),5)</f>
        <v>0.30924000000000001</v>
      </c>
      <c r="J800" s="731">
        <f>SUM(G800:I800)</f>
        <v>1</v>
      </c>
      <c r="K800" s="731">
        <f>F800-J800</f>
        <v>0</v>
      </c>
    </row>
    <row r="801" spans="1:14" ht="13">
      <c r="A801" s="342">
        <v>45</v>
      </c>
      <c r="B801" s="195"/>
      <c r="C801" s="581" t="s">
        <v>245</v>
      </c>
      <c r="D801" s="719" t="s">
        <v>1003</v>
      </c>
      <c r="E801" s="728" t="s">
        <v>318</v>
      </c>
      <c r="F801" s="642">
        <v>1</v>
      </c>
      <c r="G801" s="464">
        <f>ROUND(IF($F$313=0,0,$G$313/$F$313),5)</f>
        <v>0</v>
      </c>
      <c r="H801" s="465">
        <f>ROUND(IF($F$313=0,0,$H$313/$F$313),5)</f>
        <v>0</v>
      </c>
      <c r="I801" s="466">
        <f>ROUND(IF($F$313=0,0,$I$313/$F$313),5)</f>
        <v>0</v>
      </c>
      <c r="J801" s="731">
        <f>SUM(G801:I801)</f>
        <v>0</v>
      </c>
      <c r="K801" s="731">
        <f>F801-J801</f>
        <v>1</v>
      </c>
    </row>
    <row r="802" spans="1:14" ht="13">
      <c r="A802" s="342">
        <v>46</v>
      </c>
      <c r="B802" s="195"/>
      <c r="C802" s="581" t="s">
        <v>246</v>
      </c>
      <c r="D802" s="719" t="s">
        <v>1003</v>
      </c>
      <c r="E802" s="728" t="s">
        <v>319</v>
      </c>
      <c r="F802" s="642">
        <v>1</v>
      </c>
      <c r="G802" s="464">
        <f>ROUND(IF($F$319=0,0,$G$319/$F$319),5)</f>
        <v>1</v>
      </c>
      <c r="H802" s="465">
        <f>ROUND(IF($F$319=0,0,$H$319/$F$319),5)</f>
        <v>0</v>
      </c>
      <c r="I802" s="466">
        <f>ROUND(IF($F$319=0,0,$I$319/$F$319),5)</f>
        <v>0</v>
      </c>
      <c r="J802" s="731">
        <f>SUM(G802:I802)</f>
        <v>1</v>
      </c>
      <c r="K802" s="731">
        <f>F802-J802</f>
        <v>0</v>
      </c>
    </row>
    <row r="803" spans="1:14" s="351" customFormat="1" ht="13">
      <c r="A803" s="342">
        <v>47</v>
      </c>
      <c r="B803" s="195"/>
      <c r="C803" s="581" t="s">
        <v>247</v>
      </c>
      <c r="D803" s="719" t="s">
        <v>1003</v>
      </c>
      <c r="E803" s="728" t="s">
        <v>320</v>
      </c>
      <c r="F803" s="642">
        <v>1</v>
      </c>
      <c r="G803" s="520">
        <f>ROUND(IF($F$321=0,0,$G$321/$F$321),5)</f>
        <v>0.88763000000000003</v>
      </c>
      <c r="H803" s="521">
        <f>ROUND(IF($F$321=0,0,$H$321/$F$321),5)</f>
        <v>0</v>
      </c>
      <c r="I803" s="522">
        <f>ROUND(IF($F$321=0,0,$I$321/$F$321),5)</f>
        <v>0.11237</v>
      </c>
      <c r="J803" s="731">
        <f>SUM(G803:I803)</f>
        <v>1</v>
      </c>
      <c r="K803" s="731">
        <f>F803-J803</f>
        <v>0</v>
      </c>
      <c r="L803" s="330"/>
      <c r="M803" s="330"/>
      <c r="N803" s="330"/>
    </row>
    <row r="804" spans="1:14" s="351" customFormat="1" ht="13">
      <c r="A804" s="342"/>
      <c r="B804" s="629"/>
      <c r="C804" s="366"/>
      <c r="D804" s="579"/>
      <c r="E804" s="743"/>
      <c r="F804" s="644"/>
      <c r="G804" s="631"/>
      <c r="H804" s="631"/>
      <c r="I804" s="631"/>
      <c r="J804" s="631"/>
      <c r="K804" s="631"/>
      <c r="L804" s="330"/>
      <c r="M804" s="330"/>
      <c r="N804" s="330"/>
    </row>
    <row r="805" spans="1:14" s="351" customFormat="1" ht="13">
      <c r="A805" s="341" t="str">
        <f>co_name</f>
        <v>DUKE ENERGY KENTUCKY, INC.</v>
      </c>
      <c r="B805" s="330"/>
      <c r="C805" s="195"/>
      <c r="D805" s="342"/>
      <c r="E805" s="195"/>
      <c r="F805" s="195"/>
      <c r="G805" s="195"/>
      <c r="H805" s="195"/>
      <c r="I805" s="195"/>
      <c r="J805" s="195" t="str">
        <f>$J$1</f>
        <v>FR-16(7)(v)-1</v>
      </c>
      <c r="K805" s="195"/>
      <c r="L805" s="330"/>
      <c r="M805" s="330"/>
      <c r="N805" s="330"/>
    </row>
    <row r="806" spans="1:14" s="351" customFormat="1" ht="13">
      <c r="A806" s="341" t="str">
        <f>$A$2</f>
        <v>FUNCTIONAL GAS COST OF SERVICE</v>
      </c>
      <c r="B806" s="330"/>
      <c r="C806" s="195"/>
      <c r="D806" s="342"/>
      <c r="E806" s="195"/>
      <c r="F806" s="195"/>
      <c r="G806" s="195"/>
      <c r="H806" s="195"/>
      <c r="I806" s="195"/>
      <c r="J806" s="195" t="str">
        <f>$J$2</f>
        <v>WITNESS RESPONSIBLE:</v>
      </c>
      <c r="K806" s="195"/>
      <c r="L806" s="330"/>
      <c r="M806" s="330"/>
      <c r="N806" s="330"/>
    </row>
    <row r="807" spans="1:14" s="351" customFormat="1" ht="13">
      <c r="A807" s="341" t="str">
        <f>case_name</f>
        <v>CASE NO: 2021-00190</v>
      </c>
      <c r="B807" s="330"/>
      <c r="C807" s="195"/>
      <c r="D807" s="342"/>
      <c r="E807" s="195"/>
      <c r="F807" s="195"/>
      <c r="G807" s="195"/>
      <c r="H807" s="195"/>
      <c r="I807" s="195"/>
      <c r="J807" s="195" t="str">
        <f>Witness</f>
        <v>JAMES E. ZIOLKOWSKI</v>
      </c>
      <c r="K807" s="195"/>
      <c r="L807" s="330"/>
      <c r="M807" s="330"/>
      <c r="N807" s="330"/>
    </row>
    <row r="808" spans="1:14" s="351" customFormat="1" ht="13">
      <c r="A808" s="341" t="str">
        <f>data_filing</f>
        <v>DATA: 12 MONTH FORECASTED PERIOD</v>
      </c>
      <c r="B808" s="330"/>
      <c r="C808" s="195"/>
      <c r="D808" s="342"/>
      <c r="E808" s="195"/>
      <c r="F808" s="195"/>
      <c r="G808" s="195"/>
      <c r="H808" s="195"/>
      <c r="I808" s="195"/>
      <c r="J808" s="195" t="str">
        <f>"PAGE "&amp;Pages&amp;" OF "&amp;Pages</f>
        <v>PAGE 18 OF 18</v>
      </c>
      <c r="K808" s="195"/>
      <c r="L808" s="330"/>
      <c r="M808" s="330"/>
      <c r="N808" s="330"/>
    </row>
    <row r="809" spans="1:14" s="351" customFormat="1" ht="13">
      <c r="A809" s="341" t="str">
        <f>type</f>
        <v xml:space="preserve">TYPE OF FILING: "X" ORIGINAL   UPDATED    REVISED  </v>
      </c>
      <c r="B809" s="330"/>
      <c r="C809" s="195"/>
      <c r="D809" s="342"/>
      <c r="E809" s="195"/>
      <c r="F809" s="195"/>
      <c r="G809" s="195"/>
      <c r="H809" s="195"/>
      <c r="I809" s="195"/>
      <c r="J809" s="195"/>
      <c r="K809" s="195"/>
      <c r="L809" s="330"/>
      <c r="M809" s="330"/>
      <c r="N809" s="330"/>
    </row>
    <row r="810" spans="1:14" s="351" customFormat="1" ht="13">
      <c r="A810" s="330"/>
      <c r="B810" s="195"/>
      <c r="C810" s="330"/>
      <c r="D810" s="331"/>
      <c r="E810" s="331"/>
      <c r="F810" s="330"/>
      <c r="G810" s="526"/>
      <c r="H810" s="526"/>
      <c r="I810" s="526"/>
      <c r="J810" s="330"/>
      <c r="K810" s="330"/>
      <c r="L810" s="330"/>
      <c r="M810" s="330"/>
      <c r="N810" s="330"/>
    </row>
    <row r="811" spans="1:14" s="351" customFormat="1" ht="13">
      <c r="A811" s="330"/>
      <c r="B811" s="195"/>
      <c r="C811" s="330"/>
      <c r="D811" s="331"/>
      <c r="E811" s="331"/>
      <c r="F811" s="330"/>
      <c r="G811" s="526"/>
      <c r="H811" s="526"/>
      <c r="I811" s="526"/>
      <c r="J811" s="330"/>
      <c r="K811" s="330"/>
      <c r="L811" s="330"/>
      <c r="M811" s="330"/>
      <c r="N811" s="330"/>
    </row>
    <row r="812" spans="1:14" ht="13">
      <c r="A812" s="342" t="s">
        <v>907</v>
      </c>
      <c r="B812" s="195"/>
      <c r="C812" s="195"/>
      <c r="D812" s="342"/>
      <c r="E812" s="342"/>
      <c r="F812" s="583" t="s">
        <v>229</v>
      </c>
      <c r="G812" s="467" t="s">
        <v>971</v>
      </c>
      <c r="H812" s="468"/>
      <c r="I812" s="469"/>
      <c r="J812" s="342" t="s">
        <v>229</v>
      </c>
      <c r="K812" s="342" t="s">
        <v>342</v>
      </c>
    </row>
    <row r="813" spans="1:14" ht="13">
      <c r="A813" s="344" t="s">
        <v>908</v>
      </c>
      <c r="B813" s="584" t="s">
        <v>89</v>
      </c>
      <c r="C813" s="343"/>
      <c r="D813" s="585" t="s">
        <v>1001</v>
      </c>
      <c r="E813" s="585" t="s">
        <v>337</v>
      </c>
      <c r="F813" s="586" t="s">
        <v>284</v>
      </c>
      <c r="G813" s="605" t="s">
        <v>838</v>
      </c>
      <c r="H813" s="606" t="s">
        <v>970</v>
      </c>
      <c r="I813" s="607" t="s">
        <v>839</v>
      </c>
      <c r="J813" s="344" t="s">
        <v>341</v>
      </c>
      <c r="K813" s="344" t="s">
        <v>340</v>
      </c>
    </row>
    <row r="814" spans="1:14" ht="13">
      <c r="C814" s="839" t="s">
        <v>1036</v>
      </c>
      <c r="E814" s="782">
        <v>1</v>
      </c>
      <c r="F814" s="782">
        <v>2</v>
      </c>
      <c r="G814" s="622">
        <f>$G$10</f>
        <v>3</v>
      </c>
      <c r="H814" s="623">
        <f>$H$10</f>
        <v>4</v>
      </c>
      <c r="I814" s="624">
        <f>$I$10</f>
        <v>5</v>
      </c>
    </row>
    <row r="815" spans="1:14" ht="13">
      <c r="A815" s="342">
        <v>1</v>
      </c>
      <c r="B815" s="581" t="s">
        <v>25</v>
      </c>
      <c r="C815" s="195"/>
      <c r="D815" s="342"/>
      <c r="E815" s="723"/>
      <c r="F815" s="642"/>
      <c r="G815" s="464"/>
      <c r="H815" s="465"/>
      <c r="I815" s="466"/>
      <c r="J815" s="731"/>
      <c r="K815" s="731"/>
    </row>
    <row r="816" spans="1:14" ht="13">
      <c r="A816" s="342">
        <v>2</v>
      </c>
      <c r="B816" s="195"/>
      <c r="C816" s="581" t="s">
        <v>248</v>
      </c>
      <c r="D816" s="719" t="s">
        <v>1003</v>
      </c>
      <c r="E816" s="728" t="s">
        <v>321</v>
      </c>
      <c r="F816" s="642">
        <v>1</v>
      </c>
      <c r="G816" s="464">
        <f>ROUND(IF($F$296=0,0,$G$296/$F$296),5)</f>
        <v>9.3399999999999993E-3</v>
      </c>
      <c r="H816" s="465">
        <f>ROUND(IF($F$296=0,0,$H$296/$F$296),5)</f>
        <v>0</v>
      </c>
      <c r="I816" s="466">
        <f>ROUND(IF($F$296=0,0,$I$296/$F$296),5)</f>
        <v>0.99065999999999999</v>
      </c>
      <c r="J816" s="731">
        <f>SUM(G816:I816)</f>
        <v>1</v>
      </c>
      <c r="K816" s="731">
        <f>F816-J816</f>
        <v>0</v>
      </c>
    </row>
    <row r="817" spans="1:11" ht="13">
      <c r="A817" s="342">
        <v>3</v>
      </c>
      <c r="B817" s="195"/>
      <c r="C817" s="581" t="s">
        <v>249</v>
      </c>
      <c r="D817" s="719" t="s">
        <v>1003</v>
      </c>
      <c r="E817" s="728" t="s">
        <v>322</v>
      </c>
      <c r="F817" s="642">
        <v>1</v>
      </c>
      <c r="G817" s="464">
        <f>ROUND(IF($F$331=0,0,$G$331/$F$331),5)</f>
        <v>1.685E-2</v>
      </c>
      <c r="H817" s="465">
        <f>ROUND(IF($F$331=0,0,$H$331/$F$331),5)</f>
        <v>0</v>
      </c>
      <c r="I817" s="466">
        <f>ROUND(IF($F$331=0,0,$I$331/$F$331),5)</f>
        <v>0.98314999999999997</v>
      </c>
      <c r="J817" s="731">
        <f>SUM(G817:I817)</f>
        <v>1</v>
      </c>
      <c r="K817" s="731">
        <f>F817-J817</f>
        <v>0</v>
      </c>
    </row>
    <row r="818" spans="1:11" ht="13">
      <c r="A818" s="342">
        <v>4</v>
      </c>
      <c r="B818" s="195"/>
      <c r="C818" s="581" t="s">
        <v>383</v>
      </c>
      <c r="D818" s="719" t="s">
        <v>1003</v>
      </c>
      <c r="E818" s="728" t="s">
        <v>384</v>
      </c>
      <c r="F818" s="642">
        <v>0</v>
      </c>
      <c r="G818" s="639">
        <v>0</v>
      </c>
      <c r="H818" s="640">
        <v>0</v>
      </c>
      <c r="I818" s="641">
        <v>0</v>
      </c>
      <c r="J818" s="645">
        <f>SUM(G818:I818)</f>
        <v>0</v>
      </c>
      <c r="K818" s="645">
        <f>F818-J818</f>
        <v>0</v>
      </c>
    </row>
    <row r="819" spans="1:11" ht="13">
      <c r="A819" s="342">
        <v>5</v>
      </c>
      <c r="B819" s="195"/>
      <c r="C819" s="581"/>
      <c r="D819" s="719"/>
      <c r="E819" s="728"/>
      <c r="F819" s="642"/>
      <c r="G819" s="639"/>
      <c r="H819" s="640"/>
      <c r="I819" s="641"/>
      <c r="J819" s="645"/>
      <c r="K819" s="645"/>
    </row>
    <row r="820" spans="1:11" ht="13">
      <c r="A820" s="342">
        <v>6</v>
      </c>
      <c r="B820" s="591" t="s">
        <v>1011</v>
      </c>
      <c r="C820" s="628"/>
      <c r="D820" s="713"/>
      <c r="E820" s="739"/>
      <c r="F820" s="645"/>
      <c r="G820" s="632"/>
      <c r="H820" s="633"/>
      <c r="I820" s="634"/>
      <c r="J820" s="635"/>
      <c r="K820" s="635"/>
    </row>
    <row r="821" spans="1:11" ht="13">
      <c r="A821" s="342">
        <v>7</v>
      </c>
      <c r="B821" s="195"/>
      <c r="C821" s="581" t="s">
        <v>1006</v>
      </c>
      <c r="D821" s="719" t="s">
        <v>1003</v>
      </c>
      <c r="E821" s="728" t="s">
        <v>323</v>
      </c>
      <c r="F821" s="642">
        <v>1</v>
      </c>
      <c r="G821" s="464">
        <f>ROUND(IF($F$350=0,0,$G$350/$F$350),5)</f>
        <v>1</v>
      </c>
      <c r="H821" s="465">
        <f>ROUND(IF($F$350=0,0,$H$350/$F$350),5)</f>
        <v>0</v>
      </c>
      <c r="I821" s="466">
        <f>ROUND(IF($F$350=0,0,$I$350/$F$350),5)</f>
        <v>0</v>
      </c>
      <c r="J821" s="731">
        <f t="shared" ref="J821:J828" si="165">SUM(G821:I821)</f>
        <v>1</v>
      </c>
      <c r="K821" s="731">
        <f t="shared" ref="K821:K828" si="166">F821-J821</f>
        <v>0</v>
      </c>
    </row>
    <row r="822" spans="1:11" ht="13">
      <c r="A822" s="342">
        <v>8</v>
      </c>
      <c r="B822" s="195"/>
      <c r="C822" s="581" t="s">
        <v>264</v>
      </c>
      <c r="D822" s="719" t="s">
        <v>1003</v>
      </c>
      <c r="E822" s="728" t="s">
        <v>336</v>
      </c>
      <c r="F822" s="642">
        <v>1</v>
      </c>
      <c r="G822" s="464">
        <f>ROUND(IF($F$360=0,0,$G$360/$F$360),5)</f>
        <v>1</v>
      </c>
      <c r="H822" s="465">
        <f>ROUND(IF($F$360=0,0,$H$360/$F$360),5)</f>
        <v>0</v>
      </c>
      <c r="I822" s="466">
        <f>ROUND(IF($F$360=0,0,$I$360/$F$360),5)</f>
        <v>0</v>
      </c>
      <c r="J822" s="731">
        <f t="shared" si="165"/>
        <v>1</v>
      </c>
      <c r="K822" s="731">
        <f t="shared" si="166"/>
        <v>0</v>
      </c>
    </row>
    <row r="823" spans="1:11" ht="13">
      <c r="A823" s="342">
        <v>9</v>
      </c>
      <c r="B823" s="195"/>
      <c r="C823" s="581" t="s">
        <v>250</v>
      </c>
      <c r="D823" s="719" t="s">
        <v>1003</v>
      </c>
      <c r="E823" s="728" t="s">
        <v>324</v>
      </c>
      <c r="F823" s="642">
        <v>1</v>
      </c>
      <c r="G823" s="464">
        <f>ROUND(IF($F$378=0,0,$G$378/$F$378),5)</f>
        <v>0</v>
      </c>
      <c r="H823" s="465">
        <f>ROUND(IF($F$378=0,0,$H$378/$F$378),5)</f>
        <v>0</v>
      </c>
      <c r="I823" s="466">
        <f>1-SUM(G823:H823)</f>
        <v>1</v>
      </c>
      <c r="J823" s="731">
        <f t="shared" si="165"/>
        <v>1</v>
      </c>
      <c r="K823" s="731">
        <f t="shared" si="166"/>
        <v>0</v>
      </c>
    </row>
    <row r="824" spans="1:11" ht="13">
      <c r="A824" s="342">
        <v>10</v>
      </c>
      <c r="B824" s="195"/>
      <c r="C824" s="581" t="s">
        <v>251</v>
      </c>
      <c r="D824" s="719" t="s">
        <v>1003</v>
      </c>
      <c r="E824" s="728" t="s">
        <v>1007</v>
      </c>
      <c r="F824" s="642">
        <v>1</v>
      </c>
      <c r="G824" s="464">
        <f>ROUND(IF($F$389=0,0,$G$389/$F$389),5)</f>
        <v>0</v>
      </c>
      <c r="H824" s="465">
        <f>ROUND(IF($F$389=0,0,$H$389/$F$389),5)</f>
        <v>0</v>
      </c>
      <c r="I824" s="466">
        <f>1-SUM(G824:H824)</f>
        <v>1</v>
      </c>
      <c r="J824" s="731">
        <f t="shared" si="165"/>
        <v>1</v>
      </c>
      <c r="K824" s="731">
        <f t="shared" si="166"/>
        <v>0</v>
      </c>
    </row>
    <row r="825" spans="1:11" ht="13">
      <c r="A825" s="342">
        <v>11</v>
      </c>
      <c r="B825" s="195"/>
      <c r="C825" s="581" t="s">
        <v>1009</v>
      </c>
      <c r="D825" s="719" t="s">
        <v>1003</v>
      </c>
      <c r="E825" s="728" t="s">
        <v>1010</v>
      </c>
      <c r="F825" s="642">
        <v>1</v>
      </c>
      <c r="G825" s="464">
        <f>ROUND(IF($F$403=0,0,$G$403/$F$403),5)</f>
        <v>0</v>
      </c>
      <c r="H825" s="465">
        <f>ROUND(IF($F$403=0,0,$H$403/$F$403),5)</f>
        <v>0</v>
      </c>
      <c r="I825" s="466">
        <f>1-SUM(G825:H825)</f>
        <v>1</v>
      </c>
      <c r="J825" s="731">
        <f t="shared" si="165"/>
        <v>1</v>
      </c>
      <c r="K825" s="731">
        <f t="shared" si="166"/>
        <v>0</v>
      </c>
    </row>
    <row r="826" spans="1:11" ht="13">
      <c r="A826" s="342">
        <v>12</v>
      </c>
      <c r="B826" s="195"/>
      <c r="C826" s="581" t="s">
        <v>252</v>
      </c>
      <c r="D826" s="719" t="s">
        <v>1003</v>
      </c>
      <c r="E826" s="728" t="s">
        <v>1008</v>
      </c>
      <c r="F826" s="642">
        <v>1</v>
      </c>
      <c r="G826" s="464">
        <f>ROUND(IF($F$407=0,0,$G$407/$F$407),5)</f>
        <v>0</v>
      </c>
      <c r="H826" s="465">
        <f>ROUND(IF($F$407=0,0,$H$407/$F$407),5)</f>
        <v>0</v>
      </c>
      <c r="I826" s="466">
        <f>ROUND(IF($F$407=0,0,$I$407/$F$407),5)</f>
        <v>1</v>
      </c>
      <c r="J826" s="731">
        <f t="shared" si="165"/>
        <v>1</v>
      </c>
      <c r="K826" s="731">
        <f t="shared" si="166"/>
        <v>0</v>
      </c>
    </row>
    <row r="827" spans="1:11" ht="13">
      <c r="A827" s="342">
        <v>13</v>
      </c>
      <c r="B827" s="195"/>
      <c r="C827" s="581" t="s">
        <v>253</v>
      </c>
      <c r="D827" s="719" t="s">
        <v>1003</v>
      </c>
      <c r="E827" s="728" t="s">
        <v>1005</v>
      </c>
      <c r="F827" s="642">
        <v>1</v>
      </c>
      <c r="G827" s="464">
        <f>ROUND(IF($F$416=0,0,$G$416/$F$416),5)</f>
        <v>0.15531</v>
      </c>
      <c r="H827" s="465">
        <f>ROUND(IF($F$416=0,0,$H$416/$F$416),5)</f>
        <v>0</v>
      </c>
      <c r="I827" s="466">
        <f>1-SUM(G827:H827)</f>
        <v>0.84468999999999994</v>
      </c>
      <c r="J827" s="731">
        <f t="shared" si="165"/>
        <v>1</v>
      </c>
      <c r="K827" s="731">
        <f t="shared" si="166"/>
        <v>0</v>
      </c>
    </row>
    <row r="828" spans="1:11" ht="13">
      <c r="A828" s="342">
        <v>14</v>
      </c>
      <c r="B828" s="195"/>
      <c r="C828" s="581" t="s">
        <v>254</v>
      </c>
      <c r="D828" s="719" t="s">
        <v>1003</v>
      </c>
      <c r="E828" s="728" t="s">
        <v>325</v>
      </c>
      <c r="F828" s="642">
        <v>1</v>
      </c>
      <c r="G828" s="464">
        <f>ROUND(IF($F$433=0,0,$G$433/$F$433),5)</f>
        <v>0.69076000000000004</v>
      </c>
      <c r="H828" s="465">
        <f>ROUND(IF($F$433=0,0,$H$433/$F$433),5)</f>
        <v>0</v>
      </c>
      <c r="I828" s="466">
        <f>1-SUM(G828:H828)</f>
        <v>0.30923999999999996</v>
      </c>
      <c r="J828" s="731">
        <f t="shared" si="165"/>
        <v>1</v>
      </c>
      <c r="K828" s="731">
        <f t="shared" si="166"/>
        <v>0</v>
      </c>
    </row>
    <row r="829" spans="1:11" ht="13">
      <c r="A829" s="342">
        <v>15</v>
      </c>
      <c r="B829" s="195"/>
      <c r="C829" s="195"/>
      <c r="D829" s="342"/>
      <c r="E829" s="723"/>
      <c r="F829" s="642"/>
      <c r="G829" s="464"/>
      <c r="H829" s="465"/>
      <c r="I829" s="466"/>
      <c r="J829" s="731"/>
      <c r="K829" s="731"/>
    </row>
    <row r="830" spans="1:11" ht="13">
      <c r="A830" s="342">
        <v>16</v>
      </c>
      <c r="B830" s="581" t="s">
        <v>97</v>
      </c>
      <c r="C830" s="195"/>
      <c r="D830" s="342"/>
      <c r="E830" s="723"/>
      <c r="F830" s="642"/>
      <c r="G830" s="464"/>
      <c r="H830" s="465"/>
      <c r="I830" s="466"/>
      <c r="J830" s="731"/>
      <c r="K830" s="731"/>
    </row>
    <row r="831" spans="1:11" ht="13">
      <c r="A831" s="342">
        <v>17</v>
      </c>
      <c r="B831" s="195"/>
      <c r="C831" s="581" t="s">
        <v>255</v>
      </c>
      <c r="D831" s="719" t="s">
        <v>1003</v>
      </c>
      <c r="E831" s="728" t="s">
        <v>326</v>
      </c>
      <c r="F831" s="642">
        <v>1</v>
      </c>
      <c r="G831" s="464">
        <f>ROUND(IF($F$447=0,0,$G$447/$F$447),5)</f>
        <v>1</v>
      </c>
      <c r="H831" s="465">
        <f>ROUND(IF($F$447=0,0,$H$447/$F$447),5)</f>
        <v>0</v>
      </c>
      <c r="I831" s="466">
        <f>ROUND(IF($F$447=0,0,$I$447/$F$447),5)</f>
        <v>0</v>
      </c>
      <c r="J831" s="731">
        <f>SUM(G831:I831)</f>
        <v>1</v>
      </c>
      <c r="K831" s="731">
        <f>F831-J831</f>
        <v>0</v>
      </c>
    </row>
    <row r="832" spans="1:11" ht="13">
      <c r="A832" s="342">
        <v>18</v>
      </c>
      <c r="B832" s="195"/>
      <c r="C832" s="581" t="s">
        <v>256</v>
      </c>
      <c r="D832" s="719" t="s">
        <v>1003</v>
      </c>
      <c r="E832" s="728" t="s">
        <v>327</v>
      </c>
      <c r="F832" s="642">
        <v>1</v>
      </c>
      <c r="G832" s="464">
        <f>ROUND(IF($F$454=0,0,$G$454/$F$454),5)</f>
        <v>0</v>
      </c>
      <c r="H832" s="465">
        <f>ROUND(IF($F$454=0,0,$H$454/$F$454),5)</f>
        <v>0</v>
      </c>
      <c r="I832" s="466">
        <f>ROUND(IF($F$454=0,0,$I$454/$F$454),5)</f>
        <v>1</v>
      </c>
      <c r="J832" s="731">
        <f>SUM(G832:I832)</f>
        <v>1</v>
      </c>
      <c r="K832" s="731">
        <f>F832-J832</f>
        <v>0</v>
      </c>
    </row>
    <row r="833" spans="1:14" ht="13">
      <c r="A833" s="342">
        <v>19</v>
      </c>
      <c r="B833" s="195"/>
      <c r="C833" s="581" t="s">
        <v>257</v>
      </c>
      <c r="D833" s="719" t="s">
        <v>1003</v>
      </c>
      <c r="E833" s="728" t="s">
        <v>328</v>
      </c>
      <c r="F833" s="642">
        <v>1</v>
      </c>
      <c r="G833" s="464">
        <f>ROUND(IF($F$458=0,0,$G$458/$F$458),5)</f>
        <v>0.15531</v>
      </c>
      <c r="H833" s="465">
        <f>ROUND(IF($F$458=0,0,$H$458/$F$458),5)</f>
        <v>0</v>
      </c>
      <c r="I833" s="466">
        <f>ROUND(IF($F$458=0,0,$I$458/$F$458),5)</f>
        <v>0.84469000000000005</v>
      </c>
      <c r="J833" s="731">
        <f>SUM(G833:I833)</f>
        <v>1</v>
      </c>
      <c r="K833" s="731">
        <f>F833-J833</f>
        <v>0</v>
      </c>
    </row>
    <row r="834" spans="1:14" ht="13">
      <c r="A834" s="342">
        <v>20</v>
      </c>
      <c r="B834" s="195"/>
      <c r="C834" s="581" t="s">
        <v>258</v>
      </c>
      <c r="D834" s="719" t="s">
        <v>1003</v>
      </c>
      <c r="E834" s="728" t="s">
        <v>329</v>
      </c>
      <c r="F834" s="642">
        <v>1</v>
      </c>
      <c r="G834" s="464">
        <f>ROUND(IF($F$462=0,0,$G$462/$F$462),5)</f>
        <v>0.15531</v>
      </c>
      <c r="H834" s="465">
        <f>ROUND(IF($F$462=0,0,$H$462/$F$462),5)</f>
        <v>0</v>
      </c>
      <c r="I834" s="466">
        <f>ROUND(IF($F$462=0,0,$I$462/$F$462),5)</f>
        <v>0.84469000000000005</v>
      </c>
      <c r="J834" s="731">
        <f>SUM(G834:I834)</f>
        <v>1</v>
      </c>
      <c r="K834" s="731">
        <f>F834-J834</f>
        <v>0</v>
      </c>
    </row>
    <row r="835" spans="1:14" ht="13">
      <c r="A835" s="342">
        <v>21</v>
      </c>
      <c r="B835" s="195"/>
      <c r="C835" s="581" t="s">
        <v>259</v>
      </c>
      <c r="D835" s="719" t="s">
        <v>1003</v>
      </c>
      <c r="E835" s="728" t="s">
        <v>330</v>
      </c>
      <c r="F835" s="642">
        <v>1</v>
      </c>
      <c r="G835" s="464">
        <f>ROUND(IF($F$465=0,0,$G$465/$F$465),5)</f>
        <v>4.5990000000000003E-2</v>
      </c>
      <c r="H835" s="465">
        <f>ROUND(IF($F$465=0,0,$H$465/$F$465),5)</f>
        <v>0</v>
      </c>
      <c r="I835" s="466">
        <f>ROUND(IF($F$465=0,0,$I$465/$F$465),5)</f>
        <v>0.95401000000000002</v>
      </c>
      <c r="J835" s="731">
        <f>SUM(G835:I835)</f>
        <v>1</v>
      </c>
      <c r="K835" s="731">
        <f>F835-J835</f>
        <v>0</v>
      </c>
    </row>
    <row r="836" spans="1:14" ht="13">
      <c r="A836" s="342">
        <v>22</v>
      </c>
      <c r="B836" s="195"/>
      <c r="C836" s="195"/>
      <c r="D836" s="342"/>
      <c r="E836" s="723"/>
      <c r="F836" s="646"/>
      <c r="G836" s="456"/>
      <c r="H836" s="457"/>
      <c r="I836" s="458"/>
      <c r="J836" s="526"/>
      <c r="K836" s="526"/>
    </row>
    <row r="837" spans="1:14" ht="13">
      <c r="A837" s="342">
        <v>23</v>
      </c>
      <c r="B837" s="581" t="s">
        <v>62</v>
      </c>
      <c r="C837" s="195"/>
      <c r="D837" s="342"/>
      <c r="E837" s="723"/>
      <c r="F837" s="487"/>
      <c r="G837" s="459"/>
      <c r="H837" s="460"/>
      <c r="I837" s="461"/>
      <c r="J837" s="664"/>
      <c r="K837" s="664"/>
    </row>
    <row r="838" spans="1:14" ht="13">
      <c r="A838" s="342">
        <v>24</v>
      </c>
      <c r="B838" s="195"/>
      <c r="C838" s="581" t="s">
        <v>260</v>
      </c>
      <c r="D838" s="719" t="s">
        <v>1003</v>
      </c>
      <c r="E838" s="728" t="s">
        <v>331</v>
      </c>
      <c r="F838" s="642">
        <v>1</v>
      </c>
      <c r="G838" s="464">
        <f>ROUND(IF($F$481=0,0,$G$481/$F$481),5)</f>
        <v>8.9800000000000001E-3</v>
      </c>
      <c r="H838" s="465">
        <f>ROUND(IF($F$481=0,0,$H$481/$F$481),5)</f>
        <v>0</v>
      </c>
      <c r="I838" s="466">
        <f>ROUND(IF($F$481=0,0,$I$481/$F$481),5)</f>
        <v>0.99102000000000001</v>
      </c>
      <c r="J838" s="731">
        <f>SUM(G838:I838)</f>
        <v>1</v>
      </c>
      <c r="K838" s="731">
        <f>F838-J838</f>
        <v>0</v>
      </c>
    </row>
    <row r="839" spans="1:14" ht="13">
      <c r="A839" s="342">
        <v>25</v>
      </c>
      <c r="B839" s="195"/>
      <c r="C839" s="581" t="s">
        <v>261</v>
      </c>
      <c r="D839" s="719" t="s">
        <v>1003</v>
      </c>
      <c r="E839" s="728" t="s">
        <v>332</v>
      </c>
      <c r="F839" s="642">
        <v>1</v>
      </c>
      <c r="G839" s="464">
        <f>ROUND(IF($F$488=0,0,$G$488/$F$488),5)</f>
        <v>0.15531</v>
      </c>
      <c r="H839" s="465">
        <f>ROUND(IF($F$488=0,0,$H$488/$F$488),5)</f>
        <v>0</v>
      </c>
      <c r="I839" s="466">
        <f>ROUND(IF($F$488=0,0,$I$488/$F$488),5)</f>
        <v>0.84469000000000005</v>
      </c>
      <c r="J839" s="731">
        <f>SUM(G839:I839)</f>
        <v>1</v>
      </c>
      <c r="K839" s="731">
        <f>F839-J839</f>
        <v>0</v>
      </c>
    </row>
    <row r="840" spans="1:14" ht="13">
      <c r="A840" s="342">
        <v>26</v>
      </c>
      <c r="B840" s="195"/>
      <c r="C840" s="581" t="s">
        <v>262</v>
      </c>
      <c r="D840" s="719" t="s">
        <v>1003</v>
      </c>
      <c r="E840" s="728" t="s">
        <v>333</v>
      </c>
      <c r="F840" s="642">
        <v>1</v>
      </c>
      <c r="G840" s="464">
        <f>ROUND(IF($F$500=0,0,$G$500/$F$500),5)</f>
        <v>2.9170000000000001E-2</v>
      </c>
      <c r="H840" s="465">
        <f>ROUND(IF($F$500=0,0,$H$500/$F$500),5)</f>
        <v>0</v>
      </c>
      <c r="I840" s="466">
        <f>ROUND(IF($F$500=0,0,$I$500/$F$500),5)</f>
        <v>0.97082999999999997</v>
      </c>
      <c r="J840" s="731">
        <f>SUM(G840:I840)</f>
        <v>1</v>
      </c>
      <c r="K840" s="731">
        <f>F840-J840</f>
        <v>0</v>
      </c>
    </row>
    <row r="841" spans="1:14" ht="13">
      <c r="A841" s="342">
        <v>27</v>
      </c>
      <c r="B841" s="195"/>
      <c r="C841" s="581" t="s">
        <v>263</v>
      </c>
      <c r="D841" s="719" t="s">
        <v>1003</v>
      </c>
      <c r="E841" s="728" t="s">
        <v>334</v>
      </c>
      <c r="F841" s="642">
        <v>1</v>
      </c>
      <c r="G841" s="520">
        <f>ROUND(IF($F$501=0,0,$G$501/$F$501),5)</f>
        <v>0.51305999999999996</v>
      </c>
      <c r="H841" s="521">
        <f>ROUND(IF($F$501=0,0,$H$501/$F$501),5)</f>
        <v>0</v>
      </c>
      <c r="I841" s="522">
        <f>ROUND(IF($F$501=0,0,$I$501/$F$501),5)</f>
        <v>0.48693999999999998</v>
      </c>
      <c r="J841" s="731">
        <f>SUM(G841:I841)</f>
        <v>1</v>
      </c>
      <c r="K841" s="731">
        <f>F841-J841</f>
        <v>0</v>
      </c>
    </row>
    <row r="842" spans="1:14" ht="13">
      <c r="A842" s="342">
        <v>28</v>
      </c>
      <c r="B842" s="195"/>
      <c r="C842" s="195"/>
      <c r="D842" s="342"/>
      <c r="E842" s="723"/>
      <c r="F842" s="642"/>
      <c r="G842" s="464"/>
      <c r="H842" s="465"/>
      <c r="I842" s="466"/>
      <c r="J842" s="731"/>
      <c r="K842" s="731"/>
    </row>
    <row r="843" spans="1:14" ht="13">
      <c r="A843" s="342">
        <v>29</v>
      </c>
      <c r="B843" s="581" t="s">
        <v>1157</v>
      </c>
      <c r="C843" s="195"/>
      <c r="D843" s="342"/>
      <c r="E843" s="723"/>
      <c r="F843" s="642"/>
      <c r="G843" s="464"/>
      <c r="H843" s="465"/>
      <c r="I843" s="466"/>
      <c r="J843" s="731"/>
      <c r="K843" s="731"/>
    </row>
    <row r="844" spans="1:14" ht="13">
      <c r="A844" s="342">
        <v>30</v>
      </c>
      <c r="B844" s="195"/>
      <c r="C844" s="581" t="s">
        <v>1031</v>
      </c>
      <c r="D844" s="719" t="s">
        <v>1003</v>
      </c>
      <c r="E844" s="728" t="s">
        <v>335</v>
      </c>
      <c r="F844" s="642">
        <v>1</v>
      </c>
      <c r="G844" s="520">
        <f>ROUND(IF($F$647=0,0,$G$647/$F$647),5)</f>
        <v>0.36808999999999997</v>
      </c>
      <c r="H844" s="521">
        <f>ROUND(IF($F$647=0,0,$H$647/$F$647),5)</f>
        <v>0</v>
      </c>
      <c r="I844" s="522">
        <f>ROUND(IF($F$647=0,0,$I$647/$F$647),5)</f>
        <v>0.63190999999999997</v>
      </c>
      <c r="J844" s="733">
        <f>SUM(G844:I844)</f>
        <v>1</v>
      </c>
      <c r="K844" s="731">
        <f>F844-J844</f>
        <v>0</v>
      </c>
    </row>
    <row r="845" spans="1:14">
      <c r="J845" s="351"/>
      <c r="K845" s="351"/>
    </row>
    <row r="846" spans="1:14">
      <c r="J846" s="351"/>
      <c r="K846" s="351"/>
    </row>
    <row r="847" spans="1:14">
      <c r="J847" s="351"/>
      <c r="K847" s="351"/>
    </row>
    <row r="848" spans="1:14" ht="13">
      <c r="A848" s="352">
        <v>1</v>
      </c>
      <c r="B848" s="1317" t="s">
        <v>91</v>
      </c>
      <c r="C848" s="351"/>
      <c r="D848" s="1318"/>
      <c r="E848" s="1166"/>
      <c r="F848" s="354"/>
      <c r="G848" s="347"/>
      <c r="H848" s="351"/>
      <c r="I848" s="351"/>
      <c r="J848" s="351"/>
      <c r="K848" s="351"/>
      <c r="L848" s="351"/>
      <c r="M848" s="351"/>
      <c r="N848" s="351"/>
    </row>
    <row r="849" spans="1:14" ht="13">
      <c r="A849" s="352">
        <v>2</v>
      </c>
      <c r="B849" s="1319"/>
      <c r="C849" s="1320" t="s">
        <v>227</v>
      </c>
      <c r="D849" s="1321"/>
      <c r="E849" s="1322" t="s">
        <v>297</v>
      </c>
      <c r="F849" s="473">
        <f>ROUND(0.06889*0,0)</f>
        <v>0</v>
      </c>
      <c r="G849" s="347">
        <f t="shared" ref="G849:G854" si="167">ROUND(F849*VLOOKUP(E849,AllocTable_Functional,$H$10,FALSE),0)</f>
        <v>0</v>
      </c>
      <c r="H849" s="347">
        <f t="shared" ref="H849:H854" si="168">ROUND(F849*VLOOKUP(E849,AllocTable_Functional,$H$10,FALSE),0)</f>
        <v>0</v>
      </c>
      <c r="I849" s="347">
        <f t="shared" ref="I849:I854" si="169">ROUND(F849*VLOOKUP(E849,AllocTable_Functional,$I$10,FALSE),0)</f>
        <v>0</v>
      </c>
      <c r="J849" s="731">
        <f t="shared" ref="J849:J854" si="170">SUM(G849:I849)</f>
        <v>0</v>
      </c>
      <c r="K849" s="731">
        <f t="shared" ref="K849:K854" si="171">F849-J849</f>
        <v>0</v>
      </c>
      <c r="L849" s="351"/>
      <c r="M849" s="351"/>
      <c r="N849" s="351"/>
    </row>
    <row r="850" spans="1:14" ht="13">
      <c r="A850" s="352">
        <v>3</v>
      </c>
      <c r="B850" s="351"/>
      <c r="C850" s="1323" t="s">
        <v>228</v>
      </c>
      <c r="D850" s="582"/>
      <c r="E850" s="726" t="s">
        <v>1005</v>
      </c>
      <c r="F850" s="486">
        <v>0</v>
      </c>
      <c r="G850" s="347">
        <f t="shared" si="167"/>
        <v>0</v>
      </c>
      <c r="H850" s="347">
        <f t="shared" si="168"/>
        <v>0</v>
      </c>
      <c r="I850" s="347">
        <f t="shared" si="169"/>
        <v>0</v>
      </c>
      <c r="J850" s="731">
        <f t="shared" si="170"/>
        <v>0</v>
      </c>
      <c r="K850" s="731">
        <f t="shared" si="171"/>
        <v>0</v>
      </c>
      <c r="L850" s="351"/>
      <c r="M850" s="351"/>
      <c r="N850" s="351"/>
    </row>
    <row r="851" spans="1:14" ht="13">
      <c r="A851" s="352">
        <v>4</v>
      </c>
      <c r="B851" s="351"/>
      <c r="C851" s="1323" t="s">
        <v>427</v>
      </c>
      <c r="D851" s="582"/>
      <c r="E851" s="726" t="s">
        <v>1005</v>
      </c>
      <c r="F851" s="486">
        <v>0</v>
      </c>
      <c r="G851" s="347">
        <f t="shared" si="167"/>
        <v>0</v>
      </c>
      <c r="H851" s="347">
        <f t="shared" si="168"/>
        <v>0</v>
      </c>
      <c r="I851" s="347">
        <f t="shared" si="169"/>
        <v>0</v>
      </c>
      <c r="J851" s="731">
        <f t="shared" si="170"/>
        <v>0</v>
      </c>
      <c r="K851" s="731">
        <f t="shared" si="171"/>
        <v>0</v>
      </c>
      <c r="L851" s="351"/>
      <c r="M851" s="351"/>
      <c r="N851" s="351"/>
    </row>
    <row r="852" spans="1:14" ht="13">
      <c r="A852" s="352">
        <v>5</v>
      </c>
      <c r="B852" s="351"/>
      <c r="C852" s="1323" t="s">
        <v>422</v>
      </c>
      <c r="D852" s="582" t="s">
        <v>343</v>
      </c>
      <c r="E852" s="725" t="s">
        <v>290</v>
      </c>
      <c r="F852" s="486">
        <v>0</v>
      </c>
      <c r="G852" s="347">
        <f t="shared" si="167"/>
        <v>0</v>
      </c>
      <c r="H852" s="347">
        <f t="shared" si="168"/>
        <v>0</v>
      </c>
      <c r="I852" s="347">
        <f t="shared" si="169"/>
        <v>0</v>
      </c>
      <c r="J852" s="731">
        <f t="shared" si="170"/>
        <v>0</v>
      </c>
      <c r="K852" s="731">
        <f t="shared" si="171"/>
        <v>0</v>
      </c>
      <c r="L852" s="351"/>
      <c r="M852" s="351"/>
      <c r="N852" s="351"/>
    </row>
    <row r="853" spans="1:14" ht="13">
      <c r="A853" s="352">
        <v>6</v>
      </c>
      <c r="B853" s="351"/>
      <c r="C853" s="1323" t="s">
        <v>408</v>
      </c>
      <c r="D853" s="582"/>
      <c r="E853" s="725" t="s">
        <v>295</v>
      </c>
      <c r="F853" s="486">
        <v>0</v>
      </c>
      <c r="G853" s="347">
        <f t="shared" si="167"/>
        <v>0</v>
      </c>
      <c r="H853" s="347">
        <f t="shared" si="168"/>
        <v>0</v>
      </c>
      <c r="I853" s="347">
        <f t="shared" si="169"/>
        <v>0</v>
      </c>
      <c r="J853" s="731">
        <f t="shared" si="170"/>
        <v>0</v>
      </c>
      <c r="K853" s="731">
        <f t="shared" si="171"/>
        <v>0</v>
      </c>
      <c r="L853" s="351"/>
      <c r="M853" s="351"/>
      <c r="N853" s="351"/>
    </row>
    <row r="854" spans="1:14" ht="13">
      <c r="A854" s="352">
        <v>7</v>
      </c>
      <c r="B854" s="351"/>
      <c r="C854" s="1323" t="s">
        <v>1158</v>
      </c>
      <c r="D854" s="582" t="s">
        <v>343</v>
      </c>
      <c r="E854" s="725" t="s">
        <v>315</v>
      </c>
      <c r="F854" s="486">
        <v>0</v>
      </c>
      <c r="G854" s="347">
        <f t="shared" si="167"/>
        <v>0</v>
      </c>
      <c r="H854" s="347">
        <f t="shared" si="168"/>
        <v>0</v>
      </c>
      <c r="I854" s="347">
        <f t="shared" si="169"/>
        <v>0</v>
      </c>
      <c r="J854" s="731">
        <f t="shared" si="170"/>
        <v>0</v>
      </c>
      <c r="K854" s="731">
        <f t="shared" si="171"/>
        <v>0</v>
      </c>
      <c r="L854" s="351"/>
      <c r="M854" s="351"/>
      <c r="N854" s="351"/>
    </row>
    <row r="855" spans="1:14" ht="13">
      <c r="A855" s="352">
        <v>8</v>
      </c>
      <c r="B855" s="351"/>
      <c r="C855" s="1323" t="s">
        <v>229</v>
      </c>
      <c r="D855" s="582" t="s">
        <v>285</v>
      </c>
      <c r="E855" s="1166"/>
      <c r="F855" s="346">
        <f t="shared" ref="F855:K855" si="172">SUM(F849:F854)</f>
        <v>0</v>
      </c>
      <c r="G855" s="346">
        <f t="shared" si="172"/>
        <v>0</v>
      </c>
      <c r="H855" s="346">
        <f t="shared" si="172"/>
        <v>0</v>
      </c>
      <c r="I855" s="346">
        <f t="shared" si="172"/>
        <v>0</v>
      </c>
      <c r="J855" s="346">
        <f t="shared" si="172"/>
        <v>0</v>
      </c>
      <c r="K855" s="346">
        <f t="shared" si="172"/>
        <v>0</v>
      </c>
      <c r="L855" s="351"/>
      <c r="M855" s="351"/>
      <c r="N855" s="351"/>
    </row>
    <row r="856" spans="1:14">
      <c r="A856" s="351"/>
      <c r="B856" s="351"/>
      <c r="C856" s="351"/>
      <c r="D856" s="1166"/>
      <c r="E856" s="351"/>
      <c r="F856" s="351"/>
      <c r="G856" s="351"/>
      <c r="H856" s="351"/>
      <c r="I856" s="351"/>
      <c r="J856" s="351"/>
      <c r="K856" s="351"/>
      <c r="L856" s="351"/>
      <c r="M856" s="351"/>
      <c r="N856" s="351"/>
    </row>
    <row r="857" spans="1:14">
      <c r="J857" s="351"/>
      <c r="K857" s="351"/>
    </row>
    <row r="858" spans="1:14">
      <c r="J858" s="351"/>
      <c r="K858" s="351"/>
    </row>
    <row r="859" spans="1:14">
      <c r="J859" s="351"/>
      <c r="K859" s="351"/>
    </row>
    <row r="860" spans="1:14">
      <c r="J860" s="351"/>
      <c r="K860" s="351"/>
    </row>
    <row r="861" spans="1:14" ht="20">
      <c r="A861" s="1184" t="s">
        <v>1193</v>
      </c>
      <c r="J861" s="351"/>
      <c r="K861" s="351"/>
    </row>
    <row r="862" spans="1:14">
      <c r="J862" s="351"/>
      <c r="K862" s="351"/>
    </row>
    <row r="863" spans="1:14" ht="13">
      <c r="A863" s="342" t="s">
        <v>907</v>
      </c>
      <c r="B863" s="195"/>
      <c r="C863" s="195"/>
      <c r="D863" s="342"/>
      <c r="E863" s="195"/>
      <c r="F863" s="342" t="s">
        <v>229</v>
      </c>
      <c r="G863" s="467" t="s">
        <v>971</v>
      </c>
      <c r="H863" s="468"/>
      <c r="I863" s="469"/>
      <c r="J863" s="342" t="s">
        <v>229</v>
      </c>
      <c r="K863" s="342" t="s">
        <v>342</v>
      </c>
    </row>
    <row r="864" spans="1:14" ht="13">
      <c r="A864" s="344" t="s">
        <v>908</v>
      </c>
      <c r="B864" s="343" t="s">
        <v>99</v>
      </c>
      <c r="C864" s="343"/>
      <c r="D864" s="344" t="s">
        <v>337</v>
      </c>
      <c r="E864" s="343"/>
      <c r="F864" s="344" t="s">
        <v>284</v>
      </c>
      <c r="G864" s="454" t="s">
        <v>838</v>
      </c>
      <c r="H864" s="449" t="s">
        <v>970</v>
      </c>
      <c r="I864" s="455" t="s">
        <v>839</v>
      </c>
      <c r="J864" s="344" t="s">
        <v>341</v>
      </c>
      <c r="K864" s="344" t="s">
        <v>340</v>
      </c>
    </row>
    <row r="865" spans="1:11" ht="13">
      <c r="B865" s="195"/>
      <c r="C865" s="572" t="s">
        <v>4</v>
      </c>
      <c r="D865" s="342"/>
      <c r="E865" s="195"/>
      <c r="G865" s="622">
        <f>$G$10</f>
        <v>3</v>
      </c>
      <c r="H865" s="623">
        <f>$H$10</f>
        <v>4</v>
      </c>
      <c r="I865" s="624">
        <f>$I$10</f>
        <v>5</v>
      </c>
    </row>
    <row r="866" spans="1:11" ht="13">
      <c r="A866" s="331">
        <v>1</v>
      </c>
      <c r="B866" s="330" t="s">
        <v>100</v>
      </c>
      <c r="D866" s="342"/>
      <c r="E866" s="195"/>
      <c r="G866" s="456"/>
      <c r="H866" s="457"/>
      <c r="I866" s="458"/>
    </row>
    <row r="867" spans="1:11" ht="13">
      <c r="A867" s="331">
        <v>2</v>
      </c>
      <c r="C867" s="330" t="s">
        <v>79</v>
      </c>
      <c r="D867" s="342"/>
      <c r="E867" s="195"/>
      <c r="F867" s="345">
        <f t="shared" ref="F867:K867" si="173">F647</f>
        <v>124866844.05182262</v>
      </c>
      <c r="G867" s="459">
        <f t="shared" si="173"/>
        <v>45962152.504000001</v>
      </c>
      <c r="H867" s="460">
        <f t="shared" si="173"/>
        <v>0</v>
      </c>
      <c r="I867" s="461">
        <f t="shared" si="173"/>
        <v>78904692</v>
      </c>
      <c r="J867" s="345">
        <f t="shared" si="173"/>
        <v>124866844.50400001</v>
      </c>
      <c r="K867" s="345">
        <f t="shared" si="173"/>
        <v>0.45217739045619965</v>
      </c>
    </row>
    <row r="868" spans="1:11" ht="13">
      <c r="A868" s="331">
        <v>3</v>
      </c>
      <c r="C868" s="357" t="s">
        <v>103</v>
      </c>
      <c r="D868" s="342"/>
      <c r="E868" s="195"/>
      <c r="F868" s="345">
        <f>F630</f>
        <v>310224</v>
      </c>
      <c r="G868" s="459">
        <f>$G$630</f>
        <v>40105</v>
      </c>
      <c r="H868" s="460">
        <f>$H$630</f>
        <v>0</v>
      </c>
      <c r="I868" s="461">
        <f>$I$630</f>
        <v>270119</v>
      </c>
      <c r="J868" s="345">
        <f>$J$630</f>
        <v>310224</v>
      </c>
      <c r="K868" s="345">
        <f>$K$630</f>
        <v>0</v>
      </c>
    </row>
    <row r="869" spans="1:11" ht="13">
      <c r="A869" s="331">
        <v>4</v>
      </c>
      <c r="C869" s="330" t="s">
        <v>265</v>
      </c>
      <c r="D869" s="342"/>
      <c r="E869" s="195"/>
      <c r="F869" s="346">
        <f t="shared" ref="F869:K869" si="174">SUM(F866:F868)</f>
        <v>125177068.05182262</v>
      </c>
      <c r="G869" s="462">
        <f t="shared" si="174"/>
        <v>46002257.504000001</v>
      </c>
      <c r="H869" s="450">
        <f t="shared" si="174"/>
        <v>0</v>
      </c>
      <c r="I869" s="463">
        <f t="shared" si="174"/>
        <v>79174811</v>
      </c>
      <c r="J869" s="346">
        <f t="shared" si="174"/>
        <v>125177068.50400001</v>
      </c>
      <c r="K869" s="346">
        <f t="shared" si="174"/>
        <v>0.45217739045619965</v>
      </c>
    </row>
    <row r="870" spans="1:11" ht="13">
      <c r="A870" s="331">
        <v>5</v>
      </c>
      <c r="C870" s="330" t="s">
        <v>266</v>
      </c>
      <c r="D870" s="342"/>
      <c r="E870" s="195"/>
      <c r="F870" s="345">
        <f>-F501</f>
        <v>-86517054.504000008</v>
      </c>
      <c r="G870" s="459">
        <f>-$G$501</f>
        <v>-44388820.504000001</v>
      </c>
      <c r="H870" s="460">
        <f>-$H$501</f>
        <v>0</v>
      </c>
      <c r="I870" s="461">
        <f>-$I$501</f>
        <v>-42128234</v>
      </c>
      <c r="J870" s="506">
        <f>-$J$501</f>
        <v>-86517054.504000008</v>
      </c>
      <c r="K870" s="345">
        <f>-$K$501</f>
        <v>0</v>
      </c>
    </row>
    <row r="871" spans="1:11" ht="13">
      <c r="A871" s="331">
        <v>6</v>
      </c>
      <c r="C871" s="357" t="s">
        <v>267</v>
      </c>
      <c r="D871" s="342"/>
      <c r="E871" s="195"/>
      <c r="F871" s="345">
        <f>-ROUND(F694*F867,0)</f>
        <v>0</v>
      </c>
      <c r="G871" s="459">
        <f>-ROUND(G694*G867,0)</f>
        <v>0</v>
      </c>
      <c r="H871" s="460">
        <f>-ROUND(H694*H867,0)</f>
        <v>0</v>
      </c>
      <c r="I871" s="461">
        <f>-ROUND(I694*I867,0)</f>
        <v>0</v>
      </c>
      <c r="J871" s="504">
        <f>SUM(G871:I871)</f>
        <v>0</v>
      </c>
      <c r="K871" s="345">
        <f>-ROUND(K694*K867,0)</f>
        <v>0</v>
      </c>
    </row>
    <row r="872" spans="1:11" ht="13">
      <c r="A872" s="331">
        <v>7</v>
      </c>
      <c r="C872" s="330" t="s">
        <v>268</v>
      </c>
      <c r="D872" s="342"/>
      <c r="E872" s="195"/>
      <c r="F872" s="346">
        <f>SUM(F869:F871)</f>
        <v>38660013.54782261</v>
      </c>
      <c r="G872" s="462">
        <f>SUM(G869:G871)</f>
        <v>1613437</v>
      </c>
      <c r="H872" s="450">
        <f>SUM(H869:H871)</f>
        <v>0</v>
      </c>
      <c r="I872" s="463">
        <f>SUM(I869:I871)</f>
        <v>37046577</v>
      </c>
      <c r="J872" s="346">
        <f>SUM(G872:I872)</f>
        <v>38660014</v>
      </c>
      <c r="K872" s="346">
        <f>SUM(K869:K871)</f>
        <v>0.45217739045619965</v>
      </c>
    </row>
    <row r="873" spans="1:11" ht="13">
      <c r="A873" s="331">
        <v>8</v>
      </c>
      <c r="D873" s="342"/>
      <c r="E873" s="195"/>
      <c r="G873" s="456"/>
      <c r="H873" s="457"/>
      <c r="I873" s="458"/>
    </row>
    <row r="874" spans="1:11" ht="13">
      <c r="A874" s="331">
        <v>9</v>
      </c>
      <c r="B874" s="330" t="s">
        <v>101</v>
      </c>
      <c r="D874" s="342"/>
      <c r="E874" s="195"/>
      <c r="G874" s="456"/>
      <c r="H874" s="457"/>
      <c r="I874" s="458"/>
    </row>
    <row r="875" spans="1:11" ht="13">
      <c r="A875" s="331">
        <v>10</v>
      </c>
      <c r="C875" s="330" t="s">
        <v>269</v>
      </c>
      <c r="D875" s="342"/>
      <c r="E875" s="195"/>
      <c r="F875" s="345">
        <f>-F516</f>
        <v>-8610382</v>
      </c>
      <c r="G875" s="459">
        <f>-$G$516</f>
        <v>-145085</v>
      </c>
      <c r="H875" s="460">
        <f>-$H$516</f>
        <v>0</v>
      </c>
      <c r="I875" s="461">
        <f>-$I$516</f>
        <v>-8465297</v>
      </c>
      <c r="J875" s="345">
        <f>-$J$516</f>
        <v>-8610382</v>
      </c>
      <c r="K875" s="345">
        <f>-$K$516</f>
        <v>0</v>
      </c>
    </row>
    <row r="876" spans="1:11" ht="13">
      <c r="A876" s="331">
        <v>11</v>
      </c>
      <c r="C876" s="357" t="s">
        <v>270</v>
      </c>
      <c r="D876" s="342"/>
      <c r="E876" s="195"/>
      <c r="F876" s="345">
        <f>-F522</f>
        <v>-7223532</v>
      </c>
      <c r="G876" s="459">
        <f>-$G$522</f>
        <v>-306563</v>
      </c>
      <c r="H876" s="460">
        <f>-$H$522</f>
        <v>0</v>
      </c>
      <c r="I876" s="461">
        <f>-$I$522</f>
        <v>-6916969</v>
      </c>
      <c r="J876" s="345">
        <f>-$J$522</f>
        <v>-7223532</v>
      </c>
      <c r="K876" s="345">
        <f>-$K$522</f>
        <v>0</v>
      </c>
    </row>
    <row r="877" spans="1:11" ht="13">
      <c r="A877" s="331">
        <v>12</v>
      </c>
      <c r="C877" s="330" t="s">
        <v>271</v>
      </c>
      <c r="D877" s="342"/>
      <c r="E877" s="195"/>
      <c r="F877" s="346">
        <f>SUM(F874:F876)+F872</f>
        <v>22826099.54782261</v>
      </c>
      <c r="G877" s="462">
        <f>SUM(G874:G876)+G872</f>
        <v>1161789</v>
      </c>
      <c r="H877" s="450">
        <f>SUM(H874:H876)+H872</f>
        <v>0</v>
      </c>
      <c r="I877" s="463">
        <f>SUM(I874:I876)+I872</f>
        <v>21664311</v>
      </c>
      <c r="J877" s="346">
        <f>SUM(G877:I877)</f>
        <v>22826100</v>
      </c>
      <c r="K877" s="346">
        <f>SUM(K874:K876)+K872</f>
        <v>0.45217739045619965</v>
      </c>
    </row>
    <row r="878" spans="1:11" ht="13">
      <c r="A878" s="331">
        <v>13</v>
      </c>
      <c r="D878" s="342"/>
      <c r="E878" s="195"/>
      <c r="G878" s="456"/>
      <c r="H878" s="457"/>
      <c r="I878" s="458"/>
    </row>
    <row r="879" spans="1:11" ht="13">
      <c r="A879" s="331">
        <v>14</v>
      </c>
      <c r="B879" s="330" t="s">
        <v>99</v>
      </c>
      <c r="D879" s="342"/>
      <c r="E879" s="195"/>
      <c r="G879" s="456"/>
      <c r="H879" s="457"/>
      <c r="I879" s="458"/>
    </row>
    <row r="880" spans="1:11" ht="13">
      <c r="A880" s="331">
        <v>15</v>
      </c>
      <c r="B880" s="330" t="s">
        <v>74</v>
      </c>
      <c r="D880" s="342"/>
      <c r="E880" s="195"/>
      <c r="G880" s="456"/>
      <c r="H880" s="457"/>
      <c r="I880" s="458"/>
    </row>
    <row r="881" spans="1:11" ht="13">
      <c r="A881" s="331">
        <v>16</v>
      </c>
      <c r="C881" s="330" t="s">
        <v>272</v>
      </c>
      <c r="D881" s="342"/>
      <c r="E881" s="195"/>
      <c r="F881" s="345">
        <f t="shared" ref="F881:K881" si="175">F877</f>
        <v>22826099.54782261</v>
      </c>
      <c r="G881" s="459">
        <f t="shared" si="175"/>
        <v>1161789</v>
      </c>
      <c r="H881" s="460">
        <f t="shared" si="175"/>
        <v>0</v>
      </c>
      <c r="I881" s="461">
        <f t="shared" si="175"/>
        <v>21664311</v>
      </c>
      <c r="J881" s="345">
        <f t="shared" si="175"/>
        <v>22826100</v>
      </c>
      <c r="K881" s="345">
        <f t="shared" si="175"/>
        <v>0.45217739045619965</v>
      </c>
    </row>
    <row r="882" spans="1:11" ht="13">
      <c r="A882" s="331">
        <v>17</v>
      </c>
      <c r="C882" s="330" t="s">
        <v>273</v>
      </c>
      <c r="D882" s="342"/>
      <c r="E882" s="195"/>
      <c r="F882" s="345">
        <f t="shared" ref="F882:K882" si="176">SUM(F881:F881)</f>
        <v>22826099.54782261</v>
      </c>
      <c r="G882" s="459">
        <f t="shared" si="176"/>
        <v>1161789</v>
      </c>
      <c r="H882" s="460">
        <f t="shared" si="176"/>
        <v>0</v>
      </c>
      <c r="I882" s="461">
        <f t="shared" si="176"/>
        <v>21664311</v>
      </c>
      <c r="J882" s="345">
        <f t="shared" si="176"/>
        <v>22826100</v>
      </c>
      <c r="K882" s="345">
        <f t="shared" si="176"/>
        <v>0.45217739045619965</v>
      </c>
    </row>
    <row r="883" spans="1:11" ht="13">
      <c r="A883" s="331">
        <v>18</v>
      </c>
      <c r="C883" s="330" t="s">
        <v>274</v>
      </c>
      <c r="D883" s="342"/>
      <c r="E883" s="195"/>
      <c r="F883" s="348">
        <f>F692</f>
        <v>0.21</v>
      </c>
      <c r="G883" s="464">
        <f>G692</f>
        <v>0.21</v>
      </c>
      <c r="H883" s="465">
        <f>H692</f>
        <v>0.21</v>
      </c>
      <c r="I883" s="466">
        <f>I692</f>
        <v>0.21</v>
      </c>
      <c r="J883" s="348"/>
      <c r="K883" s="348">
        <f>K692</f>
        <v>0.21</v>
      </c>
    </row>
    <row r="884" spans="1:11" ht="13">
      <c r="A884" s="331">
        <v>19</v>
      </c>
      <c r="C884" s="330" t="s">
        <v>275</v>
      </c>
      <c r="D884" s="342"/>
      <c r="E884" s="195"/>
      <c r="F884" s="345">
        <f>ROUND(F883*F882,0)</f>
        <v>4793481</v>
      </c>
      <c r="G884" s="459">
        <f>ROUND(G883*G882,0)</f>
        <v>243976</v>
      </c>
      <c r="H884" s="460">
        <f>ROUND(H883*H882,0)</f>
        <v>0</v>
      </c>
      <c r="I884" s="461">
        <f>ROUND(I883*I882,0)</f>
        <v>4549505</v>
      </c>
      <c r="J884" s="345">
        <f>SUM(G884:I884)</f>
        <v>4793481</v>
      </c>
      <c r="K884" s="345">
        <f>ROUND(K883*K882,0)</f>
        <v>0</v>
      </c>
    </row>
    <row r="885" spans="1:11" ht="13">
      <c r="A885" s="331">
        <v>20</v>
      </c>
      <c r="C885" s="330" t="s">
        <v>542</v>
      </c>
      <c r="D885" s="342"/>
      <c r="E885" s="195"/>
      <c r="F885" s="345">
        <f>F532</f>
        <v>730942</v>
      </c>
      <c r="G885" s="459">
        <f>$G$532</f>
        <v>811796</v>
      </c>
      <c r="H885" s="460">
        <f>$H$532</f>
        <v>0</v>
      </c>
      <c r="I885" s="461">
        <f>$I$532</f>
        <v>-80854</v>
      </c>
      <c r="J885" s="345">
        <f>$J$532</f>
        <v>730942</v>
      </c>
      <c r="K885" s="345">
        <f>$K$532</f>
        <v>0</v>
      </c>
    </row>
    <row r="886" spans="1:11" ht="13">
      <c r="A886" s="331">
        <v>21</v>
      </c>
      <c r="C886" s="357" t="s">
        <v>411</v>
      </c>
      <c r="D886" s="342"/>
      <c r="E886" s="195"/>
      <c r="F886" s="345">
        <f>-F536</f>
        <v>-60747</v>
      </c>
      <c r="G886" s="459">
        <f>-$G$536</f>
        <v>-546</v>
      </c>
      <c r="H886" s="460">
        <f>-$H$536</f>
        <v>0</v>
      </c>
      <c r="I886" s="461">
        <f>-$I$536</f>
        <v>-60201</v>
      </c>
      <c r="J886" s="345">
        <f>-$J$536</f>
        <v>-60747</v>
      </c>
      <c r="K886" s="345">
        <f>-$K$536</f>
        <v>0</v>
      </c>
    </row>
    <row r="887" spans="1:11" ht="13">
      <c r="A887" s="331">
        <v>22</v>
      </c>
      <c r="C887" s="330" t="s">
        <v>276</v>
      </c>
      <c r="D887" s="342"/>
      <c r="E887" s="195"/>
      <c r="F887" s="346">
        <f t="shared" ref="F887:K887" si="177">SUM(F884:F886)</f>
        <v>5463676</v>
      </c>
      <c r="G887" s="462">
        <f t="shared" si="177"/>
        <v>1055226</v>
      </c>
      <c r="H887" s="450">
        <f t="shared" si="177"/>
        <v>0</v>
      </c>
      <c r="I887" s="463">
        <f t="shared" si="177"/>
        <v>4408450</v>
      </c>
      <c r="J887" s="346">
        <f t="shared" si="177"/>
        <v>5463676</v>
      </c>
      <c r="K887" s="346">
        <f t="shared" si="177"/>
        <v>0</v>
      </c>
    </row>
    <row r="888" spans="1:11" ht="13">
      <c r="A888" s="331">
        <v>23</v>
      </c>
      <c r="D888" s="342"/>
      <c r="E888" s="195"/>
      <c r="G888" s="456"/>
      <c r="H888" s="457"/>
      <c r="I888" s="458"/>
    </row>
    <row r="889" spans="1:11" ht="13">
      <c r="A889" s="331">
        <v>24</v>
      </c>
      <c r="B889" s="330" t="s">
        <v>75</v>
      </c>
      <c r="D889" s="342"/>
      <c r="E889" s="195"/>
      <c r="G889" s="456"/>
      <c r="H889" s="457"/>
      <c r="I889" s="458"/>
    </row>
    <row r="890" spans="1:11" ht="13">
      <c r="A890" s="331">
        <v>25</v>
      </c>
      <c r="C890" s="330" t="s">
        <v>277</v>
      </c>
      <c r="D890" s="342"/>
      <c r="E890" s="195"/>
      <c r="F890" s="345">
        <f t="shared" ref="F890:K890" si="178">F884</f>
        <v>4793481</v>
      </c>
      <c r="G890" s="459">
        <f t="shared" si="178"/>
        <v>243976</v>
      </c>
      <c r="H890" s="460">
        <f t="shared" si="178"/>
        <v>0</v>
      </c>
      <c r="I890" s="461">
        <f t="shared" si="178"/>
        <v>4549505</v>
      </c>
      <c r="J890" s="345">
        <f t="shared" si="178"/>
        <v>4793481</v>
      </c>
      <c r="K890" s="345">
        <f t="shared" si="178"/>
        <v>0</v>
      </c>
    </row>
    <row r="891" spans="1:11" ht="13">
      <c r="A891" s="331">
        <v>26</v>
      </c>
      <c r="C891" s="357" t="s">
        <v>197</v>
      </c>
      <c r="D891" s="342"/>
      <c r="E891" s="195"/>
      <c r="F891" s="345">
        <f>-F540</f>
        <v>0</v>
      </c>
      <c r="G891" s="478">
        <f>-$G$540</f>
        <v>0</v>
      </c>
      <c r="H891" s="479">
        <f>-$H$540</f>
        <v>0</v>
      </c>
      <c r="I891" s="480">
        <f>-$I$540</f>
        <v>0</v>
      </c>
      <c r="J891" s="345">
        <f>-$J$540</f>
        <v>0</v>
      </c>
      <c r="K891" s="345">
        <f>-$K$540</f>
        <v>0</v>
      </c>
    </row>
    <row r="892" spans="1:11" ht="13">
      <c r="A892" s="331">
        <v>27</v>
      </c>
      <c r="C892" s="330" t="s">
        <v>278</v>
      </c>
      <c r="D892" s="342"/>
      <c r="E892" s="195"/>
      <c r="F892" s="346">
        <f t="shared" ref="F892:K892" si="179">SUM(F889:F891)</f>
        <v>4793481</v>
      </c>
      <c r="G892" s="462">
        <f t="shared" si="179"/>
        <v>243976</v>
      </c>
      <c r="H892" s="450">
        <f t="shared" si="179"/>
        <v>0</v>
      </c>
      <c r="I892" s="463">
        <f t="shared" si="179"/>
        <v>4549505</v>
      </c>
      <c r="J892" s="346">
        <f t="shared" si="179"/>
        <v>4793481</v>
      </c>
      <c r="K892" s="346">
        <f t="shared" si="179"/>
        <v>0</v>
      </c>
    </row>
    <row r="893" spans="1:11" ht="13">
      <c r="A893" s="331">
        <v>28</v>
      </c>
      <c r="D893" s="342"/>
      <c r="E893" s="195"/>
      <c r="G893" s="456"/>
      <c r="H893" s="457"/>
      <c r="I893" s="458"/>
    </row>
    <row r="894" spans="1:11" ht="13">
      <c r="A894" s="331">
        <v>29</v>
      </c>
      <c r="B894" s="330" t="s">
        <v>40</v>
      </c>
      <c r="D894" s="342"/>
      <c r="E894" s="195"/>
      <c r="G894" s="456"/>
      <c r="H894" s="457"/>
      <c r="I894" s="458"/>
    </row>
    <row r="895" spans="1:11" ht="13">
      <c r="A895" s="331">
        <v>30</v>
      </c>
      <c r="C895" s="330" t="s">
        <v>279</v>
      </c>
      <c r="D895" s="342"/>
      <c r="E895" s="195"/>
      <c r="F895" s="345">
        <f t="shared" ref="F895:K895" si="180">F872</f>
        <v>38660013.54782261</v>
      </c>
      <c r="G895" s="459">
        <f t="shared" si="180"/>
        <v>1613437</v>
      </c>
      <c r="H895" s="460">
        <f t="shared" si="180"/>
        <v>0</v>
      </c>
      <c r="I895" s="461">
        <f t="shared" si="180"/>
        <v>37046577</v>
      </c>
      <c r="J895" s="345">
        <f t="shared" si="180"/>
        <v>38660014</v>
      </c>
      <c r="K895" s="345">
        <f t="shared" si="180"/>
        <v>0.45217739045619965</v>
      </c>
    </row>
    <row r="896" spans="1:11" ht="13">
      <c r="A896" s="331">
        <v>31</v>
      </c>
      <c r="C896" s="357" t="s">
        <v>280</v>
      </c>
      <c r="D896" s="342"/>
      <c r="E896" s="195"/>
      <c r="F896" s="345">
        <f t="shared" ref="F896:K896" si="181">-F887</f>
        <v>-5463676</v>
      </c>
      <c r="G896" s="459">
        <f t="shared" si="181"/>
        <v>-1055226</v>
      </c>
      <c r="H896" s="460">
        <f t="shared" si="181"/>
        <v>0</v>
      </c>
      <c r="I896" s="461">
        <f t="shared" si="181"/>
        <v>-4408450</v>
      </c>
      <c r="J896" s="345">
        <f t="shared" si="181"/>
        <v>-5463676</v>
      </c>
      <c r="K896" s="345">
        <f t="shared" si="181"/>
        <v>0</v>
      </c>
    </row>
    <row r="897" spans="1:11" ht="13">
      <c r="A897" s="331">
        <v>32</v>
      </c>
      <c r="C897" s="330" t="s">
        <v>944</v>
      </c>
      <c r="D897" s="342"/>
      <c r="E897" s="195"/>
      <c r="F897" s="346">
        <f t="shared" ref="F897:K897" si="182">SUM(F894:F896)</f>
        <v>33196337.54782261</v>
      </c>
      <c r="G897" s="462">
        <f t="shared" si="182"/>
        <v>558211</v>
      </c>
      <c r="H897" s="450">
        <f t="shared" si="182"/>
        <v>0</v>
      </c>
      <c r="I897" s="463">
        <f t="shared" si="182"/>
        <v>32638127</v>
      </c>
      <c r="J897" s="346">
        <f t="shared" si="182"/>
        <v>33196338</v>
      </c>
      <c r="K897" s="346">
        <f t="shared" si="182"/>
        <v>0.45217739045619965</v>
      </c>
    </row>
    <row r="898" spans="1:11" ht="13">
      <c r="A898" s="331">
        <v>33</v>
      </c>
      <c r="D898" s="342"/>
      <c r="E898" s="195"/>
      <c r="G898" s="456"/>
      <c r="H898" s="457"/>
      <c r="I898" s="458"/>
    </row>
    <row r="899" spans="1:11" ht="13">
      <c r="A899" s="331">
        <v>34</v>
      </c>
      <c r="C899" s="330" t="s">
        <v>945</v>
      </c>
      <c r="D899" s="342"/>
      <c r="E899" s="195"/>
      <c r="F899" s="348">
        <f t="shared" ref="F899:K899" si="183">IF(F331=0,0,ROUND(F897/F331,5))</f>
        <v>7.0879999999999999E-2</v>
      </c>
      <c r="G899" s="520">
        <f t="shared" si="183"/>
        <v>7.0749999999999993E-2</v>
      </c>
      <c r="H899" s="521">
        <f t="shared" si="183"/>
        <v>0</v>
      </c>
      <c r="I899" s="522">
        <f t="shared" si="183"/>
        <v>7.0889999999999995E-2</v>
      </c>
      <c r="J899" s="348">
        <f t="shared" si="183"/>
        <v>7.0879999999999999E-2</v>
      </c>
      <c r="K899" s="348">
        <f t="shared" si="183"/>
        <v>0</v>
      </c>
    </row>
  </sheetData>
  <phoneticPr fontId="12" type="noConversion"/>
  <pageMargins left="1" right="1" top="1" bottom="1" header="1" footer="0.5"/>
  <pageSetup scale="68" orientation="landscape" blackAndWhite="1" r:id="rId1"/>
  <headerFooter alignWithMargins="0"/>
  <rowBreaks count="16" manualBreakCount="16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  <brk id="694" max="10" man="1"/>
    <brk id="745" max="10" man="1"/>
    <brk id="803" max="10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0">
    <tabColor rgb="FF00B050"/>
    <pageSetUpPr fitToPage="1"/>
  </sheetPr>
  <dimension ref="A1:O899"/>
  <sheetViews>
    <sheetView zoomScale="80" zoomScaleNormal="80" zoomScaleSheetLayoutView="80" workbookViewId="0">
      <selection activeCell="A805" sqref="A805:K844"/>
    </sheetView>
  </sheetViews>
  <sheetFormatPr defaultColWidth="8.765625" defaultRowHeight="12.5"/>
  <cols>
    <col min="1" max="1" width="6.4609375" style="330" customWidth="1"/>
    <col min="2" max="2" width="3.53515625" style="330" customWidth="1"/>
    <col min="3" max="3" width="43.765625" style="330" customWidth="1"/>
    <col min="4" max="4" width="11" style="331" customWidth="1"/>
    <col min="5" max="5" width="10.765625" style="330" customWidth="1"/>
    <col min="6" max="6" width="12.53515625" style="330" customWidth="1"/>
    <col min="7" max="8" width="11.765625" style="330" customWidth="1"/>
    <col min="9" max="9" width="13.765625" style="330" customWidth="1"/>
    <col min="10" max="11" width="11.765625" style="330" customWidth="1"/>
    <col min="12" max="16384" width="8.765625" style="330"/>
  </cols>
  <sheetData>
    <row r="1" spans="1:11" ht="13">
      <c r="A1" s="341" t="str">
        <f>co_name</f>
        <v>DUKE ENERGY KENTUCKY, INC.</v>
      </c>
      <c r="C1" s="195"/>
      <c r="D1" s="342"/>
      <c r="E1" s="195"/>
      <c r="F1" s="195"/>
      <c r="G1" s="195"/>
      <c r="H1" s="195"/>
      <c r="I1" s="195"/>
      <c r="J1" s="577" t="s">
        <v>1454</v>
      </c>
      <c r="K1" s="195"/>
    </row>
    <row r="2" spans="1:11" ht="13">
      <c r="A2" s="577" t="s">
        <v>1198</v>
      </c>
      <c r="C2" s="195"/>
      <c r="D2" s="342"/>
      <c r="E2" s="195"/>
      <c r="F2" s="195"/>
      <c r="G2" s="195"/>
      <c r="H2" s="195"/>
      <c r="I2" s="195"/>
      <c r="J2" s="577" t="s">
        <v>435</v>
      </c>
      <c r="K2" s="195"/>
    </row>
    <row r="3" spans="1:11" ht="13">
      <c r="A3" s="341" t="str">
        <f>case_name</f>
        <v>CASE NO: 2021-00190</v>
      </c>
      <c r="C3" s="195"/>
      <c r="D3" s="342"/>
      <c r="E3" s="195"/>
      <c r="F3" s="195"/>
      <c r="G3" s="195"/>
      <c r="H3" s="195"/>
      <c r="I3" s="195"/>
      <c r="J3" s="195" t="str">
        <f>Witness</f>
        <v>JAMES E. ZIOLKOWSKI</v>
      </c>
      <c r="K3" s="195"/>
    </row>
    <row r="4" spans="1:11" ht="13">
      <c r="A4" s="341" t="str">
        <f>data_filing</f>
        <v>DATA: 12 MONTH FORECASTED PERIOD</v>
      </c>
      <c r="C4" s="195"/>
      <c r="D4" s="342"/>
      <c r="E4" s="195"/>
      <c r="F4" s="195"/>
      <c r="G4" s="195"/>
      <c r="H4" s="195"/>
      <c r="I4" s="195"/>
      <c r="J4" s="195" t="str">
        <f>"PAGE "&amp;Pages-17&amp;" OF "&amp;Pages</f>
        <v>PAGE 1 OF 18</v>
      </c>
      <c r="K4" s="195"/>
    </row>
    <row r="5" spans="1:11" ht="13">
      <c r="A5" s="341" t="str">
        <f>type</f>
        <v xml:space="preserve">TYPE OF FILING: "X" ORIGINAL   UPDATED    REVISED  </v>
      </c>
      <c r="C5" s="195"/>
      <c r="D5" s="342"/>
      <c r="E5" s="195"/>
      <c r="F5" s="195"/>
      <c r="G5" s="195"/>
      <c r="H5" s="195"/>
      <c r="I5" s="195"/>
      <c r="J5" s="195"/>
      <c r="K5" s="195"/>
    </row>
    <row r="6" spans="1:11" ht="13">
      <c r="A6" s="341"/>
      <c r="C6" s="195"/>
      <c r="D6" s="342"/>
      <c r="E6" s="195"/>
      <c r="F6" s="195"/>
      <c r="G6" s="195"/>
      <c r="H6" s="195"/>
      <c r="I6" s="195"/>
      <c r="J6" s="195"/>
      <c r="K6" s="195"/>
    </row>
    <row r="7" spans="1:11" ht="13">
      <c r="A7" s="341"/>
      <c r="C7" s="195"/>
      <c r="D7" s="342"/>
      <c r="E7" s="195"/>
      <c r="F7" s="195"/>
      <c r="G7" s="195"/>
      <c r="H7" s="195"/>
      <c r="I7" s="195"/>
      <c r="J7" s="195"/>
      <c r="K7" s="195"/>
    </row>
    <row r="8" spans="1:11" ht="13">
      <c r="A8" s="342" t="s">
        <v>907</v>
      </c>
      <c r="B8" s="195"/>
      <c r="C8" s="195"/>
      <c r="D8" s="342"/>
      <c r="E8" s="195"/>
      <c r="F8" s="342" t="s">
        <v>229</v>
      </c>
      <c r="G8" s="539" t="s">
        <v>995</v>
      </c>
      <c r="H8" s="527"/>
      <c r="I8" s="528"/>
      <c r="J8" s="342" t="s">
        <v>229</v>
      </c>
      <c r="K8" s="342" t="s">
        <v>342</v>
      </c>
    </row>
    <row r="9" spans="1:11" ht="13">
      <c r="A9" s="344" t="s">
        <v>908</v>
      </c>
      <c r="B9" s="343" t="s">
        <v>102</v>
      </c>
      <c r="C9" s="343"/>
      <c r="D9" s="344" t="s">
        <v>337</v>
      </c>
      <c r="E9" s="343"/>
      <c r="F9" s="344" t="s">
        <v>838</v>
      </c>
      <c r="G9" s="540" t="s">
        <v>840</v>
      </c>
      <c r="H9" s="529" t="s">
        <v>841</v>
      </c>
      <c r="I9" s="530" t="s">
        <v>842</v>
      </c>
      <c r="J9" s="344" t="s">
        <v>341</v>
      </c>
      <c r="K9" s="344" t="s">
        <v>340</v>
      </c>
    </row>
    <row r="10" spans="1:11" ht="13">
      <c r="C10" s="572" t="s">
        <v>354</v>
      </c>
      <c r="D10" s="342"/>
      <c r="E10" s="195"/>
      <c r="G10" s="779">
        <v>3</v>
      </c>
      <c r="H10" s="780">
        <v>4</v>
      </c>
      <c r="I10" s="781">
        <v>5</v>
      </c>
    </row>
    <row r="11" spans="1:11" ht="13">
      <c r="A11" s="331">
        <v>1</v>
      </c>
      <c r="B11" s="330" t="s">
        <v>100</v>
      </c>
      <c r="D11" s="342"/>
      <c r="E11" s="195"/>
      <c r="G11" s="541"/>
      <c r="H11" s="531"/>
      <c r="I11" s="532"/>
    </row>
    <row r="12" spans="1:11" ht="13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>F101</f>
        <v>11194210</v>
      </c>
      <c r="G12" s="542">
        <f>G101</f>
        <v>0</v>
      </c>
      <c r="H12" s="533">
        <f>H101</f>
        <v>11194210</v>
      </c>
      <c r="I12" s="534">
        <f>I101</f>
        <v>0</v>
      </c>
      <c r="J12" s="345">
        <f>J101</f>
        <v>11194210</v>
      </c>
      <c r="K12" s="345">
        <f>F12-J12</f>
        <v>0</v>
      </c>
    </row>
    <row r="13" spans="1:11" ht="13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>-F151</f>
        <v>-6119653</v>
      </c>
      <c r="G13" s="542">
        <f>-G151</f>
        <v>0</v>
      </c>
      <c r="H13" s="533">
        <f>-H151</f>
        <v>-6119653</v>
      </c>
      <c r="I13" s="534">
        <f>-I151</f>
        <v>0</v>
      </c>
      <c r="J13" s="345">
        <f>-J151</f>
        <v>-6119653</v>
      </c>
      <c r="K13" s="345">
        <f>F13-J13</f>
        <v>0</v>
      </c>
    </row>
    <row r="14" spans="1:11" ht="13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>F326</f>
        <v>2815257.0958904028</v>
      </c>
      <c r="G14" s="542">
        <f>G326</f>
        <v>9.5890402793884277E-2</v>
      </c>
      <c r="H14" s="533">
        <f>H326</f>
        <v>2815257</v>
      </c>
      <c r="I14" s="534">
        <f>I326</f>
        <v>0</v>
      </c>
      <c r="J14" s="345">
        <f>J326</f>
        <v>2815257.0958904028</v>
      </c>
      <c r="K14" s="345">
        <f>F14-J14</f>
        <v>0</v>
      </c>
    </row>
    <row r="15" spans="1:11" ht="13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0">SUM(F12:F14)</f>
        <v>7889814.0958904028</v>
      </c>
      <c r="G15" s="543">
        <f t="shared" si="0"/>
        <v>9.5890402793884277E-2</v>
      </c>
      <c r="H15" s="535">
        <f t="shared" si="0"/>
        <v>7889814</v>
      </c>
      <c r="I15" s="536">
        <f t="shared" si="0"/>
        <v>0</v>
      </c>
      <c r="J15" s="346">
        <f t="shared" si="0"/>
        <v>7889814.0958904028</v>
      </c>
      <c r="K15" s="346">
        <f t="shared" si="0"/>
        <v>0</v>
      </c>
    </row>
    <row r="16" spans="1:11" ht="13">
      <c r="A16" s="331">
        <v>6</v>
      </c>
      <c r="D16" s="342"/>
      <c r="E16" s="195"/>
      <c r="G16" s="541"/>
      <c r="H16" s="531"/>
      <c r="I16" s="532"/>
    </row>
    <row r="17" spans="1:11" ht="13">
      <c r="A17" s="331">
        <v>7</v>
      </c>
      <c r="B17" s="330" t="s">
        <v>98</v>
      </c>
      <c r="D17" s="342"/>
      <c r="E17" s="195"/>
      <c r="G17" s="541"/>
      <c r="H17" s="531"/>
      <c r="I17" s="532"/>
    </row>
    <row r="18" spans="1:11" ht="13">
      <c r="A18" s="331">
        <v>8</v>
      </c>
      <c r="C18" s="330" t="str">
        <f>'FR-16(7)(v)-1 Functional'!C18</f>
        <v>TOTAL O&amp;M EXPENSE</v>
      </c>
      <c r="D18" s="342"/>
      <c r="E18" s="195"/>
      <c r="F18" s="345">
        <f>F433</f>
        <v>43377286</v>
      </c>
      <c r="G18" s="542">
        <f>G433</f>
        <v>0</v>
      </c>
      <c r="H18" s="533">
        <f>H433</f>
        <v>43377286</v>
      </c>
      <c r="I18" s="534">
        <f>I433</f>
        <v>0</v>
      </c>
      <c r="J18" s="345">
        <f>J433</f>
        <v>43377286</v>
      </c>
      <c r="K18" s="345">
        <f t="shared" ref="K18:K24" si="1">F18-J18</f>
        <v>0</v>
      </c>
    </row>
    <row r="19" spans="1:11" ht="13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>F465</f>
        <v>873952.50399999996</v>
      </c>
      <c r="G19" s="542">
        <f>G465</f>
        <v>-0.49599999999918509</v>
      </c>
      <c r="H19" s="533">
        <f>H465</f>
        <v>873953</v>
      </c>
      <c r="I19" s="534">
        <f>I465</f>
        <v>0</v>
      </c>
      <c r="J19" s="345">
        <f>J465</f>
        <v>873952.50399999996</v>
      </c>
      <c r="K19" s="345">
        <f t="shared" si="1"/>
        <v>0</v>
      </c>
    </row>
    <row r="20" spans="1:11" ht="13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137582</v>
      </c>
      <c r="G20" s="542">
        <f>$G$495</f>
        <v>0</v>
      </c>
      <c r="H20" s="533">
        <f>$H$495</f>
        <v>137582</v>
      </c>
      <c r="I20" s="534">
        <f>$I$495</f>
        <v>0</v>
      </c>
      <c r="J20" s="345">
        <f>$J$495</f>
        <v>137582</v>
      </c>
      <c r="K20" s="345">
        <f t="shared" si="1"/>
        <v>0</v>
      </c>
    </row>
    <row r="21" spans="1:11" ht="13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>SUM(F17:F20)</f>
        <v>44388820.504000001</v>
      </c>
      <c r="G21" s="543">
        <f>SUM(G17:G20)</f>
        <v>-0.49599999999918509</v>
      </c>
      <c r="H21" s="535">
        <f>SUM(H17:H20)</f>
        <v>44388821</v>
      </c>
      <c r="I21" s="536">
        <f>SUM(I17:I20)</f>
        <v>0</v>
      </c>
      <c r="J21" s="346">
        <f>SUM(J17:J20)</f>
        <v>44388820.504000001</v>
      </c>
      <c r="K21" s="346">
        <f t="shared" si="1"/>
        <v>0</v>
      </c>
    </row>
    <row r="22" spans="1:11" ht="13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>F557</f>
        <v>1056420</v>
      </c>
      <c r="G22" s="542">
        <f>$G$557</f>
        <v>0</v>
      </c>
      <c r="H22" s="533">
        <f>$H$557</f>
        <v>1056420</v>
      </c>
      <c r="I22" s="534">
        <f>$I$557</f>
        <v>0</v>
      </c>
      <c r="J22" s="345">
        <f>$J$557</f>
        <v>1056420</v>
      </c>
      <c r="K22" s="345">
        <f t="shared" si="1"/>
        <v>0</v>
      </c>
    </row>
    <row r="23" spans="1:11" ht="13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>F605</f>
        <v>63539</v>
      </c>
      <c r="G23" s="542">
        <f>G605</f>
        <v>0</v>
      </c>
      <c r="H23" s="533">
        <f>H605</f>
        <v>63539</v>
      </c>
      <c r="I23" s="534">
        <f>I605</f>
        <v>0</v>
      </c>
      <c r="J23" s="345">
        <f>J605</f>
        <v>63539</v>
      </c>
      <c r="K23" s="345">
        <f t="shared" si="1"/>
        <v>0</v>
      </c>
    </row>
    <row r="24" spans="1:11" ht="13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>SUM(F21:F23)</f>
        <v>45508779.504000001</v>
      </c>
      <c r="G24" s="543">
        <f>SUM(G21:G23)</f>
        <v>-0.49599999999918509</v>
      </c>
      <c r="H24" s="535">
        <f>SUM(H21:H23)</f>
        <v>45508780</v>
      </c>
      <c r="I24" s="536">
        <f>SUM(I21:I23)</f>
        <v>0</v>
      </c>
      <c r="J24" s="346">
        <f>SUM(J21:J23)</f>
        <v>45508779.504000001</v>
      </c>
      <c r="K24" s="346">
        <f t="shared" si="1"/>
        <v>0</v>
      </c>
    </row>
    <row r="25" spans="1:11" ht="13">
      <c r="A25" s="331">
        <v>15</v>
      </c>
      <c r="D25" s="342"/>
      <c r="E25" s="195"/>
      <c r="G25" s="541"/>
      <c r="H25" s="531"/>
      <c r="I25" s="532"/>
    </row>
    <row r="26" spans="1:11" ht="13">
      <c r="A26" s="331">
        <v>16</v>
      </c>
      <c r="B26" s="330" t="s">
        <v>43</v>
      </c>
      <c r="D26" s="342"/>
      <c r="E26" s="195"/>
      <c r="F26" s="345">
        <f>F334</f>
        <v>557022</v>
      </c>
      <c r="G26" s="542">
        <f>G334</f>
        <v>0</v>
      </c>
      <c r="H26" s="533">
        <f>H334</f>
        <v>557022</v>
      </c>
      <c r="I26" s="534">
        <f>I334</f>
        <v>0</v>
      </c>
      <c r="J26" s="345">
        <f>J334</f>
        <v>557022</v>
      </c>
      <c r="K26" s="345">
        <f t="shared" ref="K26:K31" si="2">F26-J26</f>
        <v>0</v>
      </c>
    </row>
    <row r="27" spans="1:11" ht="13">
      <c r="A27" s="331">
        <v>17</v>
      </c>
      <c r="B27" s="357" t="s">
        <v>103</v>
      </c>
      <c r="C27" s="357"/>
      <c r="D27" s="342"/>
      <c r="E27" s="195"/>
      <c r="F27" s="345">
        <f>-F630</f>
        <v>-40105</v>
      </c>
      <c r="G27" s="542">
        <f>-$G$630</f>
        <v>0</v>
      </c>
      <c r="H27" s="533">
        <f>-$H$630</f>
        <v>-40105</v>
      </c>
      <c r="I27" s="534">
        <f>-$I$630</f>
        <v>0</v>
      </c>
      <c r="J27" s="345">
        <f>-$J$630</f>
        <v>-40105</v>
      </c>
      <c r="K27" s="345">
        <f t="shared" si="2"/>
        <v>0</v>
      </c>
    </row>
    <row r="28" spans="1:11" ht="13">
      <c r="A28" s="331">
        <v>18</v>
      </c>
      <c r="C28" s="330" t="str">
        <f>'FR-16(7)(v)-1 Functional'!C28</f>
        <v>TOTAL GAS COST OF SERVICE</v>
      </c>
      <c r="D28" s="342"/>
      <c r="E28" s="195"/>
      <c r="F28" s="346">
        <f>SUM(F24:F27)</f>
        <v>46025696.504000001</v>
      </c>
      <c r="G28" s="551">
        <f>SUM(G24:G27)</f>
        <v>-0.49599999999918509</v>
      </c>
      <c r="H28" s="552">
        <f>SUM(H24:H27)</f>
        <v>46025697</v>
      </c>
      <c r="I28" s="553">
        <f>SUM(I24:I27)</f>
        <v>0</v>
      </c>
      <c r="J28" s="346">
        <f>SUM(J24:J27)</f>
        <v>46025696.504000001</v>
      </c>
      <c r="K28" s="346">
        <f t="shared" si="2"/>
        <v>0</v>
      </c>
    </row>
    <row r="29" spans="1:11" ht="13">
      <c r="A29" s="1104">
        <v>19</v>
      </c>
      <c r="B29" s="1105" t="s">
        <v>1184</v>
      </c>
      <c r="C29" s="1106"/>
      <c r="D29" s="1107">
        <f>1-'WP FR-16(7)(v)Rate Incr (40.0%)'!I11</f>
        <v>0</v>
      </c>
      <c r="E29" s="1108"/>
      <c r="F29" s="1109">
        <f ca="1">'WP FR-16(7)(v)Rate Incr (40.0%)'!Q20</f>
        <v>0</v>
      </c>
      <c r="G29" s="1158">
        <v>0</v>
      </c>
      <c r="H29" s="1159">
        <v>0</v>
      </c>
      <c r="I29" s="1160">
        <v>0</v>
      </c>
      <c r="J29" s="1109">
        <f>SUM(G29:I29)</f>
        <v>0</v>
      </c>
      <c r="K29" s="1112">
        <f t="shared" ca="1" si="2"/>
        <v>0</v>
      </c>
    </row>
    <row r="30" spans="1:11" ht="13">
      <c r="A30" s="1104">
        <v>20</v>
      </c>
      <c r="B30" s="1113" t="s">
        <v>1185</v>
      </c>
      <c r="C30" s="1017"/>
      <c r="D30" s="1114"/>
      <c r="E30" s="1108"/>
      <c r="F30" s="1115">
        <f ca="1">F29+F28</f>
        <v>46025696.504000001</v>
      </c>
      <c r="G30" s="1116">
        <f>G29+G28</f>
        <v>-0.49599999999918509</v>
      </c>
      <c r="H30" s="1117">
        <f>H29+H28</f>
        <v>46025697</v>
      </c>
      <c r="I30" s="1118">
        <f>I29+I28</f>
        <v>0</v>
      </c>
      <c r="J30" s="1115">
        <f>J29+J28</f>
        <v>46025696.504000001</v>
      </c>
      <c r="K30" s="1119">
        <f t="shared" ca="1" si="2"/>
        <v>0</v>
      </c>
    </row>
    <row r="31" spans="1:11" ht="13">
      <c r="A31" s="1104">
        <v>21</v>
      </c>
      <c r="B31" s="1120" t="s">
        <v>843</v>
      </c>
      <c r="C31" s="1106"/>
      <c r="D31" s="1114"/>
      <c r="E31" s="1108"/>
      <c r="F31" s="1119">
        <f>F745</f>
        <v>46539308</v>
      </c>
      <c r="G31" s="1116">
        <f>G745</f>
        <v>0</v>
      </c>
      <c r="H31" s="1117">
        <f>H745</f>
        <v>46539308</v>
      </c>
      <c r="I31" s="1118">
        <f>I745</f>
        <v>0</v>
      </c>
      <c r="J31" s="1119">
        <f>J745</f>
        <v>46539308</v>
      </c>
      <c r="K31" s="1119">
        <f t="shared" si="2"/>
        <v>0</v>
      </c>
    </row>
    <row r="32" spans="1:11" ht="13">
      <c r="A32" s="1104">
        <v>22</v>
      </c>
      <c r="B32" s="1121" t="s">
        <v>1186</v>
      </c>
      <c r="C32" s="1017"/>
      <c r="D32" s="1114"/>
      <c r="E32" s="1108"/>
      <c r="F32" s="1124">
        <f t="shared" ref="F32:K32" ca="1" si="3">F30-F31</f>
        <v>-513611.49599999934</v>
      </c>
      <c r="G32" s="1143">
        <f t="shared" si="3"/>
        <v>-0.49599999999918509</v>
      </c>
      <c r="H32" s="1124">
        <f t="shared" si="3"/>
        <v>-513611</v>
      </c>
      <c r="I32" s="1144">
        <f t="shared" si="3"/>
        <v>0</v>
      </c>
      <c r="J32" s="1124">
        <f t="shared" si="3"/>
        <v>-513611.49599999934</v>
      </c>
      <c r="K32" s="1124">
        <f t="shared" ca="1" si="3"/>
        <v>0</v>
      </c>
    </row>
    <row r="33" spans="1:14" ht="13">
      <c r="A33" s="1104">
        <v>23</v>
      </c>
      <c r="B33" s="1017"/>
      <c r="C33" s="1017"/>
      <c r="D33" s="1114"/>
      <c r="E33" s="1108"/>
      <c r="F33" s="1017"/>
      <c r="G33" s="1126"/>
      <c r="H33" s="1127"/>
      <c r="I33" s="1128"/>
      <c r="J33" s="1017"/>
      <c r="K33" s="1017"/>
    </row>
    <row r="34" spans="1:14" ht="13">
      <c r="A34" s="1104">
        <v>24</v>
      </c>
      <c r="B34" s="1017" t="s">
        <v>104</v>
      </c>
      <c r="C34" s="1017"/>
      <c r="D34" s="1114"/>
      <c r="E34" s="1108"/>
      <c r="F34" s="1119">
        <f>F654+F26</f>
        <v>990317.49599999934</v>
      </c>
      <c r="G34" s="1116">
        <f>G654+G26</f>
        <v>0.49599999999918509</v>
      </c>
      <c r="H34" s="1117">
        <f>H654+H26</f>
        <v>990317</v>
      </c>
      <c r="I34" s="1118">
        <f>I654+I26</f>
        <v>0</v>
      </c>
      <c r="J34" s="1119">
        <f>J654+J26</f>
        <v>990317.49600000004</v>
      </c>
      <c r="K34" s="1119">
        <f>F34-J34</f>
        <v>0</v>
      </c>
    </row>
    <row r="35" spans="1:14" ht="13">
      <c r="A35" s="1104">
        <v>25</v>
      </c>
      <c r="B35" s="1017" t="s">
        <v>105</v>
      </c>
      <c r="C35" s="1017"/>
      <c r="D35" s="1114"/>
      <c r="E35" s="1108"/>
      <c r="F35" s="1129">
        <f t="shared" ref="F35:K35" si="4">IF(F331=0,0,ROUND(F34/F331,5))</f>
        <v>0.12551999999999999</v>
      </c>
      <c r="G35" s="1130">
        <f t="shared" si="4"/>
        <v>5.1725700000000003</v>
      </c>
      <c r="H35" s="1131">
        <f t="shared" si="4"/>
        <v>0.12551999999999999</v>
      </c>
      <c r="I35" s="1132">
        <f t="shared" si="4"/>
        <v>0</v>
      </c>
      <c r="J35" s="1129">
        <f t="shared" si="4"/>
        <v>0.12551999999999999</v>
      </c>
      <c r="K35" s="1129">
        <f t="shared" si="4"/>
        <v>0</v>
      </c>
    </row>
    <row r="36" spans="1:14" ht="13">
      <c r="A36" s="1104">
        <v>26</v>
      </c>
      <c r="B36" s="1017" t="s">
        <v>42</v>
      </c>
      <c r="C36" s="1017"/>
      <c r="D36" s="1114"/>
      <c r="E36" s="1108"/>
      <c r="F36" s="1129">
        <f>$F$688</f>
        <v>7.060000000000001E-2</v>
      </c>
      <c r="G36" s="1130">
        <f>F688</f>
        <v>7.060000000000001E-2</v>
      </c>
      <c r="H36" s="1131">
        <f>F688</f>
        <v>7.060000000000001E-2</v>
      </c>
      <c r="I36" s="1132">
        <f>F688</f>
        <v>7.060000000000001E-2</v>
      </c>
      <c r="J36" s="1129">
        <f>$F$688</f>
        <v>7.060000000000001E-2</v>
      </c>
      <c r="K36" s="1129">
        <f>F688</f>
        <v>7.060000000000001E-2</v>
      </c>
      <c r="N36" s="653" t="s">
        <v>1188</v>
      </c>
    </row>
    <row r="37" spans="1:14" ht="13">
      <c r="A37" s="1104">
        <v>27</v>
      </c>
      <c r="B37" s="1017" t="s">
        <v>106</v>
      </c>
      <c r="C37" s="1017"/>
      <c r="D37" s="1114"/>
      <c r="E37" s="1108"/>
      <c r="F37" s="1129">
        <f>IF(F670=0,0,(F35-$F$683-$F$684-$F$686)*$F$673/$F$670)</f>
        <v>0.21134565384315462</v>
      </c>
      <c r="G37" s="1130">
        <f>IF(F670=0,0,(G35-F683-F684-F686)*F673/F670)</f>
        <v>10.167217244557115</v>
      </c>
      <c r="H37" s="1131">
        <f>IF(F670=0,0,(H35-F683-F684-F686)*F673/F670)</f>
        <v>0.21134565384315462</v>
      </c>
      <c r="I37" s="1132">
        <f>IF(F670=0,0,(I35-F683-F684-F686)*F673/F670)</f>
        <v>-3.6256609274194343E-2</v>
      </c>
      <c r="J37" s="1129">
        <f>IF(F670=0,0,(J35-F683-F684-F686)*F673/F670)</f>
        <v>0.21134565384315462</v>
      </c>
      <c r="K37" s="1129">
        <f>IF(F670=0,0,(K35-F683-F684-F686)*F673/F670)</f>
        <v>-3.6256609274194343E-2</v>
      </c>
      <c r="N37" s="653" t="s">
        <v>1189</v>
      </c>
    </row>
    <row r="38" spans="1:14" ht="13">
      <c r="A38" s="1104">
        <v>28</v>
      </c>
      <c r="B38" s="1017" t="s">
        <v>107</v>
      </c>
      <c r="C38" s="1017"/>
      <c r="D38" s="1114"/>
      <c r="E38" s="1108"/>
      <c r="F38" s="1129">
        <f>IF($F$670=0,0,(F36-$F$683-$F$684-$F$686)*$F$673/$F$670)</f>
        <v>0.10300980066912017</v>
      </c>
      <c r="G38" s="1130">
        <f>IF(F670=0,0,(G36-F683-F684-F686)*F673/F670)</f>
        <v>0.10300980066912017</v>
      </c>
      <c r="H38" s="1131">
        <f>IF(F670=0,0,(H36-F683-F684-F686)*F673/F670)</f>
        <v>0.10300980066912017</v>
      </c>
      <c r="I38" s="1132">
        <f>IF(F670=0,0,(I36-F683-F684-F686)*F673/F670)</f>
        <v>0.10300980066912017</v>
      </c>
      <c r="J38" s="1129">
        <f>IF($F$670=0,0,(J36-$F$683-$F$684-$F$686)*$F$673/$F$670)</f>
        <v>0.10300980066912017</v>
      </c>
      <c r="K38" s="1129">
        <f>IF(F670=0,0,(K36-F683-F684-F686)*F673/F670)</f>
        <v>0.10300980066912017</v>
      </c>
    </row>
    <row r="39" spans="1:14" ht="13">
      <c r="A39" s="1104">
        <v>29</v>
      </c>
      <c r="B39" s="1017"/>
      <c r="C39" s="1017"/>
      <c r="D39" s="1114"/>
      <c r="E39" s="1108"/>
      <c r="F39" s="1017" t="s">
        <v>343</v>
      </c>
      <c r="G39" s="1126"/>
      <c r="H39" s="1127"/>
      <c r="I39" s="1128"/>
      <c r="J39" s="1017"/>
      <c r="K39" s="1017"/>
    </row>
    <row r="40" spans="1:14" ht="13">
      <c r="A40" s="1104">
        <v>30</v>
      </c>
      <c r="B40" s="1017" t="s">
        <v>108</v>
      </c>
      <c r="C40" s="1017"/>
      <c r="D40" s="1114"/>
      <c r="E40" s="1108"/>
      <c r="F40" s="1119">
        <f>F744</f>
        <v>40910824</v>
      </c>
      <c r="G40" s="1116">
        <f>G744</f>
        <v>0</v>
      </c>
      <c r="H40" s="1117">
        <f>H744</f>
        <v>40910824</v>
      </c>
      <c r="I40" s="1118">
        <f>I744</f>
        <v>0</v>
      </c>
      <c r="J40" s="1119">
        <f>J744</f>
        <v>40910824</v>
      </c>
      <c r="K40" s="1119">
        <f>F40-J40</f>
        <v>0</v>
      </c>
    </row>
    <row r="41" spans="1:14" ht="13">
      <c r="A41" s="1104">
        <v>31</v>
      </c>
      <c r="B41" s="1017" t="s">
        <v>109</v>
      </c>
      <c r="C41" s="1017"/>
      <c r="D41" s="1114"/>
      <c r="E41" s="1108"/>
      <c r="F41" s="1119">
        <f t="shared" ref="F41:K41" si="5">F28-F40</f>
        <v>5114872.5040000007</v>
      </c>
      <c r="G41" s="1116">
        <f t="shared" si="5"/>
        <v>-0.49599999999918509</v>
      </c>
      <c r="H41" s="1117">
        <f t="shared" si="5"/>
        <v>5114873</v>
      </c>
      <c r="I41" s="1118">
        <f t="shared" si="5"/>
        <v>0</v>
      </c>
      <c r="J41" s="1119">
        <f t="shared" si="5"/>
        <v>5114872.5040000007</v>
      </c>
      <c r="K41" s="1119">
        <f t="shared" si="5"/>
        <v>0</v>
      </c>
    </row>
    <row r="42" spans="1:14" ht="13">
      <c r="A42" s="1104">
        <v>32</v>
      </c>
      <c r="B42" s="1017"/>
      <c r="C42" s="1017" t="s">
        <v>283</v>
      </c>
      <c r="D42" s="1114"/>
      <c r="E42" s="1108"/>
      <c r="F42" s="1133">
        <f t="shared" ref="F42:K42" si="6">IF(F40=0,0,ROUND(F41/F40,5))</f>
        <v>0.12501999999999999</v>
      </c>
      <c r="G42" s="1134">
        <f t="shared" si="6"/>
        <v>0</v>
      </c>
      <c r="H42" s="1135">
        <f t="shared" si="6"/>
        <v>0.12501999999999999</v>
      </c>
      <c r="I42" s="1136">
        <f t="shared" si="6"/>
        <v>0</v>
      </c>
      <c r="J42" s="1133">
        <f t="shared" si="6"/>
        <v>0.12501999999999999</v>
      </c>
      <c r="K42" s="1119">
        <f t="shared" si="6"/>
        <v>0</v>
      </c>
    </row>
    <row r="43" spans="1:14" ht="13">
      <c r="A43" s="1104">
        <v>33</v>
      </c>
      <c r="B43" s="1017" t="s">
        <v>110</v>
      </c>
      <c r="C43" s="1017"/>
      <c r="D43" s="1114"/>
      <c r="E43" s="1108"/>
      <c r="F43" s="1119">
        <f t="shared" ref="F43:K43" si="7">F31-F40</f>
        <v>5628484</v>
      </c>
      <c r="G43" s="1116">
        <f t="shared" si="7"/>
        <v>0</v>
      </c>
      <c r="H43" s="1117">
        <f t="shared" si="7"/>
        <v>5628484</v>
      </c>
      <c r="I43" s="1118">
        <f t="shared" si="7"/>
        <v>0</v>
      </c>
      <c r="J43" s="1119">
        <f t="shared" si="7"/>
        <v>5628484</v>
      </c>
      <c r="K43" s="1119">
        <f t="shared" si="7"/>
        <v>0</v>
      </c>
    </row>
    <row r="44" spans="1:14" ht="13">
      <c r="A44" s="1104">
        <v>34</v>
      </c>
      <c r="B44" s="1017"/>
      <c r="C44" s="1017" t="s">
        <v>283</v>
      </c>
      <c r="D44" s="1114"/>
      <c r="E44" s="1108"/>
      <c r="F44" s="1133">
        <f t="shared" ref="F44:K44" si="8">IF(F40=0,0,ROUND(F43/F40,5))</f>
        <v>0.13758000000000001</v>
      </c>
      <c r="G44" s="1137">
        <f t="shared" si="8"/>
        <v>0</v>
      </c>
      <c r="H44" s="1138">
        <f t="shared" si="8"/>
        <v>0.13758000000000001</v>
      </c>
      <c r="I44" s="1139">
        <f t="shared" si="8"/>
        <v>0</v>
      </c>
      <c r="J44" s="1133">
        <f t="shared" si="8"/>
        <v>0.13758000000000001</v>
      </c>
      <c r="K44" s="1119">
        <f t="shared" si="8"/>
        <v>0</v>
      </c>
    </row>
    <row r="45" spans="1:14" ht="13">
      <c r="A45" s="341"/>
      <c r="C45" s="195"/>
      <c r="D45" s="342"/>
      <c r="E45" s="195"/>
      <c r="F45" s="195"/>
      <c r="G45" s="195"/>
      <c r="H45" s="195"/>
      <c r="I45" s="195"/>
      <c r="J45" s="195"/>
      <c r="K45" s="195"/>
    </row>
    <row r="46" spans="1:14" ht="13">
      <c r="A46" s="341" t="str">
        <f>co_name</f>
        <v>DUKE ENERGY KENTUCKY, INC.</v>
      </c>
      <c r="C46" s="195"/>
      <c r="D46" s="342"/>
      <c r="E46" s="195"/>
      <c r="F46" s="195"/>
      <c r="G46" s="195"/>
      <c r="H46" s="195"/>
      <c r="I46" s="195"/>
      <c r="J46" s="195" t="str">
        <f>$J$1</f>
        <v>FR-16(7)(v)-2</v>
      </c>
      <c r="K46" s="195"/>
    </row>
    <row r="47" spans="1:14" ht="13">
      <c r="A47" s="341" t="str">
        <f>$A$2</f>
        <v>PRODUCTION CLASSIFIED - GAS COST OF SERVICE</v>
      </c>
      <c r="C47" s="195"/>
      <c r="D47" s="342"/>
      <c r="E47" s="195"/>
      <c r="F47" s="195"/>
      <c r="G47" s="195"/>
      <c r="H47" s="195"/>
      <c r="I47" s="195"/>
      <c r="J47" s="195" t="str">
        <f>$J$2</f>
        <v>WITNESS RESPONSIBLE:</v>
      </c>
      <c r="K47" s="195"/>
    </row>
    <row r="48" spans="1:14" ht="13">
      <c r="A48" s="341" t="str">
        <f>case_name</f>
        <v>CASE NO: 2021-00190</v>
      </c>
      <c r="C48" s="195"/>
      <c r="D48" s="342"/>
      <c r="E48" s="195"/>
      <c r="F48" s="195"/>
      <c r="G48" s="195"/>
      <c r="H48" s="195"/>
      <c r="I48" s="195"/>
      <c r="J48" s="195" t="str">
        <f>Witness</f>
        <v>JAMES E. ZIOLKOWSKI</v>
      </c>
      <c r="K48" s="195"/>
    </row>
    <row r="49" spans="1:11" ht="13">
      <c r="A49" s="341" t="str">
        <f>data_filing</f>
        <v>DATA: 12 MONTH FORECASTED PERIOD</v>
      </c>
      <c r="C49" s="195"/>
      <c r="D49" s="342"/>
      <c r="E49" s="195"/>
      <c r="F49" s="195"/>
      <c r="G49" s="195"/>
      <c r="H49" s="195"/>
      <c r="I49" s="195"/>
      <c r="J49" s="195" t="str">
        <f>"PAGE "&amp;Pages-16&amp;" OF "&amp;Pages</f>
        <v>PAGE 2 OF 18</v>
      </c>
      <c r="K49" s="195"/>
    </row>
    <row r="50" spans="1:11" ht="13">
      <c r="A50" s="341" t="str">
        <f>type</f>
        <v xml:space="preserve">TYPE OF FILING: "X" ORIGINAL   UPDATED    REVISED  </v>
      </c>
      <c r="C50" s="195"/>
      <c r="D50" s="342"/>
      <c r="E50" s="195"/>
      <c r="F50" s="195"/>
      <c r="G50" s="195"/>
      <c r="H50" s="195"/>
      <c r="I50" s="195"/>
      <c r="J50" s="195"/>
      <c r="K50" s="195"/>
    </row>
    <row r="51" spans="1:11" ht="13">
      <c r="A51" s="341"/>
      <c r="C51" s="195"/>
      <c r="D51" s="342"/>
      <c r="E51" s="195"/>
      <c r="F51" s="195"/>
      <c r="G51" s="195"/>
      <c r="H51" s="195"/>
      <c r="I51" s="195"/>
      <c r="J51" s="195"/>
      <c r="K51" s="195"/>
    </row>
    <row r="52" spans="1:11" ht="13">
      <c r="A52" s="341"/>
      <c r="C52" s="195"/>
      <c r="D52" s="342"/>
      <c r="E52" s="195"/>
      <c r="F52" s="195"/>
      <c r="G52" s="195"/>
      <c r="H52" s="195"/>
      <c r="I52" s="195"/>
      <c r="J52" s="195"/>
      <c r="K52" s="195"/>
    </row>
    <row r="53" spans="1:11" ht="13">
      <c r="A53" s="342" t="s">
        <v>907</v>
      </c>
      <c r="B53" s="195"/>
      <c r="C53" s="195"/>
      <c r="D53" s="342"/>
      <c r="E53" s="195"/>
      <c r="F53" s="342" t="str">
        <f>$F$8</f>
        <v>TOTAL</v>
      </c>
      <c r="G53" s="539" t="s">
        <v>995</v>
      </c>
      <c r="H53" s="527"/>
      <c r="I53" s="528"/>
      <c r="J53" s="342" t="s">
        <v>229</v>
      </c>
      <c r="K53" s="342" t="s">
        <v>342</v>
      </c>
    </row>
    <row r="54" spans="1:11" ht="13">
      <c r="A54" s="344" t="s">
        <v>908</v>
      </c>
      <c r="B54" s="343" t="s">
        <v>95</v>
      </c>
      <c r="C54" s="343"/>
      <c r="D54" s="344" t="s">
        <v>337</v>
      </c>
      <c r="E54" s="343"/>
      <c r="F54" s="344" t="str">
        <f>$F$9</f>
        <v>PRODUCTION</v>
      </c>
      <c r="G54" s="540" t="s">
        <v>840</v>
      </c>
      <c r="H54" s="529" t="s">
        <v>841</v>
      </c>
      <c r="I54" s="530" t="s">
        <v>842</v>
      </c>
      <c r="J54" s="344" t="s">
        <v>341</v>
      </c>
      <c r="K54" s="344" t="s">
        <v>340</v>
      </c>
    </row>
    <row r="55" spans="1:11" ht="13">
      <c r="C55" s="572" t="s">
        <v>344</v>
      </c>
      <c r="D55" s="342"/>
      <c r="E55" s="195"/>
      <c r="G55" s="793">
        <f>$G$10</f>
        <v>3</v>
      </c>
      <c r="H55" s="794">
        <f>$H$10</f>
        <v>4</v>
      </c>
      <c r="I55" s="795">
        <f>$I$10</f>
        <v>5</v>
      </c>
      <c r="K55" s="330" t="s">
        <v>343</v>
      </c>
    </row>
    <row r="56" spans="1:11" ht="13">
      <c r="A56" s="331">
        <v>1</v>
      </c>
      <c r="B56" s="330" t="s">
        <v>14</v>
      </c>
      <c r="E56" s="195"/>
      <c r="G56" s="541"/>
      <c r="H56" s="531"/>
      <c r="I56" s="532"/>
    </row>
    <row r="57" spans="1:11" ht="13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3">
        <f>'FR-16(7)(v)-1 Functional'!G57</f>
        <v>4625622</v>
      </c>
      <c r="G57" s="542">
        <f>ROUND(F57*VLOOKUP(D57,AllocTable_Classified_Production,$G$10,FALSE),0)</f>
        <v>0</v>
      </c>
      <c r="H57" s="533">
        <f>ROUND(F57*VLOOKUP(D57,AllocTable_Classified_Production,$H$10,FALSE),0)</f>
        <v>4625622</v>
      </c>
      <c r="I57" s="534">
        <f>ROUND(F57*VLOOKUP(D57,AllocTable_Classified_Production,$I$10,FALSE),0)</f>
        <v>0</v>
      </c>
      <c r="J57" s="345">
        <f>SUM($G$57:$I$57)</f>
        <v>4625622</v>
      </c>
      <c r="K57" s="345">
        <f>F57-$J$57</f>
        <v>0</v>
      </c>
    </row>
    <row r="58" spans="1:11" ht="13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3">
        <f>'FR-16(7)(v)-1 Functional'!G58</f>
        <v>0</v>
      </c>
      <c r="G58" s="542">
        <f>ROUND(F58*VLOOKUP(D58,AllocTable_Classified_Production,$G$10,FALSE),0)</f>
        <v>0</v>
      </c>
      <c r="H58" s="533">
        <f>ROUND(F58*VLOOKUP(D58,AllocTable_Classified_Production,$H$10,FALSE),0)</f>
        <v>0</v>
      </c>
      <c r="I58" s="534">
        <f>ROUND(F58*VLOOKUP(D58,AllocTable_Classified_Production,$I$10,FALSE),0)</f>
        <v>0</v>
      </c>
      <c r="J58" s="345">
        <f>SUM($G$58:$I$58)</f>
        <v>0</v>
      </c>
      <c r="K58" s="345">
        <f>F58-$J$58</f>
        <v>0</v>
      </c>
    </row>
    <row r="59" spans="1:11" ht="13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4625622</v>
      </c>
      <c r="G59" s="543">
        <f>SUM($G$57:$G$58)</f>
        <v>0</v>
      </c>
      <c r="H59" s="535">
        <f>SUM($H$57:$H$58)</f>
        <v>4625622</v>
      </c>
      <c r="I59" s="536">
        <f>SUM($I$57:$I$58)</f>
        <v>0</v>
      </c>
      <c r="J59" s="346">
        <f>SUM($J$57:$J$58)</f>
        <v>4625622</v>
      </c>
      <c r="K59" s="346">
        <f>SUM($K$57:$K$58)</f>
        <v>0</v>
      </c>
    </row>
    <row r="60" spans="1:11" ht="13">
      <c r="A60" s="331">
        <v>5</v>
      </c>
      <c r="D60" s="342"/>
      <c r="E60" s="195"/>
      <c r="G60" s="541"/>
      <c r="H60" s="531"/>
      <c r="I60" s="532"/>
    </row>
    <row r="61" spans="1:11" ht="13">
      <c r="A61" s="331">
        <v>6</v>
      </c>
      <c r="B61" s="330" t="s">
        <v>15</v>
      </c>
      <c r="D61" s="342"/>
      <c r="E61" s="195"/>
      <c r="G61" s="541"/>
      <c r="H61" s="531"/>
      <c r="I61" s="532"/>
    </row>
    <row r="62" spans="1:11" ht="13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1"/>
      <c r="G62" s="542"/>
      <c r="H62" s="533"/>
      <c r="I62" s="534"/>
      <c r="J62" s="345"/>
      <c r="K62" s="345"/>
    </row>
    <row r="63" spans="1:11" ht="13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543">
        <f>SUM($G$62)</f>
        <v>0</v>
      </c>
      <c r="H63" s="535">
        <f>SUM($H$62)</f>
        <v>0</v>
      </c>
      <c r="I63" s="536">
        <f>SUM($I$62)</f>
        <v>0</v>
      </c>
      <c r="J63" s="346">
        <f>SUM($J$62)</f>
        <v>0</v>
      </c>
      <c r="K63" s="346">
        <f>SUM($K$62)</f>
        <v>0</v>
      </c>
    </row>
    <row r="64" spans="1:11" ht="13">
      <c r="A64" s="331">
        <v>9</v>
      </c>
      <c r="D64" s="342"/>
      <c r="E64" s="195"/>
      <c r="G64" s="541"/>
      <c r="H64" s="531"/>
      <c r="I64" s="532"/>
    </row>
    <row r="65" spans="1:11" ht="13">
      <c r="A65" s="331">
        <v>10</v>
      </c>
      <c r="B65" s="330" t="s">
        <v>16</v>
      </c>
      <c r="D65" s="342"/>
      <c r="E65" s="195"/>
      <c r="F65" s="345">
        <f>F63+F59</f>
        <v>4625622</v>
      </c>
      <c r="G65" s="542">
        <f>$G$63+$G$59</f>
        <v>0</v>
      </c>
      <c r="H65" s="533">
        <f>$H$63+$H$59</f>
        <v>4625622</v>
      </c>
      <c r="I65" s="534">
        <f>$I$63+$I$59</f>
        <v>0</v>
      </c>
      <c r="J65" s="345">
        <f>$J$63+$J$59</f>
        <v>4625622</v>
      </c>
      <c r="K65" s="345">
        <f>$K$63+$K$59</f>
        <v>0</v>
      </c>
    </row>
    <row r="66" spans="1:11" ht="13">
      <c r="A66" s="331">
        <v>11</v>
      </c>
      <c r="D66" s="342"/>
      <c r="E66" s="195"/>
      <c r="G66" s="541"/>
      <c r="H66" s="531"/>
      <c r="I66" s="532"/>
    </row>
    <row r="67" spans="1:11" ht="13">
      <c r="A67" s="331">
        <v>12</v>
      </c>
      <c r="B67" s="330" t="s">
        <v>17</v>
      </c>
      <c r="D67" s="342"/>
      <c r="E67" s="195"/>
      <c r="G67" s="541"/>
      <c r="H67" s="531"/>
      <c r="I67" s="532"/>
    </row>
    <row r="68" spans="1:11" ht="13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3">
        <f>'FR-16(7)(v)-1 Functional'!G68</f>
        <v>0</v>
      </c>
      <c r="G68" s="542">
        <f t="shared" ref="G68:G77" si="9">ROUND(F68*VLOOKUP(D68,AllocTable_Classified_Production,$G$10,FALSE),0)</f>
        <v>0</v>
      </c>
      <c r="H68" s="533">
        <f t="shared" ref="H68:H77" si="10">ROUND(F68*VLOOKUP(D68,AllocTable_Classified_Production,$H$10,FALSE),0)</f>
        <v>0</v>
      </c>
      <c r="I68" s="534">
        <f t="shared" ref="I68:I77" si="11">ROUND(F68*VLOOKUP(D68,AllocTable_Classified_Production,$I$10,FALSE),0)</f>
        <v>0</v>
      </c>
      <c r="J68" s="345">
        <f t="shared" ref="J68:J77" si="12">SUM(G68:I68)</f>
        <v>0</v>
      </c>
      <c r="K68" s="345">
        <f t="shared" ref="K68:K77" si="13">F68-J68</f>
        <v>0</v>
      </c>
    </row>
    <row r="69" spans="1:11" ht="13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3">
        <f>'FR-16(7)(v)-1 Functional'!G69</f>
        <v>0</v>
      </c>
      <c r="G69" s="542">
        <f t="shared" si="9"/>
        <v>0</v>
      </c>
      <c r="H69" s="533">
        <f t="shared" si="10"/>
        <v>0</v>
      </c>
      <c r="I69" s="534">
        <f t="shared" si="11"/>
        <v>0</v>
      </c>
      <c r="J69" s="345">
        <f t="shared" si="12"/>
        <v>0</v>
      </c>
      <c r="K69" s="345">
        <f t="shared" si="13"/>
        <v>0</v>
      </c>
    </row>
    <row r="70" spans="1:11" ht="13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3">
        <f>'FR-16(7)(v)-1 Functional'!G70</f>
        <v>0</v>
      </c>
      <c r="G70" s="542">
        <f t="shared" si="9"/>
        <v>0</v>
      </c>
      <c r="H70" s="533">
        <f t="shared" si="10"/>
        <v>0</v>
      </c>
      <c r="I70" s="534">
        <f t="shared" si="11"/>
        <v>0</v>
      </c>
      <c r="J70" s="345">
        <f t="shared" si="12"/>
        <v>0</v>
      </c>
      <c r="K70" s="345">
        <f t="shared" si="13"/>
        <v>0</v>
      </c>
    </row>
    <row r="71" spans="1:11" ht="13">
      <c r="A71" s="331">
        <v>16</v>
      </c>
      <c r="C71" s="330" t="str">
        <f>'FR-16(7)(v)-1 Functional'!C71</f>
        <v>MAINS - (2761, 2762, 2763, 2765)</v>
      </c>
      <c r="D71" s="342" t="str">
        <f>'FR-16(7)(v)-1 Functional'!D71</f>
        <v>K415</v>
      </c>
      <c r="E71" s="195"/>
      <c r="F71" s="473">
        <f>'FR-16(7)(v)-1 Functional'!G71</f>
        <v>0</v>
      </c>
      <c r="G71" s="542">
        <f t="shared" si="9"/>
        <v>0</v>
      </c>
      <c r="H71" s="533">
        <f t="shared" si="10"/>
        <v>0</v>
      </c>
      <c r="I71" s="534">
        <f t="shared" si="11"/>
        <v>0</v>
      </c>
      <c r="J71" s="345">
        <f t="shared" si="12"/>
        <v>0</v>
      </c>
      <c r="K71" s="345">
        <f t="shared" si="13"/>
        <v>0</v>
      </c>
    </row>
    <row r="72" spans="1:11" ht="13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3">
        <f>'FR-16(7)(v)-1 Functional'!G72</f>
        <v>0</v>
      </c>
      <c r="G72" s="542">
        <f t="shared" si="9"/>
        <v>0</v>
      </c>
      <c r="H72" s="533">
        <f t="shared" si="10"/>
        <v>0</v>
      </c>
      <c r="I72" s="534">
        <f t="shared" si="11"/>
        <v>0</v>
      </c>
      <c r="J72" s="345">
        <f t="shared" si="12"/>
        <v>0</v>
      </c>
      <c r="K72" s="345">
        <f t="shared" si="13"/>
        <v>0</v>
      </c>
    </row>
    <row r="73" spans="1:11" ht="13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3">
        <f>'FR-16(7)(v)-1 Functional'!G73</f>
        <v>0</v>
      </c>
      <c r="G73" s="542">
        <f t="shared" si="9"/>
        <v>0</v>
      </c>
      <c r="H73" s="533">
        <f t="shared" si="10"/>
        <v>0</v>
      </c>
      <c r="I73" s="534">
        <f t="shared" si="11"/>
        <v>0</v>
      </c>
      <c r="J73" s="345">
        <f t="shared" si="12"/>
        <v>0</v>
      </c>
      <c r="K73" s="345">
        <f t="shared" si="13"/>
        <v>0</v>
      </c>
    </row>
    <row r="74" spans="1:11" ht="13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3">
        <f>'FR-16(7)(v)-1 Functional'!G74</f>
        <v>0</v>
      </c>
      <c r="G74" s="542">
        <f t="shared" si="9"/>
        <v>0</v>
      </c>
      <c r="H74" s="533">
        <f t="shared" si="10"/>
        <v>0</v>
      </c>
      <c r="I74" s="534">
        <f t="shared" si="11"/>
        <v>0</v>
      </c>
      <c r="J74" s="345">
        <f t="shared" si="12"/>
        <v>0</v>
      </c>
      <c r="K74" s="345">
        <f t="shared" si="13"/>
        <v>0</v>
      </c>
    </row>
    <row r="75" spans="1:11" ht="13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3">
        <f>'FR-16(7)(v)-1 Functional'!G75</f>
        <v>0</v>
      </c>
      <c r="G75" s="542">
        <f t="shared" si="9"/>
        <v>0</v>
      </c>
      <c r="H75" s="533">
        <f t="shared" si="10"/>
        <v>0</v>
      </c>
      <c r="I75" s="534">
        <f t="shared" si="11"/>
        <v>0</v>
      </c>
      <c r="J75" s="345">
        <f t="shared" si="12"/>
        <v>0</v>
      </c>
      <c r="K75" s="345">
        <f t="shared" si="13"/>
        <v>0</v>
      </c>
    </row>
    <row r="76" spans="1:11" ht="13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3">
        <f>'FR-16(7)(v)-1 Functional'!G76</f>
        <v>0</v>
      </c>
      <c r="G76" s="542">
        <f t="shared" si="9"/>
        <v>0</v>
      </c>
      <c r="H76" s="533">
        <f t="shared" si="10"/>
        <v>0</v>
      </c>
      <c r="I76" s="534">
        <f t="shared" si="11"/>
        <v>0</v>
      </c>
      <c r="J76" s="345">
        <f t="shared" si="12"/>
        <v>0</v>
      </c>
      <c r="K76" s="345">
        <f t="shared" si="13"/>
        <v>0</v>
      </c>
    </row>
    <row r="77" spans="1:11" ht="13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3">
        <f>'FR-16(7)(v)-1 Functional'!G77</f>
        <v>0</v>
      </c>
      <c r="G77" s="542">
        <f t="shared" si="9"/>
        <v>0</v>
      </c>
      <c r="H77" s="533">
        <f t="shared" si="10"/>
        <v>0</v>
      </c>
      <c r="I77" s="534">
        <f t="shared" si="11"/>
        <v>0</v>
      </c>
      <c r="J77" s="345">
        <f t="shared" si="12"/>
        <v>0</v>
      </c>
      <c r="K77" s="345">
        <f t="shared" si="13"/>
        <v>0</v>
      </c>
    </row>
    <row r="78" spans="1:11" ht="13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K78" si="14">SUM(F68:F77)</f>
        <v>0</v>
      </c>
      <c r="G78" s="543">
        <f t="shared" si="14"/>
        <v>0</v>
      </c>
      <c r="H78" s="535">
        <f t="shared" si="14"/>
        <v>0</v>
      </c>
      <c r="I78" s="536">
        <f t="shared" si="14"/>
        <v>0</v>
      </c>
      <c r="J78" s="346">
        <f t="shared" si="14"/>
        <v>0</v>
      </c>
      <c r="K78" s="346">
        <f t="shared" si="14"/>
        <v>0</v>
      </c>
    </row>
    <row r="79" spans="1:11" ht="13">
      <c r="A79" s="331">
        <v>24</v>
      </c>
      <c r="D79" s="342"/>
      <c r="E79" s="195"/>
      <c r="G79" s="541"/>
      <c r="H79" s="531"/>
      <c r="I79" s="532"/>
    </row>
    <row r="80" spans="1:11" ht="13">
      <c r="A80" s="331">
        <v>25</v>
      </c>
      <c r="B80" s="330" t="s">
        <v>18</v>
      </c>
      <c r="D80" s="342"/>
      <c r="E80" s="195"/>
      <c r="F80" s="345">
        <f>F78+F63</f>
        <v>0</v>
      </c>
      <c r="G80" s="542">
        <f>G78+$G$63</f>
        <v>0</v>
      </c>
      <c r="H80" s="533">
        <f>H78+$H$63</f>
        <v>0</v>
      </c>
      <c r="I80" s="534">
        <f>I78+$I$63</f>
        <v>0</v>
      </c>
      <c r="J80" s="345">
        <f>J78+$J$63</f>
        <v>0</v>
      </c>
      <c r="K80" s="345">
        <f>K78+$K$63</f>
        <v>0</v>
      </c>
    </row>
    <row r="81" spans="1:11" ht="13">
      <c r="A81" s="331">
        <v>26</v>
      </c>
      <c r="B81" s="330" t="s">
        <v>19</v>
      </c>
      <c r="D81" s="342"/>
      <c r="E81" s="195"/>
      <c r="F81" s="345">
        <f t="shared" ref="F81:K81" si="15">F78+F65</f>
        <v>4625622</v>
      </c>
      <c r="G81" s="542">
        <f t="shared" si="15"/>
        <v>0</v>
      </c>
      <c r="H81" s="533">
        <f t="shared" si="15"/>
        <v>4625622</v>
      </c>
      <c r="I81" s="534">
        <f t="shared" si="15"/>
        <v>0</v>
      </c>
      <c r="J81" s="345">
        <f t="shared" si="15"/>
        <v>4625622</v>
      </c>
      <c r="K81" s="345">
        <f t="shared" si="15"/>
        <v>0</v>
      </c>
    </row>
    <row r="82" spans="1:11" ht="13">
      <c r="A82" s="331">
        <v>27</v>
      </c>
      <c r="D82" s="342"/>
      <c r="E82" s="195"/>
      <c r="G82" s="541"/>
      <c r="H82" s="531"/>
      <c r="I82" s="532"/>
    </row>
    <row r="83" spans="1:11" ht="13">
      <c r="A83" s="331">
        <v>28</v>
      </c>
      <c r="B83" s="330" t="s">
        <v>20</v>
      </c>
      <c r="D83" s="342"/>
      <c r="E83" s="195"/>
      <c r="G83" s="541"/>
      <c r="H83" s="531"/>
      <c r="I83" s="532"/>
    </row>
    <row r="84" spans="1:11" ht="13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3">
        <f>'FR-16(7)(v)-1 Functional'!G84</f>
        <v>2861675</v>
      </c>
      <c r="G84" s="542">
        <f t="shared" ref="G84:G89" si="16">ROUND(F84*VLOOKUP(D84,AllocTable_Classified_Production,$G$10,FALSE),0)</f>
        <v>0</v>
      </c>
      <c r="H84" s="533">
        <f t="shared" ref="H84:H89" si="17">ROUND(F84*VLOOKUP(D84,AllocTable_Classified_Production,$H$10,FALSE),0)</f>
        <v>2861675</v>
      </c>
      <c r="I84" s="534">
        <f t="shared" ref="I84:I89" si="18">ROUND(F84*VLOOKUP(D84,AllocTable_Classified_Production,$I$10,FALSE),0)</f>
        <v>0</v>
      </c>
      <c r="J84" s="345">
        <f t="shared" ref="J84:J89" si="19">SUM(G84:I84)</f>
        <v>2861675</v>
      </c>
      <c r="K84" s="345">
        <f t="shared" ref="K84:K89" si="20">F84-J84</f>
        <v>0</v>
      </c>
    </row>
    <row r="85" spans="1:11" ht="13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3">
        <f>'FR-16(7)(v)-1 Functional'!G85</f>
        <v>2108436</v>
      </c>
      <c r="G85" s="542">
        <f t="shared" si="16"/>
        <v>0</v>
      </c>
      <c r="H85" s="533">
        <f t="shared" si="17"/>
        <v>2108436</v>
      </c>
      <c r="I85" s="534">
        <f t="shared" si="18"/>
        <v>0</v>
      </c>
      <c r="J85" s="345">
        <f t="shared" si="19"/>
        <v>2108436</v>
      </c>
      <c r="K85" s="345">
        <f t="shared" si="20"/>
        <v>0</v>
      </c>
    </row>
    <row r="86" spans="1:11" ht="13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3">
        <f>'FR-16(7)(v)-1 Functional'!G86</f>
        <v>0</v>
      </c>
      <c r="G86" s="542">
        <f t="shared" si="16"/>
        <v>0</v>
      </c>
      <c r="H86" s="533">
        <f t="shared" si="17"/>
        <v>0</v>
      </c>
      <c r="I86" s="534">
        <f t="shared" si="18"/>
        <v>0</v>
      </c>
      <c r="J86" s="345">
        <f t="shared" si="19"/>
        <v>0</v>
      </c>
      <c r="K86" s="345">
        <f t="shared" si="20"/>
        <v>0</v>
      </c>
    </row>
    <row r="87" spans="1:11" ht="13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3">
        <f>'FR-16(7)(v)-1 Functional'!G87</f>
        <v>0</v>
      </c>
      <c r="G87" s="542">
        <f t="shared" si="16"/>
        <v>0</v>
      </c>
      <c r="H87" s="533">
        <f t="shared" si="17"/>
        <v>0</v>
      </c>
      <c r="I87" s="534">
        <f t="shared" si="18"/>
        <v>0</v>
      </c>
      <c r="J87" s="345">
        <f t="shared" si="19"/>
        <v>0</v>
      </c>
      <c r="K87" s="345">
        <f t="shared" si="20"/>
        <v>0</v>
      </c>
    </row>
    <row r="88" spans="1:11" ht="13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3">
        <f>'FR-16(7)(v)-1 Functional'!G88</f>
        <v>0</v>
      </c>
      <c r="G88" s="542">
        <f t="shared" si="16"/>
        <v>0</v>
      </c>
      <c r="H88" s="533">
        <f t="shared" si="17"/>
        <v>0</v>
      </c>
      <c r="I88" s="534">
        <f t="shared" si="18"/>
        <v>0</v>
      </c>
      <c r="J88" s="345">
        <f t="shared" si="19"/>
        <v>0</v>
      </c>
      <c r="K88" s="345">
        <f t="shared" si="20"/>
        <v>0</v>
      </c>
    </row>
    <row r="89" spans="1:11" ht="13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3">
        <f>'FR-16(7)(v)-1 Functional'!G89</f>
        <v>0</v>
      </c>
      <c r="G89" s="542">
        <f t="shared" si="16"/>
        <v>0</v>
      </c>
      <c r="H89" s="533">
        <f t="shared" si="17"/>
        <v>0</v>
      </c>
      <c r="I89" s="534">
        <f t="shared" si="18"/>
        <v>0</v>
      </c>
      <c r="J89" s="345">
        <f t="shared" si="19"/>
        <v>0</v>
      </c>
      <c r="K89" s="345">
        <f t="shared" si="20"/>
        <v>0</v>
      </c>
    </row>
    <row r="90" spans="1:11" ht="13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4">
        <f t="shared" ref="F90:K90" si="21">SUM(F84:F89)</f>
        <v>4970111</v>
      </c>
      <c r="G90" s="543">
        <f t="shared" si="21"/>
        <v>0</v>
      </c>
      <c r="H90" s="535">
        <f t="shared" si="21"/>
        <v>4970111</v>
      </c>
      <c r="I90" s="536">
        <f t="shared" si="21"/>
        <v>0</v>
      </c>
      <c r="J90" s="346">
        <f t="shared" si="21"/>
        <v>4970111</v>
      </c>
      <c r="K90" s="346">
        <f t="shared" si="21"/>
        <v>0</v>
      </c>
    </row>
    <row r="91" spans="1:11" ht="13">
      <c r="A91" s="331">
        <v>36</v>
      </c>
      <c r="D91" s="342"/>
      <c r="E91" s="195"/>
      <c r="G91" s="541"/>
      <c r="H91" s="531"/>
      <c r="I91" s="532"/>
    </row>
    <row r="92" spans="1:11" ht="13">
      <c r="A92" s="331">
        <v>37</v>
      </c>
      <c r="B92" s="330" t="s">
        <v>21</v>
      </c>
      <c r="D92" s="342"/>
      <c r="E92" s="195"/>
      <c r="G92" s="541"/>
      <c r="H92" s="531"/>
      <c r="I92" s="532"/>
    </row>
    <row r="93" spans="1:11" ht="13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3">
        <f>'FR-16(7)(v)-1 Functional'!G93</f>
        <v>920366</v>
      </c>
      <c r="G93" s="542">
        <f t="shared" ref="G93:G98" si="22">ROUND(F93*VLOOKUP(D93,AllocTable_Classified_Production,$G$10,FALSE),0)</f>
        <v>0</v>
      </c>
      <c r="H93" s="533">
        <f t="shared" ref="H93:H98" si="23">ROUND(F93*VLOOKUP(D93,AllocTable_Classified_Production,$H$10,FALSE),0)</f>
        <v>920366</v>
      </c>
      <c r="I93" s="534">
        <f t="shared" ref="I93:I98" si="24">ROUND(F93*VLOOKUP(D93,AllocTable_Classified_Production,$I$10,FALSE),0)</f>
        <v>0</v>
      </c>
      <c r="J93" s="345">
        <f t="shared" ref="J93:J98" si="25">SUM(G93:I93)</f>
        <v>920366</v>
      </c>
      <c r="K93" s="345">
        <f t="shared" ref="K93:K98" si="26">F93-J93</f>
        <v>0</v>
      </c>
    </row>
    <row r="94" spans="1:11" ht="13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3">
        <f>'FR-16(7)(v)-1 Functional'!G94</f>
        <v>678111</v>
      </c>
      <c r="G94" s="542">
        <f t="shared" si="22"/>
        <v>0</v>
      </c>
      <c r="H94" s="533">
        <f t="shared" si="23"/>
        <v>678111</v>
      </c>
      <c r="I94" s="534">
        <f t="shared" si="24"/>
        <v>0</v>
      </c>
      <c r="J94" s="345">
        <f t="shared" si="25"/>
        <v>678111</v>
      </c>
      <c r="K94" s="345">
        <f t="shared" si="26"/>
        <v>0</v>
      </c>
    </row>
    <row r="95" spans="1:11" ht="13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3">
        <f>'FR-16(7)(v)-1 Functional'!G95</f>
        <v>0</v>
      </c>
      <c r="G95" s="542">
        <f t="shared" si="22"/>
        <v>0</v>
      </c>
      <c r="H95" s="533">
        <f t="shared" si="23"/>
        <v>0</v>
      </c>
      <c r="I95" s="534">
        <f t="shared" si="24"/>
        <v>0</v>
      </c>
      <c r="J95" s="345">
        <f t="shared" si="25"/>
        <v>0</v>
      </c>
      <c r="K95" s="345">
        <f t="shared" si="26"/>
        <v>0</v>
      </c>
    </row>
    <row r="96" spans="1:11" ht="13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3">
        <f>'FR-16(7)(v)-1 Functional'!G96</f>
        <v>0</v>
      </c>
      <c r="G96" s="542">
        <f t="shared" si="22"/>
        <v>0</v>
      </c>
      <c r="H96" s="533">
        <f t="shared" si="23"/>
        <v>0</v>
      </c>
      <c r="I96" s="534">
        <f t="shared" si="24"/>
        <v>0</v>
      </c>
      <c r="J96" s="345">
        <f t="shared" si="25"/>
        <v>0</v>
      </c>
      <c r="K96" s="345">
        <f t="shared" si="26"/>
        <v>0</v>
      </c>
    </row>
    <row r="97" spans="1:11" ht="13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3">
        <f>'FR-16(7)(v)-1 Functional'!G97</f>
        <v>0</v>
      </c>
      <c r="G97" s="542">
        <f t="shared" si="22"/>
        <v>0</v>
      </c>
      <c r="H97" s="533">
        <f t="shared" si="23"/>
        <v>0</v>
      </c>
      <c r="I97" s="534">
        <f t="shared" si="24"/>
        <v>0</v>
      </c>
      <c r="J97" s="345">
        <f t="shared" si="25"/>
        <v>0</v>
      </c>
      <c r="K97" s="345">
        <f t="shared" si="26"/>
        <v>0</v>
      </c>
    </row>
    <row r="98" spans="1:11" ht="13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3">
        <f>'FR-16(7)(v)-1 Functional'!G98</f>
        <v>0</v>
      </c>
      <c r="G98" s="542">
        <f t="shared" si="22"/>
        <v>0</v>
      </c>
      <c r="H98" s="533">
        <f t="shared" si="23"/>
        <v>0</v>
      </c>
      <c r="I98" s="534">
        <f t="shared" si="24"/>
        <v>0</v>
      </c>
      <c r="J98" s="345">
        <f t="shared" si="25"/>
        <v>0</v>
      </c>
      <c r="K98" s="345">
        <f t="shared" si="26"/>
        <v>0</v>
      </c>
    </row>
    <row r="99" spans="1:11" ht="13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K99" si="27">SUM(F93:F98)</f>
        <v>1598477</v>
      </c>
      <c r="G99" s="543">
        <f t="shared" si="27"/>
        <v>0</v>
      </c>
      <c r="H99" s="535">
        <f t="shared" si="27"/>
        <v>1598477</v>
      </c>
      <c r="I99" s="536">
        <f t="shared" si="27"/>
        <v>0</v>
      </c>
      <c r="J99" s="346">
        <f t="shared" si="27"/>
        <v>1598477</v>
      </c>
      <c r="K99" s="346">
        <f t="shared" si="27"/>
        <v>0</v>
      </c>
    </row>
    <row r="100" spans="1:11" ht="13">
      <c r="A100" s="331">
        <v>45</v>
      </c>
      <c r="E100" s="195"/>
      <c r="G100" s="541"/>
      <c r="H100" s="531"/>
      <c r="I100" s="532"/>
    </row>
    <row r="101" spans="1:11" ht="13">
      <c r="A101" s="331">
        <v>46</v>
      </c>
      <c r="B101" s="330" t="s">
        <v>95</v>
      </c>
      <c r="E101" s="195"/>
      <c r="F101" s="345">
        <f t="shared" ref="F101:K101" si="28">F81+F90+F99</f>
        <v>11194210</v>
      </c>
      <c r="G101" s="544">
        <f t="shared" si="28"/>
        <v>0</v>
      </c>
      <c r="H101" s="537">
        <f t="shared" si="28"/>
        <v>11194210</v>
      </c>
      <c r="I101" s="538">
        <f t="shared" si="28"/>
        <v>0</v>
      </c>
      <c r="J101" s="345">
        <f t="shared" si="28"/>
        <v>11194210</v>
      </c>
      <c r="K101" s="345">
        <f t="shared" si="28"/>
        <v>0</v>
      </c>
    </row>
    <row r="102" spans="1:11" ht="13">
      <c r="B102" s="341"/>
      <c r="C102" s="195"/>
      <c r="D102" s="342"/>
      <c r="E102" s="195"/>
      <c r="F102" s="195"/>
      <c r="G102" s="195"/>
      <c r="H102" s="195"/>
      <c r="I102" s="195"/>
      <c r="J102" s="195"/>
      <c r="K102" s="195"/>
    </row>
    <row r="103" spans="1:11" ht="13">
      <c r="A103" s="341" t="str">
        <f>co_name</f>
        <v>DUKE ENERGY KENTUCKY, INC.</v>
      </c>
      <c r="C103" s="195"/>
      <c r="D103" s="342"/>
      <c r="E103" s="195"/>
      <c r="F103" s="195"/>
      <c r="G103" s="195"/>
      <c r="H103" s="195"/>
      <c r="I103" s="195"/>
      <c r="J103" s="195" t="str">
        <f>$J$1</f>
        <v>FR-16(7)(v)-2</v>
      </c>
      <c r="K103" s="195"/>
    </row>
    <row r="104" spans="1:11" ht="13">
      <c r="A104" s="341" t="str">
        <f>$A$2</f>
        <v>PRODUCTION CLASSIFIED - GAS COST OF SERVICE</v>
      </c>
      <c r="C104" s="195"/>
      <c r="D104" s="342"/>
      <c r="E104" s="195"/>
      <c r="F104" s="195"/>
      <c r="G104" s="195"/>
      <c r="H104" s="195"/>
      <c r="I104" s="195"/>
      <c r="J104" s="195" t="str">
        <f>$J$2</f>
        <v>WITNESS RESPONSIBLE:</v>
      </c>
      <c r="K104" s="195"/>
    </row>
    <row r="105" spans="1:11" ht="13">
      <c r="A105" s="341" t="str">
        <f>case_name</f>
        <v>CASE NO: 2021-00190</v>
      </c>
      <c r="C105" s="195"/>
      <c r="D105" s="342"/>
      <c r="E105" s="195"/>
      <c r="F105" s="195"/>
      <c r="G105" s="195"/>
      <c r="H105" s="195"/>
      <c r="I105" s="195"/>
      <c r="J105" s="195" t="str">
        <f>Witness</f>
        <v>JAMES E. ZIOLKOWSKI</v>
      </c>
      <c r="K105" s="195"/>
    </row>
    <row r="106" spans="1:11" ht="13">
      <c r="A106" s="341" t="str">
        <f>data_filing</f>
        <v>DATA: 12 MONTH FORECASTED PERIOD</v>
      </c>
      <c r="C106" s="195"/>
      <c r="D106" s="342"/>
      <c r="E106" s="195"/>
      <c r="F106" s="195"/>
      <c r="G106" s="195"/>
      <c r="H106" s="195"/>
      <c r="I106" s="195"/>
      <c r="J106" s="195" t="str">
        <f>"PAGE "&amp;Pages-15&amp;" OF "&amp;Pages</f>
        <v>PAGE 3 OF 18</v>
      </c>
      <c r="K106" s="195"/>
    </row>
    <row r="107" spans="1:11" ht="13">
      <c r="A107" s="341" t="str">
        <f>type</f>
        <v xml:space="preserve">TYPE OF FILING: "X" ORIGINAL   UPDATED    REVISED  </v>
      </c>
      <c r="C107" s="195"/>
      <c r="D107" s="342"/>
      <c r="E107" s="195"/>
      <c r="F107" s="195"/>
      <c r="G107" s="195"/>
      <c r="H107" s="195"/>
      <c r="I107" s="195"/>
      <c r="J107" s="195"/>
      <c r="K107" s="195"/>
    </row>
    <row r="108" spans="1:11" ht="13">
      <c r="A108" s="341"/>
      <c r="C108" s="195"/>
      <c r="D108" s="342"/>
      <c r="E108" s="195"/>
      <c r="F108" s="195"/>
      <c r="G108" s="195"/>
      <c r="H108" s="195"/>
      <c r="I108" s="195"/>
      <c r="J108" s="195"/>
      <c r="K108" s="195"/>
    </row>
    <row r="109" spans="1:11" ht="13">
      <c r="B109" s="341"/>
      <c r="C109" s="195"/>
      <c r="D109" s="342"/>
      <c r="E109" s="195"/>
      <c r="F109" s="195"/>
      <c r="G109" s="195"/>
      <c r="H109" s="195"/>
      <c r="I109" s="195"/>
      <c r="J109" s="195"/>
      <c r="K109" s="195"/>
    </row>
    <row r="110" spans="1:11" ht="13">
      <c r="A110" s="342" t="s">
        <v>907</v>
      </c>
      <c r="B110" s="195"/>
      <c r="C110" s="195"/>
      <c r="D110" s="342"/>
      <c r="E110" s="195"/>
      <c r="F110" s="342" t="str">
        <f>$F$8</f>
        <v>TOTAL</v>
      </c>
      <c r="G110" s="539" t="s">
        <v>995</v>
      </c>
      <c r="H110" s="527"/>
      <c r="I110" s="528"/>
      <c r="J110" s="342" t="s">
        <v>229</v>
      </c>
      <c r="K110" s="342" t="s">
        <v>342</v>
      </c>
    </row>
    <row r="111" spans="1:11" ht="13">
      <c r="A111" s="344" t="s">
        <v>908</v>
      </c>
      <c r="B111" s="343" t="s">
        <v>22</v>
      </c>
      <c r="C111" s="343"/>
      <c r="D111" s="344" t="s">
        <v>337</v>
      </c>
      <c r="E111" s="343"/>
      <c r="F111" s="344" t="str">
        <f>$F$9</f>
        <v>PRODUCTION</v>
      </c>
      <c r="G111" s="540" t="s">
        <v>840</v>
      </c>
      <c r="H111" s="529" t="s">
        <v>841</v>
      </c>
      <c r="I111" s="530" t="s">
        <v>842</v>
      </c>
      <c r="J111" s="344" t="s">
        <v>341</v>
      </c>
      <c r="K111" s="344" t="s">
        <v>340</v>
      </c>
    </row>
    <row r="112" spans="1:11" ht="13">
      <c r="C112" s="572" t="s">
        <v>345</v>
      </c>
      <c r="D112" s="342"/>
      <c r="E112" s="195"/>
      <c r="G112" s="793">
        <f>$G$10</f>
        <v>3</v>
      </c>
      <c r="H112" s="794">
        <f>$H$10</f>
        <v>4</v>
      </c>
      <c r="I112" s="795">
        <f>$I$10</f>
        <v>5</v>
      </c>
    </row>
    <row r="113" spans="1:11" ht="13">
      <c r="A113" s="331">
        <v>1</v>
      </c>
      <c r="B113" s="330" t="s">
        <v>14</v>
      </c>
      <c r="D113" s="342"/>
      <c r="E113" s="195"/>
      <c r="G113" s="541"/>
      <c r="H113" s="531"/>
      <c r="I113" s="532"/>
    </row>
    <row r="114" spans="1:11" ht="13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3">
        <f>'FR-16(7)(v)-1 Functional'!G114</f>
        <v>2553891</v>
      </c>
      <c r="G114" s="542">
        <f>F114-SUM(H114:I114)</f>
        <v>0</v>
      </c>
      <c r="H114" s="533">
        <f>ROUND(F114*VLOOKUP(D114,AllocTable_Classified_Production,$H$10,FALSE),0)</f>
        <v>2553891</v>
      </c>
      <c r="I114" s="534">
        <f>ROUND(F114*VLOOKUP(D114,AllocTable_Classified_Production,$I$10,FALSE),0)</f>
        <v>0</v>
      </c>
      <c r="J114" s="345">
        <f>SUM(G114:I114)</f>
        <v>2553891</v>
      </c>
      <c r="K114" s="345">
        <f>F114-J114</f>
        <v>0</v>
      </c>
    </row>
    <row r="115" spans="1:11" ht="13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K115" si="29">SUM(F114:F114)</f>
        <v>2553891</v>
      </c>
      <c r="G115" s="543">
        <f t="shared" si="29"/>
        <v>0</v>
      </c>
      <c r="H115" s="535">
        <f t="shared" si="29"/>
        <v>2553891</v>
      </c>
      <c r="I115" s="536">
        <f t="shared" si="29"/>
        <v>0</v>
      </c>
      <c r="J115" s="346">
        <f t="shared" si="29"/>
        <v>2553891</v>
      </c>
      <c r="K115" s="346">
        <f t="shared" si="29"/>
        <v>0</v>
      </c>
    </row>
    <row r="116" spans="1:11" ht="13">
      <c r="A116" s="331">
        <v>4</v>
      </c>
      <c r="D116" s="342"/>
      <c r="E116" s="195"/>
      <c r="G116" s="541"/>
      <c r="H116" s="531"/>
      <c r="I116" s="532"/>
    </row>
    <row r="117" spans="1:11" ht="13">
      <c r="A117" s="331">
        <v>5</v>
      </c>
      <c r="B117" s="330" t="s">
        <v>15</v>
      </c>
      <c r="D117" s="342"/>
      <c r="E117" s="195"/>
      <c r="G117" s="541"/>
      <c r="H117" s="531"/>
      <c r="I117" s="532"/>
    </row>
    <row r="118" spans="1:11" ht="13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1"/>
      <c r="G118" s="542"/>
      <c r="H118" s="533"/>
      <c r="I118" s="534"/>
      <c r="J118" s="345"/>
      <c r="K118" s="345"/>
    </row>
    <row r="119" spans="1:11" ht="13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K119" si="30">SUM(F118:F118)</f>
        <v>0</v>
      </c>
      <c r="G119" s="543">
        <f t="shared" si="30"/>
        <v>0</v>
      </c>
      <c r="H119" s="535">
        <f t="shared" si="30"/>
        <v>0</v>
      </c>
      <c r="I119" s="536">
        <f t="shared" si="30"/>
        <v>0</v>
      </c>
      <c r="J119" s="346">
        <f t="shared" si="30"/>
        <v>0</v>
      </c>
      <c r="K119" s="346">
        <f t="shared" si="30"/>
        <v>0</v>
      </c>
    </row>
    <row r="120" spans="1:11" ht="13">
      <c r="A120" s="331">
        <v>8</v>
      </c>
      <c r="D120" s="342"/>
      <c r="E120" s="195"/>
      <c r="G120" s="541"/>
      <c r="H120" s="531"/>
      <c r="I120" s="532"/>
    </row>
    <row r="121" spans="1:11" ht="13">
      <c r="A121" s="331">
        <v>9</v>
      </c>
      <c r="B121" s="330" t="s">
        <v>17</v>
      </c>
      <c r="D121" s="342"/>
      <c r="E121" s="195"/>
      <c r="G121" s="541"/>
      <c r="H121" s="531"/>
      <c r="I121" s="532"/>
    </row>
    <row r="122" spans="1:11" ht="13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3">
        <f>'FR-16(7)(v)-1 Functional'!G122</f>
        <v>0</v>
      </c>
      <c r="G122" s="542">
        <f t="shared" ref="G122:G130" si="31">F122-SUM(H122:I122)</f>
        <v>0</v>
      </c>
      <c r="H122" s="533">
        <f t="shared" ref="H122:H130" si="32">ROUND(F122*VLOOKUP(D122,AllocTable_Classified_Production,$H$10,FALSE),0)</f>
        <v>0</v>
      </c>
      <c r="I122" s="534">
        <f t="shared" ref="I122:I130" si="33">ROUND(F122*VLOOKUP(D122,AllocTable_Classified_Production,$I$10,FALSE),0)</f>
        <v>0</v>
      </c>
      <c r="J122" s="345">
        <f t="shared" ref="J122:J130" si="34">SUM(G122:I122)</f>
        <v>0</v>
      </c>
      <c r="K122" s="345">
        <f t="shared" ref="K122:K130" si="35">F122-J122</f>
        <v>0</v>
      </c>
    </row>
    <row r="123" spans="1:11" ht="13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3">
        <f>'FR-16(7)(v)-1 Functional'!G123</f>
        <v>0</v>
      </c>
      <c r="G123" s="542">
        <f t="shared" si="31"/>
        <v>0</v>
      </c>
      <c r="H123" s="533">
        <f t="shared" si="32"/>
        <v>0</v>
      </c>
      <c r="I123" s="534">
        <f t="shared" si="33"/>
        <v>0</v>
      </c>
      <c r="J123" s="345">
        <f t="shared" si="34"/>
        <v>0</v>
      </c>
      <c r="K123" s="345">
        <f t="shared" si="35"/>
        <v>0</v>
      </c>
    </row>
    <row r="124" spans="1:11" ht="13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3">
        <f>'FR-16(7)(v)-1 Functional'!G124</f>
        <v>0</v>
      </c>
      <c r="G124" s="542">
        <f t="shared" si="31"/>
        <v>0</v>
      </c>
      <c r="H124" s="533">
        <f t="shared" si="32"/>
        <v>0</v>
      </c>
      <c r="I124" s="534">
        <f t="shared" si="33"/>
        <v>0</v>
      </c>
      <c r="J124" s="345">
        <f t="shared" si="34"/>
        <v>0</v>
      </c>
      <c r="K124" s="345">
        <f t="shared" si="35"/>
        <v>0</v>
      </c>
    </row>
    <row r="125" spans="1:11" ht="13">
      <c r="A125" s="331">
        <v>13</v>
      </c>
      <c r="C125" s="330" t="str">
        <f>'FR-16(7)(v)-1 Functional'!C125</f>
        <v>MAINS - (2761, 2762, 2763, 2765)</v>
      </c>
      <c r="D125" s="342" t="str">
        <f>'FR-16(7)(v)-1 Functional'!D125</f>
        <v>K415</v>
      </c>
      <c r="E125" s="195"/>
      <c r="F125" s="473">
        <f>'FR-16(7)(v)-1 Functional'!G125</f>
        <v>0</v>
      </c>
      <c r="G125" s="542">
        <f t="shared" si="31"/>
        <v>0</v>
      </c>
      <c r="H125" s="533">
        <f t="shared" si="32"/>
        <v>0</v>
      </c>
      <c r="I125" s="534">
        <f t="shared" si="33"/>
        <v>0</v>
      </c>
      <c r="J125" s="345">
        <f t="shared" si="34"/>
        <v>0</v>
      </c>
      <c r="K125" s="345">
        <f t="shared" si="35"/>
        <v>0</v>
      </c>
    </row>
    <row r="126" spans="1:11" ht="13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3">
        <f>'FR-16(7)(v)-1 Functional'!G126</f>
        <v>0</v>
      </c>
      <c r="G126" s="542">
        <f t="shared" si="31"/>
        <v>0</v>
      </c>
      <c r="H126" s="533">
        <f t="shared" si="32"/>
        <v>0</v>
      </c>
      <c r="I126" s="534">
        <f t="shared" si="33"/>
        <v>0</v>
      </c>
      <c r="J126" s="345">
        <f t="shared" si="34"/>
        <v>0</v>
      </c>
      <c r="K126" s="345">
        <f t="shared" si="35"/>
        <v>0</v>
      </c>
    </row>
    <row r="127" spans="1:11" ht="13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3">
        <f>'FR-16(7)(v)-1 Functional'!G127</f>
        <v>0</v>
      </c>
      <c r="G127" s="542">
        <f t="shared" si="31"/>
        <v>0</v>
      </c>
      <c r="H127" s="533">
        <f t="shared" si="32"/>
        <v>0</v>
      </c>
      <c r="I127" s="534">
        <f t="shared" si="33"/>
        <v>0</v>
      </c>
      <c r="J127" s="345">
        <f t="shared" si="34"/>
        <v>0</v>
      </c>
      <c r="K127" s="345">
        <f t="shared" si="35"/>
        <v>0</v>
      </c>
    </row>
    <row r="128" spans="1:11" ht="13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3">
        <f>'FR-16(7)(v)-1 Functional'!G128</f>
        <v>0</v>
      </c>
      <c r="G128" s="542">
        <f t="shared" si="31"/>
        <v>0</v>
      </c>
      <c r="H128" s="533">
        <f t="shared" si="32"/>
        <v>0</v>
      </c>
      <c r="I128" s="534">
        <f t="shared" si="33"/>
        <v>0</v>
      </c>
      <c r="J128" s="345">
        <f t="shared" si="34"/>
        <v>0</v>
      </c>
      <c r="K128" s="345">
        <f t="shared" si="35"/>
        <v>0</v>
      </c>
    </row>
    <row r="129" spans="1:11" ht="13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3">
        <f>'FR-16(7)(v)-1 Functional'!G129</f>
        <v>0</v>
      </c>
      <c r="G129" s="542">
        <f t="shared" si="31"/>
        <v>0</v>
      </c>
      <c r="H129" s="533">
        <f t="shared" si="32"/>
        <v>0</v>
      </c>
      <c r="I129" s="534">
        <f t="shared" si="33"/>
        <v>0</v>
      </c>
      <c r="J129" s="345">
        <f t="shared" si="34"/>
        <v>0</v>
      </c>
      <c r="K129" s="345">
        <f t="shared" si="35"/>
        <v>0</v>
      </c>
    </row>
    <row r="130" spans="1:11" ht="13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3">
        <f>'FR-16(7)(v)-1 Functional'!G130</f>
        <v>0</v>
      </c>
      <c r="G130" s="542">
        <f t="shared" si="31"/>
        <v>0</v>
      </c>
      <c r="H130" s="533">
        <f t="shared" si="32"/>
        <v>0</v>
      </c>
      <c r="I130" s="534">
        <f t="shared" si="33"/>
        <v>0</v>
      </c>
      <c r="J130" s="345">
        <f t="shared" si="34"/>
        <v>0</v>
      </c>
      <c r="K130" s="345">
        <f t="shared" si="35"/>
        <v>0</v>
      </c>
    </row>
    <row r="131" spans="1:11" ht="13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K131" si="36">SUM(F121:F130)</f>
        <v>0</v>
      </c>
      <c r="G131" s="543">
        <f t="shared" si="36"/>
        <v>0</v>
      </c>
      <c r="H131" s="535">
        <f t="shared" si="36"/>
        <v>0</v>
      </c>
      <c r="I131" s="536">
        <f t="shared" si="36"/>
        <v>0</v>
      </c>
      <c r="J131" s="346">
        <f t="shared" si="36"/>
        <v>0</v>
      </c>
      <c r="K131" s="346">
        <f t="shared" si="36"/>
        <v>0</v>
      </c>
    </row>
    <row r="132" spans="1:11" ht="13">
      <c r="A132" s="331">
        <v>20</v>
      </c>
      <c r="D132" s="342"/>
      <c r="E132" s="195"/>
      <c r="G132" s="541"/>
      <c r="H132" s="531"/>
      <c r="I132" s="532"/>
    </row>
    <row r="133" spans="1:11" ht="13">
      <c r="A133" s="331">
        <v>21</v>
      </c>
      <c r="B133" s="330" t="s">
        <v>20</v>
      </c>
      <c r="D133" s="342"/>
      <c r="E133" s="195"/>
      <c r="G133" s="541"/>
      <c r="H133" s="531"/>
      <c r="I133" s="532"/>
    </row>
    <row r="134" spans="1:11" ht="13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3">
        <f>'FR-16(7)(v)-1 Functional'!G134</f>
        <v>1408783</v>
      </c>
      <c r="G134" s="542">
        <f t="shared" ref="G134:G139" si="37">F134-SUM(H134:I134)</f>
        <v>0</v>
      </c>
      <c r="H134" s="533">
        <f t="shared" ref="H134:H139" si="38">ROUND(F134*VLOOKUP(D134,AllocTable_Classified_Production,$H$10,FALSE),0)</f>
        <v>1408783</v>
      </c>
      <c r="I134" s="534">
        <f t="shared" ref="I134:I139" si="39">ROUND(F134*VLOOKUP(D134,AllocTable_Classified_Production,$I$10,FALSE),0)</f>
        <v>0</v>
      </c>
      <c r="J134" s="345">
        <f t="shared" ref="J134:J139" si="40">SUM(G134:I134)</f>
        <v>1408783</v>
      </c>
      <c r="K134" s="345">
        <f t="shared" ref="K134:K139" si="41">F134-J134</f>
        <v>0</v>
      </c>
    </row>
    <row r="135" spans="1:11" ht="13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3">
        <f>'FR-16(7)(v)-1 Functional'!G135</f>
        <v>1037967</v>
      </c>
      <c r="G135" s="542">
        <f t="shared" si="37"/>
        <v>0</v>
      </c>
      <c r="H135" s="533">
        <f t="shared" si="38"/>
        <v>1037967</v>
      </c>
      <c r="I135" s="534">
        <f t="shared" si="39"/>
        <v>0</v>
      </c>
      <c r="J135" s="345">
        <f t="shared" si="40"/>
        <v>1037967</v>
      </c>
      <c r="K135" s="345">
        <f t="shared" si="41"/>
        <v>0</v>
      </c>
    </row>
    <row r="136" spans="1:11" ht="13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3">
        <f>'FR-16(7)(v)-1 Functional'!G136</f>
        <v>0</v>
      </c>
      <c r="G136" s="542">
        <f t="shared" si="37"/>
        <v>0</v>
      </c>
      <c r="H136" s="533">
        <f t="shared" si="38"/>
        <v>0</v>
      </c>
      <c r="I136" s="534">
        <f t="shared" si="39"/>
        <v>0</v>
      </c>
      <c r="J136" s="345">
        <f t="shared" si="40"/>
        <v>0</v>
      </c>
      <c r="K136" s="345">
        <f t="shared" si="41"/>
        <v>0</v>
      </c>
    </row>
    <row r="137" spans="1:11" ht="13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3">
        <f>'FR-16(7)(v)-1 Functional'!G137</f>
        <v>0</v>
      </c>
      <c r="G137" s="542">
        <f t="shared" si="37"/>
        <v>0</v>
      </c>
      <c r="H137" s="533">
        <f t="shared" si="38"/>
        <v>0</v>
      </c>
      <c r="I137" s="534">
        <f t="shared" si="39"/>
        <v>0</v>
      </c>
      <c r="J137" s="345">
        <f t="shared" si="40"/>
        <v>0</v>
      </c>
      <c r="K137" s="345">
        <f t="shared" si="41"/>
        <v>0</v>
      </c>
    </row>
    <row r="138" spans="1:11" ht="13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3">
        <f>'FR-16(7)(v)-1 Functional'!G138</f>
        <v>0</v>
      </c>
      <c r="G138" s="542">
        <f t="shared" si="37"/>
        <v>0</v>
      </c>
      <c r="H138" s="533">
        <f t="shared" si="38"/>
        <v>0</v>
      </c>
      <c r="I138" s="534">
        <f t="shared" si="39"/>
        <v>0</v>
      </c>
      <c r="J138" s="345">
        <f t="shared" si="40"/>
        <v>0</v>
      </c>
      <c r="K138" s="345">
        <f t="shared" si="41"/>
        <v>0</v>
      </c>
    </row>
    <row r="139" spans="1:11" ht="13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3">
        <f>'FR-16(7)(v)-1 Functional'!G139</f>
        <v>0</v>
      </c>
      <c r="G139" s="542">
        <f t="shared" si="37"/>
        <v>0</v>
      </c>
      <c r="H139" s="533">
        <f t="shared" si="38"/>
        <v>0</v>
      </c>
      <c r="I139" s="534">
        <f t="shared" si="39"/>
        <v>0</v>
      </c>
      <c r="J139" s="345">
        <f t="shared" si="40"/>
        <v>0</v>
      </c>
      <c r="K139" s="345">
        <f t="shared" si="41"/>
        <v>0</v>
      </c>
    </row>
    <row r="140" spans="1:11" ht="13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K140" si="42">SUM(F133:F139)</f>
        <v>2446750</v>
      </c>
      <c r="G140" s="543">
        <f t="shared" si="42"/>
        <v>0</v>
      </c>
      <c r="H140" s="535">
        <f t="shared" si="42"/>
        <v>2446750</v>
      </c>
      <c r="I140" s="536">
        <f t="shared" si="42"/>
        <v>0</v>
      </c>
      <c r="J140" s="346">
        <f t="shared" si="42"/>
        <v>2446750</v>
      </c>
      <c r="K140" s="346">
        <f t="shared" si="42"/>
        <v>0</v>
      </c>
    </row>
    <row r="141" spans="1:11" ht="13">
      <c r="A141" s="331">
        <v>29</v>
      </c>
      <c r="C141" s="363"/>
      <c r="D141" s="342"/>
      <c r="E141" s="195"/>
      <c r="G141" s="541"/>
      <c r="H141" s="531"/>
      <c r="I141" s="532"/>
    </row>
    <row r="142" spans="1:11" ht="13">
      <c r="A142" s="331">
        <v>30</v>
      </c>
      <c r="B142" s="330" t="s">
        <v>21</v>
      </c>
      <c r="C142" s="363"/>
      <c r="D142" s="342"/>
      <c r="E142" s="195"/>
      <c r="G142" s="541"/>
      <c r="H142" s="531"/>
      <c r="I142" s="532"/>
    </row>
    <row r="143" spans="1:11" ht="13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3">
        <f>'FR-16(7)(v)-1 Functional'!G143</f>
        <v>644301</v>
      </c>
      <c r="G143" s="542">
        <f t="shared" ref="G143:G148" si="43">F143-SUM(H143:I143)</f>
        <v>0</v>
      </c>
      <c r="H143" s="533">
        <f t="shared" ref="H143:H148" si="44">ROUND(F143*VLOOKUP(D143,AllocTable_Classified_Production,$H$10,FALSE),0)</f>
        <v>644301</v>
      </c>
      <c r="I143" s="534">
        <f t="shared" ref="I143:I148" si="45">ROUND(F143*VLOOKUP(D143,AllocTable_Classified_Production,$I$10,FALSE),0)</f>
        <v>0</v>
      </c>
      <c r="J143" s="345">
        <f t="shared" ref="J143:J148" si="46">SUM(G143:I143)</f>
        <v>644301</v>
      </c>
      <c r="K143" s="345">
        <f t="shared" ref="K143:K148" si="47">F143-J143</f>
        <v>0</v>
      </c>
    </row>
    <row r="144" spans="1:11" ht="13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3">
        <f>'FR-16(7)(v)-1 Functional'!G144</f>
        <v>474711</v>
      </c>
      <c r="G144" s="542">
        <f t="shared" si="43"/>
        <v>0</v>
      </c>
      <c r="H144" s="533">
        <f t="shared" si="44"/>
        <v>474711</v>
      </c>
      <c r="I144" s="534">
        <f t="shared" si="45"/>
        <v>0</v>
      </c>
      <c r="J144" s="345">
        <f t="shared" si="46"/>
        <v>474711</v>
      </c>
      <c r="K144" s="345">
        <f t="shared" si="47"/>
        <v>0</v>
      </c>
    </row>
    <row r="145" spans="1:11" ht="13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3">
        <f>'FR-16(7)(v)-1 Functional'!G145</f>
        <v>0</v>
      </c>
      <c r="G145" s="542">
        <f t="shared" si="43"/>
        <v>0</v>
      </c>
      <c r="H145" s="533">
        <f t="shared" si="44"/>
        <v>0</v>
      </c>
      <c r="I145" s="534">
        <f t="shared" si="45"/>
        <v>0</v>
      </c>
      <c r="J145" s="345">
        <f t="shared" si="46"/>
        <v>0</v>
      </c>
      <c r="K145" s="345">
        <f t="shared" si="47"/>
        <v>0</v>
      </c>
    </row>
    <row r="146" spans="1:11" ht="13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3">
        <f>'FR-16(7)(v)-1 Functional'!G146</f>
        <v>0</v>
      </c>
      <c r="G146" s="542">
        <f t="shared" si="43"/>
        <v>0</v>
      </c>
      <c r="H146" s="533">
        <f t="shared" si="44"/>
        <v>0</v>
      </c>
      <c r="I146" s="534">
        <f t="shared" si="45"/>
        <v>0</v>
      </c>
      <c r="J146" s="345">
        <f t="shared" si="46"/>
        <v>0</v>
      </c>
      <c r="K146" s="345">
        <f t="shared" si="47"/>
        <v>0</v>
      </c>
    </row>
    <row r="147" spans="1:11" ht="13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3">
        <f>'FR-16(7)(v)-1 Functional'!G147</f>
        <v>0</v>
      </c>
      <c r="G147" s="542">
        <f t="shared" si="43"/>
        <v>0</v>
      </c>
      <c r="H147" s="533">
        <f t="shared" si="44"/>
        <v>0</v>
      </c>
      <c r="I147" s="534">
        <f t="shared" si="45"/>
        <v>0</v>
      </c>
      <c r="J147" s="345">
        <f t="shared" si="46"/>
        <v>0</v>
      </c>
      <c r="K147" s="345">
        <f t="shared" si="47"/>
        <v>0</v>
      </c>
    </row>
    <row r="148" spans="1:11" ht="13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3">
        <f>'FR-16(7)(v)-1 Functional'!G148</f>
        <v>0</v>
      </c>
      <c r="G148" s="542">
        <f t="shared" si="43"/>
        <v>0</v>
      </c>
      <c r="H148" s="533">
        <f t="shared" si="44"/>
        <v>0</v>
      </c>
      <c r="I148" s="534">
        <f t="shared" si="45"/>
        <v>0</v>
      </c>
      <c r="J148" s="345">
        <f t="shared" si="46"/>
        <v>0</v>
      </c>
      <c r="K148" s="345">
        <f t="shared" si="47"/>
        <v>0</v>
      </c>
    </row>
    <row r="149" spans="1:11" ht="13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1119012</v>
      </c>
      <c r="G149" s="543">
        <f>SUM(G142:G148)</f>
        <v>0</v>
      </c>
      <c r="H149" s="535">
        <f>SUM(H142:H148)</f>
        <v>1119012</v>
      </c>
      <c r="I149" s="536">
        <f>SUM(I142:I148)</f>
        <v>0</v>
      </c>
      <c r="J149" s="346">
        <f>SUM(J142:J148)</f>
        <v>1119012</v>
      </c>
      <c r="K149" s="346">
        <f>SUM(K142:K148)</f>
        <v>0</v>
      </c>
    </row>
    <row r="150" spans="1:11" ht="13">
      <c r="A150" s="331">
        <v>38</v>
      </c>
      <c r="D150" s="342"/>
      <c r="E150" s="195"/>
      <c r="G150" s="541"/>
      <c r="H150" s="531"/>
      <c r="I150" s="532"/>
    </row>
    <row r="151" spans="1:11" ht="13">
      <c r="A151" s="331">
        <v>39</v>
      </c>
      <c r="B151" s="330" t="s">
        <v>23</v>
      </c>
      <c r="D151" s="342"/>
      <c r="E151" s="195"/>
      <c r="F151" s="345">
        <f t="shared" ref="F151:K151" si="48">F149+F140+F131+F119+F115</f>
        <v>6119653</v>
      </c>
      <c r="G151" s="544">
        <f t="shared" si="48"/>
        <v>0</v>
      </c>
      <c r="H151" s="537">
        <f t="shared" si="48"/>
        <v>6119653</v>
      </c>
      <c r="I151" s="538">
        <f t="shared" si="48"/>
        <v>0</v>
      </c>
      <c r="J151" s="345">
        <f t="shared" si="48"/>
        <v>6119653</v>
      </c>
      <c r="K151" s="345">
        <f t="shared" si="48"/>
        <v>0</v>
      </c>
    </row>
    <row r="152" spans="1:11" ht="13">
      <c r="B152" s="341"/>
      <c r="C152" s="195"/>
      <c r="D152" s="342"/>
      <c r="E152" s="195"/>
      <c r="F152" s="195"/>
      <c r="G152" s="195"/>
      <c r="H152" s="195"/>
      <c r="I152" s="195"/>
      <c r="J152" s="195"/>
    </row>
    <row r="153" spans="1:11" ht="13">
      <c r="A153" s="341" t="str">
        <f>co_name</f>
        <v>DUKE ENERGY KENTUCKY, INC.</v>
      </c>
      <c r="C153" s="195"/>
      <c r="D153" s="342"/>
      <c r="E153" s="195"/>
      <c r="F153" s="195"/>
      <c r="G153" s="195"/>
      <c r="H153" s="195"/>
      <c r="I153" s="195"/>
      <c r="J153" s="195" t="str">
        <f>$J$1</f>
        <v>FR-16(7)(v)-2</v>
      </c>
      <c r="K153" s="195"/>
    </row>
    <row r="154" spans="1:11" ht="13">
      <c r="A154" s="341" t="str">
        <f>$A$2</f>
        <v>PRODUCTION CLASSIFIED - GAS COST OF SERVICE</v>
      </c>
      <c r="C154" s="195"/>
      <c r="D154" s="342"/>
      <c r="E154" s="195"/>
      <c r="F154" s="195"/>
      <c r="G154" s="195"/>
      <c r="H154" s="195"/>
      <c r="I154" s="195"/>
      <c r="J154" s="195" t="str">
        <f>$J$2</f>
        <v>WITNESS RESPONSIBLE:</v>
      </c>
      <c r="K154" s="195"/>
    </row>
    <row r="155" spans="1:11" ht="13">
      <c r="A155" s="341" t="str">
        <f>case_name</f>
        <v>CASE NO: 2021-00190</v>
      </c>
      <c r="C155" s="195"/>
      <c r="D155" s="342"/>
      <c r="E155" s="195"/>
      <c r="F155" s="195"/>
      <c r="G155" s="195"/>
      <c r="H155" s="195"/>
      <c r="I155" s="195"/>
      <c r="J155" s="195" t="str">
        <f>Witness</f>
        <v>JAMES E. ZIOLKOWSKI</v>
      </c>
      <c r="K155" s="195"/>
    </row>
    <row r="156" spans="1:11" ht="13">
      <c r="A156" s="341" t="str">
        <f>data_filing</f>
        <v>DATA: 12 MONTH FORECASTED PERIOD</v>
      </c>
      <c r="C156" s="195"/>
      <c r="D156" s="342"/>
      <c r="E156" s="195"/>
      <c r="F156" s="195"/>
      <c r="G156" s="195"/>
      <c r="H156" s="195"/>
      <c r="I156" s="195"/>
      <c r="J156" s="195" t="str">
        <f>"PAGE "&amp;Pages-14&amp;" OF "&amp;Pages</f>
        <v>PAGE 4 OF 18</v>
      </c>
      <c r="K156" s="195"/>
    </row>
    <row r="157" spans="1:11" ht="13">
      <c r="A157" s="341" t="str">
        <f>type</f>
        <v xml:space="preserve">TYPE OF FILING: "X" ORIGINAL   UPDATED    REVISED  </v>
      </c>
      <c r="C157" s="195"/>
      <c r="D157" s="342"/>
      <c r="E157" s="195"/>
      <c r="F157" s="195"/>
      <c r="G157" s="195"/>
      <c r="H157" s="195"/>
      <c r="I157" s="195"/>
      <c r="J157" s="195"/>
      <c r="K157" s="195"/>
    </row>
    <row r="158" spans="1:11" ht="13">
      <c r="A158" s="341"/>
      <c r="C158" s="195"/>
      <c r="D158" s="342"/>
      <c r="E158" s="195"/>
      <c r="F158" s="195"/>
      <c r="G158" s="195"/>
      <c r="H158" s="195"/>
      <c r="I158" s="195"/>
      <c r="J158" s="195"/>
      <c r="K158" s="195"/>
    </row>
    <row r="159" spans="1:11" ht="13">
      <c r="B159" s="341"/>
      <c r="C159" s="195"/>
      <c r="D159" s="342"/>
      <c r="E159" s="195"/>
      <c r="F159" s="195"/>
      <c r="G159" s="195"/>
      <c r="H159" s="195"/>
      <c r="I159" s="195"/>
      <c r="J159" s="195"/>
    </row>
    <row r="160" spans="1:11" ht="13">
      <c r="A160" s="342" t="s">
        <v>907</v>
      </c>
      <c r="B160" s="195"/>
      <c r="C160" s="195"/>
      <c r="D160" s="342"/>
      <c r="E160" s="195"/>
      <c r="F160" s="342" t="str">
        <f>$F$8</f>
        <v>TOTAL</v>
      </c>
      <c r="G160" s="539" t="s">
        <v>995</v>
      </c>
      <c r="H160" s="527"/>
      <c r="I160" s="528"/>
      <c r="J160" s="342" t="s">
        <v>229</v>
      </c>
      <c r="K160" s="342" t="s">
        <v>342</v>
      </c>
    </row>
    <row r="161" spans="1:11" ht="13">
      <c r="A161" s="344" t="s">
        <v>908</v>
      </c>
      <c r="B161" s="343" t="str">
        <f>"NET GAS PLANT"</f>
        <v>NET GAS PLANT</v>
      </c>
      <c r="C161" s="343"/>
      <c r="D161" s="344" t="s">
        <v>337</v>
      </c>
      <c r="E161" s="343"/>
      <c r="F161" s="344" t="str">
        <f>$F$9</f>
        <v>PRODUCTION</v>
      </c>
      <c r="G161" s="540" t="s">
        <v>840</v>
      </c>
      <c r="H161" s="529" t="s">
        <v>841</v>
      </c>
      <c r="I161" s="530" t="s">
        <v>842</v>
      </c>
      <c r="J161" s="344" t="s">
        <v>341</v>
      </c>
      <c r="K161" s="344" t="s">
        <v>340</v>
      </c>
    </row>
    <row r="162" spans="1:11" ht="13">
      <c r="C162" s="572" t="s">
        <v>346</v>
      </c>
      <c r="D162" s="342"/>
      <c r="E162" s="195"/>
      <c r="G162" s="793">
        <f>$G$10</f>
        <v>3</v>
      </c>
      <c r="H162" s="794">
        <f>$H$10</f>
        <v>4</v>
      </c>
      <c r="I162" s="795">
        <f>$I$10</f>
        <v>5</v>
      </c>
    </row>
    <row r="163" spans="1:11" ht="13">
      <c r="A163" s="331">
        <v>1</v>
      </c>
      <c r="B163" s="330" t="s">
        <v>14</v>
      </c>
      <c r="D163" s="342"/>
      <c r="E163" s="195"/>
      <c r="G163" s="541"/>
      <c r="H163" s="531"/>
      <c r="I163" s="532"/>
    </row>
    <row r="164" spans="1:11" ht="13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4625622</v>
      </c>
      <c r="G164" s="542">
        <f>$G$59</f>
        <v>0</v>
      </c>
      <c r="H164" s="533">
        <f>$H$59</f>
        <v>4625622</v>
      </c>
      <c r="I164" s="534">
        <f>$I$59</f>
        <v>0</v>
      </c>
      <c r="J164" s="345">
        <f>$J$59</f>
        <v>4625622</v>
      </c>
      <c r="K164" s="345">
        <f>F164-J164</f>
        <v>0</v>
      </c>
    </row>
    <row r="165" spans="1:11" ht="13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>-F115</f>
        <v>-2553891</v>
      </c>
      <c r="G165" s="542">
        <f>-G115</f>
        <v>0</v>
      </c>
      <c r="H165" s="533">
        <f>-H115</f>
        <v>-2553891</v>
      </c>
      <c r="I165" s="534">
        <f>-I115</f>
        <v>0</v>
      </c>
      <c r="J165" s="345">
        <f>-J115</f>
        <v>-2553891</v>
      </c>
      <c r="K165" s="345">
        <f>F165-J165</f>
        <v>0</v>
      </c>
    </row>
    <row r="166" spans="1:11" ht="13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K166" si="49">SUM(F164:F165)</f>
        <v>2071731</v>
      </c>
      <c r="G166" s="543">
        <f t="shared" si="49"/>
        <v>0</v>
      </c>
      <c r="H166" s="535">
        <f t="shared" si="49"/>
        <v>2071731</v>
      </c>
      <c r="I166" s="536">
        <f t="shared" si="49"/>
        <v>0</v>
      </c>
      <c r="J166" s="346">
        <f t="shared" si="49"/>
        <v>2071731</v>
      </c>
      <c r="K166" s="346">
        <f t="shared" si="49"/>
        <v>0</v>
      </c>
    </row>
    <row r="167" spans="1:11" ht="13">
      <c r="A167" s="331">
        <v>5</v>
      </c>
      <c r="D167" s="342"/>
      <c r="E167" s="195"/>
      <c r="G167" s="541"/>
      <c r="H167" s="531"/>
      <c r="I167" s="532"/>
    </row>
    <row r="168" spans="1:11" ht="13">
      <c r="A168" s="331">
        <v>6</v>
      </c>
      <c r="B168" s="357" t="s">
        <v>15</v>
      </c>
      <c r="C168" s="357"/>
      <c r="D168" s="342"/>
      <c r="E168" s="195"/>
      <c r="F168" s="345"/>
      <c r="G168" s="542"/>
      <c r="H168" s="533"/>
      <c r="I168" s="534"/>
      <c r="J168" s="345"/>
    </row>
    <row r="169" spans="1:11" ht="13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542">
        <f>$G$63</f>
        <v>0</v>
      </c>
      <c r="H169" s="533">
        <f>$H$63</f>
        <v>0</v>
      </c>
      <c r="I169" s="534">
        <f>$I$63</f>
        <v>0</v>
      </c>
      <c r="J169" s="345">
        <f>$J$63</f>
        <v>0</v>
      </c>
      <c r="K169" s="345">
        <f>F169-J169</f>
        <v>0</v>
      </c>
    </row>
    <row r="170" spans="1:11" ht="13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>-F119</f>
        <v>0</v>
      </c>
      <c r="G170" s="542">
        <f>-G119</f>
        <v>0</v>
      </c>
      <c r="H170" s="533">
        <f>-H119</f>
        <v>0</v>
      </c>
      <c r="I170" s="534">
        <f>-I119</f>
        <v>0</v>
      </c>
      <c r="J170" s="345">
        <f>-J119</f>
        <v>0</v>
      </c>
      <c r="K170" s="345">
        <f>F170-J170</f>
        <v>0</v>
      </c>
    </row>
    <row r="171" spans="1:11" ht="13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K171" si="50">SUM(F168:F170)</f>
        <v>0</v>
      </c>
      <c r="G171" s="543">
        <f t="shared" si="50"/>
        <v>0</v>
      </c>
      <c r="H171" s="535">
        <f t="shared" si="50"/>
        <v>0</v>
      </c>
      <c r="I171" s="536">
        <f t="shared" si="50"/>
        <v>0</v>
      </c>
      <c r="J171" s="346">
        <f t="shared" si="50"/>
        <v>0</v>
      </c>
      <c r="K171" s="346">
        <f t="shared" si="50"/>
        <v>0</v>
      </c>
    </row>
    <row r="172" spans="1:11" ht="13">
      <c r="A172" s="331">
        <v>10</v>
      </c>
      <c r="D172" s="342"/>
      <c r="E172" s="195"/>
      <c r="G172" s="541"/>
      <c r="H172" s="531"/>
      <c r="I172" s="532"/>
    </row>
    <row r="173" spans="1:11" ht="13">
      <c r="A173" s="331">
        <v>11</v>
      </c>
      <c r="B173" s="330" t="s">
        <v>17</v>
      </c>
      <c r="D173" s="342"/>
      <c r="E173" s="195"/>
      <c r="G173" s="541"/>
      <c r="H173" s="531"/>
      <c r="I173" s="532"/>
    </row>
    <row r="174" spans="1:11" ht="13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>F78</f>
        <v>0</v>
      </c>
      <c r="G174" s="542">
        <f>G78</f>
        <v>0</v>
      </c>
      <c r="H174" s="533">
        <f>H78</f>
        <v>0</v>
      </c>
      <c r="I174" s="534">
        <f>I78</f>
        <v>0</v>
      </c>
      <c r="J174" s="345">
        <f>J78</f>
        <v>0</v>
      </c>
      <c r="K174" s="345">
        <f>F174-J174</f>
        <v>0</v>
      </c>
    </row>
    <row r="175" spans="1:11" ht="13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>-F131</f>
        <v>0</v>
      </c>
      <c r="G175" s="542">
        <f>-G131</f>
        <v>0</v>
      </c>
      <c r="H175" s="533">
        <f>-H131</f>
        <v>0</v>
      </c>
      <c r="I175" s="534">
        <f>-I131</f>
        <v>0</v>
      </c>
      <c r="J175" s="345">
        <f>-J131</f>
        <v>0</v>
      </c>
      <c r="K175" s="345">
        <f>F175-J175</f>
        <v>0</v>
      </c>
    </row>
    <row r="176" spans="1:11" ht="13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K176" si="51">SUM(F173:F175)</f>
        <v>0</v>
      </c>
      <c r="G176" s="543">
        <f t="shared" si="51"/>
        <v>0</v>
      </c>
      <c r="H176" s="535">
        <f t="shared" si="51"/>
        <v>0</v>
      </c>
      <c r="I176" s="536">
        <f t="shared" si="51"/>
        <v>0</v>
      </c>
      <c r="J176" s="346">
        <f t="shared" si="51"/>
        <v>0</v>
      </c>
      <c r="K176" s="346">
        <f t="shared" si="51"/>
        <v>0</v>
      </c>
    </row>
    <row r="177" spans="1:11" ht="13">
      <c r="A177" s="331">
        <v>15</v>
      </c>
      <c r="D177" s="342"/>
      <c r="E177" s="195"/>
      <c r="G177" s="541"/>
      <c r="H177" s="531"/>
      <c r="I177" s="532"/>
    </row>
    <row r="178" spans="1:11" ht="13">
      <c r="A178" s="331">
        <v>16</v>
      </c>
      <c r="B178" s="330" t="s">
        <v>429</v>
      </c>
      <c r="D178" s="342"/>
      <c r="E178" s="195"/>
      <c r="F178" s="345">
        <f t="shared" ref="F178:K178" si="52">F176+F171+F166</f>
        <v>2071731</v>
      </c>
      <c r="G178" s="542">
        <f t="shared" si="52"/>
        <v>0</v>
      </c>
      <c r="H178" s="533">
        <f t="shared" si="52"/>
        <v>2071731</v>
      </c>
      <c r="I178" s="534">
        <f t="shared" si="52"/>
        <v>0</v>
      </c>
      <c r="J178" s="345">
        <f t="shared" si="52"/>
        <v>2071731</v>
      </c>
      <c r="K178" s="345">
        <f t="shared" si="52"/>
        <v>0</v>
      </c>
    </row>
    <row r="179" spans="1:11" ht="13">
      <c r="A179" s="331">
        <v>17</v>
      </c>
      <c r="B179" s="330" t="s">
        <v>24</v>
      </c>
      <c r="D179" s="342"/>
      <c r="E179" s="195"/>
      <c r="F179" s="345">
        <f t="shared" ref="F179:K179" si="53">F176+F171</f>
        <v>0</v>
      </c>
      <c r="G179" s="542">
        <f t="shared" si="53"/>
        <v>0</v>
      </c>
      <c r="H179" s="533">
        <f t="shared" si="53"/>
        <v>0</v>
      </c>
      <c r="I179" s="534">
        <f t="shared" si="53"/>
        <v>0</v>
      </c>
      <c r="J179" s="345">
        <f t="shared" si="53"/>
        <v>0</v>
      </c>
      <c r="K179" s="345">
        <f t="shared" si="53"/>
        <v>0</v>
      </c>
    </row>
    <row r="180" spans="1:11" ht="13">
      <c r="A180" s="331">
        <v>18</v>
      </c>
      <c r="D180" s="342"/>
      <c r="E180" s="195"/>
      <c r="G180" s="541"/>
      <c r="H180" s="531"/>
      <c r="I180" s="532"/>
    </row>
    <row r="181" spans="1:11" ht="13">
      <c r="A181" s="331">
        <v>19</v>
      </c>
      <c r="B181" s="330" t="s">
        <v>20</v>
      </c>
      <c r="D181" s="342"/>
      <c r="E181" s="195"/>
      <c r="G181" s="541"/>
      <c r="H181" s="531"/>
      <c r="I181" s="532"/>
    </row>
    <row r="182" spans="1:11" ht="13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>F90</f>
        <v>4970111</v>
      </c>
      <c r="G182" s="542">
        <f>G90</f>
        <v>0</v>
      </c>
      <c r="H182" s="533">
        <f>H90</f>
        <v>4970111</v>
      </c>
      <c r="I182" s="534">
        <f>I90</f>
        <v>0</v>
      </c>
      <c r="J182" s="345">
        <f>J90</f>
        <v>4970111</v>
      </c>
      <c r="K182" s="345">
        <f>F182-J182</f>
        <v>0</v>
      </c>
    </row>
    <row r="183" spans="1:11" ht="13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>-F140</f>
        <v>-2446750</v>
      </c>
      <c r="G183" s="542">
        <f>-G140</f>
        <v>0</v>
      </c>
      <c r="H183" s="533">
        <f>-H140</f>
        <v>-2446750</v>
      </c>
      <c r="I183" s="534">
        <f>-I140</f>
        <v>0</v>
      </c>
      <c r="J183" s="345">
        <f>-J140</f>
        <v>-2446750</v>
      </c>
      <c r="K183" s="345">
        <f>F183-J183</f>
        <v>0</v>
      </c>
    </row>
    <row r="184" spans="1:11" ht="13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K184" si="54">SUM(F181:F183)</f>
        <v>2523361</v>
      </c>
      <c r="G184" s="543">
        <f t="shared" si="54"/>
        <v>0</v>
      </c>
      <c r="H184" s="535">
        <f t="shared" si="54"/>
        <v>2523361</v>
      </c>
      <c r="I184" s="536">
        <f t="shared" si="54"/>
        <v>0</v>
      </c>
      <c r="J184" s="346">
        <f t="shared" si="54"/>
        <v>2523361</v>
      </c>
      <c r="K184" s="346">
        <f t="shared" si="54"/>
        <v>0</v>
      </c>
    </row>
    <row r="185" spans="1:11" ht="13">
      <c r="A185" s="331">
        <v>23</v>
      </c>
      <c r="D185" s="342"/>
      <c r="E185" s="195"/>
      <c r="F185" s="345"/>
      <c r="G185" s="542"/>
      <c r="H185" s="533"/>
      <c r="I185" s="534"/>
      <c r="J185" s="345"/>
    </row>
    <row r="186" spans="1:11" ht="13">
      <c r="A186" s="331">
        <v>24</v>
      </c>
      <c r="B186" s="330" t="s">
        <v>21</v>
      </c>
      <c r="D186" s="342"/>
      <c r="E186" s="195"/>
      <c r="F186" s="345"/>
      <c r="G186" s="542"/>
      <c r="H186" s="533"/>
      <c r="I186" s="534"/>
      <c r="J186" s="345"/>
    </row>
    <row r="187" spans="1:11" ht="13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>F99</f>
        <v>1598477</v>
      </c>
      <c r="G187" s="542">
        <f>G99</f>
        <v>0</v>
      </c>
      <c r="H187" s="533">
        <f>H99</f>
        <v>1598477</v>
      </c>
      <c r="I187" s="534">
        <f>I99</f>
        <v>0</v>
      </c>
      <c r="J187" s="345">
        <f>J99</f>
        <v>1598477</v>
      </c>
      <c r="K187" s="345">
        <f>F187-J187</f>
        <v>0</v>
      </c>
    </row>
    <row r="188" spans="1:11" ht="13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>-F149</f>
        <v>-1119012</v>
      </c>
      <c r="G188" s="542">
        <f>-G149</f>
        <v>0</v>
      </c>
      <c r="H188" s="533">
        <f>-H149</f>
        <v>-1119012</v>
      </c>
      <c r="I188" s="534">
        <f>-I149</f>
        <v>0</v>
      </c>
      <c r="J188" s="345">
        <f>-J149</f>
        <v>-1119012</v>
      </c>
      <c r="K188" s="345">
        <f>F188-J188</f>
        <v>0</v>
      </c>
    </row>
    <row r="189" spans="1:11" ht="13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K189" si="55">SUM(F186:F188)</f>
        <v>479465</v>
      </c>
      <c r="G189" s="543">
        <f t="shared" si="55"/>
        <v>0</v>
      </c>
      <c r="H189" s="535">
        <f t="shared" si="55"/>
        <v>479465</v>
      </c>
      <c r="I189" s="536">
        <f t="shared" si="55"/>
        <v>0</v>
      </c>
      <c r="J189" s="346">
        <f t="shared" si="55"/>
        <v>479465</v>
      </c>
      <c r="K189" s="346">
        <f t="shared" si="55"/>
        <v>0</v>
      </c>
    </row>
    <row r="190" spans="1:11" ht="13">
      <c r="A190" s="331">
        <v>28</v>
      </c>
      <c r="D190" s="342"/>
      <c r="E190" s="195"/>
      <c r="F190" s="345"/>
      <c r="G190" s="542"/>
      <c r="H190" s="533"/>
      <c r="I190" s="534"/>
      <c r="J190" s="345"/>
      <c r="K190" s="345"/>
    </row>
    <row r="191" spans="1:11" ht="13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K191" si="56">F189+F184+F176+F171+F166</f>
        <v>5074557</v>
      </c>
      <c r="G191" s="544">
        <f t="shared" si="56"/>
        <v>0</v>
      </c>
      <c r="H191" s="537">
        <f t="shared" si="56"/>
        <v>5074557</v>
      </c>
      <c r="I191" s="538">
        <f t="shared" si="56"/>
        <v>0</v>
      </c>
      <c r="J191" s="345">
        <f t="shared" si="56"/>
        <v>5074557</v>
      </c>
      <c r="K191" s="345">
        <f t="shared" si="56"/>
        <v>0</v>
      </c>
    </row>
    <row r="192" spans="1:11" ht="13">
      <c r="B192" s="341"/>
      <c r="C192" s="195"/>
      <c r="D192" s="342"/>
      <c r="E192" s="195"/>
      <c r="F192" s="195"/>
      <c r="G192" s="195"/>
      <c r="H192" s="195"/>
      <c r="I192" s="195"/>
      <c r="J192" s="195"/>
      <c r="K192" s="195"/>
    </row>
    <row r="193" spans="1:11" ht="13">
      <c r="A193" s="341" t="str">
        <f>co_name</f>
        <v>DUKE ENERGY KENTUCKY, INC.</v>
      </c>
      <c r="C193" s="195"/>
      <c r="D193" s="342"/>
      <c r="E193" s="195"/>
      <c r="F193" s="195"/>
      <c r="G193" s="195"/>
      <c r="H193" s="195"/>
      <c r="I193" s="195"/>
      <c r="J193" s="195" t="str">
        <f>$J$1</f>
        <v>FR-16(7)(v)-2</v>
      </c>
      <c r="K193" s="195"/>
    </row>
    <row r="194" spans="1:11" ht="13">
      <c r="A194" s="341" t="str">
        <f>$A$2</f>
        <v>PRODUCTION CLASSIFIED - GAS COST OF SERVICE</v>
      </c>
      <c r="C194" s="195"/>
      <c r="D194" s="342"/>
      <c r="E194" s="195"/>
      <c r="F194" s="195"/>
      <c r="G194" s="195"/>
      <c r="H194" s="195"/>
      <c r="I194" s="195"/>
      <c r="J194" s="195" t="str">
        <f>$J$2</f>
        <v>WITNESS RESPONSIBLE:</v>
      </c>
      <c r="K194" s="195"/>
    </row>
    <row r="195" spans="1:11" ht="13">
      <c r="A195" s="341" t="str">
        <f>case_name</f>
        <v>CASE NO: 2021-00190</v>
      </c>
      <c r="C195" s="195"/>
      <c r="D195" s="342"/>
      <c r="E195" s="195"/>
      <c r="F195" s="195"/>
      <c r="G195" s="195"/>
      <c r="H195" s="195"/>
      <c r="I195" s="195"/>
      <c r="J195" s="195" t="str">
        <f>Witness</f>
        <v>JAMES E. ZIOLKOWSKI</v>
      </c>
      <c r="K195" s="195"/>
    </row>
    <row r="196" spans="1:11" ht="13">
      <c r="A196" s="341" t="str">
        <f>data_filing</f>
        <v>DATA: 12 MONTH FORECASTED PERIOD</v>
      </c>
      <c r="C196" s="195"/>
      <c r="D196" s="342"/>
      <c r="E196" s="195"/>
      <c r="F196" s="195"/>
      <c r="G196" s="195"/>
      <c r="H196" s="195"/>
      <c r="I196" s="195"/>
      <c r="J196" s="195" t="str">
        <f>"PAGE "&amp;Pages-13&amp;" OF "&amp;Pages</f>
        <v>PAGE 5 OF 18</v>
      </c>
      <c r="K196" s="195"/>
    </row>
    <row r="197" spans="1:11" ht="13">
      <c r="A197" s="341" t="str">
        <f>type</f>
        <v xml:space="preserve">TYPE OF FILING: "X" ORIGINAL   UPDATED    REVISED  </v>
      </c>
      <c r="C197" s="195"/>
      <c r="D197" s="342"/>
      <c r="E197" s="195"/>
      <c r="F197" s="195"/>
      <c r="G197" s="195"/>
      <c r="H197" s="195"/>
      <c r="I197" s="195"/>
      <c r="J197" s="195"/>
      <c r="K197" s="195"/>
    </row>
    <row r="198" spans="1:11" ht="13">
      <c r="B198" s="341"/>
      <c r="C198" s="195"/>
      <c r="D198" s="342"/>
      <c r="E198" s="195"/>
      <c r="F198" s="195"/>
      <c r="G198" s="195"/>
      <c r="H198" s="195"/>
      <c r="I198" s="195"/>
      <c r="J198" s="195"/>
      <c r="K198" s="195"/>
    </row>
    <row r="199" spans="1:11" ht="13">
      <c r="B199" s="341"/>
      <c r="C199" s="195"/>
      <c r="D199" s="342"/>
      <c r="E199" s="195"/>
      <c r="F199" s="195"/>
      <c r="G199" s="195"/>
      <c r="H199" s="195"/>
      <c r="I199" s="195"/>
      <c r="J199" s="195"/>
      <c r="K199" s="195"/>
    </row>
    <row r="200" spans="1:11" ht="13">
      <c r="A200" s="342" t="s">
        <v>907</v>
      </c>
      <c r="B200" s="195"/>
      <c r="C200" s="195"/>
      <c r="D200" s="342"/>
      <c r="E200" s="195"/>
      <c r="F200" s="342" t="str">
        <f>$F$8</f>
        <v>TOTAL</v>
      </c>
      <c r="G200" s="539" t="s">
        <v>995</v>
      </c>
      <c r="H200" s="527"/>
      <c r="I200" s="528"/>
      <c r="J200" s="342" t="s">
        <v>229</v>
      </c>
      <c r="K200" s="342" t="s">
        <v>342</v>
      </c>
    </row>
    <row r="201" spans="1:11" ht="13">
      <c r="A201" s="344" t="s">
        <v>908</v>
      </c>
      <c r="B201" s="343" t="s">
        <v>946</v>
      </c>
      <c r="C201" s="343"/>
      <c r="D201" s="344" t="s">
        <v>337</v>
      </c>
      <c r="E201" s="343"/>
      <c r="F201" s="344" t="str">
        <f>$F$9</f>
        <v>PRODUCTION</v>
      </c>
      <c r="G201" s="540" t="s">
        <v>840</v>
      </c>
      <c r="H201" s="529" t="s">
        <v>841</v>
      </c>
      <c r="I201" s="530" t="s">
        <v>842</v>
      </c>
      <c r="J201" s="344" t="s">
        <v>341</v>
      </c>
      <c r="K201" s="344" t="s">
        <v>340</v>
      </c>
    </row>
    <row r="202" spans="1:11" ht="13">
      <c r="C202" s="572" t="s">
        <v>347</v>
      </c>
      <c r="D202" s="342"/>
      <c r="E202" s="195"/>
      <c r="G202" s="793">
        <f>$G$10</f>
        <v>3</v>
      </c>
      <c r="H202" s="794">
        <f>$H$10</f>
        <v>4</v>
      </c>
      <c r="I202" s="795">
        <f>$I$10</f>
        <v>5</v>
      </c>
    </row>
    <row r="203" spans="1:11" ht="13">
      <c r="A203" s="331">
        <v>1</v>
      </c>
      <c r="B203" s="330" t="s">
        <v>26</v>
      </c>
      <c r="D203" s="342"/>
      <c r="E203" s="195"/>
      <c r="G203" s="541"/>
      <c r="H203" s="531"/>
      <c r="I203" s="532"/>
    </row>
    <row r="204" spans="1:11" ht="13">
      <c r="A204" s="331">
        <v>2</v>
      </c>
      <c r="B204" s="330" t="s">
        <v>816</v>
      </c>
      <c r="D204" s="342"/>
      <c r="E204" s="195"/>
      <c r="G204" s="541"/>
      <c r="H204" s="531"/>
      <c r="I204" s="532"/>
    </row>
    <row r="205" spans="1:11" ht="13">
      <c r="A205" s="331">
        <v>3</v>
      </c>
      <c r="B205" s="330" t="s">
        <v>27</v>
      </c>
      <c r="D205" s="342"/>
      <c r="E205" s="195"/>
      <c r="G205" s="541"/>
      <c r="H205" s="531"/>
      <c r="I205" s="532"/>
    </row>
    <row r="206" spans="1:11" ht="13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1278">
        <f>'FR-16(7)(v)-1 Functional'!G206</f>
        <v>592980</v>
      </c>
      <c r="G206" s="542">
        <f t="shared" ref="G206:G214" si="57">F206-SUM(H206:I206)</f>
        <v>0</v>
      </c>
      <c r="H206" s="533">
        <f t="shared" ref="H206:H214" si="58">ROUND(F206*VLOOKUP(D206,AllocTable_Classified_Production,$H$10,FALSE),0)</f>
        <v>592980</v>
      </c>
      <c r="I206" s="534">
        <f t="shared" ref="I206:I214" si="59">ROUND(F206*VLOOKUP(D206,AllocTable_Classified_Production,$I$10,FALSE),0)</f>
        <v>0</v>
      </c>
      <c r="J206" s="345">
        <f t="shared" ref="J206:J214" si="60">SUM(G206:I206)</f>
        <v>592980</v>
      </c>
      <c r="K206" s="345">
        <f t="shared" ref="K206:K214" si="61">F206-J206</f>
        <v>0</v>
      </c>
    </row>
    <row r="207" spans="1:11" ht="13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1278">
        <f>'FR-16(7)(v)-1 Functional'!G207</f>
        <v>0</v>
      </c>
      <c r="G207" s="542">
        <f t="shared" si="57"/>
        <v>0</v>
      </c>
      <c r="H207" s="533">
        <f t="shared" si="58"/>
        <v>0</v>
      </c>
      <c r="I207" s="534">
        <f t="shared" si="59"/>
        <v>0</v>
      </c>
      <c r="J207" s="345">
        <f t="shared" si="60"/>
        <v>0</v>
      </c>
      <c r="K207" s="345">
        <f t="shared" si="61"/>
        <v>0</v>
      </c>
    </row>
    <row r="208" spans="1:11" ht="13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1278">
        <f>'FR-16(7)(v)-1 Functional'!G208</f>
        <v>0</v>
      </c>
      <c r="G208" s="542">
        <f t="shared" si="57"/>
        <v>0</v>
      </c>
      <c r="H208" s="533">
        <f t="shared" si="58"/>
        <v>0</v>
      </c>
      <c r="I208" s="534">
        <f t="shared" si="59"/>
        <v>0</v>
      </c>
      <c r="J208" s="345">
        <f t="shared" si="60"/>
        <v>0</v>
      </c>
      <c r="K208" s="345">
        <f t="shared" si="61"/>
        <v>0</v>
      </c>
    </row>
    <row r="209" spans="1:11" ht="13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1278">
        <f>'FR-16(7)(v)-1 Functional'!G209</f>
        <v>-13973</v>
      </c>
      <c r="G209" s="542">
        <f t="shared" si="57"/>
        <v>0</v>
      </c>
      <c r="H209" s="533">
        <f t="shared" si="58"/>
        <v>-13973</v>
      </c>
      <c r="I209" s="534">
        <f t="shared" si="59"/>
        <v>0</v>
      </c>
      <c r="J209" s="345">
        <f t="shared" si="60"/>
        <v>-13973</v>
      </c>
      <c r="K209" s="345">
        <f t="shared" si="61"/>
        <v>0</v>
      </c>
    </row>
    <row r="210" spans="1:11" ht="13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1278">
        <f>'FR-16(7)(v)-1 Functional'!G210</f>
        <v>0</v>
      </c>
      <c r="G210" s="542">
        <f t="shared" si="57"/>
        <v>0</v>
      </c>
      <c r="H210" s="533">
        <f t="shared" si="58"/>
        <v>0</v>
      </c>
      <c r="I210" s="534">
        <f t="shared" si="59"/>
        <v>0</v>
      </c>
      <c r="J210" s="345">
        <f t="shared" si="60"/>
        <v>0</v>
      </c>
      <c r="K210" s="345">
        <f t="shared" si="61"/>
        <v>0</v>
      </c>
    </row>
    <row r="211" spans="1:11" ht="13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1278">
        <f>'FR-16(7)(v)-1 Functional'!G211</f>
        <v>0</v>
      </c>
      <c r="G211" s="542">
        <f t="shared" si="57"/>
        <v>0</v>
      </c>
      <c r="H211" s="533">
        <f t="shared" si="58"/>
        <v>0</v>
      </c>
      <c r="I211" s="534">
        <f t="shared" si="59"/>
        <v>0</v>
      </c>
      <c r="J211" s="345">
        <f t="shared" si="60"/>
        <v>0</v>
      </c>
      <c r="K211" s="345">
        <f t="shared" si="61"/>
        <v>0</v>
      </c>
    </row>
    <row r="212" spans="1:11" ht="13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1278">
        <f>'FR-16(7)(v)-1 Functional'!G212</f>
        <v>-96937</v>
      </c>
      <c r="G212" s="542">
        <f t="shared" si="57"/>
        <v>0</v>
      </c>
      <c r="H212" s="533">
        <f t="shared" si="58"/>
        <v>-96937</v>
      </c>
      <c r="I212" s="534">
        <f t="shared" si="59"/>
        <v>0</v>
      </c>
      <c r="J212" s="345">
        <f t="shared" si="60"/>
        <v>-96937</v>
      </c>
      <c r="K212" s="345">
        <f t="shared" si="61"/>
        <v>0</v>
      </c>
    </row>
    <row r="213" spans="1:11" ht="13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1278">
        <f>'FR-16(7)(v)-1 Functional'!G213</f>
        <v>0</v>
      </c>
      <c r="G213" s="542">
        <f t="shared" si="57"/>
        <v>0</v>
      </c>
      <c r="H213" s="533">
        <f t="shared" si="58"/>
        <v>0</v>
      </c>
      <c r="I213" s="534">
        <f t="shared" si="59"/>
        <v>0</v>
      </c>
      <c r="J213" s="345">
        <f t="shared" si="60"/>
        <v>0</v>
      </c>
      <c r="K213" s="345">
        <f t="shared" si="61"/>
        <v>0</v>
      </c>
    </row>
    <row r="214" spans="1:11" ht="13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1278">
        <f>'FR-16(7)(v)-1 Functional'!G214</f>
        <v>70244.904109597206</v>
      </c>
      <c r="G214" s="542">
        <f t="shared" si="57"/>
        <v>-9.5890402793884277E-2</v>
      </c>
      <c r="H214" s="533">
        <f t="shared" si="58"/>
        <v>70245</v>
      </c>
      <c r="I214" s="534">
        <f t="shared" si="59"/>
        <v>0</v>
      </c>
      <c r="J214" s="345">
        <f t="shared" si="60"/>
        <v>70244.904109597206</v>
      </c>
      <c r="K214" s="345">
        <f t="shared" si="61"/>
        <v>0</v>
      </c>
    </row>
    <row r="215" spans="1:11" ht="13">
      <c r="A215" s="331">
        <v>13</v>
      </c>
      <c r="C215" s="337" t="str">
        <f>'FR-16(7)(v)-1 Functional'!C215</f>
        <v xml:space="preserve">  TOTAL ACCOUNT 282</v>
      </c>
      <c r="D215" s="342"/>
      <c r="F215" s="1279">
        <f t="shared" ref="F215:K215" si="62">SUM(F206:F214)</f>
        <v>552314.90410959721</v>
      </c>
      <c r="G215" s="543">
        <f t="shared" si="62"/>
        <v>-9.5890402793884277E-2</v>
      </c>
      <c r="H215" s="535">
        <f t="shared" si="62"/>
        <v>552315</v>
      </c>
      <c r="I215" s="536">
        <f t="shared" si="62"/>
        <v>0</v>
      </c>
      <c r="J215" s="346">
        <f t="shared" si="62"/>
        <v>552314.90410959721</v>
      </c>
      <c r="K215" s="346">
        <f t="shared" si="62"/>
        <v>0</v>
      </c>
    </row>
    <row r="216" spans="1:11" ht="13">
      <c r="A216" s="331">
        <v>14</v>
      </c>
      <c r="D216" s="342"/>
      <c r="E216" s="195"/>
      <c r="G216" s="541"/>
      <c r="H216" s="531"/>
      <c r="I216" s="532"/>
    </row>
    <row r="217" spans="1:11" ht="13">
      <c r="A217" s="331">
        <v>15</v>
      </c>
      <c r="B217" s="330" t="s">
        <v>28</v>
      </c>
      <c r="D217" s="342"/>
      <c r="E217" s="195"/>
      <c r="G217" s="541"/>
      <c r="H217" s="531"/>
      <c r="I217" s="532"/>
    </row>
    <row r="218" spans="1:11" ht="13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3">
        <f>'FR-16(7)(v)-1 Functional'!G218</f>
        <v>0</v>
      </c>
      <c r="G218" s="542">
        <f t="shared" ref="G218:G228" si="63">F218-SUM(H218:I218)</f>
        <v>0</v>
      </c>
      <c r="H218" s="533">
        <f t="shared" ref="H218:H225" si="64">ROUND(F218*VLOOKUP(D218,AllocTable_Classified_Production,$H$10,FALSE),0)</f>
        <v>0</v>
      </c>
      <c r="I218" s="534">
        <f t="shared" ref="I218:I225" si="65">ROUND(F218*VLOOKUP(D218,AllocTable_Classified_Production,$I$10,FALSE),0)</f>
        <v>0</v>
      </c>
      <c r="J218" s="345">
        <f t="shared" ref="J218:J228" si="66">SUM(G218:I218)</f>
        <v>0</v>
      </c>
      <c r="K218" s="345">
        <f t="shared" ref="K218:K228" si="67">F218-J218</f>
        <v>0</v>
      </c>
    </row>
    <row r="219" spans="1:11" ht="13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3">
        <f>'FR-16(7)(v)-1 Functional'!G219</f>
        <v>0</v>
      </c>
      <c r="G219" s="542">
        <f t="shared" si="63"/>
        <v>0</v>
      </c>
      <c r="H219" s="533">
        <f t="shared" si="64"/>
        <v>0</v>
      </c>
      <c r="I219" s="534">
        <f t="shared" si="65"/>
        <v>0</v>
      </c>
      <c r="J219" s="345">
        <f t="shared" si="66"/>
        <v>0</v>
      </c>
      <c r="K219" s="345">
        <f t="shared" si="67"/>
        <v>0</v>
      </c>
    </row>
    <row r="220" spans="1:11" ht="13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3">
        <f>'FR-16(7)(v)-1 Functional'!G220</f>
        <v>0</v>
      </c>
      <c r="G220" s="542">
        <f t="shared" si="63"/>
        <v>0</v>
      </c>
      <c r="H220" s="533">
        <f t="shared" si="64"/>
        <v>0</v>
      </c>
      <c r="I220" s="534">
        <f t="shared" si="65"/>
        <v>0</v>
      </c>
      <c r="J220" s="345">
        <f t="shared" si="66"/>
        <v>0</v>
      </c>
      <c r="K220" s="345">
        <f t="shared" si="67"/>
        <v>0</v>
      </c>
    </row>
    <row r="221" spans="1:11" ht="13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3">
        <f>'FR-16(7)(v)-1 Functional'!G221</f>
        <v>0</v>
      </c>
      <c r="G221" s="542">
        <f t="shared" si="63"/>
        <v>0</v>
      </c>
      <c r="H221" s="533">
        <f t="shared" si="64"/>
        <v>0</v>
      </c>
      <c r="I221" s="534">
        <f t="shared" si="65"/>
        <v>0</v>
      </c>
      <c r="J221" s="345">
        <f t="shared" si="66"/>
        <v>0</v>
      </c>
      <c r="K221" s="345">
        <f t="shared" si="67"/>
        <v>0</v>
      </c>
    </row>
    <row r="222" spans="1:11" ht="13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3">
        <f>'FR-16(7)(v)-1 Functional'!G222</f>
        <v>0</v>
      </c>
      <c r="G222" s="542">
        <f t="shared" si="63"/>
        <v>0</v>
      </c>
      <c r="H222" s="533">
        <f t="shared" si="64"/>
        <v>0</v>
      </c>
      <c r="I222" s="534">
        <f t="shared" si="65"/>
        <v>0</v>
      </c>
      <c r="J222" s="345">
        <f t="shared" si="66"/>
        <v>0</v>
      </c>
      <c r="K222" s="345">
        <f t="shared" si="67"/>
        <v>0</v>
      </c>
    </row>
    <row r="223" spans="1:11" ht="13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3">
        <f>'FR-16(7)(v)-1 Functional'!G223</f>
        <v>0</v>
      </c>
      <c r="G223" s="542">
        <f t="shared" si="63"/>
        <v>0</v>
      </c>
      <c r="H223" s="533">
        <f t="shared" si="64"/>
        <v>0</v>
      </c>
      <c r="I223" s="534">
        <f t="shared" si="65"/>
        <v>0</v>
      </c>
      <c r="J223" s="345">
        <f t="shared" si="66"/>
        <v>0</v>
      </c>
      <c r="K223" s="345">
        <f t="shared" si="67"/>
        <v>0</v>
      </c>
    </row>
    <row r="224" spans="1:11" ht="13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3">
        <f>'FR-16(7)(v)-1 Functional'!G224</f>
        <v>0</v>
      </c>
      <c r="G224" s="542">
        <f t="shared" si="63"/>
        <v>0</v>
      </c>
      <c r="H224" s="533">
        <f t="shared" si="64"/>
        <v>0</v>
      </c>
      <c r="I224" s="534">
        <f t="shared" si="65"/>
        <v>0</v>
      </c>
      <c r="J224" s="345">
        <f t="shared" si="66"/>
        <v>0</v>
      </c>
      <c r="K224" s="345">
        <f t="shared" si="67"/>
        <v>0</v>
      </c>
    </row>
    <row r="225" spans="1:11" ht="13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3">
        <f>'FR-16(7)(v)-1 Functional'!G225</f>
        <v>0</v>
      </c>
      <c r="G225" s="542">
        <f t="shared" si="63"/>
        <v>0</v>
      </c>
      <c r="H225" s="533">
        <f t="shared" si="64"/>
        <v>0</v>
      </c>
      <c r="I225" s="534">
        <f t="shared" si="65"/>
        <v>0</v>
      </c>
      <c r="J225" s="345">
        <f t="shared" si="66"/>
        <v>0</v>
      </c>
      <c r="K225" s="345">
        <f t="shared" si="67"/>
        <v>0</v>
      </c>
    </row>
    <row r="226" spans="1:11" ht="13">
      <c r="A226" s="331">
        <v>24</v>
      </c>
      <c r="C226" s="612" t="str">
        <f>'FR-16(7)(v)-1 Functional'!C226</f>
        <v>RATE CASE EXPENSE AMORT</v>
      </c>
      <c r="D226" s="342" t="str">
        <f>'FR-16(7)(v)-1 Functional'!D226</f>
        <v>AG39</v>
      </c>
      <c r="F226" s="473">
        <f>'FR-16(7)(v)-1 Functional'!G226</f>
        <v>0</v>
      </c>
      <c r="G226" s="542">
        <f>F226-SUM(H226:I226)</f>
        <v>0</v>
      </c>
      <c r="H226" s="533">
        <f>ROUND(F226*VLOOKUP(D226,AllocTable_Classified_Production,$H$10,FALSE),0)</f>
        <v>0</v>
      </c>
      <c r="I226" s="534">
        <f>ROUND(F226*VLOOKUP(D226,AllocTable_Classified_Production,$I$10,FALSE),0)</f>
        <v>0</v>
      </c>
      <c r="J226" s="345">
        <f>SUM(G226:I226)</f>
        <v>0</v>
      </c>
      <c r="K226" s="345">
        <f>F226-J226</f>
        <v>0</v>
      </c>
    </row>
    <row r="227" spans="1:11" ht="13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3">
        <f>'FR-16(7)(v)-1 Functional'!G227</f>
        <v>0</v>
      </c>
      <c r="G227" s="542">
        <f>F227-SUM(H227:I227)</f>
        <v>0</v>
      </c>
      <c r="H227" s="533">
        <f>ROUND(F227*VLOOKUP(D227,AllocTable_Classified_Production,$H$10,FALSE),0)</f>
        <v>0</v>
      </c>
      <c r="I227" s="534">
        <f>ROUND(F227*VLOOKUP(D227,AllocTable_Classified_Production,$I$10,FALSE),0)</f>
        <v>0</v>
      </c>
      <c r="J227" s="345">
        <f>SUM(G227:I227)</f>
        <v>0</v>
      </c>
      <c r="K227" s="345">
        <f>F227-J227</f>
        <v>0</v>
      </c>
    </row>
    <row r="228" spans="1:11" ht="13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3">
        <f>'FR-16(7)(v)-1 Functional'!G228</f>
        <v>0</v>
      </c>
      <c r="G228" s="542">
        <f t="shared" si="63"/>
        <v>0</v>
      </c>
      <c r="H228" s="533">
        <f>ROUND(F228*VLOOKUP(D228,AllocTable_Classified_Production,$H$10,FALSE),0)</f>
        <v>0</v>
      </c>
      <c r="I228" s="534">
        <f>ROUND(F228*VLOOKUP(D228,AllocTable_Classified_Production,$I$10,FALSE),0)</f>
        <v>0</v>
      </c>
      <c r="J228" s="345">
        <f t="shared" si="66"/>
        <v>0</v>
      </c>
      <c r="K228" s="345">
        <f t="shared" si="67"/>
        <v>0</v>
      </c>
    </row>
    <row r="229" spans="1:11" ht="13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K229" si="68">SUM(F217:F228)</f>
        <v>0</v>
      </c>
      <c r="G229" s="543">
        <f t="shared" si="68"/>
        <v>0</v>
      </c>
      <c r="H229" s="535">
        <f t="shared" si="68"/>
        <v>0</v>
      </c>
      <c r="I229" s="536">
        <f t="shared" si="68"/>
        <v>0</v>
      </c>
      <c r="J229" s="346">
        <f t="shared" si="68"/>
        <v>0</v>
      </c>
      <c r="K229" s="346">
        <f t="shared" si="68"/>
        <v>0</v>
      </c>
    </row>
    <row r="230" spans="1:11" ht="13">
      <c r="A230" s="331">
        <v>28</v>
      </c>
      <c r="D230" s="342"/>
      <c r="E230" s="195"/>
      <c r="G230" s="541"/>
      <c r="H230" s="531"/>
      <c r="I230" s="532"/>
    </row>
    <row r="231" spans="1:11" ht="13">
      <c r="A231" s="331">
        <v>29</v>
      </c>
      <c r="B231" s="351" t="s">
        <v>817</v>
      </c>
      <c r="C231" s="351"/>
      <c r="D231" s="342"/>
      <c r="E231" s="195"/>
      <c r="G231" s="541"/>
      <c r="H231" s="531"/>
      <c r="I231" s="532"/>
    </row>
    <row r="232" spans="1:11" ht="13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3">
        <f>'FR-16(7)(v)-1 Functional'!G232</f>
        <v>0</v>
      </c>
      <c r="G232" s="542">
        <f>F232-SUM(H232:I232)</f>
        <v>0</v>
      </c>
      <c r="H232" s="533">
        <f>ROUND(F232*VLOOKUP(D232,AllocTable_Classified_Production,$H$10,FALSE),0)</f>
        <v>0</v>
      </c>
      <c r="I232" s="534">
        <f>ROUND(F232*VLOOKUP(D232,AllocTable_Classified_Production,$I$10,FALSE),0)</f>
        <v>0</v>
      </c>
      <c r="J232" s="345">
        <f>SUM(G232:I232)</f>
        <v>0</v>
      </c>
      <c r="K232" s="345">
        <f>F232-J232</f>
        <v>0</v>
      </c>
    </row>
    <row r="233" spans="1:11" ht="13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3">
        <f>'FR-16(7)(v)-1 Functional'!G233</f>
        <v>0</v>
      </c>
      <c r="G233" s="542">
        <f>F233-SUM(H233:I233)</f>
        <v>0</v>
      </c>
      <c r="H233" s="533">
        <f>ROUND(F233*VLOOKUP(D233,AllocTable_Classified_Production,$H$10,FALSE),0)</f>
        <v>0</v>
      </c>
      <c r="I233" s="534">
        <f>ROUND(F233*VLOOKUP(D233,AllocTable_Classified_Production,$I$10,FALSE),0)</f>
        <v>0</v>
      </c>
      <c r="J233" s="345">
        <f>SUM(G233:I233)</f>
        <v>0</v>
      </c>
      <c r="K233" s="345">
        <f>F233-J233</f>
        <v>0</v>
      </c>
    </row>
    <row r="234" spans="1:11" ht="13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3">
        <f>'FR-16(7)(v)-1 Functional'!G234</f>
        <v>0</v>
      </c>
      <c r="G234" s="542">
        <f>F234-SUM(H234:I234)</f>
        <v>0</v>
      </c>
      <c r="H234" s="533">
        <f>ROUND(F234*VLOOKUP(D234,AllocTable_Classified_Production,$H$10,FALSE),0)</f>
        <v>0</v>
      </c>
      <c r="I234" s="534">
        <f>ROUND(F234*VLOOKUP(D234,AllocTable_Classified_Production,$I$10,FALSE),0)</f>
        <v>0</v>
      </c>
      <c r="J234" s="345">
        <f>SUM(G234:I234)</f>
        <v>0</v>
      </c>
      <c r="K234" s="345">
        <f>F234-J234</f>
        <v>0</v>
      </c>
    </row>
    <row r="235" spans="1:11" ht="13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3">
        <f>'FR-16(7)(v)-1 Functional'!G235</f>
        <v>262844</v>
      </c>
      <c r="G235" s="542">
        <f>F235-SUM(H235:I235)</f>
        <v>0</v>
      </c>
      <c r="H235" s="533">
        <f>ROUND(F235*VLOOKUP(D235,AllocTable_Classified_Production,$H$10,FALSE),0)</f>
        <v>262844</v>
      </c>
      <c r="I235" s="534">
        <f>ROUND(F235*VLOOKUP(D235,AllocTable_Classified_Production,$I$10,FALSE),0)</f>
        <v>0</v>
      </c>
      <c r="J235" s="345">
        <f>SUM(G235:I235)</f>
        <v>262844</v>
      </c>
      <c r="K235" s="345">
        <f>F235-J235</f>
        <v>0</v>
      </c>
    </row>
    <row r="236" spans="1:11" ht="13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K236" si="69">SUM(F231:F235)</f>
        <v>262844</v>
      </c>
      <c r="G236" s="543">
        <f t="shared" si="69"/>
        <v>0</v>
      </c>
      <c r="H236" s="535">
        <f t="shared" si="69"/>
        <v>262844</v>
      </c>
      <c r="I236" s="536">
        <f t="shared" si="69"/>
        <v>0</v>
      </c>
      <c r="J236" s="346">
        <f t="shared" si="69"/>
        <v>262844</v>
      </c>
      <c r="K236" s="346">
        <f t="shared" si="69"/>
        <v>0</v>
      </c>
    </row>
    <row r="237" spans="1:11" ht="13">
      <c r="A237" s="331">
        <v>35</v>
      </c>
      <c r="D237" s="342"/>
      <c r="E237" s="195"/>
      <c r="G237" s="541"/>
      <c r="H237" s="531"/>
      <c r="I237" s="532"/>
    </row>
    <row r="238" spans="1:11" ht="13">
      <c r="A238" s="331">
        <v>36</v>
      </c>
      <c r="B238" s="330" t="s">
        <v>821</v>
      </c>
      <c r="D238" s="342"/>
      <c r="E238" s="195"/>
      <c r="F238" s="345">
        <f t="shared" ref="F238:K238" si="70">F236+F229+F215</f>
        <v>815158.90410959721</v>
      </c>
      <c r="G238" s="544">
        <f t="shared" si="70"/>
        <v>-9.5890402793884277E-2</v>
      </c>
      <c r="H238" s="537">
        <f t="shared" si="70"/>
        <v>815159</v>
      </c>
      <c r="I238" s="538">
        <f t="shared" si="70"/>
        <v>0</v>
      </c>
      <c r="J238" s="345">
        <f t="shared" si="70"/>
        <v>815158.90410959721</v>
      </c>
      <c r="K238" s="345">
        <f t="shared" si="70"/>
        <v>0</v>
      </c>
    </row>
    <row r="239" spans="1:11" ht="13">
      <c r="B239" s="341"/>
      <c r="C239" s="195"/>
      <c r="D239" s="342"/>
      <c r="E239" s="195"/>
      <c r="F239" s="195"/>
      <c r="G239" s="195"/>
      <c r="H239" s="195"/>
      <c r="I239" s="195"/>
      <c r="J239" s="195"/>
      <c r="K239" s="195"/>
    </row>
    <row r="240" spans="1:11" ht="13">
      <c r="A240" s="341" t="str">
        <f>co_name</f>
        <v>DUKE ENERGY KENTUCKY, INC.</v>
      </c>
      <c r="C240" s="195"/>
      <c r="D240" s="342"/>
      <c r="E240" s="195"/>
      <c r="F240" s="195"/>
      <c r="G240" s="195"/>
      <c r="H240" s="195"/>
      <c r="I240" s="195"/>
      <c r="J240" s="195" t="str">
        <f>$J$1</f>
        <v>FR-16(7)(v)-2</v>
      </c>
      <c r="K240" s="195"/>
    </row>
    <row r="241" spans="1:11" ht="13">
      <c r="A241" s="341" t="str">
        <f>$A$2</f>
        <v>PRODUCTION CLASSIFIED - GAS COST OF SERVICE</v>
      </c>
      <c r="C241" s="195"/>
      <c r="D241" s="342"/>
      <c r="E241" s="195"/>
      <c r="F241" s="195"/>
      <c r="G241" s="195"/>
      <c r="H241" s="195"/>
      <c r="I241" s="195"/>
      <c r="J241" s="195" t="str">
        <f>$J$2</f>
        <v>WITNESS RESPONSIBLE:</v>
      </c>
      <c r="K241" s="195"/>
    </row>
    <row r="242" spans="1:11" ht="13">
      <c r="A242" s="341" t="str">
        <f>case_name</f>
        <v>CASE NO: 2021-00190</v>
      </c>
      <c r="C242" s="195"/>
      <c r="D242" s="342"/>
      <c r="E242" s="195"/>
      <c r="F242" s="195"/>
      <c r="G242" s="195"/>
      <c r="H242" s="195"/>
      <c r="I242" s="195"/>
      <c r="J242" s="195" t="str">
        <f>Witness</f>
        <v>JAMES E. ZIOLKOWSKI</v>
      </c>
      <c r="K242" s="195"/>
    </row>
    <row r="243" spans="1:11" ht="13">
      <c r="A243" s="341" t="str">
        <f>data_filing</f>
        <v>DATA: 12 MONTH FORECASTED PERIOD</v>
      </c>
      <c r="C243" s="195"/>
      <c r="D243" s="342"/>
      <c r="E243" s="195"/>
      <c r="F243" s="195"/>
      <c r="G243" s="195"/>
      <c r="H243" s="195"/>
      <c r="I243" s="195"/>
      <c r="J243" s="195" t="str">
        <f>"PAGE "&amp;Pages-12&amp;" OF "&amp;Pages</f>
        <v>PAGE 6 OF 18</v>
      </c>
      <c r="K243" s="195"/>
    </row>
    <row r="244" spans="1:11" ht="13">
      <c r="A244" s="341" t="str">
        <f>type</f>
        <v xml:space="preserve">TYPE OF FILING: "X" ORIGINAL   UPDATED    REVISED  </v>
      </c>
      <c r="C244" s="195"/>
      <c r="D244" s="342"/>
      <c r="E244" s="195"/>
      <c r="F244" s="195"/>
      <c r="G244" s="195"/>
      <c r="H244" s="195"/>
      <c r="I244" s="195"/>
      <c r="J244" s="195"/>
      <c r="K244" s="195"/>
    </row>
    <row r="245" spans="1:11" ht="13">
      <c r="B245" s="341"/>
      <c r="C245" s="195"/>
      <c r="D245" s="342"/>
      <c r="E245" s="195"/>
      <c r="F245" s="195"/>
      <c r="G245" s="195"/>
      <c r="H245" s="195"/>
      <c r="I245" s="195"/>
      <c r="J245" s="195"/>
      <c r="K245" s="195"/>
    </row>
    <row r="246" spans="1:11" ht="13">
      <c r="B246" s="341"/>
      <c r="C246" s="195"/>
      <c r="D246" s="342"/>
      <c r="E246" s="195"/>
      <c r="F246" s="195"/>
      <c r="G246" s="195"/>
      <c r="H246" s="195"/>
      <c r="I246" s="195"/>
      <c r="J246" s="195"/>
      <c r="K246" s="195"/>
    </row>
    <row r="247" spans="1:11" ht="13">
      <c r="A247" s="342" t="s">
        <v>907</v>
      </c>
      <c r="B247" s="195"/>
      <c r="C247" s="195"/>
      <c r="D247" s="342"/>
      <c r="E247" s="195"/>
      <c r="F247" s="342" t="str">
        <f>$F$8</f>
        <v>TOTAL</v>
      </c>
      <c r="G247" s="539" t="s">
        <v>995</v>
      </c>
      <c r="H247" s="527"/>
      <c r="I247" s="528"/>
      <c r="J247" s="342" t="s">
        <v>229</v>
      </c>
      <c r="K247" s="342" t="s">
        <v>342</v>
      </c>
    </row>
    <row r="248" spans="1:11" ht="13">
      <c r="A248" s="344" t="s">
        <v>908</v>
      </c>
      <c r="B248" s="343" t="s">
        <v>947</v>
      </c>
      <c r="C248" s="343"/>
      <c r="D248" s="344" t="s">
        <v>337</v>
      </c>
      <c r="E248" s="343"/>
      <c r="F248" s="344" t="str">
        <f>$F$9</f>
        <v>PRODUCTION</v>
      </c>
      <c r="G248" s="540" t="s">
        <v>840</v>
      </c>
      <c r="H248" s="529" t="s">
        <v>841</v>
      </c>
      <c r="I248" s="530" t="s">
        <v>842</v>
      </c>
      <c r="J248" s="344" t="s">
        <v>341</v>
      </c>
      <c r="K248" s="344" t="s">
        <v>340</v>
      </c>
    </row>
    <row r="249" spans="1:11" ht="13">
      <c r="C249" s="572" t="s">
        <v>555</v>
      </c>
      <c r="D249" s="342"/>
      <c r="E249" s="195"/>
      <c r="G249" s="793">
        <f>$G$10</f>
        <v>3</v>
      </c>
      <c r="H249" s="794">
        <f>$H$10</f>
        <v>4</v>
      </c>
      <c r="I249" s="795">
        <f>$I$10</f>
        <v>5</v>
      </c>
    </row>
    <row r="250" spans="1:11" ht="13">
      <c r="A250" s="331">
        <v>1</v>
      </c>
      <c r="B250" s="330" t="s">
        <v>819</v>
      </c>
      <c r="D250" s="342"/>
      <c r="E250" s="195"/>
      <c r="G250" s="545"/>
      <c r="H250" s="546"/>
      <c r="I250" s="547"/>
    </row>
    <row r="251" spans="1:11" ht="13">
      <c r="A251" s="331">
        <v>2</v>
      </c>
      <c r="B251" s="330" t="s">
        <v>29</v>
      </c>
      <c r="D251" s="342"/>
      <c r="E251" s="195"/>
      <c r="G251" s="541"/>
      <c r="H251" s="531"/>
      <c r="I251" s="532"/>
    </row>
    <row r="252" spans="1:11" ht="13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3">
        <f>'FR-16(7)(v)-1 Functional'!G252</f>
        <v>0</v>
      </c>
      <c r="G252" s="542">
        <f>F252-SUM(H252:I252)</f>
        <v>0</v>
      </c>
      <c r="H252" s="533">
        <f t="shared" ref="H252:H274" si="71">ROUND(F252*VLOOKUP(D252,AllocTable_Classified_Production,$H$10,FALSE),0)</f>
        <v>0</v>
      </c>
      <c r="I252" s="534">
        <f t="shared" ref="I252:I274" si="72">ROUND(F252*VLOOKUP(D252,AllocTable_Classified_Production,$I$10,FALSE),0)</f>
        <v>0</v>
      </c>
      <c r="J252" s="345">
        <f t="shared" ref="J252:J274" si="73">SUM(G252:I252)</f>
        <v>0</v>
      </c>
      <c r="K252" s="345">
        <f t="shared" ref="K252:K274" si="74">F252-J252</f>
        <v>0</v>
      </c>
    </row>
    <row r="253" spans="1:11" ht="13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3">
        <f>'FR-16(7)(v)-1 Functional'!G253</f>
        <v>0</v>
      </c>
      <c r="G253" s="542">
        <f t="shared" ref="G253:G274" si="75">F253-SUM(H253:I253)</f>
        <v>0</v>
      </c>
      <c r="H253" s="533">
        <f t="shared" si="71"/>
        <v>0</v>
      </c>
      <c r="I253" s="534">
        <f t="shared" si="72"/>
        <v>0</v>
      </c>
      <c r="J253" s="345">
        <f t="shared" si="73"/>
        <v>0</v>
      </c>
      <c r="K253" s="345">
        <f t="shared" si="74"/>
        <v>0</v>
      </c>
    </row>
    <row r="254" spans="1:11" ht="13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3">
        <f>'FR-16(7)(v)-1 Functional'!G254</f>
        <v>0</v>
      </c>
      <c r="G254" s="542">
        <f t="shared" si="75"/>
        <v>0</v>
      </c>
      <c r="H254" s="533">
        <f t="shared" si="71"/>
        <v>0</v>
      </c>
      <c r="I254" s="534">
        <f t="shared" si="72"/>
        <v>0</v>
      </c>
      <c r="J254" s="345">
        <f t="shared" si="73"/>
        <v>0</v>
      </c>
      <c r="K254" s="345">
        <f t="shared" si="74"/>
        <v>0</v>
      </c>
    </row>
    <row r="255" spans="1:11" ht="13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3">
        <f>'FR-16(7)(v)-1 Functional'!G255</f>
        <v>0</v>
      </c>
      <c r="G255" s="542">
        <f t="shared" si="75"/>
        <v>0</v>
      </c>
      <c r="H255" s="533">
        <f t="shared" si="71"/>
        <v>0</v>
      </c>
      <c r="I255" s="534">
        <f t="shared" si="72"/>
        <v>0</v>
      </c>
      <c r="J255" s="345">
        <f t="shared" si="73"/>
        <v>0</v>
      </c>
      <c r="K255" s="345">
        <f t="shared" si="74"/>
        <v>0</v>
      </c>
    </row>
    <row r="256" spans="1:11" ht="13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3">
        <f>'FR-16(7)(v)-1 Functional'!G256</f>
        <v>0</v>
      </c>
      <c r="G256" s="542">
        <f t="shared" si="75"/>
        <v>0</v>
      </c>
      <c r="H256" s="533">
        <f t="shared" si="71"/>
        <v>0</v>
      </c>
      <c r="I256" s="534">
        <f t="shared" si="72"/>
        <v>0</v>
      </c>
      <c r="J256" s="345">
        <f t="shared" si="73"/>
        <v>0</v>
      </c>
      <c r="K256" s="345">
        <f t="shared" si="74"/>
        <v>0</v>
      </c>
    </row>
    <row r="257" spans="1:11" ht="13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3">
        <f>'FR-16(7)(v)-1 Functional'!G257</f>
        <v>0</v>
      </c>
      <c r="G257" s="542">
        <f t="shared" si="75"/>
        <v>0</v>
      </c>
      <c r="H257" s="533">
        <f t="shared" si="71"/>
        <v>0</v>
      </c>
      <c r="I257" s="534">
        <f t="shared" si="72"/>
        <v>0</v>
      </c>
      <c r="J257" s="345">
        <f t="shared" si="73"/>
        <v>0</v>
      </c>
      <c r="K257" s="345">
        <f t="shared" si="74"/>
        <v>0</v>
      </c>
    </row>
    <row r="258" spans="1:11" ht="13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3">
        <f>'FR-16(7)(v)-1 Functional'!G258</f>
        <v>0</v>
      </c>
      <c r="G258" s="542">
        <f t="shared" si="75"/>
        <v>0</v>
      </c>
      <c r="H258" s="533">
        <f t="shared" si="71"/>
        <v>0</v>
      </c>
      <c r="I258" s="534">
        <f t="shared" si="72"/>
        <v>0</v>
      </c>
      <c r="J258" s="345">
        <f t="shared" si="73"/>
        <v>0</v>
      </c>
      <c r="K258" s="345">
        <f t="shared" si="74"/>
        <v>0</v>
      </c>
    </row>
    <row r="259" spans="1:11" ht="13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3">
        <f>'FR-16(7)(v)-1 Functional'!G259</f>
        <v>0</v>
      </c>
      <c r="G259" s="542">
        <f t="shared" si="75"/>
        <v>0</v>
      </c>
      <c r="H259" s="533">
        <f t="shared" si="71"/>
        <v>0</v>
      </c>
      <c r="I259" s="534">
        <f t="shared" si="72"/>
        <v>0</v>
      </c>
      <c r="J259" s="345">
        <f t="shared" si="73"/>
        <v>0</v>
      </c>
      <c r="K259" s="345">
        <f t="shared" si="74"/>
        <v>0</v>
      </c>
    </row>
    <row r="260" spans="1:11" ht="13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3">
        <f>'FR-16(7)(v)-1 Functional'!G260</f>
        <v>0</v>
      </c>
      <c r="G260" s="542">
        <f t="shared" si="75"/>
        <v>0</v>
      </c>
      <c r="H260" s="533">
        <f t="shared" si="71"/>
        <v>0</v>
      </c>
      <c r="I260" s="534">
        <f t="shared" si="72"/>
        <v>0</v>
      </c>
      <c r="J260" s="345">
        <f t="shared" si="73"/>
        <v>0</v>
      </c>
      <c r="K260" s="345">
        <f t="shared" si="74"/>
        <v>0</v>
      </c>
    </row>
    <row r="261" spans="1:11" ht="13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3">
        <f>'FR-16(7)(v)-1 Functional'!G261</f>
        <v>0</v>
      </c>
      <c r="G261" s="542">
        <f t="shared" si="75"/>
        <v>0</v>
      </c>
      <c r="H261" s="533">
        <f t="shared" si="71"/>
        <v>0</v>
      </c>
      <c r="I261" s="534">
        <f t="shared" si="72"/>
        <v>0</v>
      </c>
      <c r="J261" s="345">
        <f t="shared" si="73"/>
        <v>0</v>
      </c>
      <c r="K261" s="345">
        <f t="shared" si="74"/>
        <v>0</v>
      </c>
    </row>
    <row r="262" spans="1:11" ht="13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3">
        <f>'FR-16(7)(v)-1 Functional'!G262</f>
        <v>0</v>
      </c>
      <c r="G262" s="542">
        <f t="shared" si="75"/>
        <v>0</v>
      </c>
      <c r="H262" s="533">
        <f t="shared" si="71"/>
        <v>0</v>
      </c>
      <c r="I262" s="534">
        <f t="shared" si="72"/>
        <v>0</v>
      </c>
      <c r="J262" s="345">
        <f t="shared" si="73"/>
        <v>0</v>
      </c>
      <c r="K262" s="345">
        <f t="shared" si="74"/>
        <v>0</v>
      </c>
    </row>
    <row r="263" spans="1:11" ht="13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3">
        <f>'FR-16(7)(v)-1 Functional'!G263</f>
        <v>0</v>
      </c>
      <c r="G263" s="542">
        <f t="shared" si="75"/>
        <v>0</v>
      </c>
      <c r="H263" s="533">
        <f t="shared" si="71"/>
        <v>0</v>
      </c>
      <c r="I263" s="534">
        <f t="shared" si="72"/>
        <v>0</v>
      </c>
      <c r="J263" s="345">
        <f t="shared" si="73"/>
        <v>0</v>
      </c>
      <c r="K263" s="345">
        <f t="shared" si="74"/>
        <v>0</v>
      </c>
    </row>
    <row r="264" spans="1:11" ht="13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3">
        <f>'FR-16(7)(v)-1 Functional'!G264</f>
        <v>0</v>
      </c>
      <c r="G264" s="542">
        <f t="shared" si="75"/>
        <v>0</v>
      </c>
      <c r="H264" s="533">
        <f t="shared" si="71"/>
        <v>0</v>
      </c>
      <c r="I264" s="534">
        <f t="shared" si="72"/>
        <v>0</v>
      </c>
      <c r="J264" s="345">
        <f t="shared" si="73"/>
        <v>0</v>
      </c>
      <c r="K264" s="345">
        <f t="shared" si="74"/>
        <v>0</v>
      </c>
    </row>
    <row r="265" spans="1:11" ht="13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3">
        <f>'FR-16(7)(v)-1 Functional'!G265</f>
        <v>0</v>
      </c>
      <c r="G265" s="542">
        <f t="shared" si="75"/>
        <v>0</v>
      </c>
      <c r="H265" s="533">
        <f t="shared" si="71"/>
        <v>0</v>
      </c>
      <c r="I265" s="534">
        <f t="shared" si="72"/>
        <v>0</v>
      </c>
      <c r="J265" s="345">
        <f t="shared" si="73"/>
        <v>0</v>
      </c>
      <c r="K265" s="345">
        <f t="shared" si="74"/>
        <v>0</v>
      </c>
    </row>
    <row r="266" spans="1:11" ht="13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3">
        <f>'FR-16(7)(v)-1 Functional'!G266</f>
        <v>0</v>
      </c>
      <c r="G266" s="542">
        <f t="shared" si="75"/>
        <v>0</v>
      </c>
      <c r="H266" s="533">
        <f t="shared" si="71"/>
        <v>0</v>
      </c>
      <c r="I266" s="534">
        <f t="shared" si="72"/>
        <v>0</v>
      </c>
      <c r="J266" s="345">
        <f t="shared" si="73"/>
        <v>0</v>
      </c>
      <c r="K266" s="345">
        <f t="shared" si="74"/>
        <v>0</v>
      </c>
    </row>
    <row r="267" spans="1:11" ht="13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3">
        <f>'FR-16(7)(v)-1 Functional'!G267</f>
        <v>0</v>
      </c>
      <c r="G267" s="542">
        <f t="shared" si="75"/>
        <v>0</v>
      </c>
      <c r="H267" s="533">
        <f t="shared" si="71"/>
        <v>0</v>
      </c>
      <c r="I267" s="534">
        <f t="shared" si="72"/>
        <v>0</v>
      </c>
      <c r="J267" s="345">
        <f t="shared" si="73"/>
        <v>0</v>
      </c>
      <c r="K267" s="345">
        <f t="shared" si="74"/>
        <v>0</v>
      </c>
    </row>
    <row r="268" spans="1:11" ht="13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3">
        <f>'FR-16(7)(v)-1 Functional'!G268</f>
        <v>0</v>
      </c>
      <c r="G268" s="542">
        <f t="shared" si="75"/>
        <v>0</v>
      </c>
      <c r="H268" s="533">
        <f t="shared" si="71"/>
        <v>0</v>
      </c>
      <c r="I268" s="534">
        <f t="shared" si="72"/>
        <v>0</v>
      </c>
      <c r="J268" s="345">
        <f t="shared" si="73"/>
        <v>0</v>
      </c>
      <c r="K268" s="345">
        <f t="shared" si="74"/>
        <v>0</v>
      </c>
    </row>
    <row r="269" spans="1:11" ht="13">
      <c r="A269" s="331">
        <v>20</v>
      </c>
      <c r="C269" s="483" t="str">
        <f>'FR-16(7)(v)-1 Functional'!C269</f>
        <v>401K INCENTIVE PLAN</v>
      </c>
      <c r="D269" s="342" t="str">
        <f>'FR-16(7)(v)-1 Functional'!D269</f>
        <v>AG39</v>
      </c>
      <c r="F269" s="473">
        <f>'FR-16(7)(v)-1 Functional'!G269</f>
        <v>0</v>
      </c>
      <c r="G269" s="542">
        <f t="shared" si="75"/>
        <v>0</v>
      </c>
      <c r="H269" s="533">
        <f t="shared" si="71"/>
        <v>0</v>
      </c>
      <c r="I269" s="534">
        <f t="shared" si="72"/>
        <v>0</v>
      </c>
      <c r="J269" s="345">
        <f t="shared" si="73"/>
        <v>0</v>
      </c>
      <c r="K269" s="345">
        <f t="shared" si="74"/>
        <v>0</v>
      </c>
    </row>
    <row r="270" spans="1:11" ht="13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3">
        <f>'FR-16(7)(v)-1 Functional'!G270</f>
        <v>0</v>
      </c>
      <c r="G270" s="542">
        <f t="shared" si="75"/>
        <v>0</v>
      </c>
      <c r="H270" s="533">
        <f t="shared" si="71"/>
        <v>0</v>
      </c>
      <c r="I270" s="534">
        <f t="shared" si="72"/>
        <v>0</v>
      </c>
      <c r="J270" s="345">
        <f t="shared" si="73"/>
        <v>0</v>
      </c>
      <c r="K270" s="345">
        <f t="shared" si="74"/>
        <v>0</v>
      </c>
    </row>
    <row r="271" spans="1:11" ht="13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3">
        <f>'FR-16(7)(v)-1 Functional'!G271</f>
        <v>0</v>
      </c>
      <c r="G271" s="542">
        <f t="shared" si="75"/>
        <v>0</v>
      </c>
      <c r="H271" s="533">
        <f t="shared" si="71"/>
        <v>0</v>
      </c>
      <c r="I271" s="534">
        <f t="shared" si="72"/>
        <v>0</v>
      </c>
      <c r="J271" s="345">
        <f t="shared" si="73"/>
        <v>0</v>
      </c>
      <c r="K271" s="345">
        <f t="shared" si="74"/>
        <v>0</v>
      </c>
    </row>
    <row r="272" spans="1:11" ht="13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3">
        <f>'FR-16(7)(v)-1 Functional'!G272</f>
        <v>0</v>
      </c>
      <c r="G272" s="542">
        <f t="shared" si="75"/>
        <v>0</v>
      </c>
      <c r="H272" s="533">
        <f t="shared" si="71"/>
        <v>0</v>
      </c>
      <c r="I272" s="534">
        <f t="shared" si="72"/>
        <v>0</v>
      </c>
      <c r="J272" s="345">
        <f t="shared" si="73"/>
        <v>0</v>
      </c>
      <c r="K272" s="345">
        <f t="shared" si="74"/>
        <v>0</v>
      </c>
    </row>
    <row r="273" spans="1:11" ht="13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3">
        <f>'FR-16(7)(v)-1 Functional'!G273</f>
        <v>0</v>
      </c>
      <c r="G273" s="542">
        <f t="shared" si="75"/>
        <v>0</v>
      </c>
      <c r="H273" s="533">
        <f t="shared" si="71"/>
        <v>0</v>
      </c>
      <c r="I273" s="534">
        <f t="shared" si="72"/>
        <v>0</v>
      </c>
      <c r="J273" s="345">
        <f t="shared" si="73"/>
        <v>0</v>
      </c>
      <c r="K273" s="345">
        <f t="shared" si="74"/>
        <v>0</v>
      </c>
    </row>
    <row r="274" spans="1:11" ht="13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3">
        <f>'FR-16(7)(v)-1 Functional'!G274</f>
        <v>78671</v>
      </c>
      <c r="G274" s="542">
        <f t="shared" si="75"/>
        <v>0</v>
      </c>
      <c r="H274" s="533">
        <f t="shared" si="71"/>
        <v>78671</v>
      </c>
      <c r="I274" s="534">
        <f t="shared" si="72"/>
        <v>0</v>
      </c>
      <c r="J274" s="345">
        <f t="shared" si="73"/>
        <v>78671</v>
      </c>
      <c r="K274" s="345">
        <f t="shared" si="74"/>
        <v>0</v>
      </c>
    </row>
    <row r="275" spans="1:11" ht="13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K275" si="76">SUM(F251:F274)</f>
        <v>78671</v>
      </c>
      <c r="G275" s="543">
        <f t="shared" si="76"/>
        <v>0</v>
      </c>
      <c r="H275" s="535">
        <f t="shared" si="76"/>
        <v>78671</v>
      </c>
      <c r="I275" s="536">
        <f t="shared" si="76"/>
        <v>0</v>
      </c>
      <c r="J275" s="346">
        <f t="shared" si="76"/>
        <v>78671</v>
      </c>
      <c r="K275" s="346">
        <f t="shared" si="76"/>
        <v>0</v>
      </c>
    </row>
    <row r="276" spans="1:11" ht="13">
      <c r="A276" s="331">
        <v>27</v>
      </c>
      <c r="D276" s="342"/>
      <c r="E276" s="195"/>
      <c r="G276" s="541"/>
      <c r="H276" s="531"/>
      <c r="I276" s="532"/>
    </row>
    <row r="277" spans="1:11" ht="13">
      <c r="A277" s="331">
        <v>28</v>
      </c>
      <c r="B277" s="330" t="s">
        <v>30</v>
      </c>
      <c r="D277" s="342"/>
      <c r="E277" s="195"/>
      <c r="G277" s="541"/>
      <c r="H277" s="531"/>
      <c r="I277" s="532"/>
    </row>
    <row r="278" spans="1:11" ht="13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3">
        <f>'FR-16(7)(v)-1 Functional'!G278</f>
        <v>0</v>
      </c>
      <c r="G278" s="542">
        <f>F278-SUM(H278:I278)</f>
        <v>0</v>
      </c>
      <c r="H278" s="533">
        <f>ROUND(F278*VLOOKUP(D278,AllocTable_Classified_Production,$H$10,FALSE),0)</f>
        <v>0</v>
      </c>
      <c r="I278" s="534">
        <f>ROUND(F278*VLOOKUP(D278,AllocTable_Classified_Production,$I$10,FALSE),0)</f>
        <v>0</v>
      </c>
      <c r="J278" s="345">
        <f>SUM(G278:I278)</f>
        <v>0</v>
      </c>
      <c r="K278" s="345">
        <f>F278-J278</f>
        <v>0</v>
      </c>
    </row>
    <row r="279" spans="1:11" ht="13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1">
        <f>'FR-16(7)(v)-1 Functional'!G279</f>
        <v>0</v>
      </c>
      <c r="G279" s="542">
        <f>ROUND(F279*VLOOKUP(D279,AllocTable_Classified_Production,$G$10,FALSE),0)</f>
        <v>0</v>
      </c>
      <c r="H279" s="533">
        <f>ROUND(F279*VLOOKUP(D279,AllocTable_Classified_Production,$H$10,FALSE),0)</f>
        <v>0</v>
      </c>
      <c r="I279" s="534">
        <f>ROUND(F279*VLOOKUP(D279,AllocTable_Classified_Production,$I$10,FALSE),0)</f>
        <v>0</v>
      </c>
      <c r="J279" s="345">
        <f>SUM(G279:I279)</f>
        <v>0</v>
      </c>
      <c r="K279" s="345">
        <f>F279-J279</f>
        <v>0</v>
      </c>
    </row>
    <row r="280" spans="1:11" ht="13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1">
        <f>'FR-16(7)(v)-1 Functional'!G280</f>
        <v>0</v>
      </c>
      <c r="G280" s="542">
        <f>ROUND(F280*VLOOKUP(D280,AllocTable_Classified_Production,$G$10,FALSE),0)</f>
        <v>0</v>
      </c>
      <c r="H280" s="533">
        <f>ROUND(F280*VLOOKUP(D280,AllocTable_Classified_Production,$H$10,FALSE),0)</f>
        <v>0</v>
      </c>
      <c r="I280" s="534">
        <f>ROUND(F280*VLOOKUP(D280,AllocTable_Classified_Production,$I$10,FALSE),0)</f>
        <v>0</v>
      </c>
      <c r="J280" s="345">
        <f>SUM(G280:I280)</f>
        <v>0</v>
      </c>
      <c r="K280" s="345">
        <f>F280-J280</f>
        <v>0</v>
      </c>
    </row>
    <row r="281" spans="1:11" ht="13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543">
        <f>SUM(G277:G280)</f>
        <v>0</v>
      </c>
      <c r="H281" s="535">
        <f>SUM(H277:H280)</f>
        <v>0</v>
      </c>
      <c r="I281" s="536">
        <f>SUM(I277:I280)</f>
        <v>0</v>
      </c>
      <c r="J281" s="346">
        <f>SUM(J277:J280)</f>
        <v>0</v>
      </c>
      <c r="K281" s="346">
        <f>SUM(K277:K280)</f>
        <v>0</v>
      </c>
    </row>
    <row r="282" spans="1:11" ht="13">
      <c r="A282" s="331">
        <v>33</v>
      </c>
      <c r="D282" s="342"/>
      <c r="F282" s="333" t="s">
        <v>343</v>
      </c>
      <c r="G282" s="541"/>
      <c r="H282" s="531"/>
      <c r="I282" s="532"/>
    </row>
    <row r="283" spans="1:11" ht="13">
      <c r="A283" s="331">
        <v>34</v>
      </c>
      <c r="B283" s="330" t="s">
        <v>818</v>
      </c>
      <c r="D283" s="342"/>
      <c r="F283" s="345">
        <f t="shared" ref="F283:K283" si="77">F275+F281</f>
        <v>78671</v>
      </c>
      <c r="G283" s="544">
        <f t="shared" si="77"/>
        <v>0</v>
      </c>
      <c r="H283" s="537">
        <f t="shared" si="77"/>
        <v>78671</v>
      </c>
      <c r="I283" s="538">
        <f t="shared" si="77"/>
        <v>0</v>
      </c>
      <c r="J283" s="345">
        <f t="shared" si="77"/>
        <v>78671</v>
      </c>
      <c r="K283" s="345">
        <f t="shared" si="77"/>
        <v>0</v>
      </c>
    </row>
    <row r="284" spans="1:11" ht="13">
      <c r="B284" s="341"/>
      <c r="C284" s="195"/>
      <c r="D284" s="342"/>
      <c r="E284" s="195"/>
      <c r="F284" s="195"/>
      <c r="G284" s="195"/>
      <c r="H284" s="195"/>
      <c r="I284" s="195"/>
      <c r="J284" s="195"/>
      <c r="K284" s="195"/>
    </row>
    <row r="285" spans="1:11" ht="13">
      <c r="A285" s="341" t="str">
        <f>co_name</f>
        <v>DUKE ENERGY KENTUCKY, INC.</v>
      </c>
      <c r="C285" s="195"/>
      <c r="D285" s="342"/>
      <c r="E285" s="195"/>
      <c r="F285" s="195"/>
      <c r="G285" s="195"/>
      <c r="H285" s="195"/>
      <c r="I285" s="195"/>
      <c r="J285" s="195" t="str">
        <f>$J$1</f>
        <v>FR-16(7)(v)-2</v>
      </c>
      <c r="K285" s="195"/>
    </row>
    <row r="286" spans="1:11" ht="13">
      <c r="A286" s="341" t="str">
        <f>$A$2</f>
        <v>PRODUCTION CLASSIFIED - GAS COST OF SERVICE</v>
      </c>
      <c r="C286" s="195"/>
      <c r="D286" s="342"/>
      <c r="E286" s="195"/>
      <c r="F286" s="195"/>
      <c r="G286" s="195"/>
      <c r="H286" s="195"/>
      <c r="I286" s="195"/>
      <c r="J286" s="195" t="str">
        <f>$J$2</f>
        <v>WITNESS RESPONSIBLE:</v>
      </c>
      <c r="K286" s="195"/>
    </row>
    <row r="287" spans="1:11" ht="13">
      <c r="A287" s="341" t="str">
        <f>case_name</f>
        <v>CASE NO: 2021-00190</v>
      </c>
      <c r="C287" s="195"/>
      <c r="D287" s="342"/>
      <c r="E287" s="195"/>
      <c r="F287" s="195"/>
      <c r="G287" s="195"/>
      <c r="H287" s="195"/>
      <c r="I287" s="195"/>
      <c r="J287" s="195" t="str">
        <f>Witness</f>
        <v>JAMES E. ZIOLKOWSKI</v>
      </c>
      <c r="K287" s="195"/>
    </row>
    <row r="288" spans="1:11" ht="13">
      <c r="A288" s="341" t="str">
        <f>data_filing</f>
        <v>DATA: 12 MONTH FORECASTED PERIOD</v>
      </c>
      <c r="C288" s="195"/>
      <c r="D288" s="342"/>
      <c r="E288" s="195"/>
      <c r="F288" s="195"/>
      <c r="G288" s="195"/>
      <c r="H288" s="195"/>
      <c r="I288" s="195"/>
      <c r="J288" s="195" t="str">
        <f>"PAGE "&amp;Pages-11&amp;" OF "&amp;Pages</f>
        <v>PAGE 7 OF 18</v>
      </c>
      <c r="K288" s="195"/>
    </row>
    <row r="289" spans="1:13" ht="13">
      <c r="A289" s="341" t="str">
        <f>type</f>
        <v xml:space="preserve">TYPE OF FILING: "X" ORIGINAL   UPDATED    REVISED  </v>
      </c>
      <c r="C289" s="195"/>
      <c r="D289" s="342"/>
      <c r="E289" s="195"/>
      <c r="F289" s="195"/>
      <c r="G289" s="195"/>
      <c r="H289" s="195"/>
      <c r="I289" s="195"/>
      <c r="J289" s="195"/>
      <c r="K289" s="195"/>
    </row>
    <row r="290" spans="1:13" ht="13">
      <c r="B290" s="341"/>
      <c r="C290" s="195"/>
      <c r="D290" s="342"/>
      <c r="E290" s="195"/>
      <c r="F290" s="195"/>
      <c r="G290" s="195"/>
      <c r="H290" s="195"/>
      <c r="I290" s="195"/>
      <c r="J290" s="195"/>
      <c r="K290" s="195"/>
    </row>
    <row r="291" spans="1:13" ht="13">
      <c r="B291" s="341"/>
      <c r="C291" s="195"/>
      <c r="D291" s="342"/>
      <c r="E291" s="195"/>
      <c r="F291" s="195"/>
      <c r="G291" s="195"/>
      <c r="H291" s="195"/>
      <c r="I291" s="195"/>
      <c r="J291" s="195"/>
      <c r="K291" s="195"/>
    </row>
    <row r="292" spans="1:13" ht="13">
      <c r="A292" s="342" t="s">
        <v>907</v>
      </c>
      <c r="B292" s="195"/>
      <c r="C292" s="195"/>
      <c r="D292" s="342"/>
      <c r="E292" s="195"/>
      <c r="F292" s="342" t="str">
        <f>$F$8</f>
        <v>TOTAL</v>
      </c>
      <c r="G292" s="539" t="s">
        <v>995</v>
      </c>
      <c r="H292" s="527"/>
      <c r="I292" s="528"/>
      <c r="J292" s="342" t="s">
        <v>229</v>
      </c>
      <c r="K292" s="342" t="s">
        <v>342</v>
      </c>
    </row>
    <row r="293" spans="1:13" ht="13">
      <c r="A293" s="344" t="s">
        <v>908</v>
      </c>
      <c r="B293" s="343" t="s">
        <v>32</v>
      </c>
      <c r="C293" s="343"/>
      <c r="D293" s="344" t="s">
        <v>337</v>
      </c>
      <c r="E293" s="343"/>
      <c r="F293" s="344" t="str">
        <f>$F$9</f>
        <v>PRODUCTION</v>
      </c>
      <c r="G293" s="540" t="s">
        <v>840</v>
      </c>
      <c r="H293" s="529" t="s">
        <v>841</v>
      </c>
      <c r="I293" s="530" t="s">
        <v>842</v>
      </c>
      <c r="J293" s="344" t="s">
        <v>341</v>
      </c>
      <c r="K293" s="344" t="s">
        <v>340</v>
      </c>
    </row>
    <row r="294" spans="1:13" ht="13">
      <c r="C294" s="572" t="s">
        <v>556</v>
      </c>
      <c r="D294" s="342"/>
      <c r="E294" s="484"/>
      <c r="F294" s="485"/>
      <c r="G294" s="793">
        <f>$G$10</f>
        <v>3</v>
      </c>
      <c r="H294" s="794">
        <f>$H$10</f>
        <v>4</v>
      </c>
      <c r="I294" s="795">
        <f>$I$10</f>
        <v>5</v>
      </c>
      <c r="J294" s="484"/>
      <c r="K294" s="484"/>
    </row>
    <row r="295" spans="1:13" ht="13">
      <c r="C295" s="572"/>
      <c r="D295" s="342"/>
      <c r="E295" s="484"/>
      <c r="F295" s="485"/>
      <c r="G295" s="793"/>
      <c r="H295" s="794"/>
      <c r="I295" s="795"/>
      <c r="J295" s="484"/>
      <c r="K295" s="484"/>
    </row>
    <row r="296" spans="1:13" ht="13">
      <c r="A296" s="331">
        <v>1</v>
      </c>
      <c r="B296" s="330" t="s">
        <v>31</v>
      </c>
      <c r="D296" s="342"/>
      <c r="E296" s="195"/>
      <c r="F296" s="345">
        <f t="shared" ref="F296:K296" si="78">F191-F238+F283</f>
        <v>4338069.0958904028</v>
      </c>
      <c r="G296" s="542">
        <f t="shared" si="78"/>
        <v>9.5890402793884277E-2</v>
      </c>
      <c r="H296" s="533">
        <f t="shared" si="78"/>
        <v>4338069</v>
      </c>
      <c r="I296" s="534">
        <f t="shared" si="78"/>
        <v>0</v>
      </c>
      <c r="J296" s="345">
        <f t="shared" si="78"/>
        <v>4338069.0958904028</v>
      </c>
      <c r="K296" s="345">
        <f t="shared" si="78"/>
        <v>0</v>
      </c>
    </row>
    <row r="297" spans="1:13" ht="13">
      <c r="A297" s="331">
        <v>2</v>
      </c>
      <c r="D297" s="342"/>
      <c r="E297" s="195"/>
      <c r="G297" s="541"/>
      <c r="H297" s="531"/>
      <c r="I297" s="532"/>
    </row>
    <row r="298" spans="1:13" ht="13">
      <c r="A298" s="331">
        <v>3</v>
      </c>
      <c r="B298" s="330" t="s">
        <v>32</v>
      </c>
      <c r="D298" s="342"/>
      <c r="E298" s="195"/>
      <c r="G298" s="541"/>
      <c r="H298" s="531"/>
      <c r="I298" s="532"/>
    </row>
    <row r="299" spans="1:13" ht="13">
      <c r="A299" s="331">
        <v>4</v>
      </c>
      <c r="D299" s="342"/>
      <c r="E299" s="195"/>
      <c r="G299" s="541"/>
      <c r="H299" s="531"/>
      <c r="I299" s="532"/>
    </row>
    <row r="300" spans="1:13" ht="13">
      <c r="A300" s="331">
        <v>5</v>
      </c>
      <c r="B300" s="330" t="s">
        <v>33</v>
      </c>
      <c r="D300" s="342"/>
      <c r="E300" s="195"/>
      <c r="G300" s="541"/>
      <c r="H300" s="531"/>
      <c r="I300" s="532"/>
    </row>
    <row r="301" spans="1:13" ht="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3">
        <f>'FR-16(7)(v)-1 Functional'!G301</f>
        <v>1785156</v>
      </c>
      <c r="G301" s="542">
        <f>ROUND(F301*VLOOKUP(D301,AllocTable_Classified_Production,$G$10,FALSE),0)</f>
        <v>0</v>
      </c>
      <c r="H301" s="533">
        <f>ROUND(F301*VLOOKUP(D301,AllocTable_Classified_Production,$H$10,FALSE),0)</f>
        <v>1785156</v>
      </c>
      <c r="I301" s="534">
        <f>ROUND(F301*VLOOKUP(D301,AllocTable_Classified_Production,$I$10,FALSE),0)</f>
        <v>0</v>
      </c>
      <c r="J301" s="345">
        <f>SUM(G301:I301)</f>
        <v>1785156</v>
      </c>
      <c r="K301" s="345">
        <f>F301-J301</f>
        <v>0</v>
      </c>
      <c r="M301" s="333"/>
    </row>
    <row r="302" spans="1:13" ht="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3">
        <f>'FR-16(7)(v)-1 Functional'!G302</f>
        <v>3791</v>
      </c>
      <c r="G302" s="542">
        <f>ROUND(F302*VLOOKUP(D302,AllocTable_Classified_Production,$G$10,FALSE),0)</f>
        <v>0</v>
      </c>
      <c r="H302" s="533">
        <f>ROUND(F302*VLOOKUP(D302,AllocTable_Classified_Production,$H$10,FALSE),0)</f>
        <v>3791</v>
      </c>
      <c r="I302" s="534">
        <f>ROUND(F302*VLOOKUP(D302,AllocTable_Classified_Production,$I$10,FALSE),0)</f>
        <v>0</v>
      </c>
      <c r="J302" s="345">
        <f>SUM(G302:I302)</f>
        <v>3791</v>
      </c>
      <c r="K302" s="345">
        <f>F302-J302</f>
        <v>0</v>
      </c>
      <c r="M302" s="333"/>
    </row>
    <row r="303" spans="1:13" ht="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K303" si="79">SUM(F300:F302)</f>
        <v>1788947</v>
      </c>
      <c r="G303" s="543">
        <f t="shared" si="79"/>
        <v>0</v>
      </c>
      <c r="H303" s="535">
        <f t="shared" si="79"/>
        <v>1788947</v>
      </c>
      <c r="I303" s="536">
        <f t="shared" si="79"/>
        <v>0</v>
      </c>
      <c r="J303" s="346">
        <f t="shared" si="79"/>
        <v>1788947</v>
      </c>
      <c r="K303" s="346">
        <f t="shared" si="79"/>
        <v>0</v>
      </c>
    </row>
    <row r="304" spans="1:13" ht="13">
      <c r="A304" s="331">
        <v>9</v>
      </c>
      <c r="B304" s="330" t="s">
        <v>34</v>
      </c>
      <c r="D304" s="342"/>
      <c r="E304" s="195"/>
      <c r="F304" s="345">
        <f t="shared" ref="F304:K304" si="80">F303</f>
        <v>1788947</v>
      </c>
      <c r="G304" s="542">
        <f t="shared" si="80"/>
        <v>0</v>
      </c>
      <c r="H304" s="533">
        <f t="shared" si="80"/>
        <v>1788947</v>
      </c>
      <c r="I304" s="534">
        <f t="shared" si="80"/>
        <v>0</v>
      </c>
      <c r="J304" s="345">
        <f t="shared" si="80"/>
        <v>1788947</v>
      </c>
      <c r="K304" s="345">
        <f t="shared" si="80"/>
        <v>0</v>
      </c>
    </row>
    <row r="305" spans="1:13" ht="13">
      <c r="A305" s="331">
        <v>10</v>
      </c>
      <c r="D305" s="342"/>
      <c r="E305" s="195"/>
      <c r="G305" s="541"/>
      <c r="H305" s="531"/>
      <c r="I305" s="532"/>
    </row>
    <row r="306" spans="1:13" ht="13">
      <c r="A306" s="331">
        <v>11</v>
      </c>
      <c r="B306" s="330" t="s">
        <v>35</v>
      </c>
      <c r="D306" s="342"/>
      <c r="E306" s="195"/>
      <c r="G306" s="541"/>
      <c r="H306" s="531"/>
      <c r="I306" s="532"/>
    </row>
    <row r="307" spans="1:13" ht="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3">
        <f>'FR-16(7)(v)-1 Functional'!G307</f>
        <v>69844</v>
      </c>
      <c r="G307" s="542">
        <f>ROUND(F307*VLOOKUP(D307,AllocTable_Classified_Production,$G$10,FALSE),0)</f>
        <v>0</v>
      </c>
      <c r="H307" s="533">
        <f>ROUND(F307*VLOOKUP(D307,AllocTable_Classified_Production,$H$10,FALSE),0)</f>
        <v>69844</v>
      </c>
      <c r="I307" s="534">
        <f>ROUND(F307*VLOOKUP(D307,AllocTable_Classified_Production,$I$10,FALSE),0)</f>
        <v>0</v>
      </c>
      <c r="J307" s="345">
        <f>SUM(G307:I307)</f>
        <v>69844</v>
      </c>
      <c r="K307" s="345">
        <f>F307-J307</f>
        <v>0</v>
      </c>
      <c r="M307" s="333"/>
    </row>
    <row r="308" spans="1:13" ht="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3">
        <f>'FR-16(7)(v)-1 Functional'!G308</f>
        <v>0</v>
      </c>
      <c r="G308" s="542">
        <f>ROUND(F308*VLOOKUP(D308,AllocTable_Classified_Production,$G$10,FALSE),0)</f>
        <v>0</v>
      </c>
      <c r="H308" s="533">
        <f>ROUND(F308*VLOOKUP(D308,AllocTable_Classified_Production,$H$10,FALSE),0)</f>
        <v>0</v>
      </c>
      <c r="I308" s="534">
        <f>ROUND(F308*VLOOKUP(D308,AllocTable_Classified_Production,$I$10,FALSE),0)</f>
        <v>0</v>
      </c>
      <c r="J308" s="345">
        <f>SUM(G308:I308)</f>
        <v>0</v>
      </c>
      <c r="K308" s="345">
        <f>F308-J308</f>
        <v>0</v>
      </c>
      <c r="M308" s="333"/>
    </row>
    <row r="309" spans="1:13" ht="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3">
        <f>'FR-16(7)(v)-1 Functional'!G309</f>
        <v>0</v>
      </c>
      <c r="G309" s="542">
        <f>ROUND(F309*VLOOKUP(D309,AllocTable_Classified_Production,$G$10,FALSE),0)</f>
        <v>0</v>
      </c>
      <c r="H309" s="533">
        <f>ROUND(F309*VLOOKUP(D309,AllocTable_Classified_Production,$H$10,FALSE),0)</f>
        <v>0</v>
      </c>
      <c r="I309" s="534">
        <f>ROUND(F309*VLOOKUP(D309,AllocTable_Classified_Production,$I$10,FALSE),0)</f>
        <v>0</v>
      </c>
      <c r="J309" s="345">
        <f>SUM(G309:I309)</f>
        <v>0</v>
      </c>
      <c r="K309" s="345">
        <f>F309-J309</f>
        <v>0</v>
      </c>
      <c r="M309" s="333"/>
    </row>
    <row r="310" spans="1:13" ht="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3">
        <f t="shared" ref="F310:K310" si="81">SUM(F306:F309)</f>
        <v>69844</v>
      </c>
      <c r="G310" s="574">
        <f t="shared" si="81"/>
        <v>0</v>
      </c>
      <c r="H310" s="575">
        <f t="shared" si="81"/>
        <v>69844</v>
      </c>
      <c r="I310" s="576">
        <f t="shared" si="81"/>
        <v>0</v>
      </c>
      <c r="J310" s="573">
        <f t="shared" si="81"/>
        <v>69844</v>
      </c>
      <c r="K310" s="573">
        <f t="shared" si="81"/>
        <v>0</v>
      </c>
    </row>
    <row r="311" spans="1:13" ht="13">
      <c r="A311" s="331">
        <v>16</v>
      </c>
      <c r="D311" s="342"/>
      <c r="E311" s="195"/>
      <c r="G311" s="541"/>
      <c r="H311" s="531"/>
      <c r="I311" s="532"/>
    </row>
    <row r="312" spans="1:13" ht="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542">
        <f>IF(WorkingCap="No",0,ROUND((G433-G348-G353)/8,0))</f>
        <v>0</v>
      </c>
      <c r="H312" s="533">
        <f>IF(WorkingCap="No",0,ROUND((H433-H348-H353)/8,0))</f>
        <v>0</v>
      </c>
      <c r="I312" s="534">
        <f>IF(WorkingCap="No",0,ROUND((I433-I348-I353)/8,0))</f>
        <v>0</v>
      </c>
      <c r="J312" s="345">
        <f>SUM(G312:I312)</f>
        <v>0</v>
      </c>
      <c r="K312" s="345">
        <f>F312-J312</f>
        <v>0</v>
      </c>
    </row>
    <row r="313" spans="1:13" ht="13">
      <c r="A313" s="331">
        <v>18</v>
      </c>
      <c r="B313" s="330" t="s">
        <v>37</v>
      </c>
      <c r="D313" s="342"/>
      <c r="E313" s="195"/>
      <c r="F313" s="345">
        <f t="shared" ref="F313:K313" si="82">F312</f>
        <v>0</v>
      </c>
      <c r="G313" s="542">
        <f t="shared" si="82"/>
        <v>0</v>
      </c>
      <c r="H313" s="533">
        <f t="shared" si="82"/>
        <v>0</v>
      </c>
      <c r="I313" s="534">
        <f t="shared" si="82"/>
        <v>0</v>
      </c>
      <c r="J313" s="345">
        <f t="shared" si="82"/>
        <v>0</v>
      </c>
      <c r="K313" s="345">
        <f t="shared" si="82"/>
        <v>0</v>
      </c>
    </row>
    <row r="314" spans="1:13" ht="13">
      <c r="A314" s="331">
        <v>19</v>
      </c>
      <c r="D314" s="342"/>
      <c r="E314" s="195"/>
      <c r="G314" s="541"/>
      <c r="H314" s="531"/>
      <c r="I314" s="532"/>
    </row>
    <row r="315" spans="1:13" ht="13">
      <c r="A315" s="331">
        <v>20</v>
      </c>
      <c r="B315" s="330" t="s">
        <v>38</v>
      </c>
      <c r="D315" s="342"/>
      <c r="E315" s="195"/>
      <c r="G315" s="541"/>
      <c r="H315" s="531"/>
      <c r="I315" s="532"/>
    </row>
    <row r="316" spans="1:13" ht="13">
      <c r="A316" s="331">
        <v>21</v>
      </c>
      <c r="C316" s="351" t="str">
        <f>'FR-16(7)(v)-1 Functional'!C316</f>
        <v>GAS STORED UNDERGROUND</v>
      </c>
      <c r="D316" s="342" t="str">
        <f>'FR-16(7)(v)-1 Functional'!D316</f>
        <v>K301</v>
      </c>
      <c r="E316" s="195"/>
      <c r="F316" s="473">
        <f>'FR-16(7)(v)-1 Functional'!G316</f>
        <v>1692954</v>
      </c>
      <c r="G316" s="542">
        <f>ROUND(F316*VLOOKUP(D316,AllocTable_Classified_Production,$G$10,FALSE),0)</f>
        <v>0</v>
      </c>
      <c r="H316" s="533">
        <f>ROUND(F316*VLOOKUP(D316,AllocTable_Classified_Production,$H$10,FALSE),0)</f>
        <v>1692954</v>
      </c>
      <c r="I316" s="534">
        <f>ROUND(F316*VLOOKUP(D316,AllocTable_Classified_Production,$I$10,FALSE),0)</f>
        <v>0</v>
      </c>
      <c r="J316" s="345">
        <f>SUM(G316:I316)</f>
        <v>1692954</v>
      </c>
      <c r="K316" s="345">
        <f>F316-J316</f>
        <v>0</v>
      </c>
      <c r="M316" s="333"/>
    </row>
    <row r="317" spans="1:13" ht="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3">
        <f>'FR-16(7)(v)-1 Functional'!G317</f>
        <v>0</v>
      </c>
      <c r="G317" s="542">
        <f>ROUND(F317*VLOOKUP(D317,AllocTable_Classified_Production,$G$10,FALSE),0)</f>
        <v>0</v>
      </c>
      <c r="H317" s="533">
        <f>ROUND(F317*VLOOKUP(D317,AllocTable_Classified_Production,$H$10,FALSE),0)</f>
        <v>0</v>
      </c>
      <c r="I317" s="534">
        <f>ROUND(F317*VLOOKUP(D317,AllocTable_Classified_Production,$I$10,FALSE),0)</f>
        <v>0</v>
      </c>
      <c r="J317" s="345">
        <f>SUM(G317:I317)</f>
        <v>0</v>
      </c>
      <c r="K317" s="345">
        <f>F317-J317</f>
        <v>0</v>
      </c>
      <c r="M317" s="333"/>
    </row>
    <row r="318" spans="1:13" ht="13">
      <c r="A318" s="331">
        <v>23</v>
      </c>
      <c r="C318" s="505" t="str">
        <f>'FR-16(7)(v)-1 Functional'!C318</f>
        <v>RESERVED FOR FUTURE USE</v>
      </c>
      <c r="D318" s="342" t="str">
        <f>'FR-16(7)(v)-1 Functional'!D318</f>
        <v>D249</v>
      </c>
      <c r="E318" s="195"/>
      <c r="F318" s="473">
        <f>'FR-16(7)(v)-1 Functional'!G318</f>
        <v>0</v>
      </c>
      <c r="G318" s="542">
        <f>ROUND(F318*VLOOKUP(D318,AllocTable_Classified_Production,$G$10,FALSE),0)</f>
        <v>0</v>
      </c>
      <c r="H318" s="533">
        <f>ROUND(F318*VLOOKUP(D318,AllocTable_Classified_Production,$H$10,FALSE),0)</f>
        <v>0</v>
      </c>
      <c r="I318" s="534">
        <f>ROUND(F318*VLOOKUP(D318,AllocTable_Classified_Production,$I$10,FALSE),0)</f>
        <v>0</v>
      </c>
      <c r="J318" s="345">
        <f>SUM(G318:I318)</f>
        <v>0</v>
      </c>
      <c r="K318" s="345">
        <f>F318-J318</f>
        <v>0</v>
      </c>
      <c r="M318" s="333"/>
    </row>
    <row r="319" spans="1:13" ht="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K319" si="83">SUM(F315:F318)</f>
        <v>1692954</v>
      </c>
      <c r="G319" s="543">
        <f t="shared" si="83"/>
        <v>0</v>
      </c>
      <c r="H319" s="535">
        <f t="shared" si="83"/>
        <v>1692954</v>
      </c>
      <c r="I319" s="536">
        <f t="shared" si="83"/>
        <v>0</v>
      </c>
      <c r="J319" s="346">
        <f t="shared" si="83"/>
        <v>1692954</v>
      </c>
      <c r="K319" s="346">
        <f t="shared" si="83"/>
        <v>0</v>
      </c>
    </row>
    <row r="320" spans="1:13" ht="13">
      <c r="A320" s="331">
        <v>25</v>
      </c>
      <c r="D320" s="342"/>
      <c r="E320" s="195"/>
      <c r="G320" s="541"/>
      <c r="H320" s="531"/>
      <c r="I320" s="532"/>
    </row>
    <row r="321" spans="1:13" ht="13">
      <c r="A321" s="331">
        <v>26</v>
      </c>
      <c r="B321" s="330" t="s">
        <v>39</v>
      </c>
      <c r="D321" s="342"/>
      <c r="E321" s="195"/>
      <c r="F321" s="345">
        <f t="shared" ref="F321:K321" si="84">F304+F310+F313+F319</f>
        <v>3551745</v>
      </c>
      <c r="G321" s="542">
        <f t="shared" si="84"/>
        <v>0</v>
      </c>
      <c r="H321" s="533">
        <f t="shared" si="84"/>
        <v>3551745</v>
      </c>
      <c r="I321" s="534">
        <f t="shared" si="84"/>
        <v>0</v>
      </c>
      <c r="J321" s="345">
        <f t="shared" si="84"/>
        <v>3551745</v>
      </c>
      <c r="K321" s="345">
        <f t="shared" si="84"/>
        <v>0</v>
      </c>
    </row>
    <row r="322" spans="1:13" ht="13">
      <c r="A322" s="331">
        <v>27</v>
      </c>
      <c r="B322" s="330" t="s">
        <v>40</v>
      </c>
      <c r="D322" s="342"/>
      <c r="E322" s="195"/>
      <c r="G322" s="541"/>
      <c r="H322" s="531"/>
      <c r="I322" s="532"/>
    </row>
    <row r="323" spans="1:13" ht="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K323" si="85">-F238</f>
        <v>-815158.90410959721</v>
      </c>
      <c r="G323" s="542">
        <f t="shared" si="85"/>
        <v>9.5890402793884277E-2</v>
      </c>
      <c r="H323" s="533">
        <f t="shared" si="85"/>
        <v>-815159</v>
      </c>
      <c r="I323" s="534">
        <f t="shared" si="85"/>
        <v>0</v>
      </c>
      <c r="J323" s="345">
        <f t="shared" si="85"/>
        <v>-815158.90410959721</v>
      </c>
      <c r="K323" s="345">
        <f t="shared" si="85"/>
        <v>0</v>
      </c>
      <c r="M323" s="333"/>
    </row>
    <row r="324" spans="1:13" ht="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K324" si="86">F283</f>
        <v>78671</v>
      </c>
      <c r="G324" s="542">
        <f t="shared" si="86"/>
        <v>0</v>
      </c>
      <c r="H324" s="533">
        <f t="shared" si="86"/>
        <v>78671</v>
      </c>
      <c r="I324" s="534">
        <f t="shared" si="86"/>
        <v>0</v>
      </c>
      <c r="J324" s="345">
        <f t="shared" si="86"/>
        <v>78671</v>
      </c>
      <c r="K324" s="345">
        <f t="shared" si="86"/>
        <v>0</v>
      </c>
      <c r="M324" s="333"/>
    </row>
    <row r="325" spans="1:13" ht="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K325" si="87">F321</f>
        <v>3551745</v>
      </c>
      <c r="G325" s="542">
        <f t="shared" si="87"/>
        <v>0</v>
      </c>
      <c r="H325" s="533">
        <f t="shared" si="87"/>
        <v>3551745</v>
      </c>
      <c r="I325" s="534">
        <f t="shared" si="87"/>
        <v>0</v>
      </c>
      <c r="J325" s="345">
        <f t="shared" si="87"/>
        <v>3551745</v>
      </c>
      <c r="K325" s="345">
        <f t="shared" si="87"/>
        <v>0</v>
      </c>
      <c r="M325" s="333"/>
    </row>
    <row r="326" spans="1:13" ht="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K326" si="88">SUM(F322:F325)</f>
        <v>2815257.0958904028</v>
      </c>
      <c r="G326" s="543">
        <f t="shared" si="88"/>
        <v>9.5890402793884277E-2</v>
      </c>
      <c r="H326" s="535">
        <f t="shared" si="88"/>
        <v>2815257</v>
      </c>
      <c r="I326" s="536">
        <f t="shared" si="88"/>
        <v>0</v>
      </c>
      <c r="J326" s="346">
        <f>SUM(J322:J325)</f>
        <v>2815257.0958904028</v>
      </c>
      <c r="K326" s="346">
        <f t="shared" si="88"/>
        <v>0</v>
      </c>
    </row>
    <row r="327" spans="1:13" ht="13">
      <c r="A327" s="331">
        <v>32</v>
      </c>
      <c r="D327" s="342"/>
      <c r="E327" s="195"/>
      <c r="G327" s="541"/>
      <c r="H327" s="531"/>
      <c r="I327" s="532"/>
    </row>
    <row r="328" spans="1:13" ht="13">
      <c r="A328" s="331">
        <v>33</v>
      </c>
      <c r="B328" s="330" t="s">
        <v>41</v>
      </c>
      <c r="D328" s="342"/>
      <c r="E328" s="195"/>
      <c r="G328" s="541"/>
      <c r="H328" s="531"/>
      <c r="I328" s="532"/>
    </row>
    <row r="329" spans="1:13" ht="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K329" si="89">F191</f>
        <v>5074557</v>
      </c>
      <c r="G329" s="542">
        <f t="shared" si="89"/>
        <v>0</v>
      </c>
      <c r="H329" s="533">
        <f t="shared" si="89"/>
        <v>5074557</v>
      </c>
      <c r="I329" s="534">
        <f t="shared" si="89"/>
        <v>0</v>
      </c>
      <c r="J329" s="345">
        <f t="shared" si="89"/>
        <v>5074557</v>
      </c>
      <c r="K329" s="345">
        <f t="shared" si="89"/>
        <v>0</v>
      </c>
    </row>
    <row r="330" spans="1:13" ht="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K330" si="90">F326</f>
        <v>2815257.0958904028</v>
      </c>
      <c r="G330" s="542">
        <f t="shared" si="90"/>
        <v>9.5890402793884277E-2</v>
      </c>
      <c r="H330" s="533">
        <f t="shared" si="90"/>
        <v>2815257</v>
      </c>
      <c r="I330" s="534">
        <f t="shared" si="90"/>
        <v>0</v>
      </c>
      <c r="J330" s="345">
        <f t="shared" si="90"/>
        <v>2815257.0958904028</v>
      </c>
      <c r="K330" s="345">
        <f t="shared" si="90"/>
        <v>0</v>
      </c>
    </row>
    <row r="331" spans="1:13" ht="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K331" si="91">SUM(F328:F330)</f>
        <v>7889814.0958904028</v>
      </c>
      <c r="G331" s="543">
        <f t="shared" si="91"/>
        <v>9.5890402793884277E-2</v>
      </c>
      <c r="H331" s="535">
        <f t="shared" si="91"/>
        <v>7889814</v>
      </c>
      <c r="I331" s="536">
        <f t="shared" si="91"/>
        <v>0</v>
      </c>
      <c r="J331" s="346">
        <f>SUM(J328:J330)</f>
        <v>7889814.0958904028</v>
      </c>
      <c r="K331" s="346">
        <f t="shared" si="91"/>
        <v>0</v>
      </c>
    </row>
    <row r="332" spans="1:13" ht="13">
      <c r="A332" s="331">
        <v>37</v>
      </c>
      <c r="D332" s="342"/>
      <c r="E332" s="195"/>
      <c r="G332" s="541"/>
      <c r="H332" s="531"/>
      <c r="I332" s="532"/>
    </row>
    <row r="333" spans="1:13" ht="13">
      <c r="A333" s="331">
        <v>38</v>
      </c>
      <c r="B333" s="330" t="s">
        <v>42</v>
      </c>
      <c r="D333" s="342"/>
      <c r="E333" s="195"/>
      <c r="F333" s="348">
        <f>$F$688</f>
        <v>7.060000000000001E-2</v>
      </c>
      <c r="G333" s="1267">
        <f>F688</f>
        <v>7.060000000000001E-2</v>
      </c>
      <c r="H333" s="1268">
        <f>F688</f>
        <v>7.060000000000001E-2</v>
      </c>
      <c r="I333" s="1269">
        <f>F688</f>
        <v>7.060000000000001E-2</v>
      </c>
      <c r="J333" s="348">
        <f>F688</f>
        <v>7.060000000000001E-2</v>
      </c>
      <c r="K333" s="348">
        <f>'FR-16(7)(v)-1 Functional'!F688</f>
        <v>7.060000000000001E-2</v>
      </c>
    </row>
    <row r="334" spans="1:13" ht="13">
      <c r="A334" s="331">
        <v>39</v>
      </c>
      <c r="B334" s="330" t="s">
        <v>43</v>
      </c>
      <c r="D334" s="342"/>
      <c r="E334" s="195"/>
      <c r="F334" s="1456">
        <f>ROUND(F333*F331,0)+1</f>
        <v>557022</v>
      </c>
      <c r="G334" s="548">
        <f>ROUND(G331*G333,0)</f>
        <v>0</v>
      </c>
      <c r="H334" s="1266">
        <f>ROUND(H331*H333,0)+1</f>
        <v>557022</v>
      </c>
      <c r="I334" s="550">
        <f>ROUND(I331*I333,0)</f>
        <v>0</v>
      </c>
      <c r="J334" s="345">
        <f>SUM(G334:I334)</f>
        <v>557022</v>
      </c>
      <c r="K334" s="345">
        <f>ROUND(K331*K333,0)</f>
        <v>0</v>
      </c>
    </row>
    <row r="335" spans="1:13" ht="13">
      <c r="B335" s="341"/>
      <c r="C335" s="195"/>
      <c r="D335" s="342"/>
      <c r="E335" s="195"/>
      <c r="F335" s="195"/>
      <c r="G335" s="195"/>
      <c r="H335" s="195"/>
      <c r="I335" s="195"/>
      <c r="J335" s="195"/>
      <c r="K335" s="195"/>
    </row>
    <row r="336" spans="1:13" ht="13">
      <c r="A336" s="341" t="str">
        <f>co_name</f>
        <v>DUKE ENERGY KENTUCKY, INC.</v>
      </c>
      <c r="C336" s="195"/>
      <c r="D336" s="342"/>
      <c r="E336" s="195"/>
      <c r="F336" s="195"/>
      <c r="G336" s="195"/>
      <c r="H336" s="195"/>
      <c r="I336" s="195"/>
      <c r="J336" s="195" t="str">
        <f>$J$1</f>
        <v>FR-16(7)(v)-2</v>
      </c>
      <c r="K336" s="195"/>
    </row>
    <row r="337" spans="1:11" ht="13">
      <c r="A337" s="341" t="str">
        <f>$A$2</f>
        <v>PRODUCTION CLASSIFIED - GAS COST OF SERVICE</v>
      </c>
      <c r="C337" s="195"/>
      <c r="D337" s="342"/>
      <c r="E337" s="195"/>
      <c r="F337" s="195"/>
      <c r="G337" s="195"/>
      <c r="H337" s="195"/>
      <c r="I337" s="195"/>
      <c r="J337" s="195" t="str">
        <f>$J$2</f>
        <v>WITNESS RESPONSIBLE:</v>
      </c>
      <c r="K337" s="195"/>
    </row>
    <row r="338" spans="1:11" ht="13">
      <c r="A338" s="341" t="str">
        <f>case_name</f>
        <v>CASE NO: 2021-00190</v>
      </c>
      <c r="C338" s="195"/>
      <c r="D338" s="342"/>
      <c r="E338" s="195"/>
      <c r="F338" s="195"/>
      <c r="G338" s="195"/>
      <c r="H338" s="195"/>
      <c r="I338" s="195"/>
      <c r="J338" s="195" t="str">
        <f>Witness</f>
        <v>JAMES E. ZIOLKOWSKI</v>
      </c>
      <c r="K338" s="195"/>
    </row>
    <row r="339" spans="1:11" ht="13">
      <c r="A339" s="341" t="str">
        <f>data_filing</f>
        <v>DATA: 12 MONTH FORECASTED PERIOD</v>
      </c>
      <c r="C339" s="195"/>
      <c r="D339" s="342"/>
      <c r="E339" s="195"/>
      <c r="F339" s="195"/>
      <c r="G339" s="195"/>
      <c r="H339" s="195"/>
      <c r="I339" s="195"/>
      <c r="J339" s="195" t="str">
        <f>"PAGE "&amp;Pages-10&amp;" OF "&amp;Pages</f>
        <v>PAGE 8 OF 18</v>
      </c>
      <c r="K339" s="195"/>
    </row>
    <row r="340" spans="1:11" ht="13">
      <c r="A340" s="341" t="str">
        <f>type</f>
        <v xml:space="preserve">TYPE OF FILING: "X" ORIGINAL   UPDATED    REVISED  </v>
      </c>
      <c r="C340" s="195"/>
      <c r="D340" s="342"/>
      <c r="E340" s="195"/>
      <c r="F340" s="195"/>
      <c r="G340" s="195"/>
      <c r="H340" s="195"/>
      <c r="I340" s="195"/>
      <c r="J340" s="195"/>
      <c r="K340" s="195"/>
    </row>
    <row r="341" spans="1:11" ht="13">
      <c r="B341" s="341"/>
      <c r="C341" s="195"/>
      <c r="D341" s="342"/>
      <c r="E341" s="195"/>
      <c r="F341" s="195"/>
      <c r="G341" s="195"/>
      <c r="H341" s="195"/>
      <c r="I341" s="195"/>
      <c r="J341" s="195"/>
      <c r="K341" s="195"/>
    </row>
    <row r="342" spans="1:11" ht="13">
      <c r="B342" s="341"/>
      <c r="C342" s="195"/>
      <c r="D342" s="342"/>
      <c r="E342" s="195"/>
      <c r="F342" s="195"/>
      <c r="G342" s="195"/>
      <c r="H342" s="195"/>
      <c r="I342" s="195"/>
      <c r="J342" s="195"/>
      <c r="K342" s="195"/>
    </row>
    <row r="343" spans="1:11" ht="13">
      <c r="A343" s="342" t="s">
        <v>907</v>
      </c>
      <c r="B343" s="195"/>
      <c r="C343" s="195"/>
      <c r="D343" s="342"/>
      <c r="E343" s="195"/>
      <c r="F343" s="342" t="str">
        <f>$F$8</f>
        <v>TOTAL</v>
      </c>
      <c r="G343" s="539" t="s">
        <v>995</v>
      </c>
      <c r="H343" s="527"/>
      <c r="I343" s="528"/>
      <c r="J343" s="342" t="s">
        <v>229</v>
      </c>
      <c r="K343" s="342" t="s">
        <v>342</v>
      </c>
    </row>
    <row r="344" spans="1:11" ht="13">
      <c r="A344" s="344" t="s">
        <v>908</v>
      </c>
      <c r="B344" s="343" t="s">
        <v>44</v>
      </c>
      <c r="C344" s="343"/>
      <c r="D344" s="344" t="s">
        <v>337</v>
      </c>
      <c r="E344" s="343"/>
      <c r="F344" s="344" t="str">
        <f>$F$9</f>
        <v>PRODUCTION</v>
      </c>
      <c r="G344" s="540" t="s">
        <v>840</v>
      </c>
      <c r="H344" s="529" t="s">
        <v>841</v>
      </c>
      <c r="I344" s="530" t="s">
        <v>842</v>
      </c>
      <c r="J344" s="344" t="s">
        <v>341</v>
      </c>
      <c r="K344" s="344" t="s">
        <v>340</v>
      </c>
    </row>
    <row r="345" spans="1:11" ht="13">
      <c r="C345" s="572" t="s">
        <v>348</v>
      </c>
      <c r="D345" s="342"/>
      <c r="E345" s="195"/>
      <c r="G345" s="793">
        <f>$G$10</f>
        <v>3</v>
      </c>
      <c r="H345" s="794">
        <f>$H$10</f>
        <v>4</v>
      </c>
      <c r="I345" s="795">
        <f>$I$10</f>
        <v>5</v>
      </c>
    </row>
    <row r="346" spans="1:11" ht="13">
      <c r="A346" s="331">
        <v>1</v>
      </c>
      <c r="B346" s="330" t="s">
        <v>45</v>
      </c>
      <c r="D346" s="342"/>
      <c r="E346" s="195"/>
      <c r="G346" s="541"/>
      <c r="H346" s="531"/>
      <c r="I346" s="532"/>
    </row>
    <row r="347" spans="1:11" ht="13">
      <c r="A347" s="331">
        <v>2</v>
      </c>
      <c r="B347" s="330" t="s">
        <v>46</v>
      </c>
      <c r="D347" s="342"/>
      <c r="E347" s="195"/>
      <c r="G347" s="541"/>
      <c r="H347" s="531"/>
      <c r="I347" s="532"/>
    </row>
    <row r="348" spans="1:11" ht="13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3">
        <f>'FR-16(7)(v)-1 Functional'!G348</f>
        <v>41036376</v>
      </c>
      <c r="G348" s="542">
        <f>F348-SUM(H348:I348)</f>
        <v>0</v>
      </c>
      <c r="H348" s="533">
        <f>ROUND(F348*VLOOKUP(D348,AllocTable_Classified_Production,$H$10,FALSE),0)</f>
        <v>41036376</v>
      </c>
      <c r="I348" s="534">
        <f>ROUND(F348*VLOOKUP(D348,AllocTable_Classified_Production,$I$10,FALSE),0)</f>
        <v>0</v>
      </c>
      <c r="J348" s="345">
        <f>SUM(G348:I348)</f>
        <v>41036376</v>
      </c>
      <c r="K348" s="345">
        <f>F348-J348</f>
        <v>0</v>
      </c>
    </row>
    <row r="349" spans="1:11" ht="13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3">
        <f>'FR-16(7)(v)-1 Functional'!G349</f>
        <v>1244794</v>
      </c>
      <c r="G349" s="542">
        <f>F349-SUM(H349:I349)</f>
        <v>0</v>
      </c>
      <c r="H349" s="533">
        <f>ROUND(F349*VLOOKUP(D349,AllocTable_Classified_Production,$H$10,FALSE),0)</f>
        <v>1244794</v>
      </c>
      <c r="I349" s="534">
        <f>ROUND(F349*VLOOKUP(D349,AllocTable_Classified_Production,$I$10,FALSE),0)</f>
        <v>0</v>
      </c>
      <c r="J349" s="345">
        <f>SUM(G349:I349)</f>
        <v>1244794</v>
      </c>
      <c r="K349" s="345">
        <f>F349-J349</f>
        <v>0</v>
      </c>
    </row>
    <row r="350" spans="1:11" ht="13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K350" si="92">SUM(F348:F349)</f>
        <v>42281170</v>
      </c>
      <c r="G350" s="543">
        <f t="shared" si="92"/>
        <v>0</v>
      </c>
      <c r="H350" s="535">
        <f t="shared" si="92"/>
        <v>42281170</v>
      </c>
      <c r="I350" s="536">
        <f t="shared" si="92"/>
        <v>0</v>
      </c>
      <c r="J350" s="346">
        <f t="shared" si="92"/>
        <v>42281170</v>
      </c>
      <c r="K350" s="346">
        <f t="shared" si="92"/>
        <v>0</v>
      </c>
    </row>
    <row r="351" spans="1:11" ht="13">
      <c r="A351" s="331">
        <v>6</v>
      </c>
      <c r="D351" s="342"/>
      <c r="E351" s="195"/>
      <c r="G351" s="541"/>
      <c r="H351" s="531"/>
      <c r="I351" s="532"/>
    </row>
    <row r="352" spans="1:11" ht="13">
      <c r="A352" s="331">
        <v>7</v>
      </c>
      <c r="B352" s="357" t="s">
        <v>47</v>
      </c>
      <c r="C352" s="357"/>
      <c r="D352" s="342"/>
      <c r="E352" s="195"/>
      <c r="F352" s="345"/>
      <c r="G352" s="542"/>
      <c r="H352" s="533"/>
      <c r="I352" s="534"/>
      <c r="J352" s="345"/>
      <c r="K352" s="345"/>
    </row>
    <row r="353" spans="1:11" ht="13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1">
        <v>0</v>
      </c>
      <c r="G353" s="542">
        <f>ROUND(F353*VLOOKUP(D353,AllocTable_Classified_Production,$G$10,FALSE),0)</f>
        <v>0</v>
      </c>
      <c r="H353" s="533">
        <f>ROUND(F353*VLOOKUP(D353,AllocTable_Classified_Production,$H$10,FALSE),0)</f>
        <v>0</v>
      </c>
      <c r="I353" s="534">
        <f>ROUND(F353*VLOOKUP(D353,AllocTable_Classified_Production,$I$10,FALSE),0)</f>
        <v>0</v>
      </c>
      <c r="J353" s="345">
        <f>SUM(G353:I353)</f>
        <v>0</v>
      </c>
      <c r="K353" s="345">
        <f>F353-J353</f>
        <v>0</v>
      </c>
    </row>
    <row r="354" spans="1:11" ht="13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K354" si="93">SUM(F352:F353)</f>
        <v>0</v>
      </c>
      <c r="G354" s="543">
        <f t="shared" si="93"/>
        <v>0</v>
      </c>
      <c r="H354" s="535">
        <f t="shared" si="93"/>
        <v>0</v>
      </c>
      <c r="I354" s="536">
        <f t="shared" si="93"/>
        <v>0</v>
      </c>
      <c r="J354" s="346">
        <f t="shared" si="93"/>
        <v>0</v>
      </c>
      <c r="K354" s="346">
        <f t="shared" si="93"/>
        <v>0</v>
      </c>
    </row>
    <row r="355" spans="1:11" ht="13">
      <c r="A355" s="331">
        <v>10</v>
      </c>
      <c r="D355" s="342"/>
      <c r="E355" s="195"/>
      <c r="G355" s="541"/>
      <c r="H355" s="531"/>
      <c r="I355" s="532"/>
    </row>
    <row r="356" spans="1:11" ht="13">
      <c r="A356" s="331">
        <v>11</v>
      </c>
      <c r="B356" s="330" t="s">
        <v>1000</v>
      </c>
      <c r="D356" s="342"/>
      <c r="E356" s="195"/>
      <c r="G356" s="541"/>
      <c r="H356" s="531"/>
      <c r="I356" s="532"/>
    </row>
    <row r="357" spans="1:11" ht="13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3">
        <f>'FR-16(7)(v)-1 Functional'!G357</f>
        <v>0</v>
      </c>
      <c r="G357" s="542">
        <f>F357-SUM(H357:I357)</f>
        <v>0</v>
      </c>
      <c r="H357" s="533">
        <f>ROUND(F357*VLOOKUP(D357,AllocTable_Classified_Production,$H$10,FALSE),0)</f>
        <v>0</v>
      </c>
      <c r="I357" s="534">
        <f>ROUND(F357*VLOOKUP(D357,AllocTable_Classified_Production,$I$10,FALSE),0)</f>
        <v>0</v>
      </c>
      <c r="J357" s="345">
        <f>SUM(G357:I357)</f>
        <v>0</v>
      </c>
      <c r="K357" s="345">
        <f>F357-J357</f>
        <v>0</v>
      </c>
    </row>
    <row r="358" spans="1:11" ht="13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K358" si="94">SUM(F356:F357)</f>
        <v>0</v>
      </c>
      <c r="G358" s="543">
        <f t="shared" si="94"/>
        <v>0</v>
      </c>
      <c r="H358" s="535">
        <f t="shared" si="94"/>
        <v>0</v>
      </c>
      <c r="I358" s="536">
        <f t="shared" si="94"/>
        <v>0</v>
      </c>
      <c r="J358" s="346">
        <f t="shared" si="94"/>
        <v>0</v>
      </c>
      <c r="K358" s="346">
        <f t="shared" si="94"/>
        <v>0</v>
      </c>
    </row>
    <row r="359" spans="1:11" ht="13">
      <c r="A359" s="331">
        <v>14</v>
      </c>
      <c r="D359" s="342"/>
      <c r="E359" s="195"/>
      <c r="F359" s="345"/>
      <c r="G359" s="542"/>
      <c r="H359" s="533"/>
      <c r="I359" s="534"/>
      <c r="J359" s="345"/>
      <c r="K359" s="345"/>
    </row>
    <row r="360" spans="1:11" ht="13">
      <c r="A360" s="331">
        <v>15</v>
      </c>
      <c r="B360" s="330" t="s">
        <v>48</v>
      </c>
      <c r="D360" s="342"/>
      <c r="E360" s="195" t="s">
        <v>343</v>
      </c>
      <c r="F360" s="345">
        <f t="shared" ref="F360:K360" si="95">F358+F354+F350</f>
        <v>42281170</v>
      </c>
      <c r="G360" s="542">
        <f t="shared" si="95"/>
        <v>0</v>
      </c>
      <c r="H360" s="533">
        <f t="shared" si="95"/>
        <v>42281170</v>
      </c>
      <c r="I360" s="534">
        <f t="shared" si="95"/>
        <v>0</v>
      </c>
      <c r="J360" s="345">
        <f t="shared" si="95"/>
        <v>42281170</v>
      </c>
      <c r="K360" s="345">
        <f t="shared" si="95"/>
        <v>0</v>
      </c>
    </row>
    <row r="361" spans="1:11" ht="13">
      <c r="A361" s="331">
        <v>16</v>
      </c>
      <c r="D361" s="342"/>
      <c r="E361" s="195"/>
      <c r="G361" s="541"/>
      <c r="H361" s="531"/>
      <c r="I361" s="532"/>
    </row>
    <row r="362" spans="1:11" ht="13">
      <c r="A362" s="331">
        <v>17</v>
      </c>
      <c r="B362" s="330" t="s">
        <v>49</v>
      </c>
      <c r="D362" s="342"/>
      <c r="E362" s="195"/>
      <c r="G362" s="541"/>
      <c r="H362" s="531"/>
      <c r="I362" s="532"/>
    </row>
    <row r="363" spans="1:11" ht="13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1"/>
      <c r="G363" s="542"/>
      <c r="H363" s="533"/>
      <c r="I363" s="534"/>
      <c r="J363" s="345"/>
      <c r="K363" s="345"/>
    </row>
    <row r="364" spans="1:11" ht="13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K364" si="96">SUM(F363)</f>
        <v>0</v>
      </c>
      <c r="G364" s="543">
        <f t="shared" si="96"/>
        <v>0</v>
      </c>
      <c r="H364" s="535">
        <f t="shared" si="96"/>
        <v>0</v>
      </c>
      <c r="I364" s="536">
        <f t="shared" si="96"/>
        <v>0</v>
      </c>
      <c r="J364" s="346">
        <f t="shared" si="96"/>
        <v>0</v>
      </c>
      <c r="K364" s="346">
        <f t="shared" si="96"/>
        <v>0</v>
      </c>
    </row>
    <row r="365" spans="1:11" ht="13">
      <c r="A365" s="331">
        <v>20</v>
      </c>
      <c r="D365" s="342"/>
      <c r="E365" s="195"/>
      <c r="G365" s="541"/>
      <c r="H365" s="531"/>
      <c r="I365" s="532"/>
    </row>
    <row r="366" spans="1:11" ht="13">
      <c r="A366" s="331">
        <v>21</v>
      </c>
      <c r="B366" s="330" t="s">
        <v>50</v>
      </c>
      <c r="D366" s="342"/>
      <c r="E366" s="195"/>
      <c r="G366" s="541"/>
      <c r="H366" s="531"/>
      <c r="I366" s="532"/>
    </row>
    <row r="367" spans="1:11" ht="13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3">
        <f>'FR-16(7)(v)-1 Functional'!G367</f>
        <v>0</v>
      </c>
      <c r="G367" s="542">
        <f t="shared" ref="G367:G377" si="97">F367-SUM(H367:I367)</f>
        <v>0</v>
      </c>
      <c r="H367" s="533">
        <f t="shared" ref="H367:H377" si="98">ROUND(F367*VLOOKUP(D367,AllocTable_Classified_Production,$H$10,FALSE),0)</f>
        <v>0</v>
      </c>
      <c r="I367" s="534">
        <f t="shared" ref="I367:I377" si="99">ROUND(F367*VLOOKUP(D367,AllocTable_Classified_Production,$I$10,FALSE),0)</f>
        <v>0</v>
      </c>
      <c r="J367" s="345">
        <f t="shared" ref="J367:J377" si="100">SUM(G367:I367)</f>
        <v>0</v>
      </c>
      <c r="K367" s="345">
        <f t="shared" ref="K367:K377" si="101">F367-J367</f>
        <v>0</v>
      </c>
    </row>
    <row r="368" spans="1:11" ht="13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3">
        <f>'FR-16(7)(v)-1 Functional'!G368</f>
        <v>0</v>
      </c>
      <c r="G368" s="542">
        <f t="shared" si="97"/>
        <v>0</v>
      </c>
      <c r="H368" s="533">
        <f t="shared" si="98"/>
        <v>0</v>
      </c>
      <c r="I368" s="534">
        <f t="shared" si="99"/>
        <v>0</v>
      </c>
      <c r="J368" s="345">
        <f t="shared" si="100"/>
        <v>0</v>
      </c>
      <c r="K368" s="345">
        <f t="shared" si="101"/>
        <v>0</v>
      </c>
    </row>
    <row r="369" spans="1:11" ht="13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3">
        <f>'FR-16(7)(v)-1 Functional'!G369</f>
        <v>0</v>
      </c>
      <c r="G369" s="542">
        <f t="shared" si="97"/>
        <v>0</v>
      </c>
      <c r="H369" s="533">
        <f t="shared" si="98"/>
        <v>0</v>
      </c>
      <c r="I369" s="534">
        <f t="shared" si="99"/>
        <v>0</v>
      </c>
      <c r="J369" s="345">
        <f t="shared" si="100"/>
        <v>0</v>
      </c>
      <c r="K369" s="345">
        <f t="shared" si="101"/>
        <v>0</v>
      </c>
    </row>
    <row r="370" spans="1:11" ht="13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3">
        <f>'FR-16(7)(v)-1 Functional'!G370</f>
        <v>0</v>
      </c>
      <c r="G370" s="542">
        <f t="shared" si="97"/>
        <v>0</v>
      </c>
      <c r="H370" s="533">
        <f t="shared" si="98"/>
        <v>0</v>
      </c>
      <c r="I370" s="534">
        <f t="shared" si="99"/>
        <v>0</v>
      </c>
      <c r="J370" s="345">
        <f t="shared" si="100"/>
        <v>0</v>
      </c>
      <c r="K370" s="345">
        <f t="shared" si="101"/>
        <v>0</v>
      </c>
    </row>
    <row r="371" spans="1:11" ht="13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3">
        <f>'FR-16(7)(v)-1 Functional'!G371</f>
        <v>0</v>
      </c>
      <c r="G371" s="542">
        <f t="shared" si="97"/>
        <v>0</v>
      </c>
      <c r="H371" s="533">
        <f t="shared" si="98"/>
        <v>0</v>
      </c>
      <c r="I371" s="534">
        <f t="shared" si="99"/>
        <v>0</v>
      </c>
      <c r="J371" s="345">
        <f t="shared" si="100"/>
        <v>0</v>
      </c>
      <c r="K371" s="345">
        <f t="shared" si="101"/>
        <v>0</v>
      </c>
    </row>
    <row r="372" spans="1:11" ht="13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3">
        <f>'FR-16(7)(v)-1 Functional'!G372</f>
        <v>0</v>
      </c>
      <c r="G372" s="542">
        <f t="shared" si="97"/>
        <v>0</v>
      </c>
      <c r="H372" s="533">
        <f t="shared" si="98"/>
        <v>0</v>
      </c>
      <c r="I372" s="534">
        <f t="shared" si="99"/>
        <v>0</v>
      </c>
      <c r="J372" s="345">
        <f t="shared" si="100"/>
        <v>0</v>
      </c>
      <c r="K372" s="345">
        <f t="shared" si="101"/>
        <v>0</v>
      </c>
    </row>
    <row r="373" spans="1:11" ht="13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3">
        <f>'FR-16(7)(v)-1 Functional'!G373</f>
        <v>0</v>
      </c>
      <c r="G373" s="542">
        <f t="shared" si="97"/>
        <v>0</v>
      </c>
      <c r="H373" s="533">
        <f t="shared" si="98"/>
        <v>0</v>
      </c>
      <c r="I373" s="534">
        <f t="shared" si="99"/>
        <v>0</v>
      </c>
      <c r="J373" s="345">
        <f t="shared" si="100"/>
        <v>0</v>
      </c>
      <c r="K373" s="345">
        <f t="shared" si="101"/>
        <v>0</v>
      </c>
    </row>
    <row r="374" spans="1:11" ht="13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3">
        <f>'FR-16(7)(v)-1 Functional'!G374</f>
        <v>0</v>
      </c>
      <c r="G374" s="542">
        <f t="shared" si="97"/>
        <v>0</v>
      </c>
      <c r="H374" s="533">
        <f t="shared" si="98"/>
        <v>0</v>
      </c>
      <c r="I374" s="534">
        <f t="shared" si="99"/>
        <v>0</v>
      </c>
      <c r="J374" s="345">
        <f t="shared" si="100"/>
        <v>0</v>
      </c>
      <c r="K374" s="345">
        <f t="shared" si="101"/>
        <v>0</v>
      </c>
    </row>
    <row r="375" spans="1:11" ht="13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3">
        <f>'FR-16(7)(v)-1 Functional'!G375</f>
        <v>0</v>
      </c>
      <c r="G375" s="542">
        <f t="shared" si="97"/>
        <v>0</v>
      </c>
      <c r="H375" s="533">
        <f t="shared" si="98"/>
        <v>0</v>
      </c>
      <c r="I375" s="534">
        <f t="shared" si="99"/>
        <v>0</v>
      </c>
      <c r="J375" s="345">
        <f t="shared" si="100"/>
        <v>0</v>
      </c>
      <c r="K375" s="345">
        <f t="shared" si="101"/>
        <v>0</v>
      </c>
    </row>
    <row r="376" spans="1:11" ht="13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3">
        <f>'FR-16(7)(v)-1 Functional'!G376</f>
        <v>0</v>
      </c>
      <c r="G376" s="542">
        <f t="shared" si="97"/>
        <v>0</v>
      </c>
      <c r="H376" s="533">
        <f t="shared" si="98"/>
        <v>0</v>
      </c>
      <c r="I376" s="534">
        <f t="shared" si="99"/>
        <v>0</v>
      </c>
      <c r="J376" s="345">
        <f t="shared" si="100"/>
        <v>0</v>
      </c>
      <c r="K376" s="345">
        <f t="shared" si="101"/>
        <v>0</v>
      </c>
    </row>
    <row r="377" spans="1:11" ht="13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3">
        <f>'FR-16(7)(v)-1 Functional'!G377</f>
        <v>0</v>
      </c>
      <c r="G377" s="542">
        <f t="shared" si="97"/>
        <v>0</v>
      </c>
      <c r="H377" s="533">
        <f t="shared" si="98"/>
        <v>0</v>
      </c>
      <c r="I377" s="534">
        <f t="shared" si="99"/>
        <v>0</v>
      </c>
      <c r="J377" s="345">
        <f t="shared" si="100"/>
        <v>0</v>
      </c>
      <c r="K377" s="345">
        <f t="shared" si="101"/>
        <v>0</v>
      </c>
    </row>
    <row r="378" spans="1:11" ht="13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K378" si="102">SUM(F366:F377)</f>
        <v>0</v>
      </c>
      <c r="G378" s="543">
        <f t="shared" si="102"/>
        <v>0</v>
      </c>
      <c r="H378" s="535">
        <f t="shared" si="102"/>
        <v>0</v>
      </c>
      <c r="I378" s="536">
        <f t="shared" si="102"/>
        <v>0</v>
      </c>
      <c r="J378" s="346">
        <f t="shared" si="102"/>
        <v>0</v>
      </c>
      <c r="K378" s="346">
        <f t="shared" si="102"/>
        <v>0</v>
      </c>
    </row>
    <row r="379" spans="1:11" ht="13">
      <c r="A379" s="331">
        <v>34</v>
      </c>
      <c r="C379" s="330" t="s">
        <v>343</v>
      </c>
      <c r="D379" s="342"/>
      <c r="E379" s="195"/>
      <c r="G379" s="541"/>
      <c r="H379" s="531"/>
      <c r="I379" s="532"/>
    </row>
    <row r="380" spans="1:11" ht="13">
      <c r="A380" s="331">
        <v>35</v>
      </c>
      <c r="B380" s="330" t="s">
        <v>51</v>
      </c>
      <c r="D380" s="342"/>
      <c r="E380" s="195"/>
      <c r="F380" s="330" t="s">
        <v>343</v>
      </c>
      <c r="G380" s="541"/>
      <c r="H380" s="531"/>
      <c r="I380" s="532"/>
    </row>
    <row r="381" spans="1:11" ht="13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3">
        <f>'FR-16(7)(v)-1 Functional'!G381</f>
        <v>0</v>
      </c>
      <c r="G381" s="542">
        <f t="shared" ref="G381:G388" si="103">F381-SUM(H381:I381)</f>
        <v>0</v>
      </c>
      <c r="H381" s="533">
        <f t="shared" ref="H381:H388" si="104">ROUND(F381*VLOOKUP(D381,AllocTable_Classified_Production,$H$10,FALSE),0)</f>
        <v>0</v>
      </c>
      <c r="I381" s="534">
        <f t="shared" ref="I381:I388" si="105">ROUND(F381*VLOOKUP(D381,AllocTable_Classified_Production,$I$10,FALSE),0)</f>
        <v>0</v>
      </c>
      <c r="J381" s="345">
        <f t="shared" ref="J381:J388" si="106">SUM(G381:I381)</f>
        <v>0</v>
      </c>
      <c r="K381" s="345">
        <f t="shared" ref="K381:K388" si="107">F381-J381</f>
        <v>0</v>
      </c>
    </row>
    <row r="382" spans="1:11" ht="13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3">
        <f>'FR-16(7)(v)-1 Functional'!G382</f>
        <v>0</v>
      </c>
      <c r="G382" s="542">
        <f t="shared" si="103"/>
        <v>0</v>
      </c>
      <c r="H382" s="533">
        <f t="shared" si="104"/>
        <v>0</v>
      </c>
      <c r="I382" s="534">
        <f t="shared" si="105"/>
        <v>0</v>
      </c>
      <c r="J382" s="345">
        <f t="shared" si="106"/>
        <v>0</v>
      </c>
      <c r="K382" s="345">
        <f t="shared" si="107"/>
        <v>0</v>
      </c>
    </row>
    <row r="383" spans="1:11" ht="13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3">
        <f>'FR-16(7)(v)-1 Functional'!G383</f>
        <v>0</v>
      </c>
      <c r="G383" s="542">
        <f t="shared" si="103"/>
        <v>0</v>
      </c>
      <c r="H383" s="533">
        <f t="shared" si="104"/>
        <v>0</v>
      </c>
      <c r="I383" s="534">
        <f t="shared" si="105"/>
        <v>0</v>
      </c>
      <c r="J383" s="345">
        <f t="shared" si="106"/>
        <v>0</v>
      </c>
      <c r="K383" s="345">
        <f t="shared" si="107"/>
        <v>0</v>
      </c>
    </row>
    <row r="384" spans="1:11" ht="13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3">
        <f>'FR-16(7)(v)-1 Functional'!G384</f>
        <v>0</v>
      </c>
      <c r="G384" s="542">
        <f t="shared" si="103"/>
        <v>0</v>
      </c>
      <c r="H384" s="533">
        <f t="shared" si="104"/>
        <v>0</v>
      </c>
      <c r="I384" s="534">
        <f t="shared" si="105"/>
        <v>0</v>
      </c>
      <c r="J384" s="345">
        <f t="shared" si="106"/>
        <v>0</v>
      </c>
      <c r="K384" s="345">
        <f t="shared" si="107"/>
        <v>0</v>
      </c>
    </row>
    <row r="385" spans="1:11" ht="13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3">
        <f>'FR-16(7)(v)-1 Functional'!G385</f>
        <v>0</v>
      </c>
      <c r="G385" s="542">
        <f t="shared" si="103"/>
        <v>0</v>
      </c>
      <c r="H385" s="533">
        <f t="shared" si="104"/>
        <v>0</v>
      </c>
      <c r="I385" s="534">
        <f t="shared" si="105"/>
        <v>0</v>
      </c>
      <c r="J385" s="345">
        <f t="shared" si="106"/>
        <v>0</v>
      </c>
      <c r="K385" s="345">
        <f t="shared" si="107"/>
        <v>0</v>
      </c>
    </row>
    <row r="386" spans="1:11" ht="13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3">
        <f>'FR-16(7)(v)-1 Functional'!G386</f>
        <v>0</v>
      </c>
      <c r="G386" s="542">
        <f t="shared" si="103"/>
        <v>0</v>
      </c>
      <c r="H386" s="533">
        <f t="shared" si="104"/>
        <v>0</v>
      </c>
      <c r="I386" s="534">
        <f t="shared" si="105"/>
        <v>0</v>
      </c>
      <c r="J386" s="345">
        <f t="shared" si="106"/>
        <v>0</v>
      </c>
      <c r="K386" s="345">
        <f t="shared" si="107"/>
        <v>0</v>
      </c>
    </row>
    <row r="387" spans="1:11" ht="13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3">
        <f>'FR-16(7)(v)-1 Functional'!G387</f>
        <v>0</v>
      </c>
      <c r="G387" s="542">
        <f t="shared" si="103"/>
        <v>0</v>
      </c>
      <c r="H387" s="533">
        <f t="shared" si="104"/>
        <v>0</v>
      </c>
      <c r="I387" s="534">
        <f t="shared" si="105"/>
        <v>0</v>
      </c>
      <c r="J387" s="345">
        <f t="shared" si="106"/>
        <v>0</v>
      </c>
      <c r="K387" s="345">
        <f t="shared" si="107"/>
        <v>0</v>
      </c>
    </row>
    <row r="388" spans="1:11" ht="13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3">
        <f>'FR-16(7)(v)-1 Functional'!G388</f>
        <v>0</v>
      </c>
      <c r="G388" s="542">
        <f t="shared" si="103"/>
        <v>0</v>
      </c>
      <c r="H388" s="533">
        <f t="shared" si="104"/>
        <v>0</v>
      </c>
      <c r="I388" s="534">
        <f t="shared" si="105"/>
        <v>0</v>
      </c>
      <c r="J388" s="345">
        <f t="shared" si="106"/>
        <v>0</v>
      </c>
      <c r="K388" s="345">
        <f t="shared" si="107"/>
        <v>0</v>
      </c>
    </row>
    <row r="389" spans="1:11" ht="13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K389" si="108">SUM(F380:F388)</f>
        <v>0</v>
      </c>
      <c r="G389" s="551">
        <f t="shared" si="108"/>
        <v>0</v>
      </c>
      <c r="H389" s="552">
        <f t="shared" si="108"/>
        <v>0</v>
      </c>
      <c r="I389" s="553">
        <f t="shared" si="108"/>
        <v>0</v>
      </c>
      <c r="J389" s="346">
        <f t="shared" si="108"/>
        <v>0</v>
      </c>
      <c r="K389" s="346">
        <f t="shared" si="108"/>
        <v>0</v>
      </c>
    </row>
    <row r="390" spans="1:11" ht="13">
      <c r="B390" s="341"/>
      <c r="C390" s="195"/>
      <c r="D390" s="342"/>
      <c r="E390" s="195"/>
      <c r="F390" s="195"/>
      <c r="G390" s="195"/>
      <c r="H390" s="195"/>
      <c r="I390" s="195"/>
      <c r="J390" s="195"/>
      <c r="K390" s="195"/>
    </row>
    <row r="391" spans="1:11" ht="13">
      <c r="A391" s="341" t="str">
        <f>co_name</f>
        <v>DUKE ENERGY KENTUCKY, INC.</v>
      </c>
      <c r="C391" s="195"/>
      <c r="D391" s="342"/>
      <c r="E391" s="195"/>
      <c r="F391" s="195"/>
      <c r="G391" s="195"/>
      <c r="H391" s="195"/>
      <c r="I391" s="195"/>
      <c r="J391" s="195" t="str">
        <f>$J$1</f>
        <v>FR-16(7)(v)-2</v>
      </c>
      <c r="K391" s="195"/>
    </row>
    <row r="392" spans="1:11" ht="13">
      <c r="A392" s="341" t="str">
        <f>$A$2</f>
        <v>PRODUCTION CLASSIFIED - GAS COST OF SERVICE</v>
      </c>
      <c r="C392" s="195"/>
      <c r="D392" s="342"/>
      <c r="E392" s="195"/>
      <c r="F392" s="195"/>
      <c r="G392" s="195"/>
      <c r="H392" s="195"/>
      <c r="I392" s="195"/>
      <c r="J392" s="195" t="str">
        <f>$J$2</f>
        <v>WITNESS RESPONSIBLE:</v>
      </c>
      <c r="K392" s="195"/>
    </row>
    <row r="393" spans="1:11" ht="13">
      <c r="A393" s="341" t="str">
        <f>case_name</f>
        <v>CASE NO: 2021-00190</v>
      </c>
      <c r="C393" s="195"/>
      <c r="D393" s="342"/>
      <c r="E393" s="195"/>
      <c r="F393" s="195"/>
      <c r="G393" s="195"/>
      <c r="H393" s="195"/>
      <c r="I393" s="195"/>
      <c r="J393" s="195" t="str">
        <f>Witness</f>
        <v>JAMES E. ZIOLKOWSKI</v>
      </c>
      <c r="K393" s="195"/>
    </row>
    <row r="394" spans="1:11" ht="13">
      <c r="A394" s="341" t="str">
        <f>data_filing</f>
        <v>DATA: 12 MONTH FORECASTED PERIOD</v>
      </c>
      <c r="C394" s="195"/>
      <c r="D394" s="342"/>
      <c r="E394" s="195"/>
      <c r="F394" s="195"/>
      <c r="G394" s="195"/>
      <c r="H394" s="195"/>
      <c r="I394" s="195"/>
      <c r="J394" s="195" t="str">
        <f>"PAGE "&amp;Pages-9&amp;" OF "&amp;Pages</f>
        <v>PAGE 9 OF 18</v>
      </c>
      <c r="K394" s="195"/>
    </row>
    <row r="395" spans="1:11" ht="13">
      <c r="A395" s="341" t="str">
        <f>type</f>
        <v xml:space="preserve">TYPE OF FILING: "X" ORIGINAL   UPDATED    REVISED  </v>
      </c>
      <c r="C395" s="195"/>
      <c r="D395" s="342"/>
      <c r="E395" s="195"/>
      <c r="F395" s="195"/>
      <c r="G395" s="195"/>
      <c r="H395" s="195"/>
      <c r="I395" s="195"/>
      <c r="J395" s="195"/>
      <c r="K395" s="195"/>
    </row>
    <row r="396" spans="1:11" ht="13">
      <c r="B396" s="341"/>
      <c r="C396" s="195"/>
      <c r="D396" s="342"/>
      <c r="E396" s="195"/>
      <c r="F396" s="195"/>
      <c r="G396" s="195"/>
      <c r="H396" s="195"/>
      <c r="I396" s="195"/>
      <c r="J396" s="195"/>
      <c r="K396" s="195"/>
    </row>
    <row r="397" spans="1:11" ht="13">
      <c r="B397" s="341"/>
      <c r="C397" s="195"/>
      <c r="D397" s="342"/>
      <c r="E397" s="195"/>
      <c r="F397" s="195"/>
      <c r="G397" s="195"/>
      <c r="H397" s="195"/>
      <c r="I397" s="195"/>
      <c r="J397" s="195"/>
      <c r="K397" s="195"/>
    </row>
    <row r="398" spans="1:11" ht="13">
      <c r="A398" s="342" t="s">
        <v>907</v>
      </c>
      <c r="B398" s="195"/>
      <c r="C398" s="195"/>
      <c r="D398" s="342"/>
      <c r="E398" s="195"/>
      <c r="F398" s="342" t="str">
        <f>$F$8</f>
        <v>TOTAL</v>
      </c>
      <c r="G398" s="539" t="s">
        <v>995</v>
      </c>
      <c r="H398" s="527"/>
      <c r="I398" s="528"/>
      <c r="J398" s="342" t="s">
        <v>229</v>
      </c>
      <c r="K398" s="342" t="s">
        <v>342</v>
      </c>
    </row>
    <row r="399" spans="1:11" ht="13">
      <c r="A399" s="344" t="s">
        <v>908</v>
      </c>
      <c r="B399" s="343" t="s">
        <v>44</v>
      </c>
      <c r="C399" s="343"/>
      <c r="D399" s="344" t="s">
        <v>337</v>
      </c>
      <c r="E399" s="343"/>
      <c r="F399" s="344" t="str">
        <f>$F$9</f>
        <v>PRODUCTION</v>
      </c>
      <c r="G399" s="540" t="s">
        <v>840</v>
      </c>
      <c r="H399" s="529" t="s">
        <v>841</v>
      </c>
      <c r="I399" s="530" t="s">
        <v>842</v>
      </c>
      <c r="J399" s="344" t="s">
        <v>341</v>
      </c>
      <c r="K399" s="344" t="s">
        <v>340</v>
      </c>
    </row>
    <row r="400" spans="1:11" ht="13">
      <c r="C400" s="572" t="s">
        <v>557</v>
      </c>
      <c r="D400" s="342"/>
      <c r="E400" s="195"/>
      <c r="G400" s="793">
        <f>$G$10</f>
        <v>3</v>
      </c>
      <c r="H400" s="794">
        <f>$H$10</f>
        <v>4</v>
      </c>
      <c r="I400" s="795">
        <f>$I$10</f>
        <v>5</v>
      </c>
    </row>
    <row r="401" spans="1:11" ht="13">
      <c r="A401" s="331">
        <v>1</v>
      </c>
      <c r="B401" s="330" t="s">
        <v>52</v>
      </c>
      <c r="D401" s="342"/>
      <c r="E401" s="195"/>
      <c r="G401" s="541"/>
      <c r="H401" s="531"/>
      <c r="I401" s="532"/>
    </row>
    <row r="402" spans="1:11" ht="13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3">
        <f>'FR-16(7)(v)-1 Functional'!G402</f>
        <v>0</v>
      </c>
      <c r="G402" s="542">
        <f>F402-SUM(H402:I402)</f>
        <v>0</v>
      </c>
      <c r="H402" s="533">
        <f>ROUND(F402*VLOOKUP(D402,AllocTable_Classified_Production,$H$10,FALSE),0)</f>
        <v>0</v>
      </c>
      <c r="I402" s="534">
        <f>ROUND(F402*VLOOKUP(D402,AllocTable_Classified_Production,$I$10,FALSE),0)</f>
        <v>0</v>
      </c>
      <c r="J402" s="345">
        <f>SUM(G402:I402)</f>
        <v>0</v>
      </c>
      <c r="K402" s="345">
        <f>F402-J402</f>
        <v>0</v>
      </c>
    </row>
    <row r="403" spans="1:11" ht="13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K403" si="109">SUM(F402:F402)</f>
        <v>0</v>
      </c>
      <c r="G403" s="543">
        <f t="shared" si="109"/>
        <v>0</v>
      </c>
      <c r="H403" s="535">
        <f t="shared" si="109"/>
        <v>0</v>
      </c>
      <c r="I403" s="536">
        <f t="shared" si="109"/>
        <v>0</v>
      </c>
      <c r="J403" s="346">
        <f t="shared" si="109"/>
        <v>0</v>
      </c>
      <c r="K403" s="346">
        <f t="shared" si="109"/>
        <v>0</v>
      </c>
    </row>
    <row r="404" spans="1:11" ht="13">
      <c r="A404" s="331">
        <v>4</v>
      </c>
      <c r="D404" s="342"/>
      <c r="E404" s="195"/>
      <c r="F404" s="345"/>
      <c r="G404" s="542"/>
      <c r="H404" s="533"/>
      <c r="I404" s="534"/>
      <c r="J404" s="345"/>
      <c r="K404" s="345"/>
    </row>
    <row r="405" spans="1:11" ht="13">
      <c r="A405" s="331">
        <v>5</v>
      </c>
      <c r="B405" s="330" t="s">
        <v>53</v>
      </c>
      <c r="D405" s="342"/>
      <c r="E405" s="195"/>
      <c r="F405" s="345"/>
      <c r="G405" s="542"/>
      <c r="H405" s="533"/>
      <c r="I405" s="534"/>
      <c r="J405" s="345"/>
      <c r="K405" s="345"/>
    </row>
    <row r="406" spans="1:11" ht="13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3">
        <f>'FR-16(7)(v)-1 Functional'!G406</f>
        <v>0</v>
      </c>
      <c r="G406" s="542">
        <f>F406-SUM(H406:I406)</f>
        <v>0</v>
      </c>
      <c r="H406" s="533">
        <f>ROUND(F406*VLOOKUP(D406,AllocTable_Classified_Production,$H$10,FALSE),0)</f>
        <v>0</v>
      </c>
      <c r="I406" s="534">
        <f>ROUND(F406*VLOOKUP(D406,AllocTable_Classified_Production,$I$10,FALSE),0)</f>
        <v>0</v>
      </c>
      <c r="J406" s="345">
        <f>SUM(G406:I406)</f>
        <v>0</v>
      </c>
      <c r="K406" s="345">
        <f>F406-J406</f>
        <v>0</v>
      </c>
    </row>
    <row r="407" spans="1:11" ht="13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K407" si="110">SUM(F405:F406)</f>
        <v>0</v>
      </c>
      <c r="G407" s="543">
        <f t="shared" si="110"/>
        <v>0</v>
      </c>
      <c r="H407" s="535">
        <f t="shared" si="110"/>
        <v>0</v>
      </c>
      <c r="I407" s="536">
        <f t="shared" si="110"/>
        <v>0</v>
      </c>
      <c r="J407" s="346">
        <f t="shared" si="110"/>
        <v>0</v>
      </c>
      <c r="K407" s="346">
        <f t="shared" si="110"/>
        <v>0</v>
      </c>
    </row>
    <row r="408" spans="1:11" ht="13">
      <c r="A408" s="331">
        <v>8</v>
      </c>
      <c r="D408" s="342"/>
      <c r="E408" s="195"/>
      <c r="G408" s="541"/>
      <c r="H408" s="531"/>
      <c r="I408" s="532"/>
    </row>
    <row r="409" spans="1:11" ht="13">
      <c r="A409" s="331">
        <v>9</v>
      </c>
      <c r="B409" s="330" t="s">
        <v>54</v>
      </c>
      <c r="D409" s="342"/>
      <c r="E409" s="195"/>
      <c r="G409" s="541"/>
      <c r="H409" s="531"/>
      <c r="I409" s="532"/>
    </row>
    <row r="410" spans="1:11" ht="13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3">
        <f>'FR-16(7)(v)-1 Functional'!G410</f>
        <v>658571</v>
      </c>
      <c r="G410" s="542">
        <f t="shared" ref="G410:G415" si="111">F410-SUM(H410:I410)</f>
        <v>0</v>
      </c>
      <c r="H410" s="533">
        <f t="shared" ref="H410:H415" si="112">ROUND(F410*VLOOKUP(D410,AllocTable_Classified_Production,$H$10,FALSE),0)</f>
        <v>658571</v>
      </c>
      <c r="I410" s="534">
        <f t="shared" ref="I410:I415" si="113">ROUND(F410*VLOOKUP(D410,AllocTable_Classified_Production,$I$10,FALSE),0)</f>
        <v>0</v>
      </c>
      <c r="J410" s="345">
        <f t="shared" ref="J410:J415" si="114">SUM(G410:I410)</f>
        <v>658571</v>
      </c>
      <c r="K410" s="345">
        <f t="shared" ref="K410:K415" si="115">F410-J410</f>
        <v>0</v>
      </c>
    </row>
    <row r="411" spans="1:11" ht="13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3">
        <f>'FR-16(7)(v)-1 Functional'!G411</f>
        <v>485224</v>
      </c>
      <c r="G411" s="542">
        <f t="shared" si="111"/>
        <v>0</v>
      </c>
      <c r="H411" s="533">
        <f t="shared" si="112"/>
        <v>485224</v>
      </c>
      <c r="I411" s="534">
        <f t="shared" si="113"/>
        <v>0</v>
      </c>
      <c r="J411" s="345">
        <f t="shared" si="114"/>
        <v>485224</v>
      </c>
      <c r="K411" s="345">
        <f t="shared" si="115"/>
        <v>0</v>
      </c>
    </row>
    <row r="412" spans="1:11" ht="13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3">
        <f>'FR-16(7)(v)-1 Functional'!G412</f>
        <v>0</v>
      </c>
      <c r="G412" s="542">
        <f t="shared" si="111"/>
        <v>0</v>
      </c>
      <c r="H412" s="533">
        <f t="shared" si="112"/>
        <v>0</v>
      </c>
      <c r="I412" s="534">
        <f t="shared" si="113"/>
        <v>0</v>
      </c>
      <c r="J412" s="345">
        <f t="shared" si="114"/>
        <v>0</v>
      </c>
      <c r="K412" s="345">
        <f t="shared" si="115"/>
        <v>0</v>
      </c>
    </row>
    <row r="413" spans="1:11" ht="13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3">
        <f>'FR-16(7)(v)-1 Functional'!G413</f>
        <v>0</v>
      </c>
      <c r="G413" s="542">
        <f t="shared" si="111"/>
        <v>0</v>
      </c>
      <c r="H413" s="533">
        <f t="shared" si="112"/>
        <v>0</v>
      </c>
      <c r="I413" s="534">
        <f t="shared" si="113"/>
        <v>0</v>
      </c>
      <c r="J413" s="345">
        <f t="shared" si="114"/>
        <v>0</v>
      </c>
      <c r="K413" s="345">
        <f t="shared" si="115"/>
        <v>0</v>
      </c>
    </row>
    <row r="414" spans="1:11" ht="13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3">
        <f>'FR-16(7)(v)-1 Functional'!G414</f>
        <v>0</v>
      </c>
      <c r="G414" s="542">
        <f t="shared" si="111"/>
        <v>0</v>
      </c>
      <c r="H414" s="533">
        <f t="shared" si="112"/>
        <v>0</v>
      </c>
      <c r="I414" s="534">
        <f t="shared" si="113"/>
        <v>0</v>
      </c>
      <c r="J414" s="345">
        <f t="shared" si="114"/>
        <v>0</v>
      </c>
      <c r="K414" s="345">
        <f t="shared" si="115"/>
        <v>0</v>
      </c>
    </row>
    <row r="415" spans="1:11" ht="13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3">
        <f>'FR-16(7)(v)-1 Functional'!G415</f>
        <v>0</v>
      </c>
      <c r="G415" s="542">
        <f t="shared" si="111"/>
        <v>0</v>
      </c>
      <c r="H415" s="533">
        <f t="shared" si="112"/>
        <v>0</v>
      </c>
      <c r="I415" s="534">
        <f t="shared" si="113"/>
        <v>0</v>
      </c>
      <c r="J415" s="496">
        <f t="shared" si="114"/>
        <v>0</v>
      </c>
      <c r="K415" s="496">
        <f t="shared" si="115"/>
        <v>0</v>
      </c>
    </row>
    <row r="416" spans="1:11" ht="13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7">
        <f t="shared" ref="F416:K416" si="116">SUM(F410:F415)</f>
        <v>1143795</v>
      </c>
      <c r="G416" s="557">
        <f t="shared" si="116"/>
        <v>0</v>
      </c>
      <c r="H416" s="558">
        <f t="shared" si="116"/>
        <v>1143795</v>
      </c>
      <c r="I416" s="559">
        <f t="shared" si="116"/>
        <v>0</v>
      </c>
      <c r="J416" s="471">
        <f t="shared" si="116"/>
        <v>1143795</v>
      </c>
      <c r="K416" s="471">
        <f t="shared" si="116"/>
        <v>0</v>
      </c>
    </row>
    <row r="417" spans="1:11" ht="13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3">
        <f>'FR-16(7)(v)-1 Functional'!G417</f>
        <v>10979</v>
      </c>
      <c r="G417" s="542">
        <f t="shared" ref="G417:G430" si="117">F417-SUM(H417:I417)</f>
        <v>0</v>
      </c>
      <c r="H417" s="533">
        <f t="shared" ref="H417:H430" si="118">ROUND(F417*VLOOKUP(D417,AllocTable_Classified_Production,$H$10,FALSE),0)</f>
        <v>10979</v>
      </c>
      <c r="I417" s="534">
        <f t="shared" ref="I417:I430" si="119">ROUND(F417*VLOOKUP(D417,AllocTable_Classified_Production,$I$10,FALSE),0)</f>
        <v>0</v>
      </c>
      <c r="J417" s="345">
        <f t="shared" ref="J417:J430" si="120">SUM(G417:I417)</f>
        <v>10979</v>
      </c>
      <c r="K417" s="345">
        <f t="shared" ref="K417:K430" si="121">F417-J417</f>
        <v>0</v>
      </c>
    </row>
    <row r="418" spans="1:11" ht="13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3">
        <f>'FR-16(7)(v)-1 Functional'!G418</f>
        <v>-90601</v>
      </c>
      <c r="G418" s="542">
        <f t="shared" si="117"/>
        <v>0</v>
      </c>
      <c r="H418" s="533">
        <f t="shared" si="118"/>
        <v>-90601</v>
      </c>
      <c r="I418" s="534">
        <f t="shared" si="119"/>
        <v>0</v>
      </c>
      <c r="J418" s="345">
        <f t="shared" si="120"/>
        <v>-90601</v>
      </c>
      <c r="K418" s="345">
        <f t="shared" si="121"/>
        <v>0</v>
      </c>
    </row>
    <row r="419" spans="1:11" ht="13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3">
        <f>'FR-16(7)(v)-1 Functional'!G419</f>
        <v>-31386</v>
      </c>
      <c r="G419" s="542">
        <f t="shared" si="117"/>
        <v>0</v>
      </c>
      <c r="H419" s="533">
        <f t="shared" si="118"/>
        <v>-31386</v>
      </c>
      <c r="I419" s="534">
        <f t="shared" si="119"/>
        <v>0</v>
      </c>
      <c r="J419" s="345">
        <f t="shared" si="120"/>
        <v>-31386</v>
      </c>
      <c r="K419" s="345">
        <f t="shared" si="121"/>
        <v>0</v>
      </c>
    </row>
    <row r="420" spans="1:11" ht="13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3">
        <f>'FR-16(7)(v)-1 Functional'!G420</f>
        <v>0</v>
      </c>
      <c r="G420" s="542">
        <f t="shared" si="117"/>
        <v>0</v>
      </c>
      <c r="H420" s="533">
        <f t="shared" si="118"/>
        <v>0</v>
      </c>
      <c r="I420" s="534">
        <f t="shared" si="119"/>
        <v>0</v>
      </c>
      <c r="J420" s="345">
        <f t="shared" si="120"/>
        <v>0</v>
      </c>
      <c r="K420" s="345">
        <f t="shared" si="121"/>
        <v>0</v>
      </c>
    </row>
    <row r="421" spans="1:11" ht="13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3">
        <f>'FR-16(7)(v)-1 Functional'!G421</f>
        <v>63329</v>
      </c>
      <c r="G421" s="542">
        <f t="shared" si="117"/>
        <v>0</v>
      </c>
      <c r="H421" s="533">
        <f t="shared" si="118"/>
        <v>63329</v>
      </c>
      <c r="I421" s="534">
        <f t="shared" si="119"/>
        <v>0</v>
      </c>
      <c r="J421" s="345">
        <f t="shared" si="120"/>
        <v>63329</v>
      </c>
      <c r="K421" s="345">
        <f t="shared" si="121"/>
        <v>0</v>
      </c>
    </row>
    <row r="422" spans="1:11" ht="13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3">
        <f>'FR-16(7)(v)-1 Functional'!G422</f>
        <v>0</v>
      </c>
      <c r="G422" s="542">
        <f t="shared" si="117"/>
        <v>0</v>
      </c>
      <c r="H422" s="533">
        <f t="shared" si="118"/>
        <v>0</v>
      </c>
      <c r="I422" s="534">
        <f t="shared" si="119"/>
        <v>0</v>
      </c>
      <c r="J422" s="345">
        <f t="shared" si="120"/>
        <v>0</v>
      </c>
      <c r="K422" s="345">
        <f t="shared" si="121"/>
        <v>0</v>
      </c>
    </row>
    <row r="423" spans="1:11" ht="13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3">
        <f>'FR-16(7)(v)-1 Functional'!G423</f>
        <v>0</v>
      </c>
      <c r="G423" s="542">
        <f t="shared" si="117"/>
        <v>0</v>
      </c>
      <c r="H423" s="533">
        <f t="shared" si="118"/>
        <v>0</v>
      </c>
      <c r="I423" s="534">
        <f t="shared" si="119"/>
        <v>0</v>
      </c>
      <c r="J423" s="345">
        <f t="shared" si="120"/>
        <v>0</v>
      </c>
      <c r="K423" s="345">
        <f t="shared" si="121"/>
        <v>0</v>
      </c>
    </row>
    <row r="424" spans="1:11" ht="13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3">
        <f>'FR-16(7)(v)-1 Functional'!G424</f>
        <v>0</v>
      </c>
      <c r="G424" s="542">
        <f t="shared" ref="G424:G429" si="122">F424-SUM(H424:I424)</f>
        <v>0</v>
      </c>
      <c r="H424" s="533">
        <f t="shared" si="118"/>
        <v>0</v>
      </c>
      <c r="I424" s="534">
        <f t="shared" si="119"/>
        <v>0</v>
      </c>
      <c r="J424" s="345">
        <f t="shared" ref="J424:J429" si="123">SUM(G424:I424)</f>
        <v>0</v>
      </c>
      <c r="K424" s="345">
        <f t="shared" ref="K424:K429" si="124">F424-J424</f>
        <v>0</v>
      </c>
    </row>
    <row r="425" spans="1:11" ht="13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3">
        <f>'FR-16(7)(v)-1 Functional'!G425</f>
        <v>0</v>
      </c>
      <c r="G425" s="542">
        <f t="shared" si="122"/>
        <v>0</v>
      </c>
      <c r="H425" s="533">
        <f t="shared" si="118"/>
        <v>0</v>
      </c>
      <c r="I425" s="534">
        <f t="shared" si="119"/>
        <v>0</v>
      </c>
      <c r="J425" s="345">
        <f t="shared" si="123"/>
        <v>0</v>
      </c>
      <c r="K425" s="345">
        <f t="shared" si="124"/>
        <v>0</v>
      </c>
    </row>
    <row r="426" spans="1:11" ht="13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3">
        <f>'FR-16(7)(v)-1 Functional'!G426</f>
        <v>0</v>
      </c>
      <c r="G426" s="542">
        <f t="shared" si="122"/>
        <v>0</v>
      </c>
      <c r="H426" s="533">
        <f t="shared" si="118"/>
        <v>0</v>
      </c>
      <c r="I426" s="534">
        <f t="shared" si="119"/>
        <v>0</v>
      </c>
      <c r="J426" s="345">
        <f t="shared" si="123"/>
        <v>0</v>
      </c>
      <c r="K426" s="345">
        <f t="shared" si="124"/>
        <v>0</v>
      </c>
    </row>
    <row r="427" spans="1:11" ht="13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3">
        <f>'FR-16(7)(v)-1 Functional'!G427</f>
        <v>0</v>
      </c>
      <c r="G427" s="542">
        <f t="shared" si="122"/>
        <v>0</v>
      </c>
      <c r="H427" s="533">
        <f t="shared" si="118"/>
        <v>0</v>
      </c>
      <c r="I427" s="534">
        <f t="shared" si="119"/>
        <v>0</v>
      </c>
      <c r="J427" s="345">
        <f t="shared" si="123"/>
        <v>0</v>
      </c>
      <c r="K427" s="345">
        <f t="shared" si="124"/>
        <v>0</v>
      </c>
    </row>
    <row r="428" spans="1:11" ht="13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3">
        <f>'FR-16(7)(v)-1 Functional'!G428</f>
        <v>0</v>
      </c>
      <c r="G428" s="542">
        <f t="shared" si="122"/>
        <v>0</v>
      </c>
      <c r="H428" s="533">
        <f t="shared" si="118"/>
        <v>0</v>
      </c>
      <c r="I428" s="534">
        <f t="shared" si="119"/>
        <v>0</v>
      </c>
      <c r="J428" s="345">
        <f t="shared" si="123"/>
        <v>0</v>
      </c>
      <c r="K428" s="345">
        <f t="shared" si="124"/>
        <v>0</v>
      </c>
    </row>
    <row r="429" spans="1:11" ht="13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3">
        <f>'FR-16(7)(v)-1 Functional'!G429</f>
        <v>0</v>
      </c>
      <c r="G429" s="542">
        <f t="shared" si="122"/>
        <v>0</v>
      </c>
      <c r="H429" s="533">
        <f t="shared" si="118"/>
        <v>0</v>
      </c>
      <c r="I429" s="534">
        <f t="shared" si="119"/>
        <v>0</v>
      </c>
      <c r="J429" s="345">
        <f t="shared" si="123"/>
        <v>0</v>
      </c>
      <c r="K429" s="345">
        <f t="shared" si="124"/>
        <v>0</v>
      </c>
    </row>
    <row r="430" spans="1:11" ht="13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3">
        <f>'FR-16(7)(v)-1 Functional'!G430</f>
        <v>0</v>
      </c>
      <c r="G430" s="542">
        <f t="shared" si="117"/>
        <v>0</v>
      </c>
      <c r="H430" s="533">
        <f t="shared" si="118"/>
        <v>0</v>
      </c>
      <c r="I430" s="534">
        <f t="shared" si="119"/>
        <v>0</v>
      </c>
      <c r="J430" s="345">
        <f t="shared" si="120"/>
        <v>0</v>
      </c>
      <c r="K430" s="345">
        <f t="shared" si="121"/>
        <v>0</v>
      </c>
    </row>
    <row r="431" spans="1:11" ht="13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K431" si="125">SUM(F416:F430)</f>
        <v>1096116</v>
      </c>
      <c r="G431" s="543">
        <f t="shared" si="125"/>
        <v>0</v>
      </c>
      <c r="H431" s="535">
        <f t="shared" si="125"/>
        <v>1096116</v>
      </c>
      <c r="I431" s="536">
        <f t="shared" si="125"/>
        <v>0</v>
      </c>
      <c r="J431" s="346">
        <f t="shared" si="125"/>
        <v>1096116</v>
      </c>
      <c r="K431" s="346">
        <f t="shared" si="125"/>
        <v>0</v>
      </c>
    </row>
    <row r="432" spans="1:11" ht="13">
      <c r="A432" s="331">
        <v>32</v>
      </c>
      <c r="D432" s="342"/>
      <c r="E432" s="195"/>
      <c r="F432" s="333"/>
      <c r="G432" s="542"/>
      <c r="H432" s="533"/>
      <c r="I432" s="534"/>
      <c r="J432" s="345"/>
      <c r="K432" s="345"/>
    </row>
    <row r="433" spans="1:11" ht="13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K433" si="126">F431+F407+F403+F389+F378+F364+F360</f>
        <v>43377286</v>
      </c>
      <c r="G433" s="544">
        <f t="shared" si="126"/>
        <v>0</v>
      </c>
      <c r="H433" s="537">
        <f t="shared" si="126"/>
        <v>43377286</v>
      </c>
      <c r="I433" s="538">
        <f t="shared" si="126"/>
        <v>0</v>
      </c>
      <c r="J433" s="345">
        <f t="shared" si="126"/>
        <v>43377286</v>
      </c>
      <c r="K433" s="345">
        <f t="shared" si="126"/>
        <v>0</v>
      </c>
    </row>
    <row r="434" spans="1:11" ht="13">
      <c r="B434" s="341"/>
      <c r="C434" s="195"/>
      <c r="D434" s="342"/>
      <c r="E434" s="195"/>
      <c r="F434" s="195"/>
      <c r="G434" s="195"/>
      <c r="H434" s="195"/>
      <c r="I434" s="195"/>
      <c r="J434" s="195"/>
      <c r="K434" s="195"/>
    </row>
    <row r="435" spans="1:11" ht="13">
      <c r="A435" s="341" t="str">
        <f>co_name</f>
        <v>DUKE ENERGY KENTUCKY, INC.</v>
      </c>
      <c r="C435" s="195"/>
      <c r="D435" s="342"/>
      <c r="E435" s="195"/>
      <c r="F435" s="195"/>
      <c r="G435" s="195"/>
      <c r="H435" s="195"/>
      <c r="I435" s="195"/>
      <c r="J435" s="195" t="str">
        <f>$J$1</f>
        <v>FR-16(7)(v)-2</v>
      </c>
      <c r="K435" s="195"/>
    </row>
    <row r="436" spans="1:11" ht="13">
      <c r="A436" s="341" t="str">
        <f>$A$2</f>
        <v>PRODUCTION CLASSIFIED - GAS COST OF SERVICE</v>
      </c>
      <c r="C436" s="195"/>
      <c r="D436" s="342"/>
      <c r="E436" s="195"/>
      <c r="F436" s="195"/>
      <c r="G436" s="195"/>
      <c r="H436" s="195"/>
      <c r="I436" s="195"/>
      <c r="J436" s="195" t="str">
        <f>$J$2</f>
        <v>WITNESS RESPONSIBLE:</v>
      </c>
      <c r="K436" s="195"/>
    </row>
    <row r="437" spans="1:11" ht="13">
      <c r="A437" s="341" t="str">
        <f>case_name</f>
        <v>CASE NO: 2021-00190</v>
      </c>
      <c r="C437" s="195"/>
      <c r="D437" s="342"/>
      <c r="E437" s="195"/>
      <c r="F437" s="195"/>
      <c r="G437" s="195"/>
      <c r="H437" s="195"/>
      <c r="I437" s="195"/>
      <c r="J437" s="195" t="str">
        <f>Witness</f>
        <v>JAMES E. ZIOLKOWSKI</v>
      </c>
      <c r="K437" s="195"/>
    </row>
    <row r="438" spans="1:11" ht="13">
      <c r="A438" s="341" t="str">
        <f>data_filing</f>
        <v>DATA: 12 MONTH FORECASTED PERIOD</v>
      </c>
      <c r="C438" s="195"/>
      <c r="D438" s="342"/>
      <c r="E438" s="195"/>
      <c r="F438" s="195"/>
      <c r="G438" s="195"/>
      <c r="H438" s="195"/>
      <c r="I438" s="195"/>
      <c r="J438" s="195" t="str">
        <f>"PAGE "&amp;Pages-8&amp;" OF "&amp;Pages</f>
        <v>PAGE 10 OF 18</v>
      </c>
      <c r="K438" s="195"/>
    </row>
    <row r="439" spans="1:11" ht="13">
      <c r="A439" s="341" t="str">
        <f>type</f>
        <v xml:space="preserve">TYPE OF FILING: "X" ORIGINAL   UPDATED    REVISED  </v>
      </c>
      <c r="C439" s="195"/>
      <c r="D439" s="342"/>
      <c r="E439" s="195"/>
      <c r="F439" s="195"/>
      <c r="G439" s="195"/>
      <c r="H439" s="195"/>
      <c r="I439" s="195"/>
      <c r="J439" s="195"/>
      <c r="K439" s="195"/>
    </row>
    <row r="440" spans="1:11" ht="13">
      <c r="B440" s="341"/>
      <c r="C440" s="195"/>
      <c r="D440" s="342"/>
      <c r="E440" s="195"/>
      <c r="F440" s="195"/>
      <c r="G440" s="195"/>
      <c r="H440" s="195"/>
      <c r="I440" s="195"/>
      <c r="J440" s="195"/>
      <c r="K440" s="195"/>
    </row>
    <row r="441" spans="1:11" ht="13">
      <c r="B441" s="341"/>
      <c r="C441" s="195"/>
      <c r="D441" s="342"/>
      <c r="E441" s="195"/>
      <c r="F441" s="195"/>
      <c r="G441" s="195"/>
      <c r="H441" s="195"/>
      <c r="I441" s="195"/>
      <c r="J441" s="195"/>
      <c r="K441" s="195"/>
    </row>
    <row r="442" spans="1:11" ht="13">
      <c r="A442" s="342" t="s">
        <v>907</v>
      </c>
      <c r="B442" s="195"/>
      <c r="C442" s="195"/>
      <c r="D442" s="342"/>
      <c r="E442" s="195"/>
      <c r="F442" s="342" t="str">
        <f>$F$8</f>
        <v>TOTAL</v>
      </c>
      <c r="G442" s="539" t="s">
        <v>995</v>
      </c>
      <c r="H442" s="527"/>
      <c r="I442" s="528"/>
      <c r="J442" s="342" t="s">
        <v>229</v>
      </c>
      <c r="K442" s="342" t="s">
        <v>342</v>
      </c>
    </row>
    <row r="443" spans="1:11" ht="13">
      <c r="A443" s="344" t="s">
        <v>908</v>
      </c>
      <c r="B443" s="343" t="s">
        <v>55</v>
      </c>
      <c r="C443" s="343"/>
      <c r="D443" s="344" t="s">
        <v>337</v>
      </c>
      <c r="E443" s="343"/>
      <c r="F443" s="344" t="str">
        <f>$F$9</f>
        <v>PRODUCTION</v>
      </c>
      <c r="G443" s="540" t="s">
        <v>840</v>
      </c>
      <c r="H443" s="529" t="s">
        <v>841</v>
      </c>
      <c r="I443" s="530" t="s">
        <v>842</v>
      </c>
      <c r="J443" s="344" t="s">
        <v>341</v>
      </c>
      <c r="K443" s="344" t="s">
        <v>340</v>
      </c>
    </row>
    <row r="444" spans="1:11" ht="13">
      <c r="C444" s="572" t="s">
        <v>349</v>
      </c>
      <c r="D444" s="342"/>
      <c r="E444" s="195"/>
      <c r="F444" s="504"/>
      <c r="G444" s="793">
        <f>$G$10</f>
        <v>3</v>
      </c>
      <c r="H444" s="794">
        <f>$H$10</f>
        <v>4</v>
      </c>
      <c r="I444" s="795">
        <f>$I$10</f>
        <v>5</v>
      </c>
      <c r="J444" s="504"/>
      <c r="K444" s="504"/>
    </row>
    <row r="445" spans="1:11" ht="13">
      <c r="A445" s="331">
        <v>1</v>
      </c>
      <c r="B445" s="351" t="s">
        <v>56</v>
      </c>
      <c r="C445" s="351"/>
      <c r="D445" s="342"/>
      <c r="E445" s="195"/>
      <c r="G445" s="541"/>
      <c r="H445" s="531"/>
      <c r="I445" s="532"/>
    </row>
    <row r="446" spans="1:11" ht="13">
      <c r="A446" s="331">
        <v>2</v>
      </c>
      <c r="B446" s="351"/>
      <c r="C446" s="505" t="str">
        <f>'FR-16(7)(v)-1 Functional'!C446</f>
        <v>PRODUCTION DEPRECIATION</v>
      </c>
      <c r="D446" s="342" t="str">
        <f>'FR-16(7)(v)-1 Functional'!D446</f>
        <v>P229</v>
      </c>
      <c r="E446" s="195"/>
      <c r="F446" s="473">
        <f>'FR-16(7)(v)-1 Functional'!G446</f>
        <v>333766</v>
      </c>
      <c r="G446" s="542">
        <f>F446-SUM(H446:I446)</f>
        <v>0</v>
      </c>
      <c r="H446" s="533">
        <f>ROUND(F446*VLOOKUP(D446,AllocTable_Classified_Production,$H$10,FALSE),0)</f>
        <v>333766</v>
      </c>
      <c r="I446" s="534">
        <f>ROUND(F446*VLOOKUP(D446,AllocTable_Classified_Production,$I$10,FALSE),0)</f>
        <v>0</v>
      </c>
      <c r="J446" s="345">
        <f>SUM(G446:I446)</f>
        <v>333766</v>
      </c>
      <c r="K446" s="345">
        <f>F446-J446</f>
        <v>0</v>
      </c>
    </row>
    <row r="447" spans="1:11" ht="13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K447" si="127">SUM(F446:F446)</f>
        <v>333766</v>
      </c>
      <c r="G447" s="543">
        <f t="shared" si="127"/>
        <v>0</v>
      </c>
      <c r="H447" s="535">
        <f t="shared" si="127"/>
        <v>333766</v>
      </c>
      <c r="I447" s="536">
        <f t="shared" si="127"/>
        <v>0</v>
      </c>
      <c r="J447" s="346">
        <f t="shared" si="127"/>
        <v>333766</v>
      </c>
      <c r="K447" s="346">
        <f t="shared" si="127"/>
        <v>0</v>
      </c>
    </row>
    <row r="448" spans="1:11" ht="13">
      <c r="A448" s="331">
        <v>4</v>
      </c>
      <c r="B448" s="351"/>
      <c r="C448" s="351"/>
      <c r="D448" s="342"/>
      <c r="E448" s="195"/>
      <c r="F448" s="351"/>
      <c r="G448" s="541"/>
      <c r="H448" s="531"/>
      <c r="I448" s="532"/>
    </row>
    <row r="449" spans="1:11" ht="13">
      <c r="A449" s="331">
        <v>5</v>
      </c>
      <c r="B449" s="505" t="s">
        <v>57</v>
      </c>
      <c r="C449" s="505"/>
      <c r="D449" s="342"/>
      <c r="E449" s="195"/>
      <c r="F449" s="347"/>
      <c r="G449" s="542"/>
      <c r="H449" s="533"/>
      <c r="I449" s="534"/>
      <c r="J449" s="345"/>
      <c r="K449" s="345"/>
    </row>
    <row r="450" spans="1:11" ht="13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K450" si="128">SUM(F449)</f>
        <v>0</v>
      </c>
      <c r="G450" s="543">
        <f t="shared" si="128"/>
        <v>0</v>
      </c>
      <c r="H450" s="535">
        <f t="shared" si="128"/>
        <v>0</v>
      </c>
      <c r="I450" s="536">
        <f t="shared" si="128"/>
        <v>0</v>
      </c>
      <c r="J450" s="346">
        <f t="shared" si="128"/>
        <v>0</v>
      </c>
      <c r="K450" s="346">
        <f t="shared" si="128"/>
        <v>0</v>
      </c>
    </row>
    <row r="451" spans="1:11" ht="13">
      <c r="A451" s="331">
        <v>7</v>
      </c>
      <c r="B451" s="351"/>
      <c r="C451" s="351"/>
      <c r="D451" s="342"/>
      <c r="E451" s="195"/>
      <c r="F451" s="351"/>
      <c r="G451" s="541"/>
      <c r="H451" s="531"/>
      <c r="I451" s="532"/>
    </row>
    <row r="452" spans="1:11" ht="13">
      <c r="A452" s="331">
        <v>8</v>
      </c>
      <c r="B452" s="351" t="s">
        <v>58</v>
      </c>
      <c r="C452" s="351"/>
      <c r="D452" s="342"/>
      <c r="E452" s="195"/>
      <c r="F452" s="351"/>
      <c r="G452" s="541"/>
      <c r="H452" s="531"/>
      <c r="I452" s="532"/>
    </row>
    <row r="453" spans="1:11" ht="13">
      <c r="A453" s="331">
        <v>9</v>
      </c>
      <c r="B453" s="351"/>
      <c r="C453" s="505" t="str">
        <f>'FR-16(7)(v)-1 Functional'!C453</f>
        <v>DISTRIBUTION DEPRECIATION</v>
      </c>
      <c r="D453" s="342" t="str">
        <f>'FR-16(7)(v)-1 Functional'!D453</f>
        <v>D249</v>
      </c>
      <c r="E453" s="195"/>
      <c r="F453" s="473">
        <f>'FR-16(7)(v)-1 Functional'!G453</f>
        <v>0</v>
      </c>
      <c r="G453" s="542">
        <f>F453-SUM(H453:I453)</f>
        <v>0</v>
      </c>
      <c r="H453" s="533">
        <f>ROUND(F453*VLOOKUP(D453,AllocTable_Classified_Production,$H$10,FALSE),0)</f>
        <v>0</v>
      </c>
      <c r="I453" s="534">
        <f>ROUND(F453*VLOOKUP(D453,AllocTable_Classified_Production,$I$10,FALSE),0)</f>
        <v>0</v>
      </c>
      <c r="J453" s="345">
        <f>SUM(G453:I453)</f>
        <v>0</v>
      </c>
      <c r="K453" s="345">
        <f>F453-J453</f>
        <v>0</v>
      </c>
    </row>
    <row r="454" spans="1:11" ht="13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K454" si="129">SUM(F453:F453)</f>
        <v>0</v>
      </c>
      <c r="G454" s="543">
        <f t="shared" si="129"/>
        <v>0</v>
      </c>
      <c r="H454" s="535">
        <f t="shared" si="129"/>
        <v>0</v>
      </c>
      <c r="I454" s="536">
        <f t="shared" si="129"/>
        <v>0</v>
      </c>
      <c r="J454" s="346">
        <f t="shared" si="129"/>
        <v>0</v>
      </c>
      <c r="K454" s="346">
        <f t="shared" si="129"/>
        <v>0</v>
      </c>
    </row>
    <row r="455" spans="1:11" ht="13">
      <c r="A455" s="331">
        <v>11</v>
      </c>
      <c r="B455" s="351"/>
      <c r="C455" s="351"/>
      <c r="D455" s="342"/>
      <c r="E455" s="195"/>
      <c r="F455" s="351" t="s">
        <v>343</v>
      </c>
      <c r="G455" s="541"/>
      <c r="H455" s="531"/>
      <c r="I455" s="532"/>
    </row>
    <row r="456" spans="1:11" ht="13">
      <c r="A456" s="331">
        <v>12</v>
      </c>
      <c r="B456" s="351" t="s">
        <v>59</v>
      </c>
      <c r="C456" s="351"/>
      <c r="D456" s="342"/>
      <c r="E456" s="195"/>
      <c r="F456" s="351"/>
      <c r="G456" s="541"/>
      <c r="H456" s="531"/>
      <c r="I456" s="532"/>
    </row>
    <row r="457" spans="1:11" ht="13">
      <c r="A457" s="331">
        <v>13</v>
      </c>
      <c r="B457" s="351"/>
      <c r="C457" s="505" t="str">
        <f>'FR-16(7)(v)-1 Functional'!C457</f>
        <v>GENERAL DEPRECIATION</v>
      </c>
      <c r="D457" s="342" t="str">
        <f>'FR-16(7)(v)-1 Functional'!D457</f>
        <v>G229</v>
      </c>
      <c r="E457" s="195"/>
      <c r="F457" s="473">
        <f>'FR-16(7)(v)-1 Functional'!G457</f>
        <v>547480</v>
      </c>
      <c r="G457" s="542">
        <f>F457-SUM(H457:I457)</f>
        <v>0</v>
      </c>
      <c r="H457" s="533">
        <f>ROUND(F457*VLOOKUP(D457,AllocTable_Classified_Production,$H$10,FALSE),0)</f>
        <v>547480</v>
      </c>
      <c r="I457" s="534">
        <f>ROUND(F457*VLOOKUP(D457,AllocTable_Classified_Production,$I$10,FALSE),0)</f>
        <v>0</v>
      </c>
      <c r="J457" s="345">
        <f>SUM(G457:I457)</f>
        <v>547480</v>
      </c>
      <c r="K457" s="345">
        <f>F457-J457</f>
        <v>0</v>
      </c>
    </row>
    <row r="458" spans="1:11" ht="13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K458" si="130">SUM(F457:F457)</f>
        <v>547480</v>
      </c>
      <c r="G458" s="543">
        <f t="shared" si="130"/>
        <v>0</v>
      </c>
      <c r="H458" s="535">
        <f t="shared" si="130"/>
        <v>547480</v>
      </c>
      <c r="I458" s="536">
        <f t="shared" si="130"/>
        <v>0</v>
      </c>
      <c r="J458" s="346">
        <f t="shared" si="130"/>
        <v>547480</v>
      </c>
      <c r="K458" s="346">
        <f t="shared" si="130"/>
        <v>0</v>
      </c>
    </row>
    <row r="459" spans="1:11" ht="13">
      <c r="A459" s="331">
        <v>15</v>
      </c>
      <c r="B459" s="351"/>
      <c r="C459" s="351"/>
      <c r="D459" s="342"/>
      <c r="E459" s="195"/>
      <c r="F459" s="351"/>
      <c r="G459" s="541"/>
      <c r="H459" s="531"/>
      <c r="I459" s="532"/>
    </row>
    <row r="460" spans="1:11" ht="13">
      <c r="A460" s="331">
        <v>16</v>
      </c>
      <c r="B460" s="351" t="s">
        <v>60</v>
      </c>
      <c r="C460" s="351"/>
      <c r="D460" s="342"/>
      <c r="E460" s="195"/>
      <c r="F460" s="470"/>
      <c r="G460" s="542"/>
      <c r="H460" s="533"/>
      <c r="I460" s="534"/>
      <c r="J460" s="345"/>
      <c r="K460" s="345"/>
    </row>
    <row r="461" spans="1:11" ht="13">
      <c r="A461" s="331">
        <v>17</v>
      </c>
      <c r="B461" s="351"/>
      <c r="C461" s="505" t="str">
        <f>'FR-16(7)(v)-1 Functional'!C461</f>
        <v>COMMON DEPRECIATION</v>
      </c>
      <c r="D461" s="342" t="str">
        <f>'FR-16(7)(v)-1 Functional'!D461</f>
        <v>C229</v>
      </c>
      <c r="E461" s="195"/>
      <c r="F461" s="473">
        <f>'FR-16(7)(v)-1 Functional'!G461</f>
        <v>-7293.4959999999992</v>
      </c>
      <c r="G461" s="542">
        <f>F461-SUM(H461:I461)</f>
        <v>-0.49599999999918509</v>
      </c>
      <c r="H461" s="533">
        <f>ROUND(F461*VLOOKUP(D461,AllocTable_Classified_Production,$H$10,FALSE),0)</f>
        <v>-7293</v>
      </c>
      <c r="I461" s="534">
        <f>ROUND(F461*VLOOKUP(D461,AllocTable_Classified_Production,$I$10,FALSE),0)</f>
        <v>0</v>
      </c>
      <c r="J461" s="345">
        <f>SUM(G461:I461)</f>
        <v>-7293.4959999999992</v>
      </c>
      <c r="K461" s="345">
        <f>F461-J461</f>
        <v>0</v>
      </c>
    </row>
    <row r="462" spans="1:11" ht="13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K462" si="131">SUM(F461:F461)</f>
        <v>-7293.4959999999992</v>
      </c>
      <c r="G462" s="543">
        <f t="shared" si="131"/>
        <v>-0.49599999999918509</v>
      </c>
      <c r="H462" s="535">
        <f t="shared" si="131"/>
        <v>-7293</v>
      </c>
      <c r="I462" s="536">
        <f t="shared" si="131"/>
        <v>0</v>
      </c>
      <c r="J462" s="346">
        <f t="shared" si="131"/>
        <v>-7293.4959999999992</v>
      </c>
      <c r="K462" s="346">
        <f t="shared" si="131"/>
        <v>0</v>
      </c>
    </row>
    <row r="463" spans="1:11" ht="13">
      <c r="A463" s="331">
        <v>19</v>
      </c>
      <c r="B463" s="351"/>
      <c r="C463" s="351"/>
      <c r="D463" s="342"/>
      <c r="E463" s="195"/>
      <c r="G463" s="541"/>
      <c r="H463" s="531"/>
      <c r="I463" s="532"/>
    </row>
    <row r="464" spans="1:11" ht="13">
      <c r="A464" s="331">
        <v>20</v>
      </c>
      <c r="B464" s="351"/>
      <c r="C464" s="351"/>
      <c r="D464" s="342"/>
      <c r="E464" s="195"/>
      <c r="G464" s="541"/>
      <c r="H464" s="531"/>
      <c r="I464" s="532"/>
    </row>
    <row r="465" spans="1:12" ht="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K465" si="132">F462+F458+F454+F450+F447</f>
        <v>873952.50399999996</v>
      </c>
      <c r="G465" s="544">
        <f t="shared" si="132"/>
        <v>-0.49599999999918509</v>
      </c>
      <c r="H465" s="537">
        <f t="shared" si="132"/>
        <v>873953</v>
      </c>
      <c r="I465" s="538">
        <f t="shared" si="132"/>
        <v>0</v>
      </c>
      <c r="J465" s="345">
        <f t="shared" si="132"/>
        <v>873952.50399999996</v>
      </c>
      <c r="K465" s="345">
        <f t="shared" si="132"/>
        <v>0</v>
      </c>
    </row>
    <row r="466" spans="1:12" ht="13">
      <c r="B466" s="341"/>
      <c r="C466" s="195"/>
      <c r="D466" s="342"/>
      <c r="E466" s="195"/>
      <c r="F466" s="195"/>
      <c r="G466" s="195"/>
      <c r="H466" s="195"/>
      <c r="I466" s="195"/>
      <c r="J466" s="195"/>
      <c r="K466" s="195"/>
    </row>
    <row r="467" spans="1:12" ht="13">
      <c r="A467" s="341" t="str">
        <f>co_name</f>
        <v>DUKE ENERGY KENTUCKY, INC.</v>
      </c>
      <c r="C467" s="195"/>
      <c r="D467" s="342"/>
      <c r="E467" s="195"/>
      <c r="F467" s="195"/>
      <c r="G467" s="195"/>
      <c r="H467" s="195"/>
      <c r="I467" s="195"/>
      <c r="J467" s="195" t="str">
        <f>$J$1</f>
        <v>FR-16(7)(v)-2</v>
      </c>
      <c r="K467" s="195"/>
    </row>
    <row r="468" spans="1:12" ht="13">
      <c r="A468" s="341" t="str">
        <f>$A$2</f>
        <v>PRODUCTION CLASSIFIED - GAS COST OF SERVICE</v>
      </c>
      <c r="C468" s="195"/>
      <c r="D468" s="342"/>
      <c r="E468" s="195"/>
      <c r="F468" s="195"/>
      <c r="G468" s="195"/>
      <c r="H468" s="195"/>
      <c r="I468" s="195"/>
      <c r="J468" s="195" t="str">
        <f>$J$2</f>
        <v>WITNESS RESPONSIBLE:</v>
      </c>
      <c r="K468" s="195"/>
    </row>
    <row r="469" spans="1:12" ht="13">
      <c r="A469" s="341" t="str">
        <f>case_name</f>
        <v>CASE NO: 2021-00190</v>
      </c>
      <c r="C469" s="195"/>
      <c r="D469" s="342"/>
      <c r="E469" s="195"/>
      <c r="F469" s="195"/>
      <c r="G469" s="195"/>
      <c r="H469" s="195"/>
      <c r="I469" s="195"/>
      <c r="J469" s="195" t="str">
        <f>Witness</f>
        <v>JAMES E. ZIOLKOWSKI</v>
      </c>
      <c r="K469" s="195"/>
    </row>
    <row r="470" spans="1:12" ht="13">
      <c r="A470" s="341" t="str">
        <f>data_filing</f>
        <v>DATA: 12 MONTH FORECASTED PERIOD</v>
      </c>
      <c r="C470" s="195"/>
      <c r="D470" s="342"/>
      <c r="E470" s="195"/>
      <c r="F470" s="195"/>
      <c r="G470" s="195"/>
      <c r="H470" s="195"/>
      <c r="I470" s="195"/>
      <c r="J470" s="195" t="str">
        <f>"PAGE "&amp;Pages-7&amp;" OF "&amp;Pages</f>
        <v>PAGE 11 OF 18</v>
      </c>
      <c r="K470" s="195"/>
    </row>
    <row r="471" spans="1:12" ht="13">
      <c r="A471" s="341" t="str">
        <f>type</f>
        <v xml:space="preserve">TYPE OF FILING: "X" ORIGINAL   UPDATED    REVISED  </v>
      </c>
      <c r="C471" s="195"/>
      <c r="D471" s="342"/>
      <c r="E471" s="195"/>
      <c r="F471" s="195"/>
      <c r="G471" s="195"/>
      <c r="H471" s="195"/>
      <c r="I471" s="195"/>
      <c r="J471" s="195"/>
      <c r="K471" s="195"/>
    </row>
    <row r="472" spans="1:12" ht="13">
      <c r="B472" s="341"/>
      <c r="C472" s="195"/>
      <c r="D472" s="342"/>
      <c r="E472" s="195"/>
      <c r="F472" s="195"/>
      <c r="G472" s="195"/>
      <c r="H472" s="195"/>
      <c r="I472" s="195"/>
      <c r="J472" s="195"/>
      <c r="K472" s="195"/>
    </row>
    <row r="473" spans="1:12" ht="13">
      <c r="B473" s="341"/>
      <c r="C473" s="195"/>
      <c r="D473" s="342"/>
      <c r="E473" s="195"/>
      <c r="F473" s="195"/>
      <c r="G473" s="195"/>
      <c r="H473" s="195"/>
      <c r="I473" s="195"/>
      <c r="J473" s="195"/>
      <c r="K473" s="195"/>
    </row>
    <row r="474" spans="1:12" ht="13">
      <c r="A474" s="342" t="s">
        <v>907</v>
      </c>
      <c r="B474" s="195"/>
      <c r="C474" s="195"/>
      <c r="D474" s="342"/>
      <c r="E474" s="195"/>
      <c r="F474" s="342" t="str">
        <f>$F$8</f>
        <v>TOTAL</v>
      </c>
      <c r="G474" s="539" t="s">
        <v>995</v>
      </c>
      <c r="H474" s="527"/>
      <c r="I474" s="528"/>
      <c r="J474" s="342" t="s">
        <v>229</v>
      </c>
      <c r="K474" s="342" t="s">
        <v>342</v>
      </c>
    </row>
    <row r="475" spans="1:12" ht="13">
      <c r="A475" s="344" t="s">
        <v>908</v>
      </c>
      <c r="B475" s="343" t="s">
        <v>62</v>
      </c>
      <c r="C475" s="343"/>
      <c r="D475" s="344" t="s">
        <v>337</v>
      </c>
      <c r="E475" s="343"/>
      <c r="F475" s="344" t="str">
        <f>$F$9</f>
        <v>PRODUCTION</v>
      </c>
      <c r="G475" s="540" t="s">
        <v>840</v>
      </c>
      <c r="H475" s="529" t="s">
        <v>841</v>
      </c>
      <c r="I475" s="530" t="s">
        <v>842</v>
      </c>
      <c r="J475" s="344" t="s">
        <v>341</v>
      </c>
      <c r="K475" s="344" t="s">
        <v>340</v>
      </c>
      <c r="L475" s="363"/>
    </row>
    <row r="476" spans="1:12" ht="13">
      <c r="C476" s="572" t="s">
        <v>350</v>
      </c>
      <c r="D476" s="342"/>
      <c r="E476" s="195"/>
      <c r="F476" s="504"/>
      <c r="G476" s="793">
        <f>$G$10</f>
        <v>3</v>
      </c>
      <c r="H476" s="794">
        <f>$H$10</f>
        <v>4</v>
      </c>
      <c r="I476" s="795">
        <f>$I$10</f>
        <v>5</v>
      </c>
      <c r="J476" s="504"/>
      <c r="K476" s="504"/>
    </row>
    <row r="477" spans="1:12" ht="13">
      <c r="A477" s="331">
        <v>1</v>
      </c>
      <c r="B477" s="330" t="s">
        <v>63</v>
      </c>
      <c r="D477" s="342"/>
      <c r="E477" s="195"/>
      <c r="G477" s="541"/>
      <c r="H477" s="531"/>
      <c r="I477" s="532"/>
    </row>
    <row r="478" spans="1:12" ht="13">
      <c r="A478" s="331">
        <v>2</v>
      </c>
      <c r="B478" s="330" t="s">
        <v>64</v>
      </c>
      <c r="D478" s="342"/>
      <c r="E478" s="195"/>
      <c r="G478" s="541"/>
      <c r="H478" s="531"/>
      <c r="I478" s="532"/>
    </row>
    <row r="479" spans="1:12" ht="13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3">
        <f>'FR-16(7)(v)-1 Functional'!G479</f>
        <v>36513</v>
      </c>
      <c r="G479" s="542">
        <f>F479-SUM($H$479:$I$479)</f>
        <v>0</v>
      </c>
      <c r="H479" s="533">
        <f>ROUND(F479*VLOOKUP(D479,AllocTable_Classified_Production,$H$10,FALSE),0)</f>
        <v>36513</v>
      </c>
      <c r="I479" s="534">
        <f>ROUND(F479*VLOOKUP(D479,AllocTable_Classified_Production,$I$10,FALSE),0)</f>
        <v>0</v>
      </c>
      <c r="J479" s="345">
        <f>SUM($G$479:$I$479)</f>
        <v>36513</v>
      </c>
      <c r="K479" s="345">
        <f>F479-$J$479</f>
        <v>0</v>
      </c>
    </row>
    <row r="480" spans="1:12" ht="13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3">
        <f>'FR-16(7)(v)-1 Functional'!G480</f>
        <v>0</v>
      </c>
      <c r="G480" s="542">
        <f>F480-SUM($H$480:$I$480)</f>
        <v>0</v>
      </c>
      <c r="H480" s="533">
        <f>ROUND(F480*VLOOKUP(D480,AllocTable_Classified_Production,$H$10,FALSE),0)</f>
        <v>0</v>
      </c>
      <c r="I480" s="534">
        <f>ROUND(F480*VLOOKUP(D480,AllocTable_Classified_Production,$I$10,FALSE),0)</f>
        <v>0</v>
      </c>
      <c r="J480" s="345">
        <f>SUM($G$480:$I$480)</f>
        <v>0</v>
      </c>
      <c r="K480" s="345">
        <f>F480-$J$480</f>
        <v>0</v>
      </c>
    </row>
    <row r="481" spans="1:11" ht="13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36513</v>
      </c>
      <c r="G481" s="543">
        <f>SUM($G$479:$G$480)</f>
        <v>0</v>
      </c>
      <c r="H481" s="535">
        <f>SUM($H$479:$H$480)</f>
        <v>36513</v>
      </c>
      <c r="I481" s="536">
        <f>SUM($I$479:$I$480)</f>
        <v>0</v>
      </c>
      <c r="J481" s="346">
        <f>SUM($J$479:$J$480)</f>
        <v>36513</v>
      </c>
      <c r="K481" s="346">
        <f>SUM($K$479:$K$480)</f>
        <v>0</v>
      </c>
    </row>
    <row r="482" spans="1:11" ht="13">
      <c r="A482" s="331">
        <v>6</v>
      </c>
      <c r="D482" s="342"/>
      <c r="E482" s="195"/>
      <c r="F482" s="351"/>
      <c r="G482" s="541"/>
      <c r="H482" s="531"/>
      <c r="I482" s="532"/>
    </row>
    <row r="483" spans="1:11" ht="13">
      <c r="A483" s="331">
        <v>7</v>
      </c>
      <c r="B483" s="330" t="s">
        <v>65</v>
      </c>
      <c r="D483" s="342"/>
      <c r="E483" s="195"/>
      <c r="F483" s="351"/>
      <c r="G483" s="541"/>
      <c r="H483" s="531"/>
      <c r="I483" s="532"/>
    </row>
    <row r="484" spans="1:11" ht="13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3">
        <f>'FR-16(7)(v)-1 Functional'!G484</f>
        <v>96339</v>
      </c>
      <c r="G484" s="542">
        <f>F484-SUM($H$484:$I$484)</f>
        <v>0</v>
      </c>
      <c r="H484" s="533">
        <f>ROUND(F484*VLOOKUP(D484,AllocTable_Classified_Production,$H$10,FALSE),0)</f>
        <v>96339</v>
      </c>
      <c r="I484" s="534">
        <f>ROUND(F484*VLOOKUP(D484,AllocTable_Classified_Production,$I$10,FALSE),0)</f>
        <v>0</v>
      </c>
      <c r="J484" s="345">
        <f>SUM($G$484:$I$484)</f>
        <v>96339</v>
      </c>
      <c r="K484" s="345">
        <f>F484-$J$484</f>
        <v>0</v>
      </c>
    </row>
    <row r="485" spans="1:11" ht="13">
      <c r="A485" s="331">
        <v>9</v>
      </c>
      <c r="C485" s="330" t="str">
        <f>'FR-16(7)(v)-1 Functional'!C485</f>
        <v>UNEMPLOYMENT COMPENSATION</v>
      </c>
      <c r="D485" s="342" t="str">
        <f>'FR-16(7)(v)-1 Functional'!D485</f>
        <v>AG39</v>
      </c>
      <c r="E485" s="195"/>
      <c r="F485" s="473">
        <f>'FR-16(7)(v)-1 Functional'!G485</f>
        <v>0</v>
      </c>
      <c r="G485" s="542">
        <f>F485-SUM($H$485:$I$485)</f>
        <v>0</v>
      </c>
      <c r="H485" s="533">
        <f>ROUND(F485*VLOOKUP(D485,AllocTable_Classified_Production,$H$10,FALSE),0)</f>
        <v>0</v>
      </c>
      <c r="I485" s="534">
        <f>ROUND(F485*VLOOKUP(D485,AllocTable_Classified_Production,$I$10,FALSE),0)</f>
        <v>0</v>
      </c>
      <c r="J485" s="345">
        <f>SUM($G$485:$I$485)</f>
        <v>0</v>
      </c>
      <c r="K485" s="345">
        <f>F485-$J$485</f>
        <v>0</v>
      </c>
    </row>
    <row r="486" spans="1:11" ht="13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3">
        <f>'FR-16(7)(v)-1 Functional'!G486</f>
        <v>0</v>
      </c>
      <c r="G486" s="542">
        <f>F486-SUM($H$486:$I$486)</f>
        <v>0</v>
      </c>
      <c r="H486" s="533">
        <f>ROUND(F486*VLOOKUP(D486,AllocTable_Classified_Production,$H$10,FALSE),0)</f>
        <v>0</v>
      </c>
      <c r="I486" s="534">
        <f>ROUND(F486*VLOOKUP(D486,AllocTable_Classified_Production,$I$10,FALSE),0)</f>
        <v>0</v>
      </c>
      <c r="J486" s="345">
        <f>SUM($G$486:$I$486)</f>
        <v>0</v>
      </c>
      <c r="K486" s="345">
        <f>F486-$J$486</f>
        <v>0</v>
      </c>
    </row>
    <row r="487" spans="1:11" ht="13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3">
        <f>'FR-16(7)(v)-1 Functional'!G487</f>
        <v>0</v>
      </c>
      <c r="G487" s="542">
        <f>F487-SUM($H$487:$I$487)</f>
        <v>0</v>
      </c>
      <c r="H487" s="533">
        <f>ROUND(F487*VLOOKUP(D487,AllocTable_Classified_Production,$H$10,FALSE),0)</f>
        <v>0</v>
      </c>
      <c r="I487" s="534">
        <f>ROUND(F487*VLOOKUP(D487,AllocTable_Classified_Production,$I$10,FALSE),0)</f>
        <v>0</v>
      </c>
      <c r="J487" s="345">
        <f>SUM($G$487:$I$487)</f>
        <v>0</v>
      </c>
      <c r="K487" s="345">
        <f>F487-$J$487</f>
        <v>0</v>
      </c>
    </row>
    <row r="488" spans="1:11" ht="13">
      <c r="A488" s="331">
        <v>12</v>
      </c>
      <c r="C488" s="330" t="str">
        <f>'FR-16(7)(v)-1 Functional'!C488</f>
        <v xml:space="preserve">  TOTAL MISCELLANEOUS TAXES</v>
      </c>
      <c r="D488" s="342"/>
      <c r="E488" s="195"/>
      <c r="F488" s="346">
        <f>SUM(F484:F487)</f>
        <v>96339</v>
      </c>
      <c r="G488" s="543">
        <f>SUM($G$484:$G$487)</f>
        <v>0</v>
      </c>
      <c r="H488" s="535">
        <f>SUM($H$484:$H$487)</f>
        <v>96339</v>
      </c>
      <c r="I488" s="536">
        <f>SUM($I$484:$I$487)</f>
        <v>0</v>
      </c>
      <c r="J488" s="346">
        <f>SUM($J$484:$J$487)</f>
        <v>96339</v>
      </c>
      <c r="K488" s="346">
        <f>SUM($K$484:$K$487)</f>
        <v>0</v>
      </c>
    </row>
    <row r="489" spans="1:11" ht="13">
      <c r="A489" s="331">
        <v>13</v>
      </c>
      <c r="D489" s="342"/>
      <c r="E489" s="195"/>
      <c r="F489" s="351"/>
      <c r="G489" s="541"/>
      <c r="H489" s="531"/>
      <c r="I489" s="532"/>
    </row>
    <row r="490" spans="1:11" ht="13">
      <c r="A490" s="331">
        <v>14</v>
      </c>
      <c r="B490" s="330" t="s">
        <v>66</v>
      </c>
      <c r="D490" s="342"/>
      <c r="E490" s="195"/>
      <c r="F490" s="351"/>
      <c r="G490" s="541"/>
      <c r="H490" s="531"/>
      <c r="I490" s="532"/>
    </row>
    <row r="491" spans="1:11" ht="13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3">
        <f>'FR-16(7)(v)-1 Functional'!G491</f>
        <v>4730</v>
      </c>
      <c r="G491" s="542">
        <f>F491-SUM($H$491:$I$491)</f>
        <v>0</v>
      </c>
      <c r="H491" s="533">
        <f>ROUND(F491*VLOOKUP(D491,AllocTable_Classified_Production,$H$10,FALSE),0)</f>
        <v>4730</v>
      </c>
      <c r="I491" s="534">
        <f>ROUND(F491*VLOOKUP(D491,AllocTable_Classified_Production,$I$10,FALSE),0)</f>
        <v>0</v>
      </c>
      <c r="J491" s="345">
        <f>SUM($G$491:$I$491)</f>
        <v>4730</v>
      </c>
      <c r="K491" s="345">
        <f>F491-$J$491</f>
        <v>0</v>
      </c>
    </row>
    <row r="492" spans="1:11" ht="13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3">
        <f>'FR-16(7)(v)-1 Functional'!G492</f>
        <v>0</v>
      </c>
      <c r="G492" s="542">
        <f>F492-SUM($H$492:$I$492)</f>
        <v>0</v>
      </c>
      <c r="H492" s="533">
        <f>ROUND(F492*VLOOKUP(D492,AllocTable_Classified_Production,$H$10,FALSE),0)</f>
        <v>0</v>
      </c>
      <c r="I492" s="534">
        <f>ROUND(F492*VLOOKUP(D492,AllocTable_Classified_Production,$I$10,FALSE),0)</f>
        <v>0</v>
      </c>
      <c r="J492" s="345">
        <f>SUM($G$492:$I$492)</f>
        <v>0</v>
      </c>
      <c r="K492" s="345">
        <f>F492-$J$492</f>
        <v>0</v>
      </c>
    </row>
    <row r="493" spans="1:11" ht="13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4">
        <f>SUM(F491:F492)</f>
        <v>4730</v>
      </c>
      <c r="G493" s="543">
        <f>SUM($G$491:$G$492)</f>
        <v>0</v>
      </c>
      <c r="H493" s="535">
        <f>SUM($H$491:$H$492)</f>
        <v>4730</v>
      </c>
      <c r="I493" s="536">
        <f>SUM($I$491:$I$492)</f>
        <v>0</v>
      </c>
      <c r="J493" s="346">
        <f>SUM($J$491:$J$492)</f>
        <v>4730</v>
      </c>
      <c r="K493" s="346">
        <f>SUM($K$491:$K$492)</f>
        <v>0</v>
      </c>
    </row>
    <row r="494" spans="1:11" ht="13">
      <c r="A494" s="331">
        <v>18</v>
      </c>
      <c r="D494" s="342"/>
      <c r="E494" s="195"/>
      <c r="G494" s="541"/>
      <c r="H494" s="531"/>
      <c r="I494" s="532"/>
    </row>
    <row r="495" spans="1:11" ht="13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137582</v>
      </c>
      <c r="G495" s="542">
        <f>$G$488+$G$481+$G$493</f>
        <v>0</v>
      </c>
      <c r="H495" s="533">
        <f>$H$488+$H$481+$H$493</f>
        <v>137582</v>
      </c>
      <c r="I495" s="534">
        <f>$I$488+$I$481+$I$493</f>
        <v>0</v>
      </c>
      <c r="J495" s="345">
        <f>$J$488+$J$481+$J$493</f>
        <v>137582</v>
      </c>
      <c r="K495" s="345">
        <f>$K$488+$K$481+$K$493</f>
        <v>0</v>
      </c>
    </row>
    <row r="496" spans="1:11" ht="13">
      <c r="A496" s="331">
        <v>20</v>
      </c>
      <c r="D496" s="342"/>
      <c r="E496" s="195"/>
      <c r="G496" s="541"/>
      <c r="H496" s="531"/>
      <c r="I496" s="532"/>
    </row>
    <row r="497" spans="1:11" ht="13">
      <c r="A497" s="331">
        <v>21</v>
      </c>
      <c r="B497" s="330" t="s">
        <v>40</v>
      </c>
      <c r="D497" s="342"/>
      <c r="E497" s="195"/>
      <c r="G497" s="541"/>
      <c r="H497" s="531"/>
      <c r="I497" s="532"/>
    </row>
    <row r="498" spans="1:11" ht="13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K498" si="133">F433</f>
        <v>43377286</v>
      </c>
      <c r="G498" s="542">
        <f t="shared" si="133"/>
        <v>0</v>
      </c>
      <c r="H498" s="533">
        <f t="shared" si="133"/>
        <v>43377286</v>
      </c>
      <c r="I498" s="534">
        <f t="shared" si="133"/>
        <v>0</v>
      </c>
      <c r="J498" s="345">
        <f t="shared" si="133"/>
        <v>43377286</v>
      </c>
      <c r="K498" s="345">
        <f t="shared" si="133"/>
        <v>0</v>
      </c>
    </row>
    <row r="499" spans="1:11" ht="13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K499" si="134">F465</f>
        <v>873952.50399999996</v>
      </c>
      <c r="G499" s="542">
        <f t="shared" si="134"/>
        <v>-0.49599999999918509</v>
      </c>
      <c r="H499" s="533">
        <f t="shared" si="134"/>
        <v>873953</v>
      </c>
      <c r="I499" s="534">
        <f t="shared" si="134"/>
        <v>0</v>
      </c>
      <c r="J499" s="345">
        <f t="shared" si="134"/>
        <v>873952.50399999996</v>
      </c>
      <c r="K499" s="345">
        <f t="shared" si="134"/>
        <v>0</v>
      </c>
    </row>
    <row r="500" spans="1:11" ht="13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137582</v>
      </c>
      <c r="G500" s="542">
        <f>$G$495</f>
        <v>0</v>
      </c>
      <c r="H500" s="533">
        <f>$H$495</f>
        <v>137582</v>
      </c>
      <c r="I500" s="534">
        <f>$I$495</f>
        <v>0</v>
      </c>
      <c r="J500" s="345">
        <f>$J$495</f>
        <v>137582</v>
      </c>
      <c r="K500" s="345">
        <f>$K$495</f>
        <v>0</v>
      </c>
    </row>
    <row r="501" spans="1:11" ht="13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44388820.504000001</v>
      </c>
      <c r="G501" s="551">
        <f>SUM($G$498:$G$500)</f>
        <v>-0.49599999999918509</v>
      </c>
      <c r="H501" s="552">
        <f>SUM($H$498:$H$500)</f>
        <v>44388821</v>
      </c>
      <c r="I501" s="553">
        <f>SUM($I$498:$I$500)</f>
        <v>0</v>
      </c>
      <c r="J501" s="346">
        <f>SUM($J$498:$J$500)</f>
        <v>44388820.504000001</v>
      </c>
      <c r="K501" s="346">
        <f>SUM($K$498:$K$500)</f>
        <v>0</v>
      </c>
    </row>
    <row r="502" spans="1:11" ht="13">
      <c r="B502" s="341"/>
      <c r="C502" s="195"/>
      <c r="D502" s="342"/>
      <c r="E502" s="195"/>
      <c r="F502" s="195"/>
      <c r="G502" s="195"/>
      <c r="H502" s="195"/>
      <c r="I502" s="195"/>
      <c r="J502" s="195"/>
      <c r="K502" s="195"/>
    </row>
    <row r="503" spans="1:11" ht="13">
      <c r="A503" s="341" t="str">
        <f>co_name</f>
        <v>DUKE ENERGY KENTUCKY, INC.</v>
      </c>
      <c r="C503" s="195"/>
      <c r="D503" s="342"/>
      <c r="E503" s="195"/>
      <c r="F503" s="195"/>
      <c r="G503" s="195"/>
      <c r="H503" s="195"/>
      <c r="I503" s="195"/>
      <c r="J503" s="195" t="str">
        <f>$J$1</f>
        <v>FR-16(7)(v)-2</v>
      </c>
      <c r="K503" s="195"/>
    </row>
    <row r="504" spans="1:11" ht="13">
      <c r="A504" s="341" t="str">
        <f>$A$2</f>
        <v>PRODUCTION CLASSIFIED - GAS COST OF SERVICE</v>
      </c>
      <c r="C504" s="195"/>
      <c r="D504" s="342"/>
      <c r="E504" s="195"/>
      <c r="F504" s="195"/>
      <c r="G504" s="195"/>
      <c r="H504" s="195"/>
      <c r="I504" s="195"/>
      <c r="J504" s="195" t="str">
        <f>$J$2</f>
        <v>WITNESS RESPONSIBLE:</v>
      </c>
      <c r="K504" s="195"/>
    </row>
    <row r="505" spans="1:11" ht="13">
      <c r="A505" s="341" t="str">
        <f>case_name</f>
        <v>CASE NO: 2021-00190</v>
      </c>
      <c r="C505" s="195"/>
      <c r="D505" s="342"/>
      <c r="E505" s="195"/>
      <c r="F505" s="195"/>
      <c r="G505" s="195"/>
      <c r="H505" s="195"/>
      <c r="I505" s="195"/>
      <c r="J505" s="195" t="str">
        <f>Witness</f>
        <v>JAMES E. ZIOLKOWSKI</v>
      </c>
      <c r="K505" s="195"/>
    </row>
    <row r="506" spans="1:11" ht="13">
      <c r="A506" s="341" t="str">
        <f>data_filing</f>
        <v>DATA: 12 MONTH FORECASTED PERIOD</v>
      </c>
      <c r="C506" s="195"/>
      <c r="D506" s="342"/>
      <c r="E506" s="195"/>
      <c r="F506" s="195"/>
      <c r="G506" s="195"/>
      <c r="H506" s="195"/>
      <c r="I506" s="195"/>
      <c r="J506" s="195" t="str">
        <f>"PAGE "&amp;Pages-6&amp;" OF "&amp;Pages</f>
        <v>PAGE 12 OF 18</v>
      </c>
      <c r="K506" s="195"/>
    </row>
    <row r="507" spans="1:11" ht="13">
      <c r="A507" s="341" t="str">
        <f>type</f>
        <v xml:space="preserve">TYPE OF FILING: "X" ORIGINAL   UPDATED    REVISED  </v>
      </c>
      <c r="C507" s="195"/>
      <c r="D507" s="342"/>
      <c r="E507" s="195"/>
      <c r="F507" s="195"/>
      <c r="G507" s="195"/>
      <c r="H507" s="195"/>
      <c r="I507" s="195"/>
      <c r="J507" s="195"/>
      <c r="K507" s="195"/>
    </row>
    <row r="508" spans="1:11" ht="13">
      <c r="B508" s="341"/>
      <c r="C508" s="195"/>
      <c r="D508" s="342"/>
      <c r="E508" s="195"/>
      <c r="F508" s="195"/>
      <c r="G508" s="195"/>
      <c r="H508" s="195"/>
      <c r="I508" s="195"/>
      <c r="J508" s="195"/>
      <c r="K508" s="195"/>
    </row>
    <row r="509" spans="1:11" ht="13">
      <c r="B509" s="341"/>
      <c r="C509" s="195"/>
      <c r="D509" s="342"/>
      <c r="E509" s="195"/>
      <c r="F509" s="195"/>
      <c r="G509" s="195"/>
      <c r="H509" s="195"/>
      <c r="I509" s="195"/>
      <c r="J509" s="195"/>
      <c r="K509" s="195"/>
    </row>
    <row r="510" spans="1:11" ht="13">
      <c r="A510" s="342" t="s">
        <v>907</v>
      </c>
      <c r="B510" s="195"/>
      <c r="C510" s="195"/>
      <c r="D510" s="342"/>
      <c r="E510" s="195"/>
      <c r="F510" s="342" t="str">
        <f>$F$8</f>
        <v>TOTAL</v>
      </c>
      <c r="G510" s="539" t="s">
        <v>995</v>
      </c>
      <c r="H510" s="527"/>
      <c r="I510" s="528"/>
      <c r="J510" s="342" t="s">
        <v>229</v>
      </c>
      <c r="K510" s="342" t="s">
        <v>342</v>
      </c>
    </row>
    <row r="511" spans="1:11" ht="13">
      <c r="A511" s="344" t="s">
        <v>908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4" t="str">
        <f>$F$9</f>
        <v>PRODUCTION</v>
      </c>
      <c r="G511" s="540" t="s">
        <v>840</v>
      </c>
      <c r="H511" s="529" t="s">
        <v>841</v>
      </c>
      <c r="I511" s="530" t="s">
        <v>842</v>
      </c>
      <c r="J511" s="344" t="s">
        <v>341</v>
      </c>
      <c r="K511" s="344" t="s">
        <v>340</v>
      </c>
    </row>
    <row r="512" spans="1:11" ht="13">
      <c r="C512" s="572" t="s">
        <v>351</v>
      </c>
      <c r="D512" s="342"/>
      <c r="E512" s="195"/>
      <c r="G512" s="793">
        <f>$G$10</f>
        <v>3</v>
      </c>
      <c r="H512" s="794">
        <f>$H$10</f>
        <v>4</v>
      </c>
      <c r="I512" s="795">
        <f>$I$10</f>
        <v>5</v>
      </c>
    </row>
    <row r="513" spans="1:11" ht="13">
      <c r="A513" s="331">
        <v>1</v>
      </c>
      <c r="B513" s="330" t="s">
        <v>69</v>
      </c>
      <c r="D513" s="342"/>
      <c r="E513" s="195"/>
      <c r="G513" s="541"/>
      <c r="H513" s="531"/>
      <c r="I513" s="532"/>
    </row>
    <row r="514" spans="1:11" ht="13">
      <c r="A514" s="331">
        <v>2</v>
      </c>
      <c r="B514" s="330" t="s">
        <v>70</v>
      </c>
      <c r="D514" s="342"/>
      <c r="E514" s="195"/>
      <c r="F514" s="330" t="s">
        <v>343</v>
      </c>
      <c r="G514" s="541"/>
      <c r="H514" s="531"/>
      <c r="I514" s="532"/>
    </row>
    <row r="515" spans="1:11" ht="13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3">
        <f>'FR-16(7)(v)-1 Functional'!G515</f>
        <v>145085</v>
      </c>
      <c r="G515" s="542">
        <f>F515-SUM($H$515:$I$515)</f>
        <v>0</v>
      </c>
      <c r="H515" s="533">
        <f>ROUND(F515*VLOOKUP(D515,AllocTable_Classified_Production,$H$10,FALSE),0)</f>
        <v>145085</v>
      </c>
      <c r="I515" s="534">
        <f>ROUND(F515*VLOOKUP(D515,AllocTable_Classified_Production,$I$10,FALSE),0)</f>
        <v>0</v>
      </c>
      <c r="J515" s="345">
        <f>SUM($G$515:$I$515)</f>
        <v>145085</v>
      </c>
      <c r="K515" s="345">
        <f>F515-$J$515</f>
        <v>0</v>
      </c>
    </row>
    <row r="516" spans="1:11" ht="13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145085</v>
      </c>
      <c r="G516" s="543">
        <f>$G$515</f>
        <v>0</v>
      </c>
      <c r="H516" s="535">
        <f>$H$515</f>
        <v>145085</v>
      </c>
      <c r="I516" s="536">
        <f>$I$515</f>
        <v>0</v>
      </c>
      <c r="J516" s="346">
        <f>$J$515</f>
        <v>145085</v>
      </c>
      <c r="K516" s="346">
        <f>$K$515</f>
        <v>0</v>
      </c>
    </row>
    <row r="517" spans="1:11" ht="13">
      <c r="A517" s="331">
        <v>5</v>
      </c>
      <c r="D517" s="342"/>
      <c r="E517" s="195"/>
      <c r="F517" s="351"/>
      <c r="G517" s="541"/>
      <c r="H517" s="531"/>
      <c r="I517" s="532"/>
    </row>
    <row r="518" spans="1:11" ht="13">
      <c r="A518" s="331">
        <v>6</v>
      </c>
      <c r="B518" s="330" t="s">
        <v>71</v>
      </c>
      <c r="D518" s="342"/>
      <c r="E518" s="195"/>
      <c r="F518" s="351"/>
      <c r="G518" s="541"/>
      <c r="H518" s="531"/>
      <c r="I518" s="532"/>
    </row>
    <row r="519" spans="1:11" ht="13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3">
        <f>'FR-16(7)(v)-1 Functional'!G519</f>
        <v>437079</v>
      </c>
      <c r="G519" s="542">
        <f>F519-SUM($H$519:$I$519)</f>
        <v>0</v>
      </c>
      <c r="H519" s="533">
        <f>ROUND(F519*VLOOKUP(D519,AllocTable_Classified_Production,$H$10,FALSE),0)</f>
        <v>437079</v>
      </c>
      <c r="I519" s="534">
        <f>ROUND(F519*VLOOKUP(D519,AllocTable_Classified_Production,$I$10,FALSE),0)</f>
        <v>0</v>
      </c>
      <c r="J519" s="345">
        <f>SUM($G$519:$I$519)</f>
        <v>437079</v>
      </c>
      <c r="K519" s="345">
        <f>F519-$J$519</f>
        <v>0</v>
      </c>
    </row>
    <row r="520" spans="1:11" ht="13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3">
        <f>'FR-16(7)(v)-1 Functional'!G520</f>
        <v>-36436</v>
      </c>
      <c r="G520" s="542">
        <f>F520-SUM($H$520:$I$520)</f>
        <v>0</v>
      </c>
      <c r="H520" s="533">
        <f>ROUND(F520*VLOOKUP(D520,AllocTable_Classified_Production,$H$10,FALSE),0)</f>
        <v>-36436</v>
      </c>
      <c r="I520" s="534">
        <f>ROUND(F520*VLOOKUP(D520,AllocTable_Classified_Production,$I$10,FALSE),0)</f>
        <v>0</v>
      </c>
      <c r="J520" s="345">
        <f>SUM($G$520:$I$520)</f>
        <v>-36436</v>
      </c>
      <c r="K520" s="345">
        <f>F520-$J$520</f>
        <v>0</v>
      </c>
    </row>
    <row r="521" spans="1:11" ht="13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3">
        <f>'FR-16(7)(v)-1 Functional'!G521</f>
        <v>-94080</v>
      </c>
      <c r="G521" s="542">
        <f>F521-SUM($H$521:$I$521)</f>
        <v>0</v>
      </c>
      <c r="H521" s="533">
        <f>ROUND(F521*VLOOKUP(D521,AllocTable_Classified_Production,$H$10,FALSE),0)</f>
        <v>-94080</v>
      </c>
      <c r="I521" s="534">
        <f>ROUND(F521*VLOOKUP(D521,AllocTable_Classified_Production,$I$10,FALSE),0)</f>
        <v>0</v>
      </c>
      <c r="J521" s="345">
        <f>SUM($G$521:$I$521)</f>
        <v>-94080</v>
      </c>
      <c r="K521" s="345">
        <f>F521-$J$521</f>
        <v>0</v>
      </c>
    </row>
    <row r="522" spans="1:11" ht="13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306563</v>
      </c>
      <c r="G522" s="543">
        <f>SUM($G$519:$G$521)</f>
        <v>0</v>
      </c>
      <c r="H522" s="535">
        <f>SUM($H$519:$H$521)</f>
        <v>306563</v>
      </c>
      <c r="I522" s="536">
        <f>SUM($I$519:$I$521)</f>
        <v>0</v>
      </c>
      <c r="J522" s="346">
        <f>SUM($J$519:$J$521)</f>
        <v>306563</v>
      </c>
      <c r="K522" s="474">
        <f>SUM($K$519:$K$521)</f>
        <v>0</v>
      </c>
    </row>
    <row r="523" spans="1:11" ht="13">
      <c r="A523" s="331">
        <v>11</v>
      </c>
      <c r="D523" s="342"/>
      <c r="E523" s="195"/>
      <c r="F523" s="351"/>
      <c r="G523" s="541"/>
      <c r="H523" s="531"/>
      <c r="I523" s="532"/>
    </row>
    <row r="524" spans="1:11" ht="13">
      <c r="A524" s="331">
        <v>12</v>
      </c>
      <c r="B524" s="330" t="s">
        <v>72</v>
      </c>
      <c r="D524" s="342"/>
      <c r="E524" s="195"/>
      <c r="F524" s="347">
        <f>F522+F516</f>
        <v>451648</v>
      </c>
      <c r="G524" s="542">
        <f>$G$522+$G$516</f>
        <v>0</v>
      </c>
      <c r="H524" s="533">
        <f>$H$522+$H$516</f>
        <v>451648</v>
      </c>
      <c r="I524" s="534">
        <f>$I$522+$I$516</f>
        <v>0</v>
      </c>
      <c r="J524" s="345">
        <f>$J$522+$J$516</f>
        <v>451648</v>
      </c>
      <c r="K524" s="345">
        <f>$K$522+$K$516</f>
        <v>0</v>
      </c>
    </row>
    <row r="525" spans="1:11" ht="13">
      <c r="A525" s="331">
        <v>13</v>
      </c>
      <c r="D525" s="342"/>
      <c r="E525" s="195"/>
      <c r="F525" s="351"/>
      <c r="G525" s="541"/>
      <c r="H525" s="531"/>
      <c r="I525" s="532"/>
    </row>
    <row r="526" spans="1:11" ht="13">
      <c r="A526" s="331">
        <v>14</v>
      </c>
      <c r="B526" s="338" t="s">
        <v>541</v>
      </c>
      <c r="D526" s="342"/>
      <c r="E526" s="195"/>
      <c r="F526" s="351"/>
      <c r="G526" s="541"/>
      <c r="H526" s="531"/>
      <c r="I526" s="532"/>
    </row>
    <row r="527" spans="1:11" ht="13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3">
        <f>'FR-16(7)(v)-1 Functional'!G527</f>
        <v>979355</v>
      </c>
      <c r="G527" s="542">
        <f>F527-SUM($H$527:$I$527)</f>
        <v>0</v>
      </c>
      <c r="H527" s="533">
        <f>ROUND(F527*VLOOKUP(D527,AllocTable_Classified_Production,$H$10,FALSE),0)</f>
        <v>979355</v>
      </c>
      <c r="I527" s="534">
        <f>ROUND(F527*VLOOKUP(D527,AllocTable_Classified_Production,$I$10,FALSE),0)</f>
        <v>0</v>
      </c>
      <c r="J527" s="345">
        <f>SUM($G$527:$I$527)</f>
        <v>979355</v>
      </c>
      <c r="K527" s="345">
        <f>F527-$J$527</f>
        <v>0</v>
      </c>
    </row>
    <row r="528" spans="1:11" ht="13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3">
        <f>'FR-16(7)(v)-1 Functional'!G528</f>
        <v>2433</v>
      </c>
      <c r="G528" s="542">
        <f>F528-SUM($H$528:$I$528)</f>
        <v>0</v>
      </c>
      <c r="H528" s="533">
        <f>ROUND(F528*VLOOKUP(D528,AllocTable_Classified_Production,$H$10,FALSE),0)</f>
        <v>2433</v>
      </c>
      <c r="I528" s="534">
        <f>ROUND(F528*VLOOKUP(D528,AllocTable_Classified_Production,$I$10,FALSE),0)</f>
        <v>0</v>
      </c>
      <c r="J528" s="345">
        <f>SUM($G$528:$I$528)</f>
        <v>2433</v>
      </c>
      <c r="K528" s="345">
        <f>F528-$J$528</f>
        <v>0</v>
      </c>
    </row>
    <row r="529" spans="1:11" ht="13">
      <c r="A529" s="331">
        <v>17</v>
      </c>
      <c r="C529" s="612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3">
        <f>'FR-16(7)(v)-1 Functional'!G529</f>
        <v>0</v>
      </c>
      <c r="G529" s="542">
        <f>F529-SUM($H$529:$I$529)</f>
        <v>0</v>
      </c>
      <c r="H529" s="533">
        <f>ROUND(F529*VLOOKUP(D529,AllocTable_Classified_Production,$H$10,FALSE),0)</f>
        <v>0</v>
      </c>
      <c r="I529" s="534">
        <f>ROUND(F529*VLOOKUP(D529,AllocTable_Classified_Production,$I$10,FALSE),0)</f>
        <v>0</v>
      </c>
      <c r="J529" s="345">
        <f>SUM($G$529:$I$529)</f>
        <v>0</v>
      </c>
      <c r="K529" s="345">
        <f>F529-$J$529</f>
        <v>0</v>
      </c>
    </row>
    <row r="530" spans="1:11" ht="13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3">
        <f>'FR-16(7)(v)-1 Functional'!G530</f>
        <v>-72079</v>
      </c>
      <c r="G530" s="542">
        <f>F530-SUM($H$530:$I$530)</f>
        <v>0</v>
      </c>
      <c r="H530" s="533">
        <f>ROUND(F530*VLOOKUP(D530,AllocTable_Classified_Production,$H$10,FALSE),0)</f>
        <v>-72079</v>
      </c>
      <c r="I530" s="534">
        <f>ROUND(F530*VLOOKUP(D530,AllocTable_Classified_Production,$I$10,FALSE),0)</f>
        <v>0</v>
      </c>
      <c r="J530" s="345">
        <f>SUM($G$530:$I$530)</f>
        <v>-72079</v>
      </c>
      <c r="K530" s="345">
        <f>F530-$J$530</f>
        <v>0</v>
      </c>
    </row>
    <row r="531" spans="1:11" ht="13">
      <c r="A531" s="331">
        <v>19</v>
      </c>
      <c r="C531" s="357" t="s">
        <v>1418</v>
      </c>
      <c r="D531" s="342" t="str">
        <f>'FR-16(7)(v)-1 Functional'!D531</f>
        <v>AG39</v>
      </c>
      <c r="E531" s="195"/>
      <c r="F531" s="473">
        <f>'FR-16(7)(v)-1 Functional'!G531</f>
        <v>-97913</v>
      </c>
      <c r="G531" s="542">
        <f>F531-SUM($H$531:$I$531)</f>
        <v>0</v>
      </c>
      <c r="H531" s="533">
        <f>ROUND(F531*VLOOKUP(D531,AllocTable_Classified_Production,$H$10,FALSE),0)</f>
        <v>-97913</v>
      </c>
      <c r="I531" s="534">
        <f>ROUND(F531*VLOOKUP(D531,AllocTable_Classified_Production,$I$10,FALSE),0)</f>
        <v>0</v>
      </c>
      <c r="J531" s="345">
        <f>SUM($G$531:$I$531)</f>
        <v>-97913</v>
      </c>
      <c r="K531" s="345">
        <f>F531-$J$531</f>
        <v>0</v>
      </c>
    </row>
    <row r="532" spans="1:11" ht="13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811796</v>
      </c>
      <c r="G532" s="543">
        <f>SUM($G$527:$G$531)</f>
        <v>0</v>
      </c>
      <c r="H532" s="535">
        <f>SUM($H$527:$H$531)</f>
        <v>811796</v>
      </c>
      <c r="I532" s="536">
        <f>SUM($I$527:$I$531)</f>
        <v>0</v>
      </c>
      <c r="J532" s="346">
        <f>SUM($J$527:$J$531)</f>
        <v>811796</v>
      </c>
      <c r="K532" s="474">
        <f>SUM($K$527:$K$531)</f>
        <v>0</v>
      </c>
    </row>
    <row r="533" spans="1:11" ht="13">
      <c r="A533" s="331">
        <v>21</v>
      </c>
      <c r="D533" s="342"/>
      <c r="E533" s="195"/>
      <c r="F533" s="351"/>
      <c r="G533" s="541"/>
      <c r="H533" s="531"/>
      <c r="I533" s="532"/>
    </row>
    <row r="534" spans="1:11" ht="13">
      <c r="A534" s="331">
        <v>22</v>
      </c>
      <c r="B534" s="330" t="s">
        <v>418</v>
      </c>
      <c r="D534" s="342"/>
      <c r="E534" s="195"/>
      <c r="F534" s="351"/>
      <c r="G534" s="541"/>
      <c r="H534" s="531"/>
      <c r="I534" s="532"/>
    </row>
    <row r="535" spans="1:11" ht="13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3">
        <f>'FR-16(7)(v)-1 Functional'!G535</f>
        <v>546</v>
      </c>
      <c r="G535" s="542">
        <f>F535-SUM($H$535:$I$535)</f>
        <v>0</v>
      </c>
      <c r="H535" s="533">
        <f>ROUND(F535*VLOOKUP(D535,AllocTable_Classified_Production,$H$10,FALSE),0)</f>
        <v>546</v>
      </c>
      <c r="I535" s="534">
        <f>ROUND(F535*VLOOKUP(D535,AllocTable_Classified_Production,$I$10,FALSE),0)</f>
        <v>0</v>
      </c>
      <c r="J535" s="506">
        <f>SUM($G$535:$I$535)</f>
        <v>546</v>
      </c>
      <c r="K535" s="506">
        <f>F535-$J$535</f>
        <v>0</v>
      </c>
    </row>
    <row r="536" spans="1:11" ht="13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546</v>
      </c>
      <c r="G536" s="543">
        <f>SUM($G$535:$G$535)</f>
        <v>0</v>
      </c>
      <c r="H536" s="535">
        <f>SUM($H$535:$H$535)</f>
        <v>546</v>
      </c>
      <c r="I536" s="536">
        <f>SUM($I$535:$I$535)</f>
        <v>0</v>
      </c>
      <c r="J536" s="346">
        <f>SUM($J$535:$J$535)</f>
        <v>546</v>
      </c>
      <c r="K536" s="346">
        <f>SUM($K$535:$K$535)</f>
        <v>0</v>
      </c>
    </row>
    <row r="537" spans="1:11" ht="13">
      <c r="A537" s="331">
        <v>25</v>
      </c>
      <c r="D537" s="342"/>
      <c r="E537" s="195"/>
      <c r="F537" s="504"/>
      <c r="G537" s="566"/>
      <c r="H537" s="567"/>
      <c r="I537" s="568"/>
      <c r="J537" s="504"/>
      <c r="K537" s="504"/>
    </row>
    <row r="538" spans="1:11" ht="15.5">
      <c r="A538" s="331">
        <v>26</v>
      </c>
      <c r="B538" s="330" t="s">
        <v>73</v>
      </c>
      <c r="D538" s="729"/>
      <c r="E538" s="1"/>
      <c r="F538" s="504"/>
      <c r="G538" s="566"/>
      <c r="H538" s="567"/>
      <c r="I538" s="568"/>
      <c r="J538" s="504"/>
      <c r="K538" s="504"/>
    </row>
    <row r="539" spans="1:11" ht="13">
      <c r="A539" s="331">
        <v>27</v>
      </c>
      <c r="C539" s="330" t="str">
        <f>'FR-16(7)(v)-1 Functional'!C539</f>
        <v>PROV INVEST TAX CREDIT</v>
      </c>
      <c r="D539" s="342" t="s">
        <v>315</v>
      </c>
      <c r="F539" s="473">
        <v>0</v>
      </c>
      <c r="G539" s="542">
        <f>ROUND(F539*VLOOKUP(D539,AllocTable_Classified_Production,$G$10,FALSE),0)</f>
        <v>0</v>
      </c>
      <c r="H539" s="533">
        <f>ROUND(F539*VLOOKUP(D539,AllocTable_Classified_Production,$H$10,FALSE),0)</f>
        <v>0</v>
      </c>
      <c r="I539" s="534">
        <f>ROUND(F539*VLOOKUP(D539,AllocTable_Classified_Production,$I$10,FALSE),0)</f>
        <v>0</v>
      </c>
      <c r="J539" s="345">
        <f>SUM($G$539:$I$539)</f>
        <v>0</v>
      </c>
      <c r="K539" s="345">
        <f>F539-$J$539</f>
        <v>0</v>
      </c>
    </row>
    <row r="540" spans="1:11" ht="15.5">
      <c r="A540" s="331">
        <v>28</v>
      </c>
      <c r="C540" s="337" t="str">
        <f>'FR-16(7)(v)-1 Functional'!C540</f>
        <v xml:space="preserve">  TEST YEAR INV TAX CREDIT</v>
      </c>
      <c r="D540" s="729"/>
      <c r="E540" s="1"/>
      <c r="F540" s="346">
        <f>SUM(F539:F539)</f>
        <v>0</v>
      </c>
      <c r="G540" s="543">
        <f>SUM($G$539:$G$539)</f>
        <v>0</v>
      </c>
      <c r="H540" s="535">
        <f>SUM($H$539:$H$539)</f>
        <v>0</v>
      </c>
      <c r="I540" s="536">
        <f>SUM($I$539:$I$539)</f>
        <v>0</v>
      </c>
      <c r="J540" s="346">
        <f>SUM($J$539:$J$539)</f>
        <v>0</v>
      </c>
      <c r="K540" s="346">
        <f>SUM($K$539:$K$539)</f>
        <v>0</v>
      </c>
    </row>
    <row r="541" spans="1:11" ht="15.5">
      <c r="A541" s="331">
        <v>29</v>
      </c>
      <c r="B541" s="192"/>
      <c r="C541" s="192"/>
      <c r="D541" s="729"/>
      <c r="E541" s="1"/>
      <c r="F541" s="504"/>
      <c r="G541" s="566"/>
      <c r="H541" s="567"/>
      <c r="I541" s="568"/>
      <c r="J541" s="504"/>
      <c r="K541" s="504"/>
    </row>
    <row r="542" spans="1:11" ht="15.5">
      <c r="A542" s="331">
        <v>30</v>
      </c>
      <c r="B542" s="330" t="s">
        <v>40</v>
      </c>
      <c r="C542" s="192"/>
      <c r="D542" s="729"/>
      <c r="E542" s="1"/>
      <c r="F542" s="504"/>
      <c r="G542" s="566"/>
      <c r="H542" s="567"/>
      <c r="I542" s="568"/>
      <c r="J542" s="504"/>
      <c r="K542" s="504"/>
    </row>
    <row r="543" spans="1:11" ht="13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811796</v>
      </c>
      <c r="G543" s="542">
        <f>$G$532</f>
        <v>0</v>
      </c>
      <c r="H543" s="533">
        <f>$H$532</f>
        <v>811796</v>
      </c>
      <c r="I543" s="534">
        <f>$I$532</f>
        <v>0</v>
      </c>
      <c r="J543" s="345">
        <f>$J$532</f>
        <v>811796</v>
      </c>
      <c r="K543" s="345">
        <f>$K$532</f>
        <v>0</v>
      </c>
    </row>
    <row r="544" spans="1:11" ht="13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-546</v>
      </c>
      <c r="G544" s="542">
        <f>-$G$536</f>
        <v>0</v>
      </c>
      <c r="H544" s="533">
        <f>-$H$536</f>
        <v>-546</v>
      </c>
      <c r="I544" s="534">
        <f>-$I$536</f>
        <v>0</v>
      </c>
      <c r="J544" s="345">
        <f>-$J$536</f>
        <v>-546</v>
      </c>
      <c r="K544" s="345">
        <f>-$K$536</f>
        <v>0</v>
      </c>
    </row>
    <row r="545" spans="1:11" ht="13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811250</v>
      </c>
      <c r="G545" s="543">
        <f>SUM($G$543:$G$544)</f>
        <v>0</v>
      </c>
      <c r="H545" s="535">
        <f>SUM($H$543:$H$544)</f>
        <v>811250</v>
      </c>
      <c r="I545" s="536">
        <f>SUM($I$543:$I$544)</f>
        <v>0</v>
      </c>
      <c r="J545" s="346">
        <f>SUM($J$543:$J$544)</f>
        <v>811250</v>
      </c>
      <c r="K545" s="346">
        <f>SUM($K$543:$K$544)</f>
        <v>0</v>
      </c>
    </row>
    <row r="546" spans="1:11" ht="13">
      <c r="A546" s="331">
        <v>34</v>
      </c>
      <c r="D546" s="342"/>
      <c r="E546" s="195"/>
      <c r="F546" s="351"/>
      <c r="G546" s="541"/>
      <c r="H546" s="531"/>
      <c r="I546" s="532"/>
    </row>
    <row r="547" spans="1:11" ht="13">
      <c r="A547" s="331">
        <v>35</v>
      </c>
      <c r="B547" s="330" t="s">
        <v>74</v>
      </c>
      <c r="D547" s="342"/>
      <c r="E547" s="195"/>
      <c r="F547" s="351"/>
      <c r="G547" s="541"/>
      <c r="H547" s="531"/>
      <c r="I547" s="532"/>
    </row>
    <row r="548" spans="1:11" ht="13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K548" si="135">F334</f>
        <v>557022</v>
      </c>
      <c r="G548" s="542">
        <f t="shared" si="135"/>
        <v>0</v>
      </c>
      <c r="H548" s="533">
        <f t="shared" si="135"/>
        <v>557022</v>
      </c>
      <c r="I548" s="534">
        <f t="shared" si="135"/>
        <v>0</v>
      </c>
      <c r="J548" s="345">
        <f t="shared" si="135"/>
        <v>557022</v>
      </c>
      <c r="K548" s="345">
        <f t="shared" si="135"/>
        <v>0</v>
      </c>
    </row>
    <row r="549" spans="1:11" ht="13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-451648</v>
      </c>
      <c r="G549" s="542">
        <f>-$G$524</f>
        <v>0</v>
      </c>
      <c r="H549" s="533">
        <f>-$H$524</f>
        <v>-451648</v>
      </c>
      <c r="I549" s="534">
        <f>-$I$524</f>
        <v>0</v>
      </c>
      <c r="J549" s="345">
        <f>-$J$524</f>
        <v>-451648</v>
      </c>
      <c r="K549" s="345">
        <f>-$K$524</f>
        <v>0</v>
      </c>
    </row>
    <row r="550" spans="1:11" ht="13">
      <c r="A550" s="331">
        <v>38</v>
      </c>
      <c r="C550" s="330" t="s">
        <v>1419</v>
      </c>
      <c r="D550" s="342"/>
      <c r="E550" s="195"/>
      <c r="F550" s="347">
        <f t="shared" ref="F550:K550" si="136">F591</f>
        <v>5682</v>
      </c>
      <c r="G550" s="542">
        <f t="shared" si="136"/>
        <v>0</v>
      </c>
      <c r="H550" s="533">
        <f t="shared" si="136"/>
        <v>5682</v>
      </c>
      <c r="I550" s="534">
        <f t="shared" si="136"/>
        <v>0</v>
      </c>
      <c r="J550" s="345">
        <f t="shared" si="136"/>
        <v>5682</v>
      </c>
      <c r="K550" s="345">
        <f t="shared" si="136"/>
        <v>0</v>
      </c>
    </row>
    <row r="551" spans="1:11" ht="13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811250</v>
      </c>
      <c r="G551" s="542">
        <f>$G$545</f>
        <v>0</v>
      </c>
      <c r="H551" s="533">
        <f>$H$545</f>
        <v>811250</v>
      </c>
      <c r="I551" s="534">
        <f>$I$545</f>
        <v>0</v>
      </c>
      <c r="J551" s="345">
        <f>$J$545</f>
        <v>811250</v>
      </c>
      <c r="K551" s="345">
        <f>$K$545</f>
        <v>0</v>
      </c>
    </row>
    <row r="552" spans="1:11" ht="13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>SUM(F548:F551)</f>
        <v>922306</v>
      </c>
      <c r="G552" s="543">
        <f>SUM($G$548:$G$551)</f>
        <v>0</v>
      </c>
      <c r="H552" s="535">
        <f>SUM($H$548:$H$551)</f>
        <v>922306</v>
      </c>
      <c r="I552" s="536">
        <f>SUM($I$548:$I$551)</f>
        <v>0</v>
      </c>
      <c r="J552" s="346">
        <f>SUM($J$548:$J$551)</f>
        <v>922306</v>
      </c>
      <c r="K552" s="346">
        <f>SUM($K$548:$K$551)</f>
        <v>0</v>
      </c>
    </row>
    <row r="553" spans="1:11" ht="13">
      <c r="A553" s="331">
        <v>41</v>
      </c>
      <c r="D553" s="342"/>
      <c r="E553" s="195"/>
      <c r="F553" s="351"/>
      <c r="G553" s="541"/>
      <c r="H553" s="531"/>
      <c r="I553" s="532"/>
    </row>
    <row r="554" spans="1:11" ht="13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560">
        <f>ROUND(G692/(1-G692),9)</f>
        <v>0.26582278500000001</v>
      </c>
      <c r="H554" s="561">
        <f>ROUND(H692/(1-H692),9)</f>
        <v>0.26582278500000001</v>
      </c>
      <c r="I554" s="562">
        <f>ROUND(I692/(1-I692),9)</f>
        <v>0.26582278500000001</v>
      </c>
      <c r="J554" s="348"/>
      <c r="K554" s="348">
        <f>ROUND(K692/(1-K692),9)</f>
        <v>0.26582278500000001</v>
      </c>
    </row>
    <row r="555" spans="1:11" ht="13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>ROUND(F554*F552,0)</f>
        <v>245170</v>
      </c>
      <c r="G555" s="554">
        <f>ROUND($G$552*$G$554,0)</f>
        <v>0</v>
      </c>
      <c r="H555" s="555">
        <f>ROUND($H$552*$H$554,0)</f>
        <v>245170</v>
      </c>
      <c r="I555" s="556">
        <f>ROUND($I$552*$I$554,0)</f>
        <v>0</v>
      </c>
      <c r="J555" s="345">
        <f>SUM($G$555:$I$555)</f>
        <v>245170</v>
      </c>
      <c r="K555" s="345">
        <f>ROUND($K$552*$K$554,0)</f>
        <v>0</v>
      </c>
    </row>
    <row r="556" spans="1:11" ht="13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811250</v>
      </c>
      <c r="G556" s="542">
        <f>$G$545</f>
        <v>0</v>
      </c>
      <c r="H556" s="533">
        <f>$H$545</f>
        <v>811250</v>
      </c>
      <c r="I556" s="534">
        <f>$I$545</f>
        <v>0</v>
      </c>
      <c r="J556" s="345">
        <f>$J$545</f>
        <v>811250</v>
      </c>
      <c r="K556" s="345">
        <f>$K$545</f>
        <v>0</v>
      </c>
    </row>
    <row r="557" spans="1:11" ht="13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>SUM(F555:F556)</f>
        <v>1056420</v>
      </c>
      <c r="G557" s="543">
        <f>SUM($G$555:$G$556)</f>
        <v>0</v>
      </c>
      <c r="H557" s="535">
        <f>SUM($H$555:$H$556)</f>
        <v>1056420</v>
      </c>
      <c r="I557" s="536">
        <f>SUM($I$555:$I$556)</f>
        <v>0</v>
      </c>
      <c r="J557" s="346">
        <f>SUM($J$555:$J$556)</f>
        <v>1056420</v>
      </c>
      <c r="K557" s="346">
        <f>SUM($K$555:$K$556)</f>
        <v>0</v>
      </c>
    </row>
    <row r="558" spans="1:11" ht="13">
      <c r="A558" s="331">
        <v>46</v>
      </c>
      <c r="D558" s="342"/>
      <c r="E558" s="195"/>
      <c r="F558" s="351"/>
      <c r="G558" s="541"/>
      <c r="H558" s="531"/>
      <c r="I558" s="532"/>
    </row>
    <row r="559" spans="1:11" ht="13">
      <c r="A559" s="331">
        <v>47</v>
      </c>
      <c r="B559" s="330" t="s">
        <v>68</v>
      </c>
      <c r="D559" s="342"/>
      <c r="E559" s="195"/>
      <c r="F559" s="351"/>
      <c r="G559" s="541"/>
      <c r="H559" s="531"/>
      <c r="I559" s="532"/>
    </row>
    <row r="560" spans="1:11" ht="13">
      <c r="A560" s="331">
        <v>48</v>
      </c>
      <c r="B560" s="330" t="s">
        <v>75</v>
      </c>
      <c r="D560" s="342"/>
      <c r="E560" s="195"/>
      <c r="F560" s="351"/>
      <c r="G560" s="541"/>
      <c r="H560" s="531"/>
      <c r="I560" s="532"/>
    </row>
    <row r="561" spans="1:11" ht="13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>F555</f>
        <v>245170</v>
      </c>
      <c r="G561" s="542">
        <f>$G$555</f>
        <v>0</v>
      </c>
      <c r="H561" s="533">
        <f>$H$555</f>
        <v>245170</v>
      </c>
      <c r="I561" s="534">
        <f>$I$555</f>
        <v>0</v>
      </c>
      <c r="J561" s="345">
        <f>$J$555</f>
        <v>245170</v>
      </c>
      <c r="K561" s="345">
        <f>$K$555</f>
        <v>0</v>
      </c>
    </row>
    <row r="562" spans="1:11" ht="13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544">
        <f>-$G$540</f>
        <v>0</v>
      </c>
      <c r="H562" s="537">
        <f>-$H$540</f>
        <v>0</v>
      </c>
      <c r="I562" s="538">
        <f>-$I$540</f>
        <v>0</v>
      </c>
      <c r="J562" s="345">
        <f>-$J$540</f>
        <v>0</v>
      </c>
      <c r="K562" s="345">
        <f>-$K$540</f>
        <v>0</v>
      </c>
    </row>
    <row r="563" spans="1:11" ht="13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>SUM(F560:F562)</f>
        <v>245170</v>
      </c>
      <c r="G563" s="543">
        <f>SUM($G$560:$G$562)</f>
        <v>0</v>
      </c>
      <c r="H563" s="535">
        <f>SUM($H$560:$H$562)</f>
        <v>245170</v>
      </c>
      <c r="I563" s="536">
        <f>SUM($I$560:$I$562)</f>
        <v>0</v>
      </c>
      <c r="J563" s="346">
        <f>SUM($J$560:$J$562)</f>
        <v>245170</v>
      </c>
      <c r="K563" s="346">
        <f>SUM($K$560:$K$562)</f>
        <v>0</v>
      </c>
    </row>
    <row r="564" spans="1:11" ht="13">
      <c r="A564" s="331">
        <v>52</v>
      </c>
      <c r="D564" s="342"/>
      <c r="E564" s="195"/>
      <c r="G564" s="541"/>
      <c r="H564" s="531"/>
      <c r="I564" s="532"/>
    </row>
    <row r="565" spans="1:11" ht="13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563">
        <f>ROUND((G693*(1-G692))+((1-G693)*(1-G692)*G694)+G692,5)</f>
        <v>0.24925</v>
      </c>
      <c r="H565" s="564">
        <f>ROUND((H693*(1-H692))+((1-H693)*(1-H692)*H694)+H692,5)</f>
        <v>0.24925</v>
      </c>
      <c r="I565" s="565">
        <f>ROUND((I693*(1-I692))+((1-I693)*(1-I692)*I694)+I692,5)</f>
        <v>0.24925</v>
      </c>
      <c r="K565" s="330">
        <f>ROUND((K693*(1-K692))+((1-K693)*(1-K692)*K694)+K692,5)</f>
        <v>0.24925</v>
      </c>
    </row>
    <row r="566" spans="1:11" ht="13">
      <c r="B566" s="341"/>
      <c r="C566" s="195"/>
      <c r="D566" s="342"/>
      <c r="E566" s="195"/>
      <c r="F566" s="195"/>
      <c r="G566" s="195"/>
      <c r="H566" s="195"/>
      <c r="I566" s="195"/>
      <c r="J566" s="195"/>
      <c r="K566" s="195"/>
    </row>
    <row r="567" spans="1:11" ht="13">
      <c r="A567" s="341" t="str">
        <f>co_name</f>
        <v>DUKE ENERGY KENTUCKY, INC.</v>
      </c>
      <c r="C567" s="195"/>
      <c r="D567" s="342"/>
      <c r="E567" s="195"/>
      <c r="F567" s="195"/>
      <c r="G567" s="195"/>
      <c r="H567" s="195"/>
      <c r="I567" s="195"/>
      <c r="J567" s="195" t="str">
        <f>$J$1</f>
        <v>FR-16(7)(v)-2</v>
      </c>
      <c r="K567" s="195"/>
    </row>
    <row r="568" spans="1:11" ht="13">
      <c r="A568" s="341" t="str">
        <f>$A$2</f>
        <v>PRODUCTION CLASSIFIED - GAS COST OF SERVICE</v>
      </c>
      <c r="C568" s="195"/>
      <c r="D568" s="342"/>
      <c r="E568" s="195"/>
      <c r="F568" s="195"/>
      <c r="G568" s="195"/>
      <c r="H568" s="195"/>
      <c r="I568" s="195"/>
      <c r="J568" s="195" t="str">
        <f>$J$2</f>
        <v>WITNESS RESPONSIBLE:</v>
      </c>
      <c r="K568" s="195"/>
    </row>
    <row r="569" spans="1:11" ht="13">
      <c r="A569" s="341" t="str">
        <f>case_name</f>
        <v>CASE NO: 2021-00190</v>
      </c>
      <c r="C569" s="195"/>
      <c r="D569" s="342"/>
      <c r="E569" s="195"/>
      <c r="F569" s="195"/>
      <c r="G569" s="195"/>
      <c r="H569" s="195"/>
      <c r="I569" s="195"/>
      <c r="J569" s="195" t="str">
        <f>Witness</f>
        <v>JAMES E. ZIOLKOWSKI</v>
      </c>
      <c r="K569" s="195"/>
    </row>
    <row r="570" spans="1:11" ht="13">
      <c r="A570" s="341" t="str">
        <f>data_filing</f>
        <v>DATA: 12 MONTH FORECASTED PERIOD</v>
      </c>
      <c r="C570" s="195"/>
      <c r="D570" s="342"/>
      <c r="E570" s="195"/>
      <c r="F570" s="195"/>
      <c r="G570" s="195"/>
      <c r="H570" s="195"/>
      <c r="I570" s="195"/>
      <c r="J570" s="195" t="str">
        <f>"PAGE "&amp;Pages-5&amp;" OF "&amp;Pages</f>
        <v>PAGE 13 OF 18</v>
      </c>
      <c r="K570" s="195"/>
    </row>
    <row r="571" spans="1:11" ht="13">
      <c r="A571" s="341" t="str">
        <f>type</f>
        <v xml:space="preserve">TYPE OF FILING: "X" ORIGINAL   UPDATED    REVISED  </v>
      </c>
      <c r="C571" s="195"/>
      <c r="D571" s="342"/>
      <c r="E571" s="195"/>
      <c r="F571" s="195"/>
      <c r="G571" s="195"/>
      <c r="H571" s="195"/>
      <c r="I571" s="195"/>
      <c r="J571" s="195"/>
      <c r="K571" s="195"/>
    </row>
    <row r="574" spans="1:11" ht="13">
      <c r="A574" s="342" t="s">
        <v>907</v>
      </c>
      <c r="B574" s="1352"/>
      <c r="C574" s="1083"/>
      <c r="D574" s="1083"/>
      <c r="E574" s="340"/>
      <c r="F574" s="352" t="s">
        <v>229</v>
      </c>
      <c r="G574" s="539" t="s">
        <v>995</v>
      </c>
      <c r="H574" s="527"/>
      <c r="I574" s="528"/>
      <c r="J574" s="342" t="s">
        <v>229</v>
      </c>
      <c r="K574" s="342" t="s">
        <v>342</v>
      </c>
    </row>
    <row r="575" spans="1:11" ht="13">
      <c r="A575" s="344" t="s">
        <v>908</v>
      </c>
      <c r="B575" s="1354" t="s">
        <v>1376</v>
      </c>
      <c r="C575" s="1355"/>
      <c r="D575" s="1356" t="s">
        <v>1377</v>
      </c>
      <c r="E575" s="1357"/>
      <c r="F575" s="353" t="str">
        <f>$F$9</f>
        <v>PRODUCTION</v>
      </c>
      <c r="G575" s="540" t="s">
        <v>840</v>
      </c>
      <c r="H575" s="529" t="s">
        <v>841</v>
      </c>
      <c r="I575" s="530" t="s">
        <v>842</v>
      </c>
      <c r="J575" s="344" t="s">
        <v>341</v>
      </c>
      <c r="K575" s="344" t="s">
        <v>340</v>
      </c>
    </row>
    <row r="576" spans="1:11" ht="15.5">
      <c r="A576" s="1358"/>
      <c r="B576" s="1359"/>
      <c r="C576" s="1360" t="s">
        <v>1378</v>
      </c>
      <c r="D576" s="1361"/>
      <c r="E576" s="340"/>
      <c r="F576" s="351"/>
      <c r="G576" s="1407">
        <f>$G$10</f>
        <v>3</v>
      </c>
      <c r="H576" s="1408">
        <f>$H$10</f>
        <v>4</v>
      </c>
      <c r="I576" s="1409">
        <f>$I$10</f>
        <v>5</v>
      </c>
    </row>
    <row r="577" spans="1:11" ht="13">
      <c r="A577" s="961">
        <v>1</v>
      </c>
      <c r="B577" s="1365" t="s">
        <v>1379</v>
      </c>
      <c r="C577" s="1352"/>
      <c r="D577" s="1352"/>
      <c r="E577" s="340"/>
      <c r="F577" s="340"/>
      <c r="G577" s="1410"/>
      <c r="H577" s="1411"/>
      <c r="I577" s="1412"/>
      <c r="J577" s="195"/>
      <c r="K577" s="195"/>
    </row>
    <row r="578" spans="1:11" ht="13">
      <c r="A578" s="961">
        <v>2</v>
      </c>
      <c r="B578" s="1369" t="s">
        <v>1380</v>
      </c>
      <c r="C578" s="1352"/>
      <c r="D578" s="1370" t="s">
        <v>315</v>
      </c>
      <c r="E578" s="340"/>
      <c r="F578" s="473">
        <f>'FR-16(7)(v)-1 Functional'!G578</f>
        <v>60857</v>
      </c>
      <c r="G578" s="542">
        <f>F578-SUM(H578:I578)</f>
        <v>0</v>
      </c>
      <c r="H578" s="533">
        <f>ROUND(F578*VLOOKUP(D578,AllocTable_Classified_Production,$H$10,FALSE),0)</f>
        <v>60857</v>
      </c>
      <c r="I578" s="534">
        <f>ROUND(F578*VLOOKUP(D578,AllocTable_Classified_Production,$I$10,FALSE),0)</f>
        <v>0</v>
      </c>
      <c r="J578" s="345">
        <f>SUM(G578:I578)</f>
        <v>60857</v>
      </c>
      <c r="K578" s="345">
        <f>F578-J578</f>
        <v>0</v>
      </c>
    </row>
    <row r="579" spans="1:11" ht="13">
      <c r="A579" s="961">
        <v>3</v>
      </c>
      <c r="B579" s="1369" t="s">
        <v>1152</v>
      </c>
      <c r="C579" s="1371"/>
      <c r="D579" s="1370" t="s">
        <v>315</v>
      </c>
      <c r="E579" s="340"/>
      <c r="F579" s="1372"/>
      <c r="G579" s="544">
        <f>ROUND(F579*VLOOKUP(D579,AllocTable_Functional,$G$10,FALSE),0)</f>
        <v>0</v>
      </c>
      <c r="H579" s="537">
        <f>ROUND(F579*VLOOKUP(D579,AllocTable_Functional,$H$10,FALSE),0)</f>
        <v>0</v>
      </c>
      <c r="I579" s="538">
        <f>ROUND(F579*VLOOKUP(D579,AllocTable_Functional,$I$10,FALSE),0)</f>
        <v>0</v>
      </c>
      <c r="J579" s="496">
        <f>SUM(G579:I579)</f>
        <v>0</v>
      </c>
      <c r="K579" s="496">
        <f>F579-J579</f>
        <v>0</v>
      </c>
    </row>
    <row r="580" spans="1:11" ht="13">
      <c r="A580" s="961">
        <v>4</v>
      </c>
      <c r="B580" s="1373" t="s">
        <v>1381</v>
      </c>
      <c r="C580" s="1352"/>
      <c r="D580" s="1374"/>
      <c r="E580" s="340"/>
      <c r="F580" s="1280">
        <f t="shared" ref="F580:K580" si="137">SUM(F578:F579)</f>
        <v>60857</v>
      </c>
      <c r="G580" s="1413">
        <f t="shared" si="137"/>
        <v>0</v>
      </c>
      <c r="H580" s="1414">
        <f t="shared" si="137"/>
        <v>60857</v>
      </c>
      <c r="I580" s="1415">
        <f t="shared" si="137"/>
        <v>0</v>
      </c>
      <c r="J580" s="333">
        <f t="shared" si="137"/>
        <v>60857</v>
      </c>
      <c r="K580" s="333">
        <f t="shared" si="137"/>
        <v>0</v>
      </c>
    </row>
    <row r="581" spans="1:11" ht="15.5">
      <c r="A581" s="961">
        <v>5</v>
      </c>
      <c r="B581" s="1358"/>
      <c r="C581" s="1361"/>
      <c r="D581" s="1375"/>
      <c r="E581" s="340"/>
      <c r="F581" s="351"/>
      <c r="G581" s="541"/>
      <c r="H581" s="531"/>
      <c r="I581" s="532"/>
    </row>
    <row r="582" spans="1:11" ht="13">
      <c r="A582" s="961">
        <v>6</v>
      </c>
      <c r="B582" s="1376" t="s">
        <v>1382</v>
      </c>
      <c r="C582" s="1352"/>
      <c r="D582" s="1374"/>
      <c r="E582" s="340"/>
      <c r="F582" s="351"/>
      <c r="G582" s="541"/>
      <c r="H582" s="531"/>
      <c r="I582" s="532"/>
    </row>
    <row r="583" spans="1:11" ht="13">
      <c r="A583" s="961">
        <v>7</v>
      </c>
      <c r="B583" s="1377" t="s">
        <v>1383</v>
      </c>
      <c r="C583" s="1352"/>
      <c r="D583" s="1374"/>
      <c r="E583" s="340"/>
      <c r="F583" s="351"/>
      <c r="G583" s="541"/>
      <c r="H583" s="531"/>
      <c r="I583" s="532"/>
    </row>
    <row r="584" spans="1:11" ht="13">
      <c r="A584" s="961">
        <v>8</v>
      </c>
      <c r="B584" s="1378" t="s">
        <v>1384</v>
      </c>
      <c r="C584" s="1371"/>
      <c r="D584" s="1370" t="s">
        <v>315</v>
      </c>
      <c r="E584" s="340"/>
      <c r="F584" s="1431">
        <f>'FR-16(7)(v)-1 Functional'!G584</f>
        <v>5682</v>
      </c>
      <c r="G584" s="544">
        <f>F584-SUM(H584:I584)</f>
        <v>0</v>
      </c>
      <c r="H584" s="537">
        <f>ROUND(F584*VLOOKUP(D584,AllocTable_Classified_Production,$H$10,FALSE),0)</f>
        <v>5682</v>
      </c>
      <c r="I584" s="538">
        <f>ROUND(F584*VLOOKUP(D584,AllocTable_Classified_Production,$I$10,FALSE),0)</f>
        <v>0</v>
      </c>
      <c r="J584" s="496">
        <f>SUM(G584:I584)</f>
        <v>5682</v>
      </c>
      <c r="K584" s="496">
        <f>F584-J584</f>
        <v>0</v>
      </c>
    </row>
    <row r="585" spans="1:11" ht="13">
      <c r="A585" s="961">
        <v>9</v>
      </c>
      <c r="B585" s="1373" t="s">
        <v>1386</v>
      </c>
      <c r="C585" s="1352"/>
      <c r="D585" s="1374"/>
      <c r="E585" s="340"/>
      <c r="F585" s="1280">
        <f t="shared" ref="F585:K585" si="138">SUM(F584)</f>
        <v>5682</v>
      </c>
      <c r="G585" s="1413">
        <f t="shared" si="138"/>
        <v>0</v>
      </c>
      <c r="H585" s="1414">
        <f t="shared" si="138"/>
        <v>5682</v>
      </c>
      <c r="I585" s="1415">
        <f t="shared" si="138"/>
        <v>0</v>
      </c>
      <c r="J585" s="333">
        <f t="shared" si="138"/>
        <v>5682</v>
      </c>
      <c r="K585" s="333">
        <f t="shared" si="138"/>
        <v>0</v>
      </c>
    </row>
    <row r="586" spans="1:11" ht="13">
      <c r="A586" s="961">
        <v>10</v>
      </c>
      <c r="B586" s="1082"/>
      <c r="C586" s="1352"/>
      <c r="D586" s="1374"/>
      <c r="E586" s="340"/>
      <c r="F586" s="351"/>
      <c r="G586" s="541"/>
      <c r="H586" s="531"/>
      <c r="I586" s="532"/>
    </row>
    <row r="587" spans="1:11" ht="13">
      <c r="A587" s="961">
        <v>11</v>
      </c>
      <c r="B587" s="1379" t="s">
        <v>1387</v>
      </c>
      <c r="C587" s="1380"/>
      <c r="D587" s="1381"/>
      <c r="E587" s="340"/>
      <c r="F587" s="351"/>
      <c r="G587" s="541"/>
      <c r="H587" s="531"/>
      <c r="I587" s="532"/>
    </row>
    <row r="588" spans="1:11" ht="13">
      <c r="A588" s="961">
        <v>12</v>
      </c>
      <c r="B588" s="1369" t="s">
        <v>1388</v>
      </c>
      <c r="C588" s="1371"/>
      <c r="D588" s="1370" t="s">
        <v>315</v>
      </c>
      <c r="E588" s="340"/>
      <c r="F588" s="1431">
        <f>'FR-16(7)(v)-1 Functional'!F588</f>
        <v>0</v>
      </c>
      <c r="G588" s="544">
        <f>ROUND(F588*VLOOKUP(D588,AllocTable_Functional,$G$10,FALSE),0)</f>
        <v>0</v>
      </c>
      <c r="H588" s="537">
        <f>ROUND(F588*VLOOKUP(D588,AllocTable_Functional,$H$10,FALSE),0)</f>
        <v>0</v>
      </c>
      <c r="I588" s="538">
        <f>ROUND(F588*VLOOKUP(D588,AllocTable_Functional,$I$10,FALSE),0)</f>
        <v>0</v>
      </c>
      <c r="J588" s="496">
        <f>SUM(G588:I588)</f>
        <v>0</v>
      </c>
      <c r="K588" s="496">
        <f>F588-J588</f>
        <v>0</v>
      </c>
    </row>
    <row r="589" spans="1:11" ht="13">
      <c r="A589" s="961">
        <v>13</v>
      </c>
      <c r="B589" s="1373" t="s">
        <v>1389</v>
      </c>
      <c r="C589" s="1352"/>
      <c r="D589" s="1374"/>
      <c r="E589" s="340"/>
      <c r="F589" s="1280">
        <f t="shared" ref="F589:K589" si="139">SUM(F588)</f>
        <v>0</v>
      </c>
      <c r="G589" s="1413">
        <f t="shared" si="139"/>
        <v>0</v>
      </c>
      <c r="H589" s="1414">
        <f t="shared" si="139"/>
        <v>0</v>
      </c>
      <c r="I589" s="1415">
        <f t="shared" si="139"/>
        <v>0</v>
      </c>
      <c r="J589" s="333">
        <f t="shared" si="139"/>
        <v>0</v>
      </c>
      <c r="K589" s="333">
        <f t="shared" si="139"/>
        <v>0</v>
      </c>
    </row>
    <row r="590" spans="1:11" ht="13">
      <c r="A590" s="961">
        <v>14</v>
      </c>
      <c r="B590" s="1352"/>
      <c r="C590" s="1352"/>
      <c r="D590" s="1374"/>
      <c r="E590" s="340"/>
      <c r="F590" s="351"/>
      <c r="G590" s="541"/>
      <c r="H590" s="531"/>
      <c r="I590" s="532"/>
    </row>
    <row r="591" spans="1:11" ht="13">
      <c r="A591" s="961">
        <v>15</v>
      </c>
      <c r="B591" s="1352" t="s">
        <v>1390</v>
      </c>
      <c r="C591" s="1352"/>
      <c r="D591" s="1374"/>
      <c r="E591" s="340"/>
      <c r="F591" s="1280">
        <f>F589+F585</f>
        <v>5682</v>
      </c>
      <c r="G591" s="1413">
        <f t="shared" ref="G591:K591" si="140">G589+G585</f>
        <v>0</v>
      </c>
      <c r="H591" s="1414">
        <f t="shared" si="140"/>
        <v>5682</v>
      </c>
      <c r="I591" s="1415">
        <f t="shared" si="140"/>
        <v>0</v>
      </c>
      <c r="J591" s="333">
        <f t="shared" si="140"/>
        <v>5682</v>
      </c>
      <c r="K591" s="333">
        <f t="shared" si="140"/>
        <v>0</v>
      </c>
    </row>
    <row r="592" spans="1:11" ht="13">
      <c r="A592" s="961">
        <v>16</v>
      </c>
      <c r="B592" s="1352"/>
      <c r="C592" s="1352"/>
      <c r="D592" s="1374"/>
      <c r="E592" s="340"/>
      <c r="F592" s="351"/>
      <c r="G592" s="541"/>
      <c r="H592" s="531"/>
      <c r="I592" s="532"/>
    </row>
    <row r="593" spans="1:11" ht="13">
      <c r="A593" s="961">
        <v>17</v>
      </c>
      <c r="B593" s="1382" t="s">
        <v>68</v>
      </c>
      <c r="C593" s="1383"/>
      <c r="D593" s="961"/>
      <c r="E593" s="340"/>
      <c r="F593" s="351"/>
      <c r="G593" s="541"/>
      <c r="H593" s="531"/>
      <c r="I593" s="532"/>
    </row>
    <row r="594" spans="1:11" ht="13">
      <c r="A594" s="961">
        <v>18</v>
      </c>
      <c r="B594" s="1377" t="s">
        <v>1391</v>
      </c>
      <c r="C594" s="1352"/>
      <c r="D594" s="1374"/>
      <c r="E594" s="340"/>
      <c r="F594" s="351"/>
      <c r="G594" s="541"/>
      <c r="H594" s="531"/>
      <c r="I594" s="532"/>
    </row>
    <row r="595" spans="1:11" ht="13">
      <c r="A595" s="961">
        <v>19</v>
      </c>
      <c r="B595" s="1352" t="s">
        <v>43</v>
      </c>
      <c r="C595" s="1352"/>
      <c r="D595" s="1374"/>
      <c r="E595" s="340"/>
      <c r="F595" s="1280">
        <f>F334</f>
        <v>557022</v>
      </c>
      <c r="G595" s="1413">
        <f>G334</f>
        <v>0</v>
      </c>
      <c r="H595" s="1414">
        <f t="shared" ref="H595:K595" si="141">H334</f>
        <v>557022</v>
      </c>
      <c r="I595" s="1415">
        <f t="shared" si="141"/>
        <v>0</v>
      </c>
      <c r="J595" s="1280">
        <f t="shared" si="141"/>
        <v>557022</v>
      </c>
      <c r="K595" s="1280">
        <f t="shared" si="141"/>
        <v>0</v>
      </c>
    </row>
    <row r="596" spans="1:11" ht="13">
      <c r="A596" s="961">
        <v>20</v>
      </c>
      <c r="B596" s="1352" t="s">
        <v>199</v>
      </c>
      <c r="C596" s="1352"/>
      <c r="D596" s="1374"/>
      <c r="E596" s="340"/>
      <c r="F596" s="1280">
        <f t="shared" ref="F596" si="142">F557</f>
        <v>1056420</v>
      </c>
      <c r="G596" s="1413">
        <f t="shared" ref="G596:K596" si="143">G557</f>
        <v>0</v>
      </c>
      <c r="H596" s="1414">
        <f t="shared" si="143"/>
        <v>1056420</v>
      </c>
      <c r="I596" s="1415">
        <f t="shared" si="143"/>
        <v>0</v>
      </c>
      <c r="J596" s="333">
        <f t="shared" si="143"/>
        <v>1056420</v>
      </c>
      <c r="K596" s="333">
        <f t="shared" si="143"/>
        <v>0</v>
      </c>
    </row>
    <row r="597" spans="1:11" ht="13">
      <c r="A597" s="961">
        <v>21</v>
      </c>
      <c r="B597" s="1352" t="s">
        <v>1392</v>
      </c>
      <c r="C597" s="1352"/>
      <c r="D597" s="1374"/>
      <c r="E597" s="340"/>
      <c r="F597" s="1280">
        <f t="shared" ref="F597:K597" si="144">-F524</f>
        <v>-451648</v>
      </c>
      <c r="G597" s="1413">
        <f t="shared" si="144"/>
        <v>0</v>
      </c>
      <c r="H597" s="1414">
        <f t="shared" si="144"/>
        <v>-451648</v>
      </c>
      <c r="I597" s="1415">
        <f t="shared" si="144"/>
        <v>0</v>
      </c>
      <c r="J597" s="333">
        <f t="shared" si="144"/>
        <v>-451648</v>
      </c>
      <c r="K597" s="333">
        <f t="shared" si="144"/>
        <v>0</v>
      </c>
    </row>
    <row r="598" spans="1:11" ht="13">
      <c r="A598" s="961">
        <v>22</v>
      </c>
      <c r="B598" s="1352" t="s">
        <v>1393</v>
      </c>
      <c r="C598" s="1352"/>
      <c r="D598" s="1374"/>
      <c r="E598" s="340"/>
      <c r="F598" s="1280">
        <f t="shared" ref="F598" si="145">-F580</f>
        <v>-60857</v>
      </c>
      <c r="G598" s="1413">
        <f t="shared" ref="G598:K598" si="146">-G580</f>
        <v>0</v>
      </c>
      <c r="H598" s="1414">
        <f t="shared" si="146"/>
        <v>-60857</v>
      </c>
      <c r="I598" s="1415">
        <f t="shared" si="146"/>
        <v>0</v>
      </c>
      <c r="J598" s="333">
        <f t="shared" si="146"/>
        <v>-60857</v>
      </c>
      <c r="K598" s="333">
        <f t="shared" si="146"/>
        <v>0</v>
      </c>
    </row>
    <row r="599" spans="1:11" ht="13">
      <c r="A599" s="961">
        <v>23</v>
      </c>
      <c r="B599" s="1371" t="s">
        <v>1394</v>
      </c>
      <c r="C599" s="1371"/>
      <c r="D599" s="1374"/>
      <c r="E599" s="340"/>
      <c r="F599" s="1384">
        <f t="shared" ref="F599" si="147">F591</f>
        <v>5682</v>
      </c>
      <c r="G599" s="1416">
        <f t="shared" ref="G599:K599" si="148">G591</f>
        <v>0</v>
      </c>
      <c r="H599" s="1417">
        <f t="shared" si="148"/>
        <v>5682</v>
      </c>
      <c r="I599" s="1418">
        <f t="shared" si="148"/>
        <v>0</v>
      </c>
      <c r="J599" s="1388">
        <f t="shared" si="148"/>
        <v>5682</v>
      </c>
      <c r="K599" s="1388">
        <f t="shared" si="148"/>
        <v>0</v>
      </c>
    </row>
    <row r="600" spans="1:11" ht="13">
      <c r="A600" s="961">
        <v>24</v>
      </c>
      <c r="B600" s="1082" t="s">
        <v>1395</v>
      </c>
      <c r="C600" s="1352"/>
      <c r="D600" s="1374"/>
      <c r="E600" s="340"/>
      <c r="F600" s="1280">
        <f t="shared" ref="F600" si="149">SUM(F595:F599)</f>
        <v>1106619</v>
      </c>
      <c r="G600" s="1413">
        <f t="shared" ref="G600:K600" si="150">SUM(G595:G599)</f>
        <v>0</v>
      </c>
      <c r="H600" s="1414">
        <f t="shared" si="150"/>
        <v>1106619</v>
      </c>
      <c r="I600" s="1415">
        <f t="shared" si="150"/>
        <v>0</v>
      </c>
      <c r="J600" s="333">
        <f t="shared" si="150"/>
        <v>1106619</v>
      </c>
      <c r="K600" s="333">
        <f t="shared" si="150"/>
        <v>0</v>
      </c>
    </row>
    <row r="601" spans="1:11" ht="13">
      <c r="A601" s="961">
        <v>25</v>
      </c>
      <c r="B601" s="1352"/>
      <c r="C601" s="1352"/>
      <c r="D601" s="1374"/>
      <c r="E601" s="340"/>
      <c r="F601" s="351"/>
      <c r="G601" s="541"/>
      <c r="H601" s="531"/>
      <c r="I601" s="532"/>
    </row>
    <row r="602" spans="1:11" ht="13">
      <c r="A602" s="961">
        <v>26</v>
      </c>
      <c r="B602" s="1352" t="s">
        <v>1396</v>
      </c>
      <c r="C602" s="1352"/>
      <c r="D602" s="1374"/>
      <c r="E602" s="340"/>
      <c r="F602" s="1389">
        <f>ROUND(SIT/(1-SIT),8)</f>
        <v>5.2282660000000002E-2</v>
      </c>
      <c r="G602" s="1419">
        <f t="shared" ref="G602:K602" si="151">ROUND(SIT/(1-SIT),8)</f>
        <v>5.2282660000000002E-2</v>
      </c>
      <c r="H602" s="1420">
        <f t="shared" si="151"/>
        <v>5.2282660000000002E-2</v>
      </c>
      <c r="I602" s="1421">
        <f t="shared" si="151"/>
        <v>5.2282660000000002E-2</v>
      </c>
      <c r="J602" s="1389">
        <f t="shared" si="151"/>
        <v>5.2282660000000002E-2</v>
      </c>
      <c r="K602" s="1389">
        <f t="shared" si="151"/>
        <v>5.2282660000000002E-2</v>
      </c>
    </row>
    <row r="603" spans="1:11" ht="13">
      <c r="A603" s="961">
        <v>27</v>
      </c>
      <c r="B603" s="1352" t="s">
        <v>1397</v>
      </c>
      <c r="C603" s="1352"/>
      <c r="D603" s="1393" t="s">
        <v>1398</v>
      </c>
      <c r="E603" s="340"/>
      <c r="F603" s="1394">
        <f>ROUND(F600*F602,0)</f>
        <v>57857</v>
      </c>
      <c r="G603" s="1414">
        <f>ROUND(G600*G602,0)</f>
        <v>0</v>
      </c>
      <c r="H603" s="1414">
        <f>ROUND(H600*H602,0)</f>
        <v>57857</v>
      </c>
      <c r="I603" s="1415">
        <f>ROUND(I600*I602,0)</f>
        <v>0</v>
      </c>
      <c r="J603" s="345">
        <f>SUM(G603:I603)</f>
        <v>57857</v>
      </c>
      <c r="K603" s="345">
        <f>F603-J603</f>
        <v>0</v>
      </c>
    </row>
    <row r="604" spans="1:11" ht="13">
      <c r="A604" s="961">
        <v>28</v>
      </c>
      <c r="B604" s="1371" t="s">
        <v>1399</v>
      </c>
      <c r="C604" s="1371"/>
      <c r="D604" s="1374"/>
      <c r="E604" s="1395"/>
      <c r="F604" s="1394">
        <f>F591</f>
        <v>5682</v>
      </c>
      <c r="G604" s="1422">
        <f>G591</f>
        <v>0</v>
      </c>
      <c r="H604" s="1423">
        <f>H591</f>
        <v>5682</v>
      </c>
      <c r="I604" s="1424">
        <f>I591</f>
        <v>0</v>
      </c>
      <c r="J604" s="345">
        <f>SUM(G604:I604)</f>
        <v>5682</v>
      </c>
      <c r="K604" s="345">
        <f>F604-J604</f>
        <v>0</v>
      </c>
    </row>
    <row r="605" spans="1:11" ht="13">
      <c r="A605" s="961">
        <v>29</v>
      </c>
      <c r="B605" s="1082" t="s">
        <v>1400</v>
      </c>
      <c r="C605" s="1352"/>
      <c r="D605" s="1374"/>
      <c r="E605" s="340"/>
      <c r="F605" s="1399">
        <f t="shared" ref="F605:K605" si="152">F604+F603</f>
        <v>63539</v>
      </c>
      <c r="G605" s="1425">
        <f t="shared" si="152"/>
        <v>0</v>
      </c>
      <c r="H605" s="1426">
        <f t="shared" si="152"/>
        <v>63539</v>
      </c>
      <c r="I605" s="1427">
        <f t="shared" si="152"/>
        <v>0</v>
      </c>
      <c r="J605" s="1399">
        <f t="shared" si="152"/>
        <v>63539</v>
      </c>
      <c r="K605" s="1399">
        <f t="shared" si="152"/>
        <v>0</v>
      </c>
    </row>
    <row r="606" spans="1:11" ht="13">
      <c r="A606" s="961">
        <v>30</v>
      </c>
      <c r="B606" s="1352"/>
      <c r="C606" s="1352"/>
      <c r="D606" s="1374"/>
      <c r="E606" s="340"/>
      <c r="F606" s="351"/>
      <c r="G606" s="541"/>
      <c r="H606" s="531"/>
      <c r="I606" s="532"/>
    </row>
    <row r="607" spans="1:11" ht="13">
      <c r="A607" s="961">
        <v>31</v>
      </c>
      <c r="B607" s="1352" t="s">
        <v>1401</v>
      </c>
      <c r="C607" s="1352"/>
      <c r="D607" s="1374"/>
      <c r="E607" s="340"/>
      <c r="F607" s="351"/>
      <c r="G607" s="541"/>
      <c r="H607" s="531"/>
      <c r="I607" s="532"/>
    </row>
    <row r="608" spans="1:11" ht="13">
      <c r="A608" s="961">
        <v>32</v>
      </c>
      <c r="B608" s="1352" t="s">
        <v>1397</v>
      </c>
      <c r="C608" s="1352"/>
      <c r="D608" s="1374"/>
      <c r="E608" s="340"/>
      <c r="F608" s="1394">
        <f t="shared" ref="F608:K608" si="153">F603</f>
        <v>57857</v>
      </c>
      <c r="G608" s="1422">
        <f t="shared" si="153"/>
        <v>0</v>
      </c>
      <c r="H608" s="1423">
        <f t="shared" si="153"/>
        <v>57857</v>
      </c>
      <c r="I608" s="1424">
        <f t="shared" si="153"/>
        <v>0</v>
      </c>
      <c r="J608" s="1394">
        <f t="shared" si="153"/>
        <v>57857</v>
      </c>
      <c r="K608" s="1394">
        <f t="shared" si="153"/>
        <v>0</v>
      </c>
    </row>
    <row r="609" spans="1:11" ht="13">
      <c r="A609" s="961">
        <v>33</v>
      </c>
      <c r="B609" s="1371" t="s">
        <v>1387</v>
      </c>
      <c r="C609" s="1371"/>
      <c r="D609" s="1374"/>
      <c r="E609" s="340"/>
      <c r="F609" s="1394">
        <f t="shared" ref="F609:K609" si="154">F589</f>
        <v>0</v>
      </c>
      <c r="G609" s="1422">
        <f t="shared" si="154"/>
        <v>0</v>
      </c>
      <c r="H609" s="1423">
        <f t="shared" si="154"/>
        <v>0</v>
      </c>
      <c r="I609" s="1424">
        <f t="shared" si="154"/>
        <v>0</v>
      </c>
      <c r="J609" s="1394">
        <f t="shared" si="154"/>
        <v>0</v>
      </c>
      <c r="K609" s="1394">
        <f t="shared" si="154"/>
        <v>0</v>
      </c>
    </row>
    <row r="610" spans="1:11" ht="13">
      <c r="A610" s="961">
        <v>34</v>
      </c>
      <c r="B610" s="1082" t="s">
        <v>1402</v>
      </c>
      <c r="C610" s="1352"/>
      <c r="D610" s="1374"/>
      <c r="E610" s="340"/>
      <c r="F610" s="1399">
        <f t="shared" ref="F610:K610" si="155">F608+F609</f>
        <v>57857</v>
      </c>
      <c r="G610" s="1425">
        <f t="shared" si="155"/>
        <v>0</v>
      </c>
      <c r="H610" s="1426">
        <f t="shared" si="155"/>
        <v>57857</v>
      </c>
      <c r="I610" s="1427">
        <f t="shared" si="155"/>
        <v>0</v>
      </c>
      <c r="J610" s="1399">
        <f t="shared" si="155"/>
        <v>57857</v>
      </c>
      <c r="K610" s="1399">
        <f t="shared" si="155"/>
        <v>0</v>
      </c>
    </row>
    <row r="611" spans="1:11" ht="13">
      <c r="A611" s="961">
        <v>35</v>
      </c>
      <c r="B611" s="1352"/>
      <c r="C611" s="1352"/>
      <c r="D611" s="1352"/>
      <c r="E611" s="340"/>
      <c r="F611" s="1394"/>
      <c r="G611" s="1422"/>
      <c r="H611" s="1423"/>
      <c r="I611" s="1424"/>
      <c r="J611" s="1394"/>
      <c r="K611" s="1394"/>
    </row>
    <row r="612" spans="1:11" ht="13">
      <c r="A612" s="961">
        <v>36</v>
      </c>
      <c r="B612" s="1352" t="s">
        <v>76</v>
      </c>
      <c r="C612" s="1352"/>
      <c r="D612" s="1352"/>
      <c r="E612" s="340"/>
      <c r="F612" s="1403">
        <f t="shared" ref="F612:K612" si="156">(SIT*(1-FIT))+((1-SIT)*(1-FIT)*RevTax)+FIT</f>
        <v>0.24925115</v>
      </c>
      <c r="G612" s="1428">
        <f t="shared" si="156"/>
        <v>0.24925115</v>
      </c>
      <c r="H612" s="1429">
        <f t="shared" si="156"/>
        <v>0.24925115</v>
      </c>
      <c r="I612" s="1430">
        <f t="shared" si="156"/>
        <v>0.24925115</v>
      </c>
      <c r="J612" s="1403">
        <f t="shared" si="156"/>
        <v>0.24925115</v>
      </c>
      <c r="K612" s="1403">
        <f t="shared" si="156"/>
        <v>0.24925115</v>
      </c>
    </row>
    <row r="614" spans="1:11" ht="13">
      <c r="A614" s="341" t="str">
        <f>co_name</f>
        <v>DUKE ENERGY KENTUCKY, INC.</v>
      </c>
      <c r="C614" s="195"/>
      <c r="D614" s="342"/>
      <c r="E614" s="195"/>
      <c r="F614" s="195"/>
      <c r="G614" s="195"/>
      <c r="H614" s="195"/>
      <c r="I614" s="195"/>
      <c r="J614" s="195" t="str">
        <f>$J$1</f>
        <v>FR-16(7)(v)-2</v>
      </c>
      <c r="K614" s="195"/>
    </row>
    <row r="615" spans="1:11" ht="13">
      <c r="A615" s="341" t="str">
        <f>$A$2</f>
        <v>PRODUCTION CLASSIFIED - GAS COST OF SERVICE</v>
      </c>
      <c r="C615" s="195"/>
      <c r="D615" s="342"/>
      <c r="E615" s="195"/>
      <c r="F615" s="195"/>
      <c r="G615" s="195"/>
      <c r="H615" s="195"/>
      <c r="I615" s="195"/>
      <c r="J615" s="195" t="str">
        <f>$J$2</f>
        <v>WITNESS RESPONSIBLE:</v>
      </c>
      <c r="K615" s="195"/>
    </row>
    <row r="616" spans="1:11" ht="13">
      <c r="A616" s="341" t="str">
        <f>case_name</f>
        <v>CASE NO: 2021-00190</v>
      </c>
      <c r="C616" s="195"/>
      <c r="D616" s="342"/>
      <c r="E616" s="195"/>
      <c r="F616" s="195"/>
      <c r="G616" s="195"/>
      <c r="H616" s="195"/>
      <c r="I616" s="195"/>
      <c r="J616" s="195" t="str">
        <f>Witness</f>
        <v>JAMES E. ZIOLKOWSKI</v>
      </c>
      <c r="K616" s="195"/>
    </row>
    <row r="617" spans="1:11" ht="13">
      <c r="A617" s="341" t="str">
        <f>data_filing</f>
        <v>DATA: 12 MONTH FORECASTED PERIOD</v>
      </c>
      <c r="C617" s="195"/>
      <c r="D617" s="342"/>
      <c r="E617" s="195"/>
      <c r="F617" s="195"/>
      <c r="G617" s="195"/>
      <c r="H617" s="195"/>
      <c r="I617" s="195"/>
      <c r="J617" s="195" t="str">
        <f>"PAGE "&amp;Pages-4&amp;" OF "&amp;Pages</f>
        <v>PAGE 14 OF 18</v>
      </c>
      <c r="K617" s="195"/>
    </row>
    <row r="618" spans="1:11" ht="13">
      <c r="A618" s="341" t="str">
        <f>type</f>
        <v xml:space="preserve">TYPE OF FILING: "X" ORIGINAL   UPDATED    REVISED  </v>
      </c>
      <c r="C618" s="195"/>
      <c r="D618" s="342"/>
      <c r="E618" s="195"/>
      <c r="F618" s="195"/>
      <c r="G618" s="195"/>
      <c r="H618" s="195"/>
      <c r="I618" s="195"/>
      <c r="J618" s="195"/>
      <c r="K618" s="195"/>
    </row>
    <row r="619" spans="1:11" ht="13">
      <c r="B619" s="341"/>
      <c r="C619" s="195"/>
      <c r="D619" s="342"/>
      <c r="E619" s="195"/>
      <c r="F619" s="195"/>
      <c r="G619" s="195"/>
      <c r="H619" s="195"/>
      <c r="I619" s="195"/>
      <c r="J619" s="195"/>
      <c r="K619" s="195"/>
    </row>
    <row r="620" spans="1:11" ht="13">
      <c r="B620" s="341"/>
      <c r="C620" s="195"/>
      <c r="D620" s="342"/>
      <c r="E620" s="195"/>
      <c r="F620" s="195"/>
      <c r="G620" s="195"/>
      <c r="H620" s="195"/>
      <c r="I620" s="195"/>
      <c r="J620" s="195"/>
      <c r="K620" s="195"/>
    </row>
    <row r="621" spans="1:11" ht="13">
      <c r="A621" s="342" t="s">
        <v>907</v>
      </c>
      <c r="B621" s="195"/>
      <c r="C621" s="195"/>
      <c r="D621" s="342"/>
      <c r="E621" s="195"/>
      <c r="F621" s="342" t="str">
        <f>$F$8</f>
        <v>TOTAL</v>
      </c>
      <c r="G621" s="539" t="s">
        <v>995</v>
      </c>
      <c r="H621" s="527"/>
      <c r="I621" s="528"/>
      <c r="J621" s="342" t="s">
        <v>229</v>
      </c>
      <c r="K621" s="342" t="s">
        <v>342</v>
      </c>
    </row>
    <row r="622" spans="1:11" ht="13">
      <c r="A622" s="344" t="s">
        <v>908</v>
      </c>
      <c r="B622" s="343" t="s">
        <v>77</v>
      </c>
      <c r="C622" s="343"/>
      <c r="D622" s="344" t="s">
        <v>337</v>
      </c>
      <c r="E622" s="343"/>
      <c r="F622" s="344" t="str">
        <f>$F$9</f>
        <v>PRODUCTION</v>
      </c>
      <c r="G622" s="540" t="s">
        <v>840</v>
      </c>
      <c r="H622" s="529" t="s">
        <v>841</v>
      </c>
      <c r="I622" s="530" t="s">
        <v>842</v>
      </c>
      <c r="J622" s="344" t="s">
        <v>341</v>
      </c>
      <c r="K622" s="344" t="s">
        <v>340</v>
      </c>
    </row>
    <row r="623" spans="1:11" ht="13">
      <c r="C623" s="572" t="s">
        <v>352</v>
      </c>
      <c r="D623" s="342"/>
      <c r="E623" s="195"/>
      <c r="G623" s="793">
        <f>$G$10</f>
        <v>3</v>
      </c>
      <c r="H623" s="794">
        <f>$H$10</f>
        <v>4</v>
      </c>
      <c r="I623" s="795">
        <f>$I$10</f>
        <v>5</v>
      </c>
    </row>
    <row r="624" spans="1:11" ht="13">
      <c r="A624" s="331">
        <v>1</v>
      </c>
      <c r="B624" s="330" t="s">
        <v>78</v>
      </c>
      <c r="D624" s="342"/>
      <c r="E624" s="195"/>
      <c r="G624" s="541"/>
      <c r="H624" s="531"/>
      <c r="I624" s="532"/>
    </row>
    <row r="625" spans="1:11" ht="13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3">
        <f>'FR-16(7)(v)-1 Functional'!G625</f>
        <v>0</v>
      </c>
      <c r="G625" s="542">
        <f>ROUND(F625*VLOOKUP(D625,AllocTable_Classified_Production,$G$10,FALSE),0)</f>
        <v>0</v>
      </c>
      <c r="H625" s="533">
        <f>ROUND(F625*VLOOKUP(D625,AllocTable_Classified_Production,$H$10,FALSE),0)</f>
        <v>0</v>
      </c>
      <c r="I625" s="534">
        <f>ROUND(F625*VLOOKUP(D625,AllocTable_Classified_Production,$I$10,FALSE),0)</f>
        <v>0</v>
      </c>
      <c r="J625" s="345">
        <f>SUM($G$625:$I$625)</f>
        <v>0</v>
      </c>
      <c r="K625" s="345">
        <f>F625-$J$625</f>
        <v>0</v>
      </c>
    </row>
    <row r="626" spans="1:11" ht="13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3">
        <f>'FR-16(7)(v)-1 Functional'!G626</f>
        <v>0</v>
      </c>
      <c r="G626" s="542">
        <f>ROUND(F626*VLOOKUP(D626,AllocTable_Classified_Production,$G$10,FALSE),0)</f>
        <v>0</v>
      </c>
      <c r="H626" s="533">
        <f>ROUND(F626*VLOOKUP(D626,AllocTable_Classified_Production,$H$10,FALSE),0)</f>
        <v>0</v>
      </c>
      <c r="I626" s="534">
        <f>ROUND(F626*VLOOKUP(D626,AllocTable_Classified_Production,$I$10,FALSE),0)</f>
        <v>0</v>
      </c>
      <c r="J626" s="345">
        <f>SUM($G$626:$I$626)</f>
        <v>0</v>
      </c>
      <c r="K626" s="345">
        <f>F626-$J$626</f>
        <v>0</v>
      </c>
    </row>
    <row r="627" spans="1:11" ht="13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3">
        <f>'FR-16(7)(v)-1 Functional'!G627</f>
        <v>0</v>
      </c>
      <c r="G627" s="542">
        <f>ROUND(F627*VLOOKUP(D627,AllocTable_Classified_Production,$G$10,FALSE),0)</f>
        <v>0</v>
      </c>
      <c r="H627" s="533">
        <f>ROUND(F627*VLOOKUP(D627,AllocTable_Classified_Production,$H$10,FALSE),0)</f>
        <v>0</v>
      </c>
      <c r="I627" s="534">
        <f>ROUND(F627*VLOOKUP(D627,AllocTable_Classified_Production,$I$10,FALSE),0)</f>
        <v>0</v>
      </c>
      <c r="J627" s="345">
        <f>SUM($G$627:$I$627)</f>
        <v>0</v>
      </c>
      <c r="K627" s="345">
        <f>F627-$J$627</f>
        <v>0</v>
      </c>
    </row>
    <row r="628" spans="1:11" ht="13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3">
        <f>'FR-16(7)(v)-1 Functional'!G628</f>
        <v>0</v>
      </c>
      <c r="G628" s="542">
        <f>ROUND(F628*VLOOKUP(D628,AllocTable_Classified_Production,$G$10,FALSE),0)</f>
        <v>0</v>
      </c>
      <c r="H628" s="533">
        <f>ROUND(F628*VLOOKUP(D628,AllocTable_Classified_Production,$H$10,FALSE),0)</f>
        <v>0</v>
      </c>
      <c r="I628" s="534">
        <f>ROUND(F628*VLOOKUP(D628,AllocTable_Classified_Production,$I$10,FALSE),0)</f>
        <v>0</v>
      </c>
      <c r="J628" s="345">
        <f>SUM($G$628:$I$628)</f>
        <v>0</v>
      </c>
      <c r="K628" s="345">
        <f>F628-$J$628</f>
        <v>0</v>
      </c>
    </row>
    <row r="629" spans="1:11" ht="13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3">
        <f>'FR-16(7)(v)-1 Functional'!G629</f>
        <v>40105</v>
      </c>
      <c r="G629" s="542">
        <f>ROUND(F629*VLOOKUP(D629,AllocTable_Classified_Production,$G$10,FALSE),0)</f>
        <v>0</v>
      </c>
      <c r="H629" s="533">
        <f>ROUND(F629*VLOOKUP(D629,AllocTable_Classified_Production,$H$10,FALSE),0)</f>
        <v>40105</v>
      </c>
      <c r="I629" s="534">
        <f>ROUND(F629*VLOOKUP(D629,AllocTable_Classified_Production,$I$10,FALSE),0)</f>
        <v>0</v>
      </c>
      <c r="J629" s="345">
        <f>SUM($G$629:$I$629)</f>
        <v>40105</v>
      </c>
      <c r="K629" s="345">
        <f>F629-$J$629</f>
        <v>0</v>
      </c>
    </row>
    <row r="630" spans="1:11" ht="13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40105</v>
      </c>
      <c r="G630" s="543">
        <f>SUM($G$625:$G$629)</f>
        <v>0</v>
      </c>
      <c r="H630" s="535">
        <f>SUM($H$625:$H$629)</f>
        <v>40105</v>
      </c>
      <c r="I630" s="536">
        <f>SUM($I$625:$I$629)</f>
        <v>0</v>
      </c>
      <c r="J630" s="346">
        <f>SUM($J$625:$J$629)</f>
        <v>40105</v>
      </c>
      <c r="K630" s="346">
        <f>SUM($K$625:$K$629)</f>
        <v>0</v>
      </c>
    </row>
    <row r="631" spans="1:11" ht="13">
      <c r="A631" s="331">
        <v>8</v>
      </c>
      <c r="D631" s="342"/>
      <c r="E631" s="195"/>
      <c r="G631" s="541"/>
      <c r="H631" s="531"/>
      <c r="I631" s="532"/>
    </row>
    <row r="632" spans="1:11" ht="13">
      <c r="A632" s="331">
        <v>9</v>
      </c>
      <c r="B632" s="330" t="s">
        <v>77</v>
      </c>
      <c r="D632" s="342"/>
      <c r="E632" s="195"/>
      <c r="G632" s="541"/>
      <c r="H632" s="531"/>
      <c r="I632" s="532"/>
    </row>
    <row r="633" spans="1:11" ht="13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44388820.504000001</v>
      </c>
      <c r="G633" s="542">
        <f>$G$501</f>
        <v>-0.49599999999918509</v>
      </c>
      <c r="H633" s="533">
        <f>$H$501</f>
        <v>44388821</v>
      </c>
      <c r="I633" s="534">
        <f>$I$501</f>
        <v>0</v>
      </c>
      <c r="J633" s="345">
        <f>$J$501</f>
        <v>44388820.504000001</v>
      </c>
      <c r="K633" s="345">
        <f>$K$501</f>
        <v>0</v>
      </c>
    </row>
    <row r="634" spans="1:11" ht="13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 t="shared" ref="F634:K634" si="157">F334</f>
        <v>557022</v>
      </c>
      <c r="G634" s="542">
        <f t="shared" si="157"/>
        <v>0</v>
      </c>
      <c r="H634" s="533">
        <f t="shared" si="157"/>
        <v>557022</v>
      </c>
      <c r="I634" s="534">
        <f t="shared" si="157"/>
        <v>0</v>
      </c>
      <c r="J634" s="345">
        <f t="shared" si="157"/>
        <v>557022</v>
      </c>
      <c r="K634" s="345">
        <f t="shared" si="157"/>
        <v>0</v>
      </c>
    </row>
    <row r="635" spans="1:11" ht="13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>F557</f>
        <v>1056420</v>
      </c>
      <c r="G635" s="542">
        <f>$G$557</f>
        <v>0</v>
      </c>
      <c r="H635" s="533">
        <f>$H$557</f>
        <v>1056420</v>
      </c>
      <c r="I635" s="534">
        <f>$I$557</f>
        <v>0</v>
      </c>
      <c r="J635" s="345">
        <f>$J$557</f>
        <v>1056420</v>
      </c>
      <c r="K635" s="345">
        <f>$K$557</f>
        <v>0</v>
      </c>
    </row>
    <row r="636" spans="1:11" ht="13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-40105</v>
      </c>
      <c r="G636" s="542">
        <f>-$G$630</f>
        <v>0</v>
      </c>
      <c r="H636" s="533">
        <f>-$H$630</f>
        <v>-40105</v>
      </c>
      <c r="I636" s="534">
        <f>-$I$630</f>
        <v>0</v>
      </c>
      <c r="J636" s="345">
        <f>-$J$630</f>
        <v>-40105</v>
      </c>
      <c r="K636" s="345">
        <f>-$K$630</f>
        <v>0</v>
      </c>
    </row>
    <row r="637" spans="1:11" ht="13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>SUM(F632:F636)</f>
        <v>45962157.504000001</v>
      </c>
      <c r="G637" s="543">
        <f>SUM($G$632:$G$636)</f>
        <v>-0.49599999999918509</v>
      </c>
      <c r="H637" s="535">
        <f>SUM($H$632:$H$636)</f>
        <v>45962158</v>
      </c>
      <c r="I637" s="536">
        <f>SUM($I$632:$I$636)</f>
        <v>0</v>
      </c>
      <c r="J637" s="346">
        <f>SUM($J$632:$J$636)</f>
        <v>45962157.504000001</v>
      </c>
      <c r="K637" s="346">
        <f>$J$637-F637</f>
        <v>0</v>
      </c>
    </row>
    <row r="638" spans="1:11" ht="13">
      <c r="A638" s="331">
        <v>15</v>
      </c>
      <c r="D638" s="342"/>
      <c r="E638" s="195"/>
      <c r="G638" s="541"/>
      <c r="H638" s="531"/>
      <c r="I638" s="532"/>
    </row>
    <row r="639" spans="1:11" ht="13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40105</v>
      </c>
      <c r="G639" s="542">
        <f>-$G$636</f>
        <v>0</v>
      </c>
      <c r="H639" s="533">
        <f>-$H$636</f>
        <v>40105</v>
      </c>
      <c r="I639" s="534">
        <f>-$I$636</f>
        <v>0</v>
      </c>
      <c r="J639" s="345">
        <f>-$J$636</f>
        <v>40105</v>
      </c>
      <c r="K639" s="345">
        <f>-$K$636</f>
        <v>0</v>
      </c>
    </row>
    <row r="640" spans="1:11" ht="13">
      <c r="A640" s="331">
        <v>17</v>
      </c>
      <c r="C640" s="357" t="str">
        <f>'FR-16(7)(v)-1 Functional'!C640</f>
        <v>LESS: REVS EXCL FROM REV TAX CALC</v>
      </c>
      <c r="D640" s="342"/>
      <c r="E640" s="195"/>
      <c r="F640" s="347">
        <f>'FR-16(7)(v)-3 PROD Comm Alloc'!F855</f>
        <v>0</v>
      </c>
      <c r="G640" s="542">
        <f>G855</f>
        <v>0</v>
      </c>
      <c r="H640" s="533">
        <f>H855</f>
        <v>0</v>
      </c>
      <c r="I640" s="534">
        <f>I855</f>
        <v>0</v>
      </c>
      <c r="J640" s="345">
        <f>SUM(G640:I640)</f>
        <v>0</v>
      </c>
      <c r="K640" s="345">
        <f>'FR-16(7)(v)-3 PROD Comm Alloc'!L855</f>
        <v>0</v>
      </c>
    </row>
    <row r="641" spans="1:11" ht="13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40105</v>
      </c>
      <c r="G641" s="543">
        <f>$G$639-G640</f>
        <v>0</v>
      </c>
      <c r="H641" s="535">
        <f>$H$639-H640</f>
        <v>40105</v>
      </c>
      <c r="I641" s="536">
        <f>$I$639-I640</f>
        <v>0</v>
      </c>
      <c r="J641" s="346">
        <f>$J$639-J640</f>
        <v>40105</v>
      </c>
      <c r="K641" s="346">
        <f>$K$639-K640</f>
        <v>0</v>
      </c>
    </row>
    <row r="642" spans="1:11" ht="13">
      <c r="A642" s="331">
        <v>19</v>
      </c>
      <c r="D642" s="342"/>
      <c r="E642" s="195"/>
      <c r="G642" s="541"/>
      <c r="H642" s="531"/>
      <c r="I642" s="532"/>
    </row>
    <row r="643" spans="1:11" ht="13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K643" si="158">ROUND(F694/(1-F694),8)</f>
        <v>0</v>
      </c>
      <c r="G643" s="560">
        <f t="shared" si="158"/>
        <v>0</v>
      </c>
      <c r="H643" s="561">
        <f t="shared" si="158"/>
        <v>0</v>
      </c>
      <c r="I643" s="562">
        <f t="shared" si="158"/>
        <v>0</v>
      </c>
      <c r="J643" s="348">
        <f t="shared" si="158"/>
        <v>0</v>
      </c>
      <c r="K643" s="348">
        <f t="shared" si="158"/>
        <v>0</v>
      </c>
    </row>
    <row r="644" spans="1:11" ht="13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542">
        <f>ROUND(G643*G641,0)</f>
        <v>0</v>
      </c>
      <c r="H644" s="533">
        <f>ROUND(H643*H641,0)</f>
        <v>0</v>
      </c>
      <c r="I644" s="534">
        <f>ROUND(I643*I641,0)</f>
        <v>0</v>
      </c>
      <c r="J644" s="345">
        <f>SUM(G644:I644)</f>
        <v>0</v>
      </c>
      <c r="K644" s="345">
        <f>ROUND(K643*K641,0)</f>
        <v>0</v>
      </c>
    </row>
    <row r="645" spans="1:11" ht="13">
      <c r="A645" s="331">
        <v>22</v>
      </c>
      <c r="C645" s="330" t="str">
        <f>'FR-16(7)(v)-1 Functional'!C645</f>
        <v>REVENUE TAX ON COST OF SERVICE</v>
      </c>
      <c r="D645" s="342"/>
      <c r="E645" s="195"/>
      <c r="F645" s="506">
        <f>ROUND(F643*F637,0)</f>
        <v>0</v>
      </c>
      <c r="G645" s="542">
        <f>ROUND(G643*$G$637,0)</f>
        <v>0</v>
      </c>
      <c r="H645" s="533">
        <f>ROUND(H643*$H$637,0)</f>
        <v>0</v>
      </c>
      <c r="I645" s="534">
        <f>ROUND(I643*$I$637,0)</f>
        <v>0</v>
      </c>
      <c r="J645" s="506">
        <f>SUM(G645:I645)</f>
        <v>0</v>
      </c>
      <c r="K645" s="506">
        <f>ROUND(K643*$K$637,0)</f>
        <v>0</v>
      </c>
    </row>
    <row r="646" spans="1:11" ht="13">
      <c r="A646" s="331">
        <v>23</v>
      </c>
      <c r="C646" s="357" t="str">
        <f>'FR-16(7)(v)-1 Functional'!C646</f>
        <v>TOTAL REVENUE TAX</v>
      </c>
      <c r="D646" s="342"/>
      <c r="E646" s="195"/>
      <c r="F646" s="504">
        <f t="shared" ref="F646:K646" si="159">F645+F644</f>
        <v>0</v>
      </c>
      <c r="G646" s="566">
        <f t="shared" si="159"/>
        <v>0</v>
      </c>
      <c r="H646" s="567">
        <f t="shared" si="159"/>
        <v>0</v>
      </c>
      <c r="I646" s="568">
        <f t="shared" si="159"/>
        <v>0</v>
      </c>
      <c r="J646" s="504">
        <f t="shared" si="159"/>
        <v>0</v>
      </c>
      <c r="K646" s="504">
        <f t="shared" si="159"/>
        <v>0</v>
      </c>
    </row>
    <row r="647" spans="1:11" ht="13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>F646+F637</f>
        <v>45962157.504000001</v>
      </c>
      <c r="G647" s="543">
        <f>G646+$G$637</f>
        <v>-0.49599999999918509</v>
      </c>
      <c r="H647" s="535">
        <f>H646+$H$637</f>
        <v>45962158</v>
      </c>
      <c r="I647" s="536">
        <f>I646+$I$637</f>
        <v>0</v>
      </c>
      <c r="J647" s="346">
        <f>J646+$J$637</f>
        <v>45962157.504000001</v>
      </c>
      <c r="K647" s="346">
        <f>K646+$K$637</f>
        <v>0</v>
      </c>
    </row>
    <row r="648" spans="1:11" ht="13">
      <c r="A648" s="331">
        <v>25</v>
      </c>
      <c r="D648" s="342"/>
      <c r="E648" s="195"/>
      <c r="G648" s="541"/>
      <c r="H648" s="531"/>
      <c r="I648" s="532"/>
    </row>
    <row r="649" spans="1:11" ht="13">
      <c r="A649" s="331">
        <v>26</v>
      </c>
      <c r="B649" s="330" t="s">
        <v>843</v>
      </c>
      <c r="D649" s="342"/>
      <c r="E649" s="195"/>
      <c r="F649" s="347">
        <f>F745</f>
        <v>46539308</v>
      </c>
      <c r="G649" s="542">
        <f>G745</f>
        <v>0</v>
      </c>
      <c r="H649" s="533">
        <f>H745</f>
        <v>46539308</v>
      </c>
      <c r="I649" s="534">
        <f>I745</f>
        <v>0</v>
      </c>
      <c r="J649" s="345">
        <f>K745</f>
        <v>0</v>
      </c>
      <c r="K649" s="345">
        <f>L745</f>
        <v>0</v>
      </c>
    </row>
    <row r="650" spans="1:11" ht="13">
      <c r="A650" s="331">
        <v>27</v>
      </c>
      <c r="B650" s="330" t="s">
        <v>79</v>
      </c>
      <c r="D650" s="342"/>
      <c r="E650" s="195"/>
      <c r="F650" s="345">
        <f t="shared" ref="F650:K650" si="160">-F647</f>
        <v>-45962157.504000001</v>
      </c>
      <c r="G650" s="542">
        <f t="shared" si="160"/>
        <v>0.49599999999918509</v>
      </c>
      <c r="H650" s="533">
        <f t="shared" si="160"/>
        <v>-45962158</v>
      </c>
      <c r="I650" s="534">
        <f t="shared" si="160"/>
        <v>0</v>
      </c>
      <c r="J650" s="345">
        <f t="shared" si="160"/>
        <v>-45962157.504000001</v>
      </c>
      <c r="K650" s="345">
        <f t="shared" si="160"/>
        <v>0</v>
      </c>
    </row>
    <row r="651" spans="1:11" ht="13">
      <c r="A651" s="331">
        <v>28</v>
      </c>
      <c r="B651" s="330" t="s">
        <v>80</v>
      </c>
      <c r="D651" s="342"/>
      <c r="E651" s="195"/>
      <c r="F651" s="345">
        <f>F650+F649</f>
        <v>577150.49599999934</v>
      </c>
      <c r="G651" s="542">
        <f>G650+G649</f>
        <v>0.49599999999918509</v>
      </c>
      <c r="H651" s="533">
        <f>H650+H649</f>
        <v>577150</v>
      </c>
      <c r="I651" s="534">
        <f>I650+I649</f>
        <v>0</v>
      </c>
      <c r="J651" s="345">
        <f>SUM(G651:I651)</f>
        <v>577150.49600000004</v>
      </c>
      <c r="K651" s="345">
        <f>K650+K649</f>
        <v>0</v>
      </c>
    </row>
    <row r="652" spans="1:11" ht="13">
      <c r="A652" s="331">
        <v>29</v>
      </c>
      <c r="B652" s="330" t="s">
        <v>76</v>
      </c>
      <c r="D652" s="342"/>
      <c r="E652" s="195"/>
      <c r="F652" s="348">
        <f>F565</f>
        <v>0.24925</v>
      </c>
      <c r="G652" s="560">
        <f>$G$565</f>
        <v>0.24925</v>
      </c>
      <c r="H652" s="561">
        <f>$H$565</f>
        <v>0.24925</v>
      </c>
      <c r="I652" s="562">
        <f>$I$565</f>
        <v>0.24925</v>
      </c>
      <c r="J652" s="348">
        <f>$K$565</f>
        <v>0.24925</v>
      </c>
      <c r="K652" s="348">
        <f>$K$565</f>
        <v>0.24925</v>
      </c>
    </row>
    <row r="653" spans="1:11" ht="13">
      <c r="A653" s="331">
        <v>30</v>
      </c>
      <c r="B653" s="330" t="s">
        <v>81</v>
      </c>
      <c r="D653" s="342"/>
      <c r="E653" s="195"/>
      <c r="F653" s="345">
        <f>ROUND(F652*F651,0)</f>
        <v>143855</v>
      </c>
      <c r="G653" s="542">
        <f>ROUND(G652*G651,0)</f>
        <v>0</v>
      </c>
      <c r="H653" s="533">
        <f>ROUND(H652*H651,0)</f>
        <v>143855</v>
      </c>
      <c r="I653" s="534">
        <f>ROUND(I652*I651,0)</f>
        <v>0</v>
      </c>
      <c r="J653" s="345">
        <f>SUM(G653:I653)</f>
        <v>143855</v>
      </c>
      <c r="K653" s="345">
        <f>ROUND(K652*K651,0)</f>
        <v>0</v>
      </c>
    </row>
    <row r="654" spans="1:11" ht="13">
      <c r="A654" s="331">
        <v>31</v>
      </c>
      <c r="B654" s="330" t="s">
        <v>82</v>
      </c>
      <c r="D654" s="342"/>
      <c r="E654" s="195"/>
      <c r="F654" s="345">
        <f>F651-F653</f>
        <v>433295.49599999934</v>
      </c>
      <c r="G654" s="544">
        <f>G651-G653</f>
        <v>0.49599999999918509</v>
      </c>
      <c r="H654" s="537">
        <f>H651-H653</f>
        <v>433295</v>
      </c>
      <c r="I654" s="538">
        <f>I651-I653</f>
        <v>0</v>
      </c>
      <c r="J654" s="345">
        <f>SUM(G654:I654)</f>
        <v>433295.49599999998</v>
      </c>
      <c r="K654" s="345">
        <f>K651-K653</f>
        <v>0</v>
      </c>
    </row>
    <row r="655" spans="1:11" ht="13">
      <c r="A655" s="526"/>
      <c r="B655" s="578"/>
      <c r="C655" s="578"/>
      <c r="D655" s="730"/>
      <c r="E655" s="578"/>
      <c r="F655" s="526"/>
      <c r="G655" s="526"/>
      <c r="H655" s="526"/>
      <c r="I655" s="526"/>
      <c r="J655" s="526"/>
      <c r="K655" s="526"/>
    </row>
    <row r="656" spans="1:11" ht="13">
      <c r="A656" s="341" t="str">
        <f>co_name</f>
        <v>DUKE ENERGY KENTUCKY, INC.</v>
      </c>
      <c r="C656" s="195"/>
      <c r="D656" s="342"/>
      <c r="E656" s="195"/>
      <c r="F656" s="195"/>
      <c r="G656" s="195"/>
      <c r="H656" s="195"/>
      <c r="I656" s="195"/>
      <c r="J656" s="195" t="str">
        <f>$J$1</f>
        <v>FR-16(7)(v)-2</v>
      </c>
      <c r="K656" s="195"/>
    </row>
    <row r="657" spans="1:11" ht="13">
      <c r="A657" s="341" t="str">
        <f>$A$2</f>
        <v>PRODUCTION CLASSIFIED - GAS COST OF SERVICE</v>
      </c>
      <c r="C657" s="195"/>
      <c r="D657" s="342"/>
      <c r="E657" s="195"/>
      <c r="F657" s="195"/>
      <c r="G657" s="195"/>
      <c r="H657" s="195"/>
      <c r="I657" s="195"/>
      <c r="J657" s="195" t="str">
        <f>$J$2</f>
        <v>WITNESS RESPONSIBLE:</v>
      </c>
      <c r="K657" s="195"/>
    </row>
    <row r="658" spans="1:11" ht="13">
      <c r="A658" s="341" t="str">
        <f>case_name</f>
        <v>CASE NO: 2021-00190</v>
      </c>
      <c r="C658" s="195"/>
      <c r="D658" s="342"/>
      <c r="E658" s="195"/>
      <c r="F658" s="195"/>
      <c r="G658" s="195"/>
      <c r="H658" s="195"/>
      <c r="I658" s="195"/>
      <c r="J658" s="195" t="str">
        <f>Witness</f>
        <v>JAMES E. ZIOLKOWSKI</v>
      </c>
      <c r="K658" s="195"/>
    </row>
    <row r="659" spans="1:11" ht="13">
      <c r="A659" s="341" t="str">
        <f>data_filing</f>
        <v>DATA: 12 MONTH FORECASTED PERIOD</v>
      </c>
      <c r="C659" s="195"/>
      <c r="D659" s="342"/>
      <c r="E659" s="195"/>
      <c r="F659" s="195"/>
      <c r="G659" s="195"/>
      <c r="H659" s="195"/>
      <c r="I659" s="195"/>
      <c r="J659" s="195" t="str">
        <f>"PAGE "&amp;Pages-3&amp;" OF "&amp;Pages</f>
        <v>PAGE 15 OF 18</v>
      </c>
      <c r="K659" s="195"/>
    </row>
    <row r="660" spans="1:11" ht="13">
      <c r="A660" s="341" t="str">
        <f>type</f>
        <v xml:space="preserve">TYPE OF FILING: "X" ORIGINAL   UPDATED    REVISED  </v>
      </c>
      <c r="C660" s="195"/>
      <c r="D660" s="342"/>
      <c r="E660" s="195"/>
      <c r="F660" s="195"/>
      <c r="G660" s="195"/>
      <c r="H660" s="195"/>
      <c r="I660" s="195"/>
      <c r="J660" s="195"/>
      <c r="K660" s="195"/>
    </row>
    <row r="661" spans="1:11" ht="13">
      <c r="B661" s="341"/>
      <c r="C661" s="195"/>
      <c r="D661" s="342"/>
      <c r="E661" s="195"/>
      <c r="F661" s="195"/>
      <c r="G661" s="195"/>
      <c r="H661" s="195"/>
      <c r="I661" s="195"/>
      <c r="J661" s="195"/>
      <c r="K661" s="195"/>
    </row>
    <row r="662" spans="1:11" ht="13">
      <c r="B662" s="341"/>
      <c r="C662" s="195"/>
      <c r="D662" s="342"/>
      <c r="E662" s="195"/>
      <c r="F662" s="195"/>
      <c r="G662" s="195"/>
      <c r="H662" s="195"/>
      <c r="I662" s="195"/>
      <c r="J662" s="195"/>
      <c r="K662" s="195"/>
    </row>
    <row r="663" spans="1:11" ht="13">
      <c r="A663" s="342" t="s">
        <v>907</v>
      </c>
      <c r="B663" s="195"/>
      <c r="C663" s="195"/>
      <c r="D663" s="342"/>
      <c r="E663" s="195"/>
      <c r="F663" s="342" t="str">
        <f>$F$8</f>
        <v>TOTAL</v>
      </c>
      <c r="G663" s="539" t="s">
        <v>995</v>
      </c>
      <c r="H663" s="527"/>
      <c r="I663" s="528"/>
      <c r="J663" s="342" t="s">
        <v>229</v>
      </c>
      <c r="K663" s="342" t="s">
        <v>342</v>
      </c>
    </row>
    <row r="664" spans="1:11" ht="13">
      <c r="A664" s="344" t="s">
        <v>908</v>
      </c>
      <c r="B664" s="343" t="s">
        <v>83</v>
      </c>
      <c r="C664" s="343"/>
      <c r="D664" s="344" t="s">
        <v>337</v>
      </c>
      <c r="E664" s="343"/>
      <c r="F664" s="344" t="str">
        <f>$F$9</f>
        <v>PRODUCTION</v>
      </c>
      <c r="G664" s="540" t="s">
        <v>840</v>
      </c>
      <c r="H664" s="529" t="s">
        <v>841</v>
      </c>
      <c r="I664" s="530" t="s">
        <v>842</v>
      </c>
      <c r="J664" s="344" t="s">
        <v>341</v>
      </c>
      <c r="K664" s="344" t="s">
        <v>340</v>
      </c>
    </row>
    <row r="665" spans="1:11" ht="13">
      <c r="C665" s="572" t="s">
        <v>353</v>
      </c>
      <c r="D665" s="342"/>
      <c r="E665" s="195"/>
      <c r="G665" s="817">
        <f>$G$10</f>
        <v>3</v>
      </c>
      <c r="H665" s="817">
        <f>$H$10</f>
        <v>4</v>
      </c>
      <c r="I665" s="817">
        <f>$I$10</f>
        <v>5</v>
      </c>
    </row>
    <row r="666" spans="1:11" ht="13">
      <c r="A666" s="331">
        <v>1</v>
      </c>
      <c r="B666" s="330" t="s">
        <v>84</v>
      </c>
      <c r="D666" s="342"/>
      <c r="E666" s="195"/>
    </row>
    <row r="667" spans="1:11" ht="13">
      <c r="A667" s="331">
        <v>2</v>
      </c>
      <c r="B667" s="330" t="s">
        <v>85</v>
      </c>
      <c r="D667" s="342"/>
      <c r="E667" s="195"/>
      <c r="G667" s="513" t="s">
        <v>339</v>
      </c>
    </row>
    <row r="668" spans="1:11" ht="13">
      <c r="A668" s="331">
        <v>3</v>
      </c>
      <c r="C668" s="330" t="str">
        <f>'FR-16(7)(v)-1 Functional'!C668</f>
        <v>LONG TERM DEBT</v>
      </c>
      <c r="D668" s="342"/>
      <c r="E668" s="195"/>
      <c r="F668" s="473">
        <f>'FR-16(7)(v)-1 Functional'!$F$668</f>
        <v>794320510</v>
      </c>
      <c r="G668" s="348">
        <f>IF($F$673=0,0,ROUND(F668/$F$673,5))</f>
        <v>0.46721000000000001</v>
      </c>
    </row>
    <row r="669" spans="1:11" ht="13">
      <c r="A669" s="331">
        <v>4</v>
      </c>
      <c r="C669" s="330" t="str">
        <f>'FR-16(7)(v)-1 Functional'!C669</f>
        <v>PREFERRED STOCK</v>
      </c>
      <c r="D669" s="342"/>
      <c r="E669" s="195"/>
      <c r="F669" s="473">
        <f>'FR-16(7)(v)-1 Functional'!$F$669</f>
        <v>0</v>
      </c>
      <c r="G669" s="348">
        <f>IF($F$673=0,0,ROUND(F669/$F$673,5))</f>
        <v>0</v>
      </c>
    </row>
    <row r="670" spans="1:11" ht="13">
      <c r="A670" s="331">
        <v>5</v>
      </c>
      <c r="C670" s="330" t="str">
        <f>'FR-16(7)(v)-1 Functional'!C670</f>
        <v>COMMON STOCK</v>
      </c>
      <c r="D670" s="342"/>
      <c r="E670" s="195"/>
      <c r="F670" s="473">
        <f>'FR-16(7)(v)-1 Functional'!$F$670</f>
        <v>861861344</v>
      </c>
      <c r="G670" s="348">
        <f>1-G668-G669-G671-G672</f>
        <v>0.50695000000000001</v>
      </c>
    </row>
    <row r="671" spans="1:11" ht="13">
      <c r="A671" s="331">
        <v>6</v>
      </c>
      <c r="C671" s="330" t="str">
        <f>'FR-16(7)(v)-1 Functional'!C671</f>
        <v>SHORT TERM DEBT</v>
      </c>
      <c r="D671" s="342"/>
      <c r="E671" s="195"/>
      <c r="F671" s="473">
        <f>'FR-16(7)(v)-1 Functional'!$F$671</f>
        <v>43936209</v>
      </c>
      <c r="G671" s="348">
        <f>IF($F$673=0,0,ROUND(F671/$F$673,5))</f>
        <v>2.5839999999999998E-2</v>
      </c>
    </row>
    <row r="672" spans="1:11" ht="13">
      <c r="A672" s="331">
        <v>7</v>
      </c>
      <c r="C672" s="330" t="str">
        <f>'FR-16(7)(v)-1 Functional'!C672</f>
        <v>UNAMORTIZED DISCOUNT</v>
      </c>
      <c r="D672" s="342"/>
      <c r="E672" s="195"/>
      <c r="F672" s="473">
        <f>'FR-16(7)(v)-1 Functional'!$F$672</f>
        <v>0</v>
      </c>
      <c r="G672" s="348">
        <f>IF($F$673=0,0,ROUND(F672/$F$673,5))</f>
        <v>0</v>
      </c>
    </row>
    <row r="673" spans="1:9" ht="13">
      <c r="A673" s="331">
        <v>8</v>
      </c>
      <c r="C673" s="330" t="str">
        <f>'FR-16(7)(v)-1 Functional'!C673</f>
        <v xml:space="preserve">  TOTAL</v>
      </c>
      <c r="D673" s="342"/>
      <c r="E673" s="195"/>
      <c r="F673" s="474">
        <f>SUM(F667:F672)</f>
        <v>1700118063</v>
      </c>
      <c r="G673" s="515">
        <f>SUM(G668:G672)</f>
        <v>1</v>
      </c>
    </row>
    <row r="674" spans="1:9" ht="13">
      <c r="A674" s="331">
        <v>9</v>
      </c>
      <c r="D674" s="342"/>
      <c r="E674" s="195"/>
    </row>
    <row r="675" spans="1:9" ht="13">
      <c r="A675" s="331">
        <v>10</v>
      </c>
      <c r="B675" s="330" t="s">
        <v>86</v>
      </c>
      <c r="D675" s="342"/>
      <c r="E675" s="195"/>
    </row>
    <row r="676" spans="1:9" ht="13">
      <c r="A676" s="331">
        <v>11</v>
      </c>
      <c r="C676" s="330" t="str">
        <f>'FR-16(7)(v)-1 Functional'!C676</f>
        <v>LONG TERM DEBT</v>
      </c>
      <c r="D676" s="342"/>
      <c r="E676" s="195"/>
      <c r="F676" s="580">
        <f>'FR-16(7)(v)-1 Functional'!$F$676</f>
        <v>3.8429999999999999E-2</v>
      </c>
      <c r="G676" s="516"/>
      <c r="H676" s="516"/>
      <c r="I676" s="516"/>
    </row>
    <row r="677" spans="1:9" ht="13">
      <c r="A677" s="331">
        <v>12</v>
      </c>
      <c r="C677" s="330" t="str">
        <f>'FR-16(7)(v)-1 Functional'!C677</f>
        <v>PREFERRED STOCK</v>
      </c>
      <c r="D677" s="342"/>
      <c r="E677" s="195"/>
      <c r="F677" s="580">
        <f>'FR-16(7)(v)-1 Functional'!$F$677</f>
        <v>0</v>
      </c>
      <c r="G677" s="516"/>
      <c r="H677" s="516"/>
      <c r="I677" s="516"/>
    </row>
    <row r="678" spans="1:9" ht="13">
      <c r="A678" s="331">
        <v>13</v>
      </c>
      <c r="C678" s="330" t="str">
        <f>'FR-16(7)(v)-1 Functional'!C678</f>
        <v>COMMON STOCK</v>
      </c>
      <c r="D678" s="342"/>
      <c r="E678" s="195"/>
      <c r="F678" s="580">
        <f>'FR-16(7)(v)-1 Functional'!$F$678</f>
        <v>0.10299999999999999</v>
      </c>
      <c r="G678" s="516"/>
      <c r="H678" s="516"/>
      <c r="I678" s="516"/>
    </row>
    <row r="679" spans="1:9" ht="13">
      <c r="A679" s="331">
        <v>14</v>
      </c>
      <c r="C679" s="330" t="str">
        <f>'FR-16(7)(v)-1 Functional'!C679</f>
        <v>SHORT TERM DEBT</v>
      </c>
      <c r="D679" s="342"/>
      <c r="E679" s="195"/>
      <c r="F679" s="580">
        <f>'FR-16(7)(v)-1 Functional'!$F$679</f>
        <v>1.6670000000000001E-2</v>
      </c>
      <c r="G679" s="516"/>
      <c r="H679" s="516"/>
      <c r="I679" s="516"/>
    </row>
    <row r="680" spans="1:9" ht="13">
      <c r="A680" s="331">
        <v>15</v>
      </c>
      <c r="C680" s="330" t="str">
        <f>'FR-16(7)(v)-1 Functional'!C680</f>
        <v>UNAMORTIZED DISCOUNT</v>
      </c>
      <c r="D680" s="342"/>
      <c r="E680" s="195"/>
      <c r="F680" s="580">
        <f>'FR-16(7)(v)-1 Functional'!$F$680</f>
        <v>0</v>
      </c>
      <c r="G680" s="516"/>
      <c r="H680" s="516"/>
      <c r="I680" s="516"/>
    </row>
    <row r="681" spans="1:9" ht="13">
      <c r="A681" s="331">
        <v>16</v>
      </c>
      <c r="D681" s="342"/>
      <c r="E681" s="195"/>
    </row>
    <row r="682" spans="1:9" ht="13">
      <c r="A682" s="331">
        <v>17</v>
      </c>
      <c r="B682" s="330" t="s">
        <v>87</v>
      </c>
      <c r="D682" s="342"/>
      <c r="E682" s="195"/>
    </row>
    <row r="683" spans="1:9" ht="13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G683" s="514"/>
      <c r="H683" s="514"/>
      <c r="I683" s="514"/>
    </row>
    <row r="684" spans="1:9" ht="13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G684" s="514"/>
      <c r="H684" s="514"/>
      <c r="I684" s="514"/>
    </row>
    <row r="685" spans="1:9" ht="13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G685" s="514"/>
      <c r="H685" s="514"/>
      <c r="I685" s="514"/>
    </row>
    <row r="686" spans="1:9" ht="13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G686" s="514"/>
      <c r="H686" s="514"/>
      <c r="I686" s="514"/>
    </row>
    <row r="687" spans="1:9" ht="13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G687" s="514"/>
      <c r="H687" s="514"/>
      <c r="I687" s="514"/>
    </row>
    <row r="688" spans="1:9" ht="13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7">
        <f>SUM(F683:F687)</f>
        <v>7.060000000000001E-2</v>
      </c>
      <c r="G688" s="518"/>
      <c r="H688" s="518"/>
      <c r="I688" s="518"/>
    </row>
    <row r="689" spans="1:15" ht="13">
      <c r="A689" s="331">
        <v>24</v>
      </c>
      <c r="D689" s="342"/>
      <c r="E689" s="195"/>
    </row>
    <row r="690" spans="1:15" ht="13">
      <c r="A690" s="331">
        <v>25</v>
      </c>
      <c r="B690" s="330" t="s">
        <v>88</v>
      </c>
      <c r="D690" s="342"/>
      <c r="E690" s="195"/>
    </row>
    <row r="691" spans="1:15" ht="13">
      <c r="A691" s="331">
        <v>26</v>
      </c>
      <c r="C691" s="330" t="str">
        <f>'FR-16(7)(v)-1 Functional'!C691</f>
        <v>SHORT TERM DEBT COST</v>
      </c>
      <c r="D691" s="342"/>
      <c r="E691" s="195"/>
      <c r="F691" s="760">
        <v>0</v>
      </c>
      <c r="G691" s="519">
        <f>$F$691</f>
        <v>0</v>
      </c>
      <c r="H691" s="519">
        <f>$F$691</f>
        <v>0</v>
      </c>
      <c r="I691" s="519">
        <f>$F$691</f>
        <v>0</v>
      </c>
      <c r="J691" s="519">
        <f>$F$691</f>
        <v>0</v>
      </c>
      <c r="K691" s="519">
        <f>$F$691</f>
        <v>0</v>
      </c>
    </row>
    <row r="692" spans="1:15" ht="13">
      <c r="A692" s="331">
        <v>27</v>
      </c>
      <c r="C692" s="330" t="str">
        <f>'FR-16(7)(v)-1 Functional'!C692</f>
        <v>FEDERAL INCOME TAX RATE</v>
      </c>
      <c r="D692" s="342"/>
      <c r="E692" s="195"/>
      <c r="F692" s="580">
        <f t="shared" ref="F692:K692" si="161">FIT</f>
        <v>0.21</v>
      </c>
      <c r="G692" s="519">
        <f t="shared" si="161"/>
        <v>0.21</v>
      </c>
      <c r="H692" s="519">
        <f t="shared" si="161"/>
        <v>0.21</v>
      </c>
      <c r="I692" s="519">
        <f t="shared" si="161"/>
        <v>0.21</v>
      </c>
      <c r="J692" s="519">
        <f t="shared" si="161"/>
        <v>0.21</v>
      </c>
      <c r="K692" s="519">
        <f t="shared" si="161"/>
        <v>0.21</v>
      </c>
    </row>
    <row r="693" spans="1:15" ht="13">
      <c r="A693" s="331">
        <v>28</v>
      </c>
      <c r="C693" s="330" t="str">
        <f>'FR-16(7)(v)-1 Functional'!C693</f>
        <v>STATE INCOME TAX RATE</v>
      </c>
      <c r="D693" s="342"/>
      <c r="E693" s="195"/>
      <c r="F693" s="519">
        <f t="shared" ref="F693:K693" si="162">SIT</f>
        <v>4.9685000000000007E-2</v>
      </c>
      <c r="G693" s="519">
        <f t="shared" si="162"/>
        <v>4.9685000000000007E-2</v>
      </c>
      <c r="H693" s="519">
        <f t="shared" si="162"/>
        <v>4.9685000000000007E-2</v>
      </c>
      <c r="I693" s="519">
        <f t="shared" si="162"/>
        <v>4.9685000000000007E-2</v>
      </c>
      <c r="J693" s="519">
        <f t="shared" si="162"/>
        <v>4.9685000000000007E-2</v>
      </c>
      <c r="K693" s="519">
        <f t="shared" si="162"/>
        <v>4.9685000000000007E-2</v>
      </c>
    </row>
    <row r="694" spans="1:15" ht="13">
      <c r="A694" s="331">
        <v>29</v>
      </c>
      <c r="C694" s="330" t="str">
        <f>'FR-16(7)(v)-1 Functional'!C694</f>
        <v>REVENUE TAX RATE</v>
      </c>
      <c r="D694" s="342"/>
      <c r="E694" s="195"/>
      <c r="F694" s="516">
        <v>0</v>
      </c>
      <c r="G694" s="519">
        <f>RevTax</f>
        <v>0</v>
      </c>
      <c r="H694" s="519">
        <f>RevTax</f>
        <v>0</v>
      </c>
      <c r="I694" s="519">
        <f>RevTax</f>
        <v>0</v>
      </c>
      <c r="J694" s="519">
        <f>RevTax</f>
        <v>0</v>
      </c>
      <c r="K694" s="519">
        <f>RevTax</f>
        <v>0</v>
      </c>
    </row>
    <row r="696" spans="1:15" ht="13">
      <c r="A696" s="341" t="str">
        <f>co_name</f>
        <v>DUKE ENERGY KENTUCKY, INC.</v>
      </c>
      <c r="C696" s="195"/>
      <c r="D696" s="342"/>
      <c r="E696" s="195"/>
      <c r="F696" s="195"/>
      <c r="G696" s="195"/>
      <c r="H696" s="195"/>
      <c r="I696" s="195"/>
      <c r="J696" s="195" t="str">
        <f>$J$1</f>
        <v>FR-16(7)(v)-2</v>
      </c>
      <c r="K696" s="195"/>
    </row>
    <row r="697" spans="1:15" ht="13">
      <c r="A697" s="341" t="str">
        <f>$A$2</f>
        <v>PRODUCTION CLASSIFIED - GAS COST OF SERVICE</v>
      </c>
      <c r="C697" s="195"/>
      <c r="D697" s="342"/>
      <c r="E697" s="195"/>
      <c r="F697" s="195"/>
      <c r="G697" s="195"/>
      <c r="H697" s="195"/>
      <c r="I697" s="195"/>
      <c r="J697" s="195" t="str">
        <f>$J$2</f>
        <v>WITNESS RESPONSIBLE:</v>
      </c>
      <c r="K697" s="195"/>
    </row>
    <row r="698" spans="1:15" ht="13">
      <c r="A698" s="341" t="str">
        <f>case_name</f>
        <v>CASE NO: 2021-00190</v>
      </c>
      <c r="C698" s="195"/>
      <c r="D698" s="342"/>
      <c r="E698" s="195"/>
      <c r="F698" s="195"/>
      <c r="G698" s="195"/>
      <c r="H698" s="195"/>
      <c r="I698" s="195"/>
      <c r="J698" s="195" t="str">
        <f>Witness</f>
        <v>JAMES E. ZIOLKOWSKI</v>
      </c>
      <c r="K698" s="195"/>
    </row>
    <row r="699" spans="1:15" ht="13">
      <c r="A699" s="341" t="str">
        <f>data_filing</f>
        <v>DATA: 12 MONTH FORECASTED PERIOD</v>
      </c>
      <c r="C699" s="195"/>
      <c r="D699" s="342"/>
      <c r="E699" s="195"/>
      <c r="F699" s="195"/>
      <c r="G699" s="195"/>
      <c r="H699" s="195"/>
      <c r="I699" s="195"/>
      <c r="J699" s="195" t="str">
        <f>"PAGE "&amp;Pages-2&amp;" OF "&amp;Pages</f>
        <v>PAGE 16 OF 18</v>
      </c>
      <c r="K699" s="195"/>
    </row>
    <row r="700" spans="1:15" ht="13">
      <c r="A700" s="341" t="str">
        <f>type</f>
        <v xml:space="preserve">TYPE OF FILING: "X" ORIGINAL   UPDATED    REVISED  </v>
      </c>
      <c r="C700" s="195"/>
      <c r="D700" s="342"/>
      <c r="E700" s="195"/>
      <c r="F700" s="195"/>
      <c r="G700" s="195"/>
      <c r="H700" s="195"/>
      <c r="I700" s="195"/>
      <c r="J700" s="195"/>
      <c r="K700" s="195"/>
    </row>
    <row r="702" spans="1:15" ht="13" thickBot="1"/>
    <row r="703" spans="1:15" ht="13">
      <c r="A703" s="342" t="s">
        <v>907</v>
      </c>
      <c r="B703" s="195"/>
      <c r="C703" s="195"/>
      <c r="D703" s="342"/>
      <c r="E703" s="342"/>
      <c r="F703" s="342" t="str">
        <f>$F$8</f>
        <v>TOTAL</v>
      </c>
      <c r="G703" s="539" t="s">
        <v>995</v>
      </c>
      <c r="H703" s="527"/>
      <c r="I703" s="528"/>
      <c r="J703" s="342" t="s">
        <v>229</v>
      </c>
      <c r="K703" s="342" t="s">
        <v>342</v>
      </c>
      <c r="O703" s="745" t="s">
        <v>995</v>
      </c>
    </row>
    <row r="704" spans="1:15" ht="13">
      <c r="A704" s="344" t="s">
        <v>908</v>
      </c>
      <c r="B704" s="584" t="s">
        <v>89</v>
      </c>
      <c r="C704" s="343"/>
      <c r="D704" s="585" t="s">
        <v>1001</v>
      </c>
      <c r="E704" s="585" t="s">
        <v>337</v>
      </c>
      <c r="F704" s="344" t="str">
        <f>$F$9</f>
        <v>PRODUCTION</v>
      </c>
      <c r="G704" s="790" t="s">
        <v>840</v>
      </c>
      <c r="H704" s="791" t="s">
        <v>841</v>
      </c>
      <c r="I704" s="792" t="s">
        <v>842</v>
      </c>
      <c r="J704" s="344" t="s">
        <v>341</v>
      </c>
      <c r="K704" s="344" t="s">
        <v>340</v>
      </c>
      <c r="O704" s="746" t="s">
        <v>998</v>
      </c>
    </row>
    <row r="705" spans="1:15" ht="13">
      <c r="A705" s="195"/>
      <c r="B705" s="588"/>
      <c r="C705" s="838" t="s">
        <v>558</v>
      </c>
      <c r="D705" s="712"/>
      <c r="E705" s="780">
        <v>1</v>
      </c>
      <c r="F705" s="780">
        <v>2</v>
      </c>
      <c r="G705" s="816">
        <f>$G$10</f>
        <v>3</v>
      </c>
      <c r="H705" s="817">
        <f>$H$10</f>
        <v>4</v>
      </c>
      <c r="I705" s="818">
        <f>$I$10</f>
        <v>5</v>
      </c>
      <c r="O705" s="747"/>
    </row>
    <row r="706" spans="1:15" ht="13">
      <c r="A706" s="342">
        <v>1</v>
      </c>
      <c r="B706" s="591" t="s">
        <v>90</v>
      </c>
      <c r="C706" s="484"/>
      <c r="D706" s="706"/>
      <c r="E706" s="706"/>
      <c r="F706" s="504"/>
      <c r="G706" s="566"/>
      <c r="H706" s="567"/>
      <c r="I706" s="568"/>
      <c r="O706" s="748"/>
    </row>
    <row r="707" spans="1:15" ht="13">
      <c r="A707" s="342">
        <v>2</v>
      </c>
      <c r="C707" s="592" t="s">
        <v>221</v>
      </c>
      <c r="D707" s="717" t="s">
        <v>1002</v>
      </c>
      <c r="E707" s="707"/>
      <c r="F707" s="473">
        <f>'Alloc Factors Summary'!$D$16</f>
        <v>11107573</v>
      </c>
      <c r="G707" s="796">
        <v>0</v>
      </c>
      <c r="H707" s="555">
        <f>'Alloc Factors Summary'!D16</f>
        <v>11107573</v>
      </c>
      <c r="I707" s="797">
        <v>0</v>
      </c>
      <c r="J707" s="732">
        <f>SUM(G707:I707)</f>
        <v>11107573</v>
      </c>
      <c r="K707" s="495">
        <f>F707-J707</f>
        <v>0</v>
      </c>
      <c r="O707" s="747"/>
    </row>
    <row r="708" spans="1:15" ht="13">
      <c r="A708" s="342">
        <v>3</v>
      </c>
      <c r="B708" s="195"/>
      <c r="C708" s="491" t="s">
        <v>355</v>
      </c>
      <c r="D708" s="583"/>
      <c r="E708" s="708" t="str">
        <f>'FR-16(7)(v)-1 Functional'!$E$708</f>
        <v>K201</v>
      </c>
      <c r="F708" s="643">
        <v>1</v>
      </c>
      <c r="G708" s="560">
        <f>ROUND(G707/(G707+H707+I707),5)</f>
        <v>0</v>
      </c>
      <c r="H708" s="561">
        <f>ROUND(H707/(G707+H707+I707),5)</f>
        <v>1</v>
      </c>
      <c r="I708" s="562">
        <f>ROUND(I707/(G707+H707+I707),5)</f>
        <v>0</v>
      </c>
      <c r="J708" s="733">
        <f t="shared" ref="J708:J742" si="163">SUM(G708:I708)</f>
        <v>1</v>
      </c>
      <c r="K708" s="731">
        <f t="shared" ref="K708:K742" si="164">F708-J708</f>
        <v>0</v>
      </c>
      <c r="O708" s="749">
        <f>SUM(G708:I708)</f>
        <v>1</v>
      </c>
    </row>
    <row r="709" spans="1:15" ht="13">
      <c r="A709" s="342">
        <v>4</v>
      </c>
      <c r="C709" s="592" t="s">
        <v>855</v>
      </c>
      <c r="D709" s="717" t="s">
        <v>1002</v>
      </c>
      <c r="E709" s="723"/>
      <c r="F709" s="598">
        <v>100</v>
      </c>
      <c r="G709" s="796">
        <v>0</v>
      </c>
      <c r="H709" s="798">
        <f>ROUND('Alloc Factors Summary'!$D$25*100,3)</f>
        <v>100</v>
      </c>
      <c r="I709" s="797">
        <v>0</v>
      </c>
      <c r="J709" s="734">
        <f t="shared" si="163"/>
        <v>100</v>
      </c>
      <c r="K709" s="737">
        <f t="shared" si="164"/>
        <v>0</v>
      </c>
      <c r="O709" s="748"/>
    </row>
    <row r="710" spans="1:15" ht="13">
      <c r="A710" s="342">
        <v>5</v>
      </c>
      <c r="B710" s="195"/>
      <c r="C710" s="491" t="s">
        <v>355</v>
      </c>
      <c r="D710" s="583"/>
      <c r="E710" s="708" t="str">
        <f>'FR-16(7)(v)-1 Functional'!$E$710</f>
        <v>K203</v>
      </c>
      <c r="F710" s="643">
        <v>1</v>
      </c>
      <c r="G710" s="560">
        <f>ROUND(G709/(G709+H709+I709),5)</f>
        <v>0</v>
      </c>
      <c r="H710" s="561">
        <f>ROUND(H709/(G709+H709+I709),5)</f>
        <v>1</v>
      </c>
      <c r="I710" s="562">
        <f>ROUND(I709/(G709+H709+I709),5)</f>
        <v>0</v>
      </c>
      <c r="J710" s="733">
        <f t="shared" si="163"/>
        <v>1</v>
      </c>
      <c r="K710" s="731">
        <f t="shared" si="164"/>
        <v>0</v>
      </c>
      <c r="O710" s="749">
        <f>SUM(G710:I710)</f>
        <v>1</v>
      </c>
    </row>
    <row r="711" spans="1:15" ht="13">
      <c r="A711" s="342">
        <v>6</v>
      </c>
      <c r="C711" s="592" t="s">
        <v>856</v>
      </c>
      <c r="D711" s="717" t="s">
        <v>1002</v>
      </c>
      <c r="E711" s="723"/>
      <c r="F711" s="598">
        <v>100</v>
      </c>
      <c r="G711" s="796">
        <v>0</v>
      </c>
      <c r="H711" s="798">
        <f>ROUND('Alloc Factors Summary'!$E25*100,3)</f>
        <v>100</v>
      </c>
      <c r="I711" s="797">
        <v>0</v>
      </c>
      <c r="J711" s="734">
        <f t="shared" si="163"/>
        <v>100</v>
      </c>
      <c r="K711" s="737">
        <f t="shared" si="164"/>
        <v>0</v>
      </c>
      <c r="O711" s="748"/>
    </row>
    <row r="712" spans="1:15" ht="13">
      <c r="A712" s="342">
        <v>7</v>
      </c>
      <c r="B712" s="195"/>
      <c r="C712" s="491" t="s">
        <v>355</v>
      </c>
      <c r="D712" s="583"/>
      <c r="E712" s="708" t="str">
        <f>'FR-16(7)(v)-1 Functional'!$E$712</f>
        <v>K205</v>
      </c>
      <c r="F712" s="643">
        <v>1</v>
      </c>
      <c r="G712" s="560">
        <f>ROUND(G711/(G711+H711+I711),5)</f>
        <v>0</v>
      </c>
      <c r="H712" s="561">
        <f>ROUND(H711/(G711+H711+I711),5)</f>
        <v>1</v>
      </c>
      <c r="I712" s="562">
        <f>ROUND(I711/(G711+H711+I711),5)</f>
        <v>0</v>
      </c>
      <c r="J712" s="733">
        <f t="shared" si="163"/>
        <v>1</v>
      </c>
      <c r="K712" s="731">
        <f t="shared" si="164"/>
        <v>0</v>
      </c>
      <c r="O712" s="749">
        <f>SUM(G712:I712)</f>
        <v>1</v>
      </c>
    </row>
    <row r="713" spans="1:15" ht="13">
      <c r="A713" s="342">
        <v>8</v>
      </c>
      <c r="B713" s="195"/>
      <c r="C713" s="592" t="s">
        <v>405</v>
      </c>
      <c r="D713" s="717" t="s">
        <v>1002</v>
      </c>
      <c r="E713" s="723"/>
      <c r="F713" s="473">
        <f>'Alloc Factors Summary'!$D$34</f>
        <v>12746023</v>
      </c>
      <c r="G713" s="796">
        <v>0</v>
      </c>
      <c r="H713" s="555">
        <f>'Alloc Factors Summary'!$D34</f>
        <v>12746023</v>
      </c>
      <c r="I713" s="797">
        <v>0</v>
      </c>
      <c r="J713" s="732">
        <f t="shared" si="163"/>
        <v>12746023</v>
      </c>
      <c r="K713" s="495">
        <f t="shared" si="164"/>
        <v>0</v>
      </c>
      <c r="O713" s="747"/>
    </row>
    <row r="714" spans="1:15" ht="13">
      <c r="A714" s="342">
        <v>9</v>
      </c>
      <c r="B714" s="195"/>
      <c r="C714" s="491" t="s">
        <v>355</v>
      </c>
      <c r="D714" s="583"/>
      <c r="E714" s="708" t="str">
        <f>'FR-16(7)(v)-1 Functional'!$E$714</f>
        <v>K300</v>
      </c>
      <c r="F714" s="643">
        <v>1</v>
      </c>
      <c r="G714" s="560">
        <f>ROUND(G713/(G713+H713+I713),5)</f>
        <v>0</v>
      </c>
      <c r="H714" s="561">
        <f>ROUND(H713/(G713+H713+I713),5)</f>
        <v>1</v>
      </c>
      <c r="I714" s="562">
        <f>ROUND(I713/(G713+H713+I713),5)</f>
        <v>0</v>
      </c>
      <c r="J714" s="733">
        <f t="shared" si="163"/>
        <v>1</v>
      </c>
      <c r="K714" s="731">
        <f t="shared" si="164"/>
        <v>0</v>
      </c>
      <c r="O714" s="749">
        <f>SUM(G714:I714)</f>
        <v>1</v>
      </c>
    </row>
    <row r="715" spans="1:15" ht="13">
      <c r="A715" s="342">
        <v>10</v>
      </c>
      <c r="C715" s="592" t="s">
        <v>375</v>
      </c>
      <c r="D715" s="717" t="s">
        <v>1002</v>
      </c>
      <c r="E715" s="723"/>
      <c r="F715" s="473">
        <f>'Alloc Factors Summary'!$D$43</f>
        <v>8817610</v>
      </c>
      <c r="G715" s="796">
        <v>0</v>
      </c>
      <c r="H715" s="555">
        <f>'Alloc Factors Summary'!D43</f>
        <v>8817610</v>
      </c>
      <c r="I715" s="797">
        <v>0</v>
      </c>
      <c r="J715" s="732">
        <f t="shared" si="163"/>
        <v>8817610</v>
      </c>
      <c r="K715" s="495">
        <f t="shared" si="164"/>
        <v>0</v>
      </c>
      <c r="O715" s="748"/>
    </row>
    <row r="716" spans="1:15" ht="13">
      <c r="A716" s="342">
        <v>11</v>
      </c>
      <c r="B716" s="195"/>
      <c r="C716" s="491" t="s">
        <v>355</v>
      </c>
      <c r="D716" s="583"/>
      <c r="E716" s="708" t="str">
        <f>'FR-16(7)(v)-1 Functional'!$E$716</f>
        <v>K301</v>
      </c>
      <c r="F716" s="643">
        <v>1</v>
      </c>
      <c r="G716" s="560">
        <f>ROUND(G715/(G715+H715+I715),5)</f>
        <v>0</v>
      </c>
      <c r="H716" s="561">
        <f>ROUND(H715/(G715+H715+I715),5)</f>
        <v>1</v>
      </c>
      <c r="I716" s="562">
        <f>ROUND(I715/(G715+H715+I715),5)</f>
        <v>0</v>
      </c>
      <c r="J716" s="733">
        <f t="shared" si="163"/>
        <v>1</v>
      </c>
      <c r="K716" s="731">
        <f t="shared" si="164"/>
        <v>0</v>
      </c>
      <c r="O716" s="749">
        <f>SUM(G716:I716)</f>
        <v>1</v>
      </c>
    </row>
    <row r="717" spans="1:15" ht="13">
      <c r="A717" s="342">
        <v>12</v>
      </c>
      <c r="C717" s="592" t="s">
        <v>222</v>
      </c>
      <c r="D717" s="717" t="s">
        <v>1002</v>
      </c>
      <c r="E717" s="723"/>
      <c r="F717" s="473">
        <f>'Alloc Factors Summary'!$D$64</f>
        <v>101373</v>
      </c>
      <c r="G717" s="796">
        <v>0</v>
      </c>
      <c r="H717" s="555">
        <f>'Alloc Factors Summary'!$D$64</f>
        <v>101373</v>
      </c>
      <c r="I717" s="797">
        <v>0</v>
      </c>
      <c r="J717" s="734">
        <f t="shared" si="163"/>
        <v>101373</v>
      </c>
      <c r="K717" s="737">
        <f t="shared" si="164"/>
        <v>0</v>
      </c>
      <c r="O717" s="748"/>
    </row>
    <row r="718" spans="1:15" ht="13">
      <c r="A718" s="342">
        <v>13</v>
      </c>
      <c r="B718" s="195"/>
      <c r="C718" s="491" t="s">
        <v>355</v>
      </c>
      <c r="D718" s="583"/>
      <c r="E718" s="708" t="str">
        <f>'FR-16(7)(v)-1 Functional'!$E$718</f>
        <v>K401</v>
      </c>
      <c r="F718" s="643">
        <v>1</v>
      </c>
      <c r="G718" s="560">
        <f>ROUND(G717/(G717+H717+I717),5)</f>
        <v>0</v>
      </c>
      <c r="H718" s="561">
        <f>ROUND(H717/(G717+H717+I717),5)</f>
        <v>1</v>
      </c>
      <c r="I718" s="562">
        <f>ROUND(I717/(G717+H717+I717),5)</f>
        <v>0</v>
      </c>
      <c r="J718" s="733">
        <f t="shared" si="163"/>
        <v>1</v>
      </c>
      <c r="K718" s="731">
        <f t="shared" si="164"/>
        <v>0</v>
      </c>
      <c r="O718" s="749">
        <f>SUM(G718:I718)</f>
        <v>1</v>
      </c>
    </row>
    <row r="719" spans="1:15" ht="13">
      <c r="A719" s="342">
        <v>14</v>
      </c>
      <c r="C719" s="592" t="s">
        <v>223</v>
      </c>
      <c r="D719" s="717" t="s">
        <v>1002</v>
      </c>
      <c r="E719" s="723"/>
      <c r="F719" s="473">
        <f>'Alloc Factors Summary'!$F$76</f>
        <v>106848</v>
      </c>
      <c r="G719" s="796">
        <v>0</v>
      </c>
      <c r="H719" s="555">
        <f>'Alloc Factors Summary'!$F$76</f>
        <v>106848</v>
      </c>
      <c r="I719" s="797">
        <v>0</v>
      </c>
      <c r="J719" s="734">
        <f t="shared" si="163"/>
        <v>106848</v>
      </c>
      <c r="K719" s="737">
        <f t="shared" si="164"/>
        <v>0</v>
      </c>
      <c r="O719" s="748"/>
    </row>
    <row r="720" spans="1:15" ht="13">
      <c r="A720" s="342">
        <v>15</v>
      </c>
      <c r="B720" s="195"/>
      <c r="C720" s="491" t="s">
        <v>355</v>
      </c>
      <c r="D720" s="583"/>
      <c r="E720" s="708" t="str">
        <f>'FR-16(7)(v)-1 Functional'!$E$720</f>
        <v>K403</v>
      </c>
      <c r="F720" s="643">
        <v>1</v>
      </c>
      <c r="G720" s="560">
        <f>ROUND(G719/(G719+H719+I719),5)</f>
        <v>0</v>
      </c>
      <c r="H720" s="561">
        <f>ROUND(H719/(G719+H719+I719),5)</f>
        <v>1</v>
      </c>
      <c r="I720" s="562">
        <f>ROUND(I719/(G719+H719+I719),5)</f>
        <v>0</v>
      </c>
      <c r="J720" s="733">
        <f t="shared" si="163"/>
        <v>1</v>
      </c>
      <c r="K720" s="731">
        <f t="shared" si="164"/>
        <v>0</v>
      </c>
      <c r="O720" s="749">
        <f>SUM(G720:I720)</f>
        <v>1</v>
      </c>
    </row>
    <row r="721" spans="1:15" ht="13">
      <c r="A721" s="342">
        <v>16</v>
      </c>
      <c r="C721" s="592" t="s">
        <v>385</v>
      </c>
      <c r="D721" s="717" t="s">
        <v>1002</v>
      </c>
      <c r="E721" s="723"/>
      <c r="F721" s="473">
        <f>'Alloc Factors Summary'!$G$88</f>
        <v>2925179.9999999995</v>
      </c>
      <c r="G721" s="796">
        <v>0</v>
      </c>
      <c r="H721" s="555">
        <f>'Alloc Factors Summary'!$G$88</f>
        <v>2925179.9999999995</v>
      </c>
      <c r="I721" s="797">
        <v>0</v>
      </c>
      <c r="J721" s="734">
        <f t="shared" si="163"/>
        <v>2925179.9999999995</v>
      </c>
      <c r="K721" s="737">
        <f t="shared" si="164"/>
        <v>0</v>
      </c>
      <c r="O721" s="748"/>
    </row>
    <row r="722" spans="1:15" ht="13">
      <c r="A722" s="342">
        <v>17</v>
      </c>
      <c r="B722" s="195"/>
      <c r="C722" s="491" t="s">
        <v>355</v>
      </c>
      <c r="D722" s="583"/>
      <c r="E722" s="708" t="str">
        <f>'FR-16(7)(v)-1 Functional'!$E$722</f>
        <v>K405</v>
      </c>
      <c r="F722" s="643">
        <v>1</v>
      </c>
      <c r="G722" s="560">
        <f>ROUND(G721/(G721+H721+I721),5)</f>
        <v>0</v>
      </c>
      <c r="H722" s="561">
        <f>ROUND(H721/(G721+H721+I721),5)</f>
        <v>1</v>
      </c>
      <c r="I722" s="562">
        <f>ROUND(I721/(G721+H721+I721),5)</f>
        <v>0</v>
      </c>
      <c r="J722" s="733">
        <f t="shared" si="163"/>
        <v>1</v>
      </c>
      <c r="K722" s="731">
        <f t="shared" si="164"/>
        <v>0</v>
      </c>
      <c r="O722" s="749">
        <f>SUM(G722:I722)</f>
        <v>1</v>
      </c>
    </row>
    <row r="723" spans="1:15" ht="13">
      <c r="A723" s="342">
        <v>18</v>
      </c>
      <c r="C723" s="592" t="s">
        <v>373</v>
      </c>
      <c r="D723" s="717" t="s">
        <v>1002</v>
      </c>
      <c r="E723" s="723"/>
      <c r="F723" s="473">
        <f>'Alloc Factors Summary'!$D$98</f>
        <v>6856</v>
      </c>
      <c r="G723" s="796">
        <v>0</v>
      </c>
      <c r="H723" s="555">
        <f>'Alloc Factors Summary'!$D$98</f>
        <v>6856</v>
      </c>
      <c r="I723" s="797">
        <v>0</v>
      </c>
      <c r="J723" s="734">
        <f t="shared" si="163"/>
        <v>6856</v>
      </c>
      <c r="K723" s="737">
        <f t="shared" si="164"/>
        <v>0</v>
      </c>
      <c r="O723" s="748"/>
    </row>
    <row r="724" spans="1:15" ht="13">
      <c r="A724" s="342">
        <v>19</v>
      </c>
      <c r="B724" s="195"/>
      <c r="C724" s="491" t="s">
        <v>355</v>
      </c>
      <c r="D724" s="583"/>
      <c r="E724" s="708" t="str">
        <f>'FR-16(7)(v)-1 Functional'!$E$724</f>
        <v>K406</v>
      </c>
      <c r="F724" s="643">
        <v>1</v>
      </c>
      <c r="G724" s="560">
        <f>ROUND(G723/(G723+H723+I723),5)</f>
        <v>0</v>
      </c>
      <c r="H724" s="561">
        <f>ROUND(H723/(G723+H723+I723),5)</f>
        <v>1</v>
      </c>
      <c r="I724" s="562">
        <f>ROUND(I723/(G723+H723+I723),5)</f>
        <v>0</v>
      </c>
      <c r="J724" s="733">
        <f t="shared" si="163"/>
        <v>1</v>
      </c>
      <c r="K724" s="731">
        <f t="shared" si="164"/>
        <v>0</v>
      </c>
      <c r="O724" s="749">
        <f>SUM(G724:I724)</f>
        <v>1</v>
      </c>
    </row>
    <row r="725" spans="1:15" ht="13">
      <c r="A725" s="342">
        <v>20</v>
      </c>
      <c r="C725" s="592" t="s">
        <v>1025</v>
      </c>
      <c r="D725" s="717" t="s">
        <v>1002</v>
      </c>
      <c r="E725" s="723"/>
      <c r="F725" s="473">
        <f>'Alloc Factors Summary'!$G$108</f>
        <v>108184.00000000001</v>
      </c>
      <c r="G725" s="796">
        <v>0</v>
      </c>
      <c r="H725" s="555">
        <f>'Alloc Factors Summary'!$G$108</f>
        <v>108184.00000000001</v>
      </c>
      <c r="I725" s="797">
        <v>0</v>
      </c>
      <c r="J725" s="734">
        <f t="shared" si="163"/>
        <v>108184.00000000001</v>
      </c>
      <c r="K725" s="737">
        <f t="shared" si="164"/>
        <v>0</v>
      </c>
      <c r="O725" s="748"/>
    </row>
    <row r="726" spans="1:15" ht="13">
      <c r="A726" s="342">
        <v>21</v>
      </c>
      <c r="B726" s="195"/>
      <c r="C726" s="491" t="s">
        <v>355</v>
      </c>
      <c r="D726" s="583"/>
      <c r="E726" s="708" t="str">
        <f>'FR-16(7)(v)-1 Functional'!$E$726</f>
        <v>K407</v>
      </c>
      <c r="F726" s="643">
        <v>1</v>
      </c>
      <c r="G726" s="560">
        <f>ROUND(G725/(G725+H725+I725),5)</f>
        <v>0</v>
      </c>
      <c r="H726" s="561">
        <f>ROUND(H725/(G725+H725+I725),5)</f>
        <v>1</v>
      </c>
      <c r="I726" s="562">
        <f>ROUND(I725/(G725+H725+I725),5)</f>
        <v>0</v>
      </c>
      <c r="J726" s="733">
        <f t="shared" si="163"/>
        <v>1</v>
      </c>
      <c r="K726" s="731">
        <f t="shared" si="164"/>
        <v>0</v>
      </c>
      <c r="O726" s="749">
        <f>SUM(G726:I726)</f>
        <v>1</v>
      </c>
    </row>
    <row r="727" spans="1:15" ht="13">
      <c r="A727" s="342">
        <v>22</v>
      </c>
      <c r="C727" s="592" t="s">
        <v>1026</v>
      </c>
      <c r="D727" s="717" t="s">
        <v>1002</v>
      </c>
      <c r="E727" s="723"/>
      <c r="F727" s="473">
        <f>'Alloc Factors Summary'!$F$118</f>
        <v>2602</v>
      </c>
      <c r="G727" s="796">
        <v>0</v>
      </c>
      <c r="H727" s="555">
        <f>'Alloc Factors Summary'!$F$118</f>
        <v>2602</v>
      </c>
      <c r="I727" s="797">
        <v>0</v>
      </c>
      <c r="J727" s="734">
        <f t="shared" si="163"/>
        <v>2602</v>
      </c>
      <c r="K727" s="737">
        <f t="shared" si="164"/>
        <v>0</v>
      </c>
      <c r="O727" s="748"/>
    </row>
    <row r="728" spans="1:15" ht="13">
      <c r="A728" s="342">
        <v>23</v>
      </c>
      <c r="B728" s="195"/>
      <c r="C728" s="491" t="s">
        <v>355</v>
      </c>
      <c r="D728" s="583"/>
      <c r="E728" s="708" t="str">
        <f>'FR-16(7)(v)-1 Functional'!$E$728</f>
        <v>K408</v>
      </c>
      <c r="F728" s="643">
        <v>1</v>
      </c>
      <c r="G728" s="560">
        <f>ROUND(G727/(G727+H727+I727),5)</f>
        <v>0</v>
      </c>
      <c r="H728" s="561">
        <f>ROUND(H727/(G727+H727+I727),5)</f>
        <v>1</v>
      </c>
      <c r="I728" s="562">
        <f>ROUND(I727/(G727+H727+I727),5)</f>
        <v>0</v>
      </c>
      <c r="J728" s="733">
        <f t="shared" si="163"/>
        <v>1</v>
      </c>
      <c r="K728" s="731">
        <f t="shared" si="164"/>
        <v>0</v>
      </c>
      <c r="O728" s="749">
        <f>SUM(G728:I728)</f>
        <v>1</v>
      </c>
    </row>
    <row r="729" spans="1:15" ht="13">
      <c r="A729" s="342">
        <v>24</v>
      </c>
      <c r="C729" s="592" t="s">
        <v>224</v>
      </c>
      <c r="D729" s="717" t="s">
        <v>1002</v>
      </c>
      <c r="E729" s="723"/>
      <c r="F729" s="473">
        <f>'Alloc Factors Summary'!$D$141</f>
        <v>8662854</v>
      </c>
      <c r="G729" s="796">
        <v>0</v>
      </c>
      <c r="H729" s="555">
        <f>'Alloc Factors Summary'!$D$141</f>
        <v>8662854</v>
      </c>
      <c r="I729" s="797">
        <v>0</v>
      </c>
      <c r="J729" s="734">
        <f t="shared" si="163"/>
        <v>8662854</v>
      </c>
      <c r="K729" s="737">
        <f t="shared" si="164"/>
        <v>0</v>
      </c>
      <c r="O729" s="748"/>
    </row>
    <row r="730" spans="1:15" ht="13">
      <c r="A730" s="342">
        <v>25</v>
      </c>
      <c r="B730" s="195"/>
      <c r="C730" s="491" t="s">
        <v>355</v>
      </c>
      <c r="D730" s="583"/>
      <c r="E730" s="708" t="str">
        <f>'FR-16(7)(v)-1 Functional'!$E$730</f>
        <v>K413</v>
      </c>
      <c r="F730" s="643">
        <v>1</v>
      </c>
      <c r="G730" s="560">
        <f>ROUND(G729/(G729+H729+I729),5)</f>
        <v>0</v>
      </c>
      <c r="H730" s="561">
        <f>ROUND(H729/(G729+H729+I729),5)</f>
        <v>1</v>
      </c>
      <c r="I730" s="562">
        <f>ROUND(I729/(G729+H729+I729),5)</f>
        <v>0</v>
      </c>
      <c r="J730" s="733">
        <f t="shared" si="163"/>
        <v>1</v>
      </c>
      <c r="K730" s="731">
        <f t="shared" si="164"/>
        <v>0</v>
      </c>
      <c r="O730" s="749">
        <f>SUM(G730:I730)</f>
        <v>1</v>
      </c>
    </row>
    <row r="731" spans="1:15" ht="13">
      <c r="A731" s="342">
        <v>26</v>
      </c>
      <c r="C731" s="663" t="s">
        <v>1004</v>
      </c>
      <c r="D731" s="717" t="s">
        <v>1002</v>
      </c>
      <c r="E731" s="723"/>
      <c r="F731" s="473">
        <f>ROUND('Alloc Factors Summary'!$H$171*100,0)</f>
        <v>100</v>
      </c>
      <c r="G731" s="796">
        <v>0</v>
      </c>
      <c r="H731" s="555">
        <f>ROUND('Alloc Factors Summary'!$H$171*100,0)</f>
        <v>100</v>
      </c>
      <c r="I731" s="797">
        <v>0</v>
      </c>
      <c r="J731" s="734">
        <f t="shared" si="163"/>
        <v>100</v>
      </c>
      <c r="K731" s="737">
        <f t="shared" si="164"/>
        <v>0</v>
      </c>
      <c r="O731" s="748"/>
    </row>
    <row r="732" spans="1:15" ht="13">
      <c r="A732" s="342">
        <v>27</v>
      </c>
      <c r="B732" s="195"/>
      <c r="C732" s="491" t="s">
        <v>355</v>
      </c>
      <c r="D732" s="583"/>
      <c r="E732" s="708" t="str">
        <f>'FR-16(7)(v)-1 Functional'!$E$732</f>
        <v>K415</v>
      </c>
      <c r="F732" s="643">
        <v>1</v>
      </c>
      <c r="G732" s="560">
        <f>ROUND(G731/(G731+H731+I731),5)</f>
        <v>0</v>
      </c>
      <c r="H732" s="561">
        <f>ROUND(H731/(G731+H731+I731),5)</f>
        <v>1</v>
      </c>
      <c r="I732" s="562">
        <f>ROUND(I731/(G731+H731+I731),5)</f>
        <v>0</v>
      </c>
      <c r="J732" s="733">
        <f t="shared" si="163"/>
        <v>1</v>
      </c>
      <c r="K732" s="731">
        <f t="shared" si="164"/>
        <v>0</v>
      </c>
      <c r="O732" s="749">
        <f>SUM(G732:I732)</f>
        <v>1</v>
      </c>
    </row>
    <row r="733" spans="1:15" ht="13">
      <c r="A733" s="342">
        <v>28</v>
      </c>
      <c r="C733" s="592" t="s">
        <v>376</v>
      </c>
      <c r="D733" s="717" t="s">
        <v>1002</v>
      </c>
      <c r="E733" s="723"/>
      <c r="F733" s="473">
        <f>'Alloc Factors Summary'!$D$151</f>
        <v>151324</v>
      </c>
      <c r="G733" s="796">
        <v>0</v>
      </c>
      <c r="H733" s="555">
        <f>'Alloc Factors Summary'!$D$151</f>
        <v>151324</v>
      </c>
      <c r="I733" s="797">
        <v>0</v>
      </c>
      <c r="J733" s="734">
        <f t="shared" si="163"/>
        <v>151324</v>
      </c>
      <c r="K733" s="737">
        <f t="shared" si="164"/>
        <v>0</v>
      </c>
      <c r="O733" s="748"/>
    </row>
    <row r="734" spans="1:15" ht="13">
      <c r="A734" s="342">
        <v>29</v>
      </c>
      <c r="B734" s="195"/>
      <c r="C734" s="491" t="s">
        <v>355</v>
      </c>
      <c r="D734" s="583"/>
      <c r="E734" s="708" t="str">
        <f>'FR-16(7)(v)-1 Functional'!$E$734</f>
        <v>K417</v>
      </c>
      <c r="F734" s="643">
        <v>1</v>
      </c>
      <c r="G734" s="560">
        <f>ROUND(G733/(G733+H733+I733),5)</f>
        <v>0</v>
      </c>
      <c r="H734" s="561">
        <f>ROUND(H733/(G733+H733+I733),5)</f>
        <v>1</v>
      </c>
      <c r="I734" s="562">
        <f>ROUND(I733/(G733+H733+I733),5)</f>
        <v>0</v>
      </c>
      <c r="J734" s="733">
        <f t="shared" si="163"/>
        <v>1</v>
      </c>
      <c r="K734" s="731">
        <f t="shared" si="164"/>
        <v>0</v>
      </c>
      <c r="O734" s="749">
        <f>SUM(G734:I734)</f>
        <v>1</v>
      </c>
    </row>
    <row r="735" spans="1:15" ht="13">
      <c r="A735" s="342">
        <v>30</v>
      </c>
      <c r="B735" s="485"/>
      <c r="C735" s="592" t="s">
        <v>226</v>
      </c>
      <c r="D735" s="717" t="s">
        <v>1002</v>
      </c>
      <c r="E735" s="739"/>
      <c r="F735" s="347">
        <f>'Alloc Factors Summary'!$D$62+'Alloc Factors Summary'!$D$63</f>
        <v>128</v>
      </c>
      <c r="G735" s="796">
        <v>0</v>
      </c>
      <c r="H735" s="555">
        <f>F735</f>
        <v>128</v>
      </c>
      <c r="I735" s="797">
        <v>0</v>
      </c>
      <c r="J735" s="734">
        <f t="shared" si="163"/>
        <v>128</v>
      </c>
      <c r="K735" s="737">
        <f t="shared" si="164"/>
        <v>0</v>
      </c>
      <c r="O735" s="750"/>
    </row>
    <row r="736" spans="1:15" ht="13">
      <c r="A736" s="342">
        <v>31</v>
      </c>
      <c r="B736" s="195"/>
      <c r="C736" s="491" t="str">
        <f>C734</f>
        <v>RATIO TO TOTAL GAS</v>
      </c>
      <c r="D736" s="583"/>
      <c r="E736" s="708" t="str">
        <f>'FR-16(7)(v)-1 Functional'!$E$736</f>
        <v>K431</v>
      </c>
      <c r="F736" s="348">
        <v>1</v>
      </c>
      <c r="G736" s="560">
        <f>ROUND(G735/(G735+H735+I735),5)</f>
        <v>0</v>
      </c>
      <c r="H736" s="561">
        <f>ROUND(H735/(G735+H735+I735),5)</f>
        <v>1</v>
      </c>
      <c r="I736" s="562">
        <f>ROUND(I735/(G735+H735+I735),5)</f>
        <v>0</v>
      </c>
      <c r="J736" s="733">
        <f t="shared" si="163"/>
        <v>1</v>
      </c>
      <c r="K736" s="731">
        <f t="shared" si="164"/>
        <v>0</v>
      </c>
      <c r="O736" s="749">
        <f>SUM(G736:I736)</f>
        <v>1</v>
      </c>
    </row>
    <row r="737" spans="1:15" ht="13">
      <c r="A737" s="342">
        <v>32</v>
      </c>
      <c r="C737" s="602" t="s">
        <v>406</v>
      </c>
      <c r="D737" s="717" t="s">
        <v>1002</v>
      </c>
      <c r="E737" s="723"/>
      <c r="F737" s="473">
        <f>'Alloc Factors Summary'!$D$159</f>
        <v>3928413</v>
      </c>
      <c r="G737" s="796">
        <v>0</v>
      </c>
      <c r="H737" s="555">
        <f>'Alloc Factors Summary'!$D$159</f>
        <v>3928413</v>
      </c>
      <c r="I737" s="797">
        <v>0</v>
      </c>
      <c r="J737" s="734">
        <f t="shared" si="163"/>
        <v>3928413</v>
      </c>
      <c r="K737" s="737">
        <f t="shared" si="164"/>
        <v>0</v>
      </c>
      <c r="O737" s="751"/>
    </row>
    <row r="738" spans="1:15" ht="13">
      <c r="A738" s="342">
        <v>33</v>
      </c>
      <c r="B738" s="195"/>
      <c r="C738" s="491" t="s">
        <v>355</v>
      </c>
      <c r="D738" s="583"/>
      <c r="E738" s="708" t="str">
        <f>'FR-16(7)(v)-1 Functional'!$E$738</f>
        <v>K595</v>
      </c>
      <c r="F738" s="643">
        <v>1</v>
      </c>
      <c r="G738" s="560">
        <f>ROUND(G737/(G737+H737+I737),5)</f>
        <v>0</v>
      </c>
      <c r="H738" s="561">
        <f>ROUND(H737/(G737+H737+I737),5)</f>
        <v>1</v>
      </c>
      <c r="I738" s="562">
        <f>ROUND(I737/(G737+H737+I737),5)</f>
        <v>0</v>
      </c>
      <c r="J738" s="733">
        <f t="shared" si="163"/>
        <v>1</v>
      </c>
      <c r="K738" s="731">
        <f t="shared" si="164"/>
        <v>0</v>
      </c>
      <c r="O738" s="749">
        <f>SUM(G738:I738)</f>
        <v>1</v>
      </c>
    </row>
    <row r="739" spans="1:15" ht="13">
      <c r="A739" s="342">
        <v>34</v>
      </c>
      <c r="B739" s="593"/>
      <c r="C739" s="592" t="s">
        <v>225</v>
      </c>
      <c r="D739" s="717" t="s">
        <v>1002</v>
      </c>
      <c r="E739" s="723"/>
      <c r="F739" s="470">
        <v>1</v>
      </c>
      <c r="G739" s="799">
        <v>0</v>
      </c>
      <c r="H739" s="800">
        <v>1</v>
      </c>
      <c r="I739" s="797">
        <v>0</v>
      </c>
      <c r="J739" s="734">
        <f t="shared" si="163"/>
        <v>1</v>
      </c>
      <c r="K739" s="737">
        <f t="shared" si="164"/>
        <v>0</v>
      </c>
      <c r="O739" s="751"/>
    </row>
    <row r="740" spans="1:15" ht="13">
      <c r="A740" s="342">
        <v>35</v>
      </c>
      <c r="B740" s="195"/>
      <c r="C740" s="491" t="s">
        <v>355</v>
      </c>
      <c r="D740" s="583"/>
      <c r="E740" s="708" t="str">
        <f>'FR-16(7)(v)-1 Functional'!$E$740</f>
        <v>K597</v>
      </c>
      <c r="F740" s="643">
        <v>1</v>
      </c>
      <c r="G740" s="560">
        <f>ROUND(G739/(G739+H739+I739),5)</f>
        <v>0</v>
      </c>
      <c r="H740" s="561">
        <f>ROUND(H739/(G739+H739+I739),5)</f>
        <v>1</v>
      </c>
      <c r="I740" s="562">
        <f>ROUND(I739/(G739+H739+I739),5)</f>
        <v>0</v>
      </c>
      <c r="J740" s="733">
        <f t="shared" si="163"/>
        <v>1</v>
      </c>
      <c r="K740" s="731">
        <f t="shared" si="164"/>
        <v>0</v>
      </c>
      <c r="O740" s="749">
        <f>SUM(G740:I740)</f>
        <v>1</v>
      </c>
    </row>
    <row r="741" spans="1:15" ht="13">
      <c r="A741" s="342">
        <v>36</v>
      </c>
      <c r="C741" s="592" t="s">
        <v>431</v>
      </c>
      <c r="D741" s="621"/>
      <c r="E741" s="740"/>
      <c r="F741" s="488">
        <v>1</v>
      </c>
      <c r="G741" s="799">
        <v>0</v>
      </c>
      <c r="H741" s="800">
        <v>1</v>
      </c>
      <c r="I741" s="797">
        <v>0</v>
      </c>
      <c r="J741" s="734">
        <f t="shared" si="163"/>
        <v>1</v>
      </c>
      <c r="K741" s="737">
        <f t="shared" si="164"/>
        <v>0</v>
      </c>
      <c r="O741" s="748"/>
    </row>
    <row r="742" spans="1:15" ht="13">
      <c r="A742" s="342">
        <v>37</v>
      </c>
      <c r="C742" s="491" t="s">
        <v>355</v>
      </c>
      <c r="D742" s="583"/>
      <c r="E742" s="708" t="str">
        <f>'FR-16(7)(v)-1 Functional'!$E$742</f>
        <v>K903</v>
      </c>
      <c r="F742" s="642">
        <v>1</v>
      </c>
      <c r="G742" s="560">
        <f>ROUND(G741/(G741+H741+I741),5)</f>
        <v>0</v>
      </c>
      <c r="H742" s="561">
        <f>ROUND(H741/(G741+H741+I741),5)</f>
        <v>1</v>
      </c>
      <c r="I742" s="562">
        <f>ROUND(I741/(G741+H741+I741),5)</f>
        <v>0</v>
      </c>
      <c r="J742" s="733">
        <f t="shared" si="163"/>
        <v>1</v>
      </c>
      <c r="K742" s="731">
        <f t="shared" si="164"/>
        <v>0</v>
      </c>
      <c r="O742" s="749">
        <f>SUM(G742:I742)</f>
        <v>1</v>
      </c>
    </row>
    <row r="743" spans="1:15" ht="13">
      <c r="A743" s="342">
        <v>38</v>
      </c>
      <c r="B743" s="363"/>
      <c r="C743" s="363"/>
      <c r="D743" s="718"/>
      <c r="E743" s="331"/>
      <c r="G743" s="541"/>
      <c r="H743" s="531"/>
      <c r="I743" s="532"/>
      <c r="J743" s="735"/>
      <c r="K743" s="526"/>
      <c r="O743" s="752"/>
    </row>
    <row r="744" spans="1:15" ht="13">
      <c r="A744" s="342">
        <v>39</v>
      </c>
      <c r="C744" s="592" t="s">
        <v>108</v>
      </c>
      <c r="D744" s="342" t="str">
        <f>'FR-16(7)(v)-1 Functional'!D744</f>
        <v>CS09</v>
      </c>
      <c r="E744" s="708" t="str">
        <f>'FR-16(7)(v)-1 Functional'!$E$744</f>
        <v>R600</v>
      </c>
      <c r="F744" s="473">
        <f>'FR-16(7)(v)-1 Functional'!G744</f>
        <v>40910824</v>
      </c>
      <c r="G744" s="542">
        <f>ROUND(F744*VLOOKUP(D744,AllocTable_Classified_Production,$G$10,FALSE),0)</f>
        <v>0</v>
      </c>
      <c r="H744" s="533">
        <f>ROUND(F744*VLOOKUP(D744,AllocTable_Classified_Production,$H$10,FALSE),0)</f>
        <v>40910824</v>
      </c>
      <c r="I744" s="534">
        <f>ROUND(F744*VLOOKUP(D744,AllocTable_Classified_Production,$I$10,FALSE),0)</f>
        <v>0</v>
      </c>
      <c r="J744" s="736">
        <f>SUM(G744:I744)</f>
        <v>40910824</v>
      </c>
      <c r="K744" s="664">
        <f>F744-J744</f>
        <v>0</v>
      </c>
      <c r="M744" s="653" t="s">
        <v>1182</v>
      </c>
      <c r="O744" s="748"/>
    </row>
    <row r="745" spans="1:15" ht="13">
      <c r="A745" s="342">
        <v>40</v>
      </c>
      <c r="C745" s="592" t="s">
        <v>843</v>
      </c>
      <c r="D745" s="342" t="str">
        <f>'FR-16(7)(v)-1 Functional'!D745</f>
        <v>CS09</v>
      </c>
      <c r="E745" s="708" t="str">
        <f>'FR-16(7)(v)-1 Functional'!$E$745</f>
        <v>R602</v>
      </c>
      <c r="F745" s="473">
        <f>'FR-16(7)(v)-1 Functional'!G745</f>
        <v>46539308</v>
      </c>
      <c r="G745" s="544">
        <f>ROUND(F745*VLOOKUP(D745,AllocTable_Classified_Production,$G$10,FALSE),0)</f>
        <v>0</v>
      </c>
      <c r="H745" s="537">
        <f>ROUND(F745*VLOOKUP(D745,AllocTable_Classified_Production,$H$10,FALSE),0)</f>
        <v>46539308</v>
      </c>
      <c r="I745" s="538">
        <f>ROUND(F745*VLOOKUP(D745,AllocTable_Classified_Production,$I$10,FALSE),0)</f>
        <v>0</v>
      </c>
      <c r="J745" s="736">
        <f>SUM(G745:I745)</f>
        <v>46539308</v>
      </c>
      <c r="K745" s="664">
        <f>F745-J745</f>
        <v>0</v>
      </c>
      <c r="M745" s="653" t="s">
        <v>1183</v>
      </c>
      <c r="O745" s="749"/>
    </row>
    <row r="746" spans="1:15" ht="13">
      <c r="E746" s="331"/>
      <c r="O746" s="749"/>
    </row>
    <row r="747" spans="1:15" ht="13">
      <c r="A747" s="341" t="str">
        <f>co_name</f>
        <v>DUKE ENERGY KENTUCKY, INC.</v>
      </c>
      <c r="C747" s="195"/>
      <c r="D747" s="342"/>
      <c r="E747" s="195"/>
      <c r="F747" s="195"/>
      <c r="G747" s="195"/>
      <c r="H747" s="195"/>
      <c r="I747" s="195"/>
      <c r="J747" s="195" t="str">
        <f>$J$1</f>
        <v>FR-16(7)(v)-2</v>
      </c>
      <c r="K747" s="195"/>
      <c r="O747" s="748"/>
    </row>
    <row r="748" spans="1:15" ht="13">
      <c r="A748" s="341" t="str">
        <f>$A$2</f>
        <v>PRODUCTION CLASSIFIED - GAS COST OF SERVICE</v>
      </c>
      <c r="C748" s="195"/>
      <c r="D748" s="342"/>
      <c r="E748" s="195"/>
      <c r="F748" s="195"/>
      <c r="G748" s="195"/>
      <c r="H748" s="195"/>
      <c r="I748" s="195"/>
      <c r="J748" s="195" t="str">
        <f>$J$2</f>
        <v>WITNESS RESPONSIBLE:</v>
      </c>
      <c r="K748" s="195"/>
      <c r="O748" s="748"/>
    </row>
    <row r="749" spans="1:15" ht="13">
      <c r="A749" s="341" t="str">
        <f>case_name</f>
        <v>CASE NO: 2021-00190</v>
      </c>
      <c r="C749" s="195"/>
      <c r="D749" s="342"/>
      <c r="E749" s="195"/>
      <c r="F749" s="195"/>
      <c r="G749" s="195"/>
      <c r="H749" s="195"/>
      <c r="I749" s="195"/>
      <c r="J749" s="195" t="str">
        <f>Witness</f>
        <v>JAMES E. ZIOLKOWSKI</v>
      </c>
      <c r="K749" s="195"/>
      <c r="O749" s="748"/>
    </row>
    <row r="750" spans="1:15" ht="13">
      <c r="A750" s="341" t="str">
        <f>data_filing</f>
        <v>DATA: 12 MONTH FORECASTED PERIOD</v>
      </c>
      <c r="C750" s="195"/>
      <c r="D750" s="342"/>
      <c r="E750" s="195"/>
      <c r="F750" s="195"/>
      <c r="G750" s="195"/>
      <c r="H750" s="195"/>
      <c r="I750" s="195"/>
      <c r="J750" s="195" t="str">
        <f>"PAGE "&amp;Pages-1&amp;" OF "&amp;Pages</f>
        <v>PAGE 17 OF 18</v>
      </c>
      <c r="K750" s="195"/>
      <c r="O750" s="748"/>
    </row>
    <row r="751" spans="1:15" ht="13">
      <c r="A751" s="341" t="str">
        <f>type</f>
        <v xml:space="preserve">TYPE OF FILING: "X" ORIGINAL   UPDATED    REVISED  </v>
      </c>
      <c r="C751" s="195"/>
      <c r="D751" s="342"/>
      <c r="E751" s="195"/>
      <c r="F751" s="195"/>
      <c r="G751" s="195"/>
      <c r="H751" s="195"/>
      <c r="I751" s="195"/>
      <c r="J751" s="195"/>
      <c r="K751" s="195"/>
      <c r="O751" s="748"/>
    </row>
    <row r="752" spans="1:15" ht="13">
      <c r="B752" s="195"/>
      <c r="E752" s="331"/>
      <c r="G752" s="526"/>
      <c r="H752" s="526"/>
      <c r="I752" s="526"/>
      <c r="O752" s="748"/>
    </row>
    <row r="753" spans="1:15" ht="13">
      <c r="B753" s="195"/>
      <c r="E753" s="331"/>
      <c r="G753" s="526"/>
      <c r="H753" s="526"/>
      <c r="I753" s="526"/>
      <c r="O753" s="748"/>
    </row>
    <row r="754" spans="1:15" ht="13">
      <c r="A754" s="342" t="s">
        <v>907</v>
      </c>
      <c r="B754" s="195"/>
      <c r="C754" s="195"/>
      <c r="D754" s="342"/>
      <c r="E754" s="342"/>
      <c r="F754" s="342" t="str">
        <f>$F$8</f>
        <v>TOTAL</v>
      </c>
      <c r="G754" s="539" t="s">
        <v>995</v>
      </c>
      <c r="H754" s="527"/>
      <c r="I754" s="528"/>
      <c r="J754" s="342" t="s">
        <v>229</v>
      </c>
      <c r="K754" s="342" t="s">
        <v>342</v>
      </c>
      <c r="O754" s="747"/>
    </row>
    <row r="755" spans="1:15" ht="13">
      <c r="A755" s="344" t="s">
        <v>908</v>
      </c>
      <c r="B755" s="584" t="s">
        <v>89</v>
      </c>
      <c r="C755" s="343"/>
      <c r="D755" s="585" t="s">
        <v>1001</v>
      </c>
      <c r="E755" s="585" t="s">
        <v>337</v>
      </c>
      <c r="F755" s="344" t="str">
        <f>$F$9</f>
        <v>PRODUCTION</v>
      </c>
      <c r="G755" s="652" t="s">
        <v>840</v>
      </c>
      <c r="H755" s="649" t="s">
        <v>841</v>
      </c>
      <c r="I755" s="650" t="s">
        <v>842</v>
      </c>
      <c r="J755" s="344" t="s">
        <v>341</v>
      </c>
      <c r="K755" s="344" t="s">
        <v>340</v>
      </c>
      <c r="O755" s="747"/>
    </row>
    <row r="756" spans="1:15" ht="13">
      <c r="C756" s="839" t="s">
        <v>559</v>
      </c>
      <c r="E756" s="782">
        <v>1</v>
      </c>
      <c r="F756" s="782">
        <v>2</v>
      </c>
      <c r="G756" s="793">
        <f>$G$10</f>
        <v>3</v>
      </c>
      <c r="H756" s="794">
        <f>$H$10</f>
        <v>4</v>
      </c>
      <c r="I756" s="795">
        <f>$I$10</f>
        <v>5</v>
      </c>
      <c r="O756" s="748"/>
    </row>
    <row r="757" spans="1:15" ht="13">
      <c r="A757" s="342">
        <v>1</v>
      </c>
      <c r="B757" s="599"/>
      <c r="C757" s="654" t="s">
        <v>1012</v>
      </c>
      <c r="D757" s="719" t="s">
        <v>1003</v>
      </c>
      <c r="E757" s="710"/>
      <c r="F757" s="345">
        <f>F771</f>
        <v>0</v>
      </c>
      <c r="G757" s="542">
        <f>G771</f>
        <v>0</v>
      </c>
      <c r="H757" s="533">
        <f>H771</f>
        <v>0</v>
      </c>
      <c r="I757" s="534">
        <f>I771</f>
        <v>0</v>
      </c>
      <c r="J757" s="736">
        <f t="shared" ref="J757:J762" si="165">SUM(G757:I757)</f>
        <v>0</v>
      </c>
      <c r="K757" s="664">
        <f t="shared" ref="K757:K762" si="166">F757-J757</f>
        <v>0</v>
      </c>
      <c r="O757" s="751"/>
    </row>
    <row r="758" spans="1:15" ht="13">
      <c r="A758" s="342">
        <v>2</v>
      </c>
      <c r="B758" s="195"/>
      <c r="C758" s="491" t="s">
        <v>355</v>
      </c>
      <c r="D758" s="583"/>
      <c r="E758" s="708" t="str">
        <f>'FR-16(7)(v)-1 Functional'!$E$758</f>
        <v>K667</v>
      </c>
      <c r="F758" s="642">
        <v>1</v>
      </c>
      <c r="G758" s="560">
        <f>IF(G757=0,0,ROUND(G757/(G757+H757+I757),5))</f>
        <v>0</v>
      </c>
      <c r="H758" s="561">
        <f>IF(H757=0,0,ROUND(H757/(H757+I757+J757),5))</f>
        <v>0</v>
      </c>
      <c r="I758" s="562">
        <f>IF(I757=0,0,ROUND(I757/(I757+J757+K757),5))</f>
        <v>0</v>
      </c>
      <c r="J758" s="731">
        <f t="shared" si="165"/>
        <v>0</v>
      </c>
      <c r="K758" s="731">
        <f t="shared" si="166"/>
        <v>1</v>
      </c>
      <c r="O758" s="749">
        <f>SUM(G758:I758)</f>
        <v>0</v>
      </c>
    </row>
    <row r="759" spans="1:15" ht="13">
      <c r="A759" s="342">
        <v>3</v>
      </c>
      <c r="B759" s="599"/>
      <c r="C759" s="654" t="s">
        <v>1021</v>
      </c>
      <c r="D759" s="719" t="s">
        <v>1003</v>
      </c>
      <c r="E759" s="723"/>
      <c r="F759" s="345">
        <f>F778</f>
        <v>0</v>
      </c>
      <c r="G759" s="542">
        <f>G778</f>
        <v>0</v>
      </c>
      <c r="H759" s="533">
        <f>H778</f>
        <v>0</v>
      </c>
      <c r="I759" s="534">
        <f>I778</f>
        <v>0</v>
      </c>
      <c r="J759" s="664">
        <f t="shared" si="165"/>
        <v>0</v>
      </c>
      <c r="K759" s="664">
        <f t="shared" si="166"/>
        <v>0</v>
      </c>
      <c r="O759" s="748"/>
    </row>
    <row r="760" spans="1:15" ht="13">
      <c r="A760" s="342">
        <v>4</v>
      </c>
      <c r="B760" s="195"/>
      <c r="C760" s="491" t="s">
        <v>355</v>
      </c>
      <c r="D760" s="583"/>
      <c r="E760" s="708" t="str">
        <f>'FR-16(7)(v)-1 Functional'!$E$760</f>
        <v>K697</v>
      </c>
      <c r="F760" s="642">
        <v>1</v>
      </c>
      <c r="G760" s="560">
        <f>IF(G759=0,0,ROUND(G759/(G759+H759+I759),5))</f>
        <v>0</v>
      </c>
      <c r="H760" s="561">
        <f>IF(H759=0,0,ROUND(H759/(H759+I759+J759),5))</f>
        <v>0</v>
      </c>
      <c r="I760" s="562">
        <f>IF(I759=0,0,ROUND(I759/(I759+J759+K759),5))</f>
        <v>0</v>
      </c>
      <c r="J760" s="731">
        <f t="shared" si="165"/>
        <v>0</v>
      </c>
      <c r="K760" s="731">
        <f t="shared" si="166"/>
        <v>1</v>
      </c>
      <c r="O760" s="749">
        <f>SUM(G760:I760)</f>
        <v>0</v>
      </c>
    </row>
    <row r="761" spans="1:15" ht="13">
      <c r="A761" s="342">
        <v>5</v>
      </c>
      <c r="B761" s="600"/>
      <c r="C761" s="654" t="s">
        <v>108</v>
      </c>
      <c r="D761" s="719" t="s">
        <v>1003</v>
      </c>
      <c r="E761" s="723"/>
      <c r="F761" s="345">
        <f>F744</f>
        <v>40910824</v>
      </c>
      <c r="G761" s="542">
        <f>G744</f>
        <v>0</v>
      </c>
      <c r="H761" s="533">
        <f>H744</f>
        <v>40910824</v>
      </c>
      <c r="I761" s="534">
        <f>I744</f>
        <v>0</v>
      </c>
      <c r="J761" s="664">
        <f t="shared" si="165"/>
        <v>40910824</v>
      </c>
      <c r="K761" s="664">
        <f t="shared" si="166"/>
        <v>0</v>
      </c>
      <c r="O761" s="748"/>
    </row>
    <row r="762" spans="1:15" ht="13">
      <c r="A762" s="342">
        <v>6</v>
      </c>
      <c r="B762" s="195"/>
      <c r="C762" s="491" t="s">
        <v>355</v>
      </c>
      <c r="D762" s="583"/>
      <c r="E762" s="708" t="str">
        <f>'FR-16(7)(v)-1 Functional'!$E$762</f>
        <v>K901</v>
      </c>
      <c r="F762" s="642">
        <v>1</v>
      </c>
      <c r="G762" s="560">
        <f>ROUND(G761/(G761+H761+I761),5)</f>
        <v>0</v>
      </c>
      <c r="H762" s="561">
        <f>ROUND(H761/(G761+H761+I761),5)</f>
        <v>1</v>
      </c>
      <c r="I762" s="562">
        <f>1-SUM(G762:H762)</f>
        <v>0</v>
      </c>
      <c r="J762" s="731">
        <f t="shared" si="165"/>
        <v>1</v>
      </c>
      <c r="K762" s="731">
        <f t="shared" si="166"/>
        <v>0</v>
      </c>
      <c r="O762" s="749">
        <f>SUM(G762:I762)</f>
        <v>1</v>
      </c>
    </row>
    <row r="763" spans="1:15" ht="13">
      <c r="A763" s="342">
        <v>7</v>
      </c>
      <c r="C763" s="654" t="s">
        <v>843</v>
      </c>
      <c r="D763" s="719" t="s">
        <v>1003</v>
      </c>
      <c r="E763" s="723"/>
      <c r="F763" s="345">
        <f>F745</f>
        <v>46539308</v>
      </c>
      <c r="G763" s="542">
        <f>G745</f>
        <v>0</v>
      </c>
      <c r="H763" s="533">
        <f>H745</f>
        <v>46539308</v>
      </c>
      <c r="I763" s="534">
        <f>I745</f>
        <v>0</v>
      </c>
      <c r="J763" s="664">
        <f>SUM(G763:I763)</f>
        <v>46539308</v>
      </c>
      <c r="K763" s="664">
        <f>F763-J763</f>
        <v>0</v>
      </c>
      <c r="O763" s="752"/>
    </row>
    <row r="764" spans="1:15" ht="13">
      <c r="A764" s="342">
        <v>8</v>
      </c>
      <c r="C764" s="491" t="s">
        <v>355</v>
      </c>
      <c r="D764" s="583"/>
      <c r="E764" s="708" t="s">
        <v>1179</v>
      </c>
      <c r="F764" s="642">
        <v>1</v>
      </c>
      <c r="G764" s="560">
        <f>ROUND(G763/(G763+H763+I763),5)</f>
        <v>0</v>
      </c>
      <c r="H764" s="561">
        <f>ROUND(H763/(G763+H763+I763),5)</f>
        <v>1</v>
      </c>
      <c r="I764" s="562">
        <f>1-SUM(G764:H764)</f>
        <v>0</v>
      </c>
      <c r="J764" s="731">
        <f>SUM(G764:I764)</f>
        <v>1</v>
      </c>
      <c r="K764" s="731">
        <f>F764-J764</f>
        <v>0</v>
      </c>
      <c r="O764" s="752"/>
    </row>
    <row r="765" spans="1:15" ht="13">
      <c r="A765" s="342">
        <v>9</v>
      </c>
      <c r="E765" s="740"/>
      <c r="G765" s="541"/>
      <c r="H765" s="531"/>
      <c r="I765" s="532"/>
      <c r="J765" s="526"/>
      <c r="K765" s="526"/>
      <c r="O765" s="752"/>
    </row>
    <row r="766" spans="1:15" ht="13">
      <c r="A766" s="342">
        <v>10</v>
      </c>
      <c r="B766" s="702" t="s">
        <v>92</v>
      </c>
      <c r="C766" s="703"/>
      <c r="D766" s="720"/>
      <c r="E766" s="723"/>
      <c r="F766" s="615"/>
      <c r="G766" s="801"/>
      <c r="H766" s="802"/>
      <c r="I766" s="803"/>
      <c r="J766" s="738"/>
      <c r="K766" s="738"/>
      <c r="O766" s="753"/>
    </row>
    <row r="767" spans="1:15" ht="13">
      <c r="A767" s="342">
        <v>11</v>
      </c>
      <c r="B767" s="653"/>
      <c r="C767" s="654" t="s">
        <v>1015</v>
      </c>
      <c r="D767" s="719"/>
      <c r="E767" s="723"/>
      <c r="F767" s="345">
        <f>'FR-16(7)(v)-1 Functional'!$G$71</f>
        <v>0</v>
      </c>
      <c r="G767" s="542">
        <f t="shared" ref="G767:I768" si="167">G71</f>
        <v>0</v>
      </c>
      <c r="H767" s="533">
        <f t="shared" si="167"/>
        <v>0</v>
      </c>
      <c r="I767" s="534">
        <f t="shared" si="167"/>
        <v>0</v>
      </c>
      <c r="J767" s="664">
        <f>SUM(G767:I767)</f>
        <v>0</v>
      </c>
      <c r="K767" s="664">
        <f>F767-J767</f>
        <v>0</v>
      </c>
      <c r="O767" s="753"/>
    </row>
    <row r="768" spans="1:15" ht="13">
      <c r="A768" s="342">
        <v>12</v>
      </c>
      <c r="B768" s="653"/>
      <c r="C768" s="654" t="s">
        <v>1016</v>
      </c>
      <c r="D768" s="719"/>
      <c r="E768" s="707"/>
      <c r="F768" s="345">
        <f>'FR-16(7)(v)-1 Functional'!$G$72</f>
        <v>0</v>
      </c>
      <c r="G768" s="542">
        <f t="shared" si="167"/>
        <v>0</v>
      </c>
      <c r="H768" s="533">
        <f t="shared" si="167"/>
        <v>0</v>
      </c>
      <c r="I768" s="534">
        <f t="shared" si="167"/>
        <v>0</v>
      </c>
      <c r="J768" s="664">
        <f>SUM(G768:I768)</f>
        <v>0</v>
      </c>
      <c r="K768" s="664">
        <f>F768-J768</f>
        <v>0</v>
      </c>
      <c r="O768" s="753"/>
    </row>
    <row r="769" spans="1:15" ht="13">
      <c r="A769" s="342">
        <v>13</v>
      </c>
      <c r="B769" s="653"/>
      <c r="C769" s="654" t="s">
        <v>1013</v>
      </c>
      <c r="D769" s="719"/>
      <c r="E769" s="707"/>
      <c r="F769" s="345">
        <f>-'FR-16(7)(v)-1 Functional'!$G$125</f>
        <v>0</v>
      </c>
      <c r="G769" s="542">
        <f t="shared" ref="G769:I770" si="168">-G125</f>
        <v>0</v>
      </c>
      <c r="H769" s="533">
        <f t="shared" si="168"/>
        <v>0</v>
      </c>
      <c r="I769" s="534">
        <f t="shared" si="168"/>
        <v>0</v>
      </c>
      <c r="J769" s="664">
        <f>SUM(G769:I769)</f>
        <v>0</v>
      </c>
      <c r="K769" s="664">
        <f>F769-J769</f>
        <v>0</v>
      </c>
      <c r="O769" s="753"/>
    </row>
    <row r="770" spans="1:15" ht="13">
      <c r="A770" s="342">
        <v>14</v>
      </c>
      <c r="B770" s="653"/>
      <c r="C770" s="654" t="s">
        <v>1014</v>
      </c>
      <c r="D770" s="719"/>
      <c r="E770" s="711"/>
      <c r="F770" s="496">
        <f>-'FR-16(7)(v)-1 Functional'!$G$126</f>
        <v>0</v>
      </c>
      <c r="G770" s="544">
        <f t="shared" si="168"/>
        <v>0</v>
      </c>
      <c r="H770" s="537">
        <f t="shared" si="168"/>
        <v>0</v>
      </c>
      <c r="I770" s="538">
        <f t="shared" si="168"/>
        <v>0</v>
      </c>
      <c r="J770" s="620">
        <f>SUM(G770:I770)</f>
        <v>0</v>
      </c>
      <c r="K770" s="620">
        <f>F770-J770</f>
        <v>0</v>
      </c>
      <c r="O770" s="753"/>
    </row>
    <row r="771" spans="1:15" ht="13">
      <c r="A771" s="342">
        <v>15</v>
      </c>
      <c r="B771" s="653"/>
      <c r="C771" s="704" t="s">
        <v>1023</v>
      </c>
      <c r="D771" s="719"/>
      <c r="E771" s="707"/>
      <c r="F771" s="345">
        <f>SUM(F767:F770)</f>
        <v>0</v>
      </c>
      <c r="G771" s="542">
        <f>SUM(G767:G770)</f>
        <v>0</v>
      </c>
      <c r="H771" s="533">
        <f>SUM(H767:H770)</f>
        <v>0</v>
      </c>
      <c r="I771" s="534">
        <f>SUM(I767:I770)</f>
        <v>0</v>
      </c>
      <c r="J771" s="664">
        <f>SUM(G771:I771)</f>
        <v>0</v>
      </c>
      <c r="K771" s="664">
        <f>F771-J771</f>
        <v>0</v>
      </c>
      <c r="O771" s="753"/>
    </row>
    <row r="772" spans="1:15" ht="13">
      <c r="A772" s="342">
        <v>16</v>
      </c>
      <c r="B772" s="653"/>
      <c r="C772" s="653"/>
      <c r="D772" s="707"/>
      <c r="E772" s="707"/>
      <c r="G772" s="541"/>
      <c r="H772" s="531"/>
      <c r="I772" s="532"/>
      <c r="J772" s="526"/>
      <c r="K772" s="526"/>
      <c r="O772" s="753"/>
    </row>
    <row r="773" spans="1:15" ht="13">
      <c r="A773" s="342">
        <v>17</v>
      </c>
      <c r="B773" s="705" t="s">
        <v>93</v>
      </c>
      <c r="C773" s="610"/>
      <c r="D773" s="707"/>
      <c r="E773" s="707"/>
      <c r="G773" s="541"/>
      <c r="H773" s="531"/>
      <c r="I773" s="532"/>
      <c r="J773" s="526"/>
      <c r="K773" s="526"/>
      <c r="O773" s="753"/>
    </row>
    <row r="774" spans="1:15" ht="13">
      <c r="A774" s="342">
        <v>18</v>
      </c>
      <c r="B774" s="653"/>
      <c r="C774" s="654" t="s">
        <v>1017</v>
      </c>
      <c r="D774" s="707"/>
      <c r="E774" s="707"/>
      <c r="F774" s="345">
        <f>'FR-16(7)(v)-1 Functional'!$G$73</f>
        <v>0</v>
      </c>
      <c r="G774" s="542">
        <f>G73</f>
        <v>0</v>
      </c>
      <c r="H774" s="533">
        <f>H73</f>
        <v>0</v>
      </c>
      <c r="I774" s="534">
        <f>I73</f>
        <v>0</v>
      </c>
      <c r="J774" s="664">
        <f>SUM(G774:I774)</f>
        <v>0</v>
      </c>
      <c r="K774" s="664">
        <f>F774-J774</f>
        <v>0</v>
      </c>
      <c r="O774" s="753"/>
    </row>
    <row r="775" spans="1:15" ht="13">
      <c r="A775" s="342">
        <v>19</v>
      </c>
      <c r="B775" s="653"/>
      <c r="C775" s="654" t="s">
        <v>1018</v>
      </c>
      <c r="D775" s="707"/>
      <c r="E775" s="707"/>
      <c r="F775" s="345">
        <f>'FR-16(7)(v)-1 Functional'!$G$75</f>
        <v>0</v>
      </c>
      <c r="G775" s="542">
        <f>G75</f>
        <v>0</v>
      </c>
      <c r="H775" s="533">
        <f>H75</f>
        <v>0</v>
      </c>
      <c r="I775" s="534">
        <f>I75</f>
        <v>0</v>
      </c>
      <c r="J775" s="664">
        <f>SUM(G775:I775)</f>
        <v>0</v>
      </c>
      <c r="K775" s="664">
        <f>F775-J775</f>
        <v>0</v>
      </c>
      <c r="O775" s="753"/>
    </row>
    <row r="776" spans="1:15" ht="13">
      <c r="A776" s="342">
        <v>20</v>
      </c>
      <c r="B776" s="653"/>
      <c r="C776" s="654" t="s">
        <v>1019</v>
      </c>
      <c r="D776" s="707"/>
      <c r="E776" s="707"/>
      <c r="F776" s="345">
        <f>-'FR-16(7)(v)-1 Functional'!$G$127</f>
        <v>0</v>
      </c>
      <c r="G776" s="542">
        <f>-G127</f>
        <v>0</v>
      </c>
      <c r="H776" s="533">
        <f>-H127</f>
        <v>0</v>
      </c>
      <c r="I776" s="534">
        <f>-I127</f>
        <v>0</v>
      </c>
      <c r="J776" s="664">
        <f>SUM(G776:I776)</f>
        <v>0</v>
      </c>
      <c r="K776" s="664">
        <f>F776-J776</f>
        <v>0</v>
      </c>
      <c r="O776" s="753"/>
    </row>
    <row r="777" spans="1:15" ht="13">
      <c r="A777" s="342">
        <v>21</v>
      </c>
      <c r="B777" s="653"/>
      <c r="C777" s="654" t="s">
        <v>1020</v>
      </c>
      <c r="D777" s="707"/>
      <c r="E777" s="707"/>
      <c r="F777" s="496">
        <f>-'FR-16(7)(v)-1 Functional'!$G$129</f>
        <v>0</v>
      </c>
      <c r="G777" s="544">
        <f>-G129</f>
        <v>0</v>
      </c>
      <c r="H777" s="537">
        <f>-H129</f>
        <v>0</v>
      </c>
      <c r="I777" s="538">
        <f>-I129</f>
        <v>0</v>
      </c>
      <c r="J777" s="620">
        <f>SUM(G777:I777)</f>
        <v>0</v>
      </c>
      <c r="K777" s="620">
        <f>F777-J777</f>
        <v>0</v>
      </c>
      <c r="O777" s="753"/>
    </row>
    <row r="778" spans="1:15" ht="13">
      <c r="A778" s="342">
        <v>22</v>
      </c>
      <c r="B778" s="653"/>
      <c r="C778" s="704" t="s">
        <v>1024</v>
      </c>
      <c r="D778" s="707"/>
      <c r="E778" s="707"/>
      <c r="F778" s="345">
        <f>SUM(F774:F777)</f>
        <v>0</v>
      </c>
      <c r="G778" s="542">
        <f>SUM(G774:G777)</f>
        <v>0</v>
      </c>
      <c r="H778" s="533">
        <f>SUM(H774:H777)</f>
        <v>0</v>
      </c>
      <c r="I778" s="534">
        <f>SUM(I774:I777)</f>
        <v>0</v>
      </c>
      <c r="J778" s="664">
        <f>SUM(G778:I778)</f>
        <v>0</v>
      </c>
      <c r="K778" s="664">
        <f>F778-J778</f>
        <v>0</v>
      </c>
      <c r="O778" s="753"/>
    </row>
    <row r="779" spans="1:15" ht="13">
      <c r="A779" s="342">
        <v>23</v>
      </c>
      <c r="E779" s="331"/>
      <c r="G779" s="541"/>
      <c r="H779" s="531"/>
      <c r="I779" s="532"/>
      <c r="O779" s="752"/>
    </row>
    <row r="780" spans="1:15" ht="13">
      <c r="A780" s="342">
        <v>24</v>
      </c>
      <c r="B780" s="625" t="s">
        <v>94</v>
      </c>
      <c r="C780" s="195"/>
      <c r="D780" s="712"/>
      <c r="E780" s="712"/>
      <c r="F780" s="626"/>
      <c r="G780" s="793"/>
      <c r="H780" s="794"/>
      <c r="I780" s="795"/>
      <c r="O780" s="747"/>
    </row>
    <row r="781" spans="1:15" ht="13">
      <c r="A781" s="342">
        <v>25</v>
      </c>
      <c r="B781" s="591" t="s">
        <v>95</v>
      </c>
      <c r="C781" s="628"/>
      <c r="D781" s="713"/>
      <c r="E781" s="713"/>
      <c r="F781" s="504"/>
      <c r="G781" s="566"/>
      <c r="H781" s="567"/>
      <c r="I781" s="568"/>
      <c r="O781" s="747"/>
    </row>
    <row r="782" spans="1:15" ht="13">
      <c r="A782" s="342">
        <v>26</v>
      </c>
      <c r="B782" s="195"/>
      <c r="C782" s="581" t="s">
        <v>230</v>
      </c>
      <c r="D782" s="719" t="s">
        <v>1003</v>
      </c>
      <c r="E782" s="708" t="str">
        <f>'FR-16(7)(v)-1 Functional'!$E$782</f>
        <v>P129</v>
      </c>
      <c r="F782" s="642">
        <v>1</v>
      </c>
      <c r="G782" s="560">
        <f>ROUND(IF($F$59=0,0,$G$59/$F$59),5)</f>
        <v>0</v>
      </c>
      <c r="H782" s="561">
        <f>ROUND(IF($F$59=0,0,$H$59/$F$59),5)</f>
        <v>1</v>
      </c>
      <c r="I782" s="562">
        <f>ROUND(IF($F$59=0,0,$I$59/$F$59),5)</f>
        <v>0</v>
      </c>
      <c r="J782" s="731">
        <f t="shared" ref="J782:J789" si="169">SUM(G782:I782)</f>
        <v>1</v>
      </c>
      <c r="K782" s="731">
        <f t="shared" ref="K782:K789" si="170">F782-J782</f>
        <v>0</v>
      </c>
      <c r="O782" s="749">
        <f t="shared" ref="O782:O789" si="171">SUM(G782:I782)</f>
        <v>1</v>
      </c>
    </row>
    <row r="783" spans="1:15" ht="13">
      <c r="A783" s="342">
        <v>27</v>
      </c>
      <c r="B783" s="195"/>
      <c r="C783" s="581" t="s">
        <v>231</v>
      </c>
      <c r="D783" s="719" t="s">
        <v>1003</v>
      </c>
      <c r="E783" s="708" t="str">
        <f>'FR-16(7)(v)-1 Functional'!$E$783</f>
        <v>D149</v>
      </c>
      <c r="F783" s="642">
        <v>1</v>
      </c>
      <c r="G783" s="560">
        <f>ROUND(IF($F$78=0,0,G78/$F$78),5)</f>
        <v>0</v>
      </c>
      <c r="H783" s="561">
        <f>ROUND(IF($F$78=0,0,H78/$F$78),5)</f>
        <v>0</v>
      </c>
      <c r="I783" s="562">
        <f t="shared" ref="I783:I789" si="172">1-SUM(G783:H783)</f>
        <v>1</v>
      </c>
      <c r="J783" s="731">
        <f t="shared" si="169"/>
        <v>1</v>
      </c>
      <c r="K783" s="731">
        <f t="shared" si="170"/>
        <v>0</v>
      </c>
      <c r="O783" s="749">
        <f t="shared" si="171"/>
        <v>1</v>
      </c>
    </row>
    <row r="784" spans="1:15" ht="13">
      <c r="A784" s="342">
        <v>28</v>
      </c>
      <c r="B784" s="195"/>
      <c r="C784" s="581" t="s">
        <v>232</v>
      </c>
      <c r="D784" s="719" t="s">
        <v>1003</v>
      </c>
      <c r="E784" s="708" t="str">
        <f>'FR-16(7)(v)-1 Functional'!$E$784</f>
        <v>PD29</v>
      </c>
      <c r="F784" s="642">
        <v>1</v>
      </c>
      <c r="G784" s="560">
        <f>ROUND(IF($F$81=0,0,G81/$F$81),5)</f>
        <v>0</v>
      </c>
      <c r="H784" s="561">
        <f>ROUND(IF($F$81=0,0,H81/$F$81),5)</f>
        <v>1</v>
      </c>
      <c r="I784" s="562">
        <f t="shared" si="172"/>
        <v>0</v>
      </c>
      <c r="J784" s="731">
        <f t="shared" si="169"/>
        <v>1</v>
      </c>
      <c r="K784" s="731">
        <f t="shared" si="170"/>
        <v>0</v>
      </c>
      <c r="O784" s="749">
        <f t="shared" si="171"/>
        <v>1</v>
      </c>
    </row>
    <row r="785" spans="1:15" ht="13">
      <c r="A785" s="342">
        <v>29</v>
      </c>
      <c r="B785" s="195"/>
      <c r="C785" s="581" t="s">
        <v>233</v>
      </c>
      <c r="D785" s="719" t="s">
        <v>1003</v>
      </c>
      <c r="E785" s="708" t="str">
        <f>'FR-16(7)(v)-1 Functional'!$E$785</f>
        <v>G129</v>
      </c>
      <c r="F785" s="642">
        <v>1</v>
      </c>
      <c r="G785" s="560">
        <f>ROUND(IF($F$90=0,0,G90/$F$90),5)</f>
        <v>0</v>
      </c>
      <c r="H785" s="561">
        <f>ROUND(IF($F$90=0,0,H90/$F$90),5)</f>
        <v>1</v>
      </c>
      <c r="I785" s="562">
        <f t="shared" si="172"/>
        <v>0</v>
      </c>
      <c r="J785" s="731">
        <f t="shared" si="169"/>
        <v>1</v>
      </c>
      <c r="K785" s="731">
        <f t="shared" si="170"/>
        <v>0</v>
      </c>
      <c r="O785" s="749">
        <f t="shared" si="171"/>
        <v>1</v>
      </c>
    </row>
    <row r="786" spans="1:15" ht="13">
      <c r="A786" s="342">
        <v>30</v>
      </c>
      <c r="B786" s="195"/>
      <c r="C786" s="581" t="s">
        <v>234</v>
      </c>
      <c r="D786" s="719" t="s">
        <v>1003</v>
      </c>
      <c r="E786" s="708" t="str">
        <f>'FR-16(7)(v)-1 Functional'!$E$786</f>
        <v>C129</v>
      </c>
      <c r="F786" s="642">
        <v>1</v>
      </c>
      <c r="G786" s="560">
        <f>ROUND(IF($F$99=0,0,G99/$F$99),5)</f>
        <v>0</v>
      </c>
      <c r="H786" s="561">
        <f>ROUND(IF($F$99=0,0,H99/$F$99),5)</f>
        <v>1</v>
      </c>
      <c r="I786" s="562">
        <f t="shared" si="172"/>
        <v>0</v>
      </c>
      <c r="J786" s="731">
        <f t="shared" si="169"/>
        <v>1</v>
      </c>
      <c r="K786" s="731">
        <f t="shared" si="170"/>
        <v>0</v>
      </c>
      <c r="O786" s="749">
        <f t="shared" si="171"/>
        <v>1</v>
      </c>
    </row>
    <row r="787" spans="1:15" ht="13">
      <c r="A787" s="342">
        <v>31</v>
      </c>
      <c r="B787" s="195"/>
      <c r="C787" s="581" t="s">
        <v>235</v>
      </c>
      <c r="D787" s="719" t="s">
        <v>1003</v>
      </c>
      <c r="E787" s="708" t="str">
        <f>'FR-16(7)(v)-1 Functional'!$E$787</f>
        <v>GP19</v>
      </c>
      <c r="F787" s="642">
        <v>1</v>
      </c>
      <c r="G787" s="560">
        <f>ROUND(IF($F$101=0,0,G101/$F$101),5)</f>
        <v>0</v>
      </c>
      <c r="H787" s="561">
        <f>ROUND(IF($F$101=0,0,H101/$F$101),5)</f>
        <v>1</v>
      </c>
      <c r="I787" s="562">
        <f t="shared" si="172"/>
        <v>0</v>
      </c>
      <c r="J787" s="731">
        <f t="shared" si="169"/>
        <v>1</v>
      </c>
      <c r="K787" s="731">
        <f t="shared" si="170"/>
        <v>0</v>
      </c>
      <c r="O787" s="749">
        <f t="shared" si="171"/>
        <v>1</v>
      </c>
    </row>
    <row r="788" spans="1:15" ht="13">
      <c r="A788" s="342">
        <v>32</v>
      </c>
      <c r="B788" s="195"/>
      <c r="C788" s="581" t="s">
        <v>236</v>
      </c>
      <c r="D788" s="719" t="s">
        <v>1003</v>
      </c>
      <c r="E788" s="708" t="str">
        <f>'FR-16(7)(v)-1 Functional'!$E$788</f>
        <v>D199</v>
      </c>
      <c r="F788" s="642">
        <v>1</v>
      </c>
      <c r="G788" s="560">
        <f>ROUND(IF($F$131=0,0,G131/$F$131),5)</f>
        <v>0</v>
      </c>
      <c r="H788" s="561">
        <f>ROUND(IF($F$131=0,0,H131/$F$131),5)</f>
        <v>0</v>
      </c>
      <c r="I788" s="562">
        <f t="shared" si="172"/>
        <v>1</v>
      </c>
      <c r="J788" s="731">
        <f t="shared" si="169"/>
        <v>1</v>
      </c>
      <c r="K788" s="731">
        <f t="shared" si="170"/>
        <v>0</v>
      </c>
      <c r="O788" s="749">
        <f t="shared" si="171"/>
        <v>1</v>
      </c>
    </row>
    <row r="789" spans="1:15" ht="13">
      <c r="A789" s="342">
        <v>33</v>
      </c>
      <c r="B789" s="195"/>
      <c r="C789" s="581" t="s">
        <v>237</v>
      </c>
      <c r="D789" s="719" t="s">
        <v>1003</v>
      </c>
      <c r="E789" s="708" t="str">
        <f>'FR-16(7)(v)-1 Functional'!$E$789</f>
        <v>DR19</v>
      </c>
      <c r="F789" s="642">
        <v>1</v>
      </c>
      <c r="G789" s="560">
        <f>ROUND(IF($F$151=0,0,G151/$F$151),5)</f>
        <v>0</v>
      </c>
      <c r="H789" s="561">
        <f>ROUND(IF($F$151=0,0,H151/$F$151),5)</f>
        <v>1</v>
      </c>
      <c r="I789" s="562">
        <f t="shared" si="172"/>
        <v>0</v>
      </c>
      <c r="J789" s="731">
        <f t="shared" si="169"/>
        <v>1</v>
      </c>
      <c r="K789" s="731">
        <f t="shared" si="170"/>
        <v>0</v>
      </c>
      <c r="O789" s="749">
        <f t="shared" si="171"/>
        <v>1</v>
      </c>
    </row>
    <row r="790" spans="1:15" ht="13">
      <c r="A790" s="342">
        <v>34</v>
      </c>
      <c r="B790" s="195"/>
      <c r="C790" s="195"/>
      <c r="D790" s="342"/>
      <c r="E790" s="723"/>
      <c r="F790" s="642"/>
      <c r="G790" s="560"/>
      <c r="H790" s="561"/>
      <c r="I790" s="562"/>
      <c r="J790" s="731"/>
      <c r="K790" s="731"/>
      <c r="O790" s="747"/>
    </row>
    <row r="791" spans="1:15" ht="13">
      <c r="A791" s="342">
        <v>35</v>
      </c>
      <c r="B791" s="581" t="s">
        <v>96</v>
      </c>
      <c r="C791" s="195"/>
      <c r="D791" s="342"/>
      <c r="E791" s="723"/>
      <c r="F791" s="642"/>
      <c r="G791" s="560"/>
      <c r="H791" s="561"/>
      <c r="I791" s="562"/>
      <c r="J791" s="731"/>
      <c r="K791" s="731"/>
      <c r="O791" s="747"/>
    </row>
    <row r="792" spans="1:15" ht="13">
      <c r="A792" s="342">
        <v>36</v>
      </c>
      <c r="B792" s="195"/>
      <c r="C792" s="581" t="s">
        <v>238</v>
      </c>
      <c r="D792" s="719" t="s">
        <v>1003</v>
      </c>
      <c r="E792" s="708" t="str">
        <f>'FR-16(7)(v)-1 Functional'!$E$792</f>
        <v>P229</v>
      </c>
      <c r="F792" s="642">
        <v>1</v>
      </c>
      <c r="G792" s="560">
        <f>ROUND(IF($F$166=0,0,G166/$F$166),5)</f>
        <v>0</v>
      </c>
      <c r="H792" s="561">
        <f>ROUND(IF($F$166=0,0,H166/$F$166),5)</f>
        <v>1</v>
      </c>
      <c r="I792" s="562">
        <f>ROUND(IF($F$166=0,0,I166/$F$166),5)</f>
        <v>0</v>
      </c>
      <c r="J792" s="731">
        <f>SUM(G792:I792)</f>
        <v>1</v>
      </c>
      <c r="K792" s="731">
        <f>F792-J792</f>
        <v>0</v>
      </c>
      <c r="O792" s="749">
        <f>SUM(G792:I792)</f>
        <v>1</v>
      </c>
    </row>
    <row r="793" spans="1:15" ht="13">
      <c r="A793" s="342">
        <v>37</v>
      </c>
      <c r="B793" s="195"/>
      <c r="C793" s="581" t="s">
        <v>239</v>
      </c>
      <c r="D793" s="719" t="s">
        <v>1003</v>
      </c>
      <c r="E793" s="708" t="str">
        <f>'FR-16(7)(v)-1 Functional'!$E$793</f>
        <v>D249</v>
      </c>
      <c r="F793" s="642">
        <v>1</v>
      </c>
      <c r="G793" s="560">
        <f>ROUND(IF($F$176=0,0,G176/$F$176),5)</f>
        <v>0</v>
      </c>
      <c r="H793" s="561">
        <f>ROUND(IF($F$176=0,0,H176/$F$176),5)</f>
        <v>0</v>
      </c>
      <c r="I793" s="562">
        <f>1-SUM(G793:H793)</f>
        <v>1</v>
      </c>
      <c r="J793" s="731">
        <f>SUM(G793:I793)</f>
        <v>1</v>
      </c>
      <c r="K793" s="731">
        <f>F793-J793</f>
        <v>0</v>
      </c>
      <c r="O793" s="749">
        <f>SUM(G793:I793)</f>
        <v>1</v>
      </c>
    </row>
    <row r="794" spans="1:15" ht="13">
      <c r="A794" s="342">
        <v>38</v>
      </c>
      <c r="B794" s="195"/>
      <c r="C794" s="581" t="s">
        <v>240</v>
      </c>
      <c r="D794" s="719" t="s">
        <v>1003</v>
      </c>
      <c r="E794" s="708" t="str">
        <f>'FR-16(7)(v)-1 Functional'!$E$794</f>
        <v>G229</v>
      </c>
      <c r="F794" s="642">
        <v>1</v>
      </c>
      <c r="G794" s="560">
        <f>ROUND(IF($F$184=0,0,G184/$F$184),5)</f>
        <v>0</v>
      </c>
      <c r="H794" s="561">
        <f>ROUND(IF($F$184=0,0,H184/$F$184),5)</f>
        <v>1</v>
      </c>
      <c r="I794" s="562">
        <f>1-SUM(G794:H794)</f>
        <v>0</v>
      </c>
      <c r="J794" s="731">
        <f>SUM(G794:I794)</f>
        <v>1</v>
      </c>
      <c r="K794" s="731">
        <f>F794-J794</f>
        <v>0</v>
      </c>
      <c r="O794" s="749">
        <f>SUM(G794:I794)</f>
        <v>1</v>
      </c>
    </row>
    <row r="795" spans="1:15" ht="13">
      <c r="A795" s="342">
        <v>39</v>
      </c>
      <c r="B795" s="195"/>
      <c r="C795" s="581" t="s">
        <v>241</v>
      </c>
      <c r="D795" s="719" t="s">
        <v>1003</v>
      </c>
      <c r="E795" s="708" t="str">
        <f>'FR-16(7)(v)-1 Functional'!$E$795</f>
        <v>C229</v>
      </c>
      <c r="F795" s="642">
        <v>1</v>
      </c>
      <c r="G795" s="560">
        <f>ROUND(IF($F$189=0,0,G189/$F$189),5)</f>
        <v>0</v>
      </c>
      <c r="H795" s="561">
        <f>ROUND(IF($F$189=0,0,H189/$F$189),5)</f>
        <v>1</v>
      </c>
      <c r="I795" s="562">
        <f>1-SUM(G795:H795)</f>
        <v>0</v>
      </c>
      <c r="J795" s="731">
        <f>SUM(G795:I795)</f>
        <v>1</v>
      </c>
      <c r="K795" s="731">
        <f>F795-J795</f>
        <v>0</v>
      </c>
      <c r="O795" s="749">
        <f>SUM(G795:I795)</f>
        <v>1</v>
      </c>
    </row>
    <row r="796" spans="1:15" ht="13">
      <c r="A796" s="342">
        <v>40</v>
      </c>
      <c r="B796" s="195"/>
      <c r="C796" s="581" t="s">
        <v>242</v>
      </c>
      <c r="D796" s="719" t="s">
        <v>1003</v>
      </c>
      <c r="E796" s="708" t="str">
        <f>'FR-16(7)(v)-1 Functional'!$E$796</f>
        <v>NP29</v>
      </c>
      <c r="F796" s="642">
        <v>1</v>
      </c>
      <c r="G796" s="560">
        <f>ROUND(IF($F$191=0,0,G191/$F$191),5)</f>
        <v>0</v>
      </c>
      <c r="H796" s="561">
        <f>ROUND(IF($F$191=0,0,H191/$F$191),5)</f>
        <v>1</v>
      </c>
      <c r="I796" s="562">
        <f>1-SUM(G796:H796)</f>
        <v>0</v>
      </c>
      <c r="J796" s="731">
        <f>SUM(G796:I796)</f>
        <v>1</v>
      </c>
      <c r="K796" s="731">
        <f>F796-J796</f>
        <v>0</v>
      </c>
      <c r="O796" s="747"/>
    </row>
    <row r="797" spans="1:15" ht="13">
      <c r="A797" s="342">
        <v>41</v>
      </c>
      <c r="B797" s="195"/>
      <c r="C797" s="581"/>
      <c r="D797" s="708"/>
      <c r="E797" s="728"/>
      <c r="F797" s="348"/>
      <c r="G797" s="560"/>
      <c r="H797" s="561"/>
      <c r="I797" s="562"/>
      <c r="J797" s="731"/>
      <c r="K797" s="731"/>
      <c r="O797" s="747"/>
    </row>
    <row r="798" spans="1:15" ht="13">
      <c r="A798" s="342">
        <v>42</v>
      </c>
      <c r="B798" s="581" t="s">
        <v>32</v>
      </c>
      <c r="C798" s="195"/>
      <c r="D798" s="342"/>
      <c r="E798" s="723"/>
      <c r="F798" s="348"/>
      <c r="G798" s="560"/>
      <c r="H798" s="561"/>
      <c r="I798" s="562"/>
      <c r="J798" s="731"/>
      <c r="K798" s="731"/>
      <c r="O798" s="747"/>
    </row>
    <row r="799" spans="1:15" ht="13">
      <c r="A799" s="342">
        <v>43</v>
      </c>
      <c r="B799" s="195"/>
      <c r="C799" s="581" t="s">
        <v>243</v>
      </c>
      <c r="D799" s="719" t="s">
        <v>1003</v>
      </c>
      <c r="E799" s="708" t="str">
        <f>'FR-16(7)(v)-1 Functional'!$E$799</f>
        <v>W669</v>
      </c>
      <c r="F799" s="642">
        <v>1</v>
      </c>
      <c r="G799" s="560">
        <f>ROUND(IF($F$304=0,0,G304/$F$304),5)</f>
        <v>0</v>
      </c>
      <c r="H799" s="561">
        <f>ROUND(IF($F$304=0,0,H304/$F$304),5)</f>
        <v>1</v>
      </c>
      <c r="I799" s="562">
        <f>ROUND(IF($F$304=0,0,I304/$F$304),5)</f>
        <v>0</v>
      </c>
      <c r="J799" s="731">
        <f>SUM(G799:I799)</f>
        <v>1</v>
      </c>
      <c r="K799" s="731">
        <f>F799-J799</f>
        <v>0</v>
      </c>
      <c r="O799" s="749">
        <f>SUM(G799:I799)</f>
        <v>1</v>
      </c>
    </row>
    <row r="800" spans="1:15" ht="13">
      <c r="A800" s="342">
        <v>44</v>
      </c>
      <c r="B800" s="195"/>
      <c r="C800" s="581" t="s">
        <v>244</v>
      </c>
      <c r="D800" s="719" t="s">
        <v>1003</v>
      </c>
      <c r="E800" s="708" t="str">
        <f>'FR-16(7)(v)-1 Functional'!$E$800</f>
        <v>W689</v>
      </c>
      <c r="F800" s="642">
        <v>1</v>
      </c>
      <c r="G800" s="560">
        <f>ROUND(IF($F$310=0,0,G310/$F$310),5)</f>
        <v>0</v>
      </c>
      <c r="H800" s="561">
        <f>ROUND(IF($F$310=0,0,H310/$F$310),5)</f>
        <v>1</v>
      </c>
      <c r="I800" s="562">
        <f>ROUND(IF($F$310=0,0,I310/$F$310),5)</f>
        <v>0</v>
      </c>
      <c r="J800" s="731">
        <f>SUM(G800:I800)</f>
        <v>1</v>
      </c>
      <c r="K800" s="731">
        <f>F800-J800</f>
        <v>0</v>
      </c>
      <c r="O800" s="749">
        <f>SUM(G800:I800)</f>
        <v>1</v>
      </c>
    </row>
    <row r="801" spans="1:15" ht="13">
      <c r="A801" s="342">
        <v>45</v>
      </c>
      <c r="B801" s="195"/>
      <c r="C801" s="581" t="s">
        <v>245</v>
      </c>
      <c r="D801" s="719" t="s">
        <v>1003</v>
      </c>
      <c r="E801" s="708" t="str">
        <f>'FR-16(7)(v)-1 Functional'!$E$801</f>
        <v>W729</v>
      </c>
      <c r="F801" s="642">
        <v>1</v>
      </c>
      <c r="G801" s="560">
        <f>ROUND(IF($F$313=0,0,G313/$F$313),5)</f>
        <v>0</v>
      </c>
      <c r="H801" s="561">
        <f>ROUND(IF($F$313=0,0,H313/$F$313),5)</f>
        <v>0</v>
      </c>
      <c r="I801" s="562">
        <f>ROUND(IF($F$313=0,0,I313/$F$313),5)</f>
        <v>0</v>
      </c>
      <c r="J801" s="731">
        <f>SUM(G801:I801)</f>
        <v>0</v>
      </c>
      <c r="K801" s="731">
        <f>F801-J801</f>
        <v>1</v>
      </c>
      <c r="O801" s="749">
        <f>SUM(G801:I801)</f>
        <v>0</v>
      </c>
    </row>
    <row r="802" spans="1:15" ht="13">
      <c r="A802" s="342">
        <v>46</v>
      </c>
      <c r="B802" s="195"/>
      <c r="C802" s="581" t="s">
        <v>246</v>
      </c>
      <c r="D802" s="719" t="s">
        <v>1003</v>
      </c>
      <c r="E802" s="708" t="str">
        <f>'FR-16(7)(v)-1 Functional'!$E$802</f>
        <v>W749</v>
      </c>
      <c r="F802" s="642">
        <v>1</v>
      </c>
      <c r="G802" s="560">
        <f>ROUND(IF($F$319=0,0,G319/$F$319),5)</f>
        <v>0</v>
      </c>
      <c r="H802" s="561">
        <f>ROUND(IF($F$319=0,0,H319/$F$319),5)</f>
        <v>1</v>
      </c>
      <c r="I802" s="562">
        <f>ROUND(IF($F$319=0,0,I319/$F$319),5)</f>
        <v>0</v>
      </c>
      <c r="J802" s="731">
        <f>SUM(G802:I802)</f>
        <v>1</v>
      </c>
      <c r="K802" s="731">
        <f>F802-J802</f>
        <v>0</v>
      </c>
      <c r="O802" s="749">
        <f>SUM(G802:I802)</f>
        <v>1</v>
      </c>
    </row>
    <row r="803" spans="1:15" ht="13">
      <c r="A803" s="342">
        <v>47</v>
      </c>
      <c r="B803" s="195"/>
      <c r="C803" s="581" t="s">
        <v>247</v>
      </c>
      <c r="D803" s="719" t="s">
        <v>1003</v>
      </c>
      <c r="E803" s="708" t="str">
        <f>'FR-16(7)(v)-1 Functional'!$E$803</f>
        <v>WC79</v>
      </c>
      <c r="F803" s="642">
        <v>1</v>
      </c>
      <c r="G803" s="569">
        <f>ROUND(IF($F$321=0,0,G321/$F$321),5)</f>
        <v>0</v>
      </c>
      <c r="H803" s="570">
        <f>ROUND(IF($F$321=0,0,H321/$F$321),5)</f>
        <v>1</v>
      </c>
      <c r="I803" s="571">
        <f>ROUND(IF($F$321=0,0,I321/$F$321),5)</f>
        <v>0</v>
      </c>
      <c r="J803" s="731">
        <f>SUM(G803:I803)</f>
        <v>1</v>
      </c>
      <c r="K803" s="731">
        <f>F803-J803</f>
        <v>0</v>
      </c>
      <c r="O803" s="749">
        <f>SUM(G803:I803)</f>
        <v>1</v>
      </c>
    </row>
    <row r="804" spans="1:15" ht="13">
      <c r="A804" s="342"/>
      <c r="B804" s="195"/>
      <c r="C804" s="195"/>
      <c r="D804" s="342"/>
      <c r="E804" s="723"/>
      <c r="F804" s="642"/>
      <c r="G804" s="731"/>
      <c r="H804" s="731"/>
      <c r="I804" s="731"/>
      <c r="J804" s="731"/>
      <c r="K804" s="731"/>
      <c r="O804" s="747"/>
    </row>
    <row r="805" spans="1:15" ht="13">
      <c r="A805" s="341" t="str">
        <f>co_name</f>
        <v>DUKE ENERGY KENTUCKY, INC.</v>
      </c>
      <c r="C805" s="195"/>
      <c r="D805" s="342"/>
      <c r="E805" s="195"/>
      <c r="F805" s="195"/>
      <c r="G805" s="195"/>
      <c r="H805" s="195"/>
      <c r="I805" s="195"/>
      <c r="J805" s="195" t="str">
        <f>$J$1</f>
        <v>FR-16(7)(v)-2</v>
      </c>
      <c r="K805" s="195"/>
      <c r="O805" s="748"/>
    </row>
    <row r="806" spans="1:15" ht="13">
      <c r="A806" s="341" t="str">
        <f>$A$2</f>
        <v>PRODUCTION CLASSIFIED - GAS COST OF SERVICE</v>
      </c>
      <c r="C806" s="195"/>
      <c r="D806" s="342"/>
      <c r="E806" s="195"/>
      <c r="F806" s="195"/>
      <c r="G806" s="195"/>
      <c r="H806" s="195"/>
      <c r="I806" s="195"/>
      <c r="J806" s="195" t="str">
        <f>$J$2</f>
        <v>WITNESS RESPONSIBLE:</v>
      </c>
      <c r="K806" s="195"/>
      <c r="O806" s="748"/>
    </row>
    <row r="807" spans="1:15" ht="13">
      <c r="A807" s="341" t="str">
        <f>case_name</f>
        <v>CASE NO: 2021-00190</v>
      </c>
      <c r="C807" s="195"/>
      <c r="D807" s="342"/>
      <c r="E807" s="195"/>
      <c r="F807" s="195"/>
      <c r="G807" s="195"/>
      <c r="H807" s="195"/>
      <c r="I807" s="195"/>
      <c r="J807" s="195" t="str">
        <f>Witness</f>
        <v>JAMES E. ZIOLKOWSKI</v>
      </c>
      <c r="K807" s="195"/>
      <c r="O807" s="748"/>
    </row>
    <row r="808" spans="1:15" ht="13">
      <c r="A808" s="341" t="str">
        <f>data_filing</f>
        <v>DATA: 12 MONTH FORECASTED PERIOD</v>
      </c>
      <c r="C808" s="195"/>
      <c r="D808" s="342"/>
      <c r="E808" s="195"/>
      <c r="F808" s="195"/>
      <c r="G808" s="195"/>
      <c r="H808" s="195"/>
      <c r="I808" s="195"/>
      <c r="J808" s="195" t="str">
        <f>"PAGE "&amp;Pages&amp;" OF "&amp;Pages</f>
        <v>PAGE 18 OF 18</v>
      </c>
      <c r="K808" s="195"/>
      <c r="O808" s="748"/>
    </row>
    <row r="809" spans="1:15" ht="13">
      <c r="A809" s="341" t="str">
        <f>type</f>
        <v xml:space="preserve">TYPE OF FILING: "X" ORIGINAL   UPDATED    REVISED  </v>
      </c>
      <c r="C809" s="195"/>
      <c r="D809" s="342"/>
      <c r="E809" s="195"/>
      <c r="F809" s="195"/>
      <c r="G809" s="195"/>
      <c r="H809" s="195"/>
      <c r="I809" s="195"/>
      <c r="J809" s="195"/>
      <c r="K809" s="195"/>
      <c r="O809" s="748"/>
    </row>
    <row r="810" spans="1:15" ht="13">
      <c r="B810" s="195"/>
      <c r="E810" s="331"/>
      <c r="G810" s="526"/>
      <c r="H810" s="526"/>
      <c r="I810" s="526"/>
      <c r="O810" s="748"/>
    </row>
    <row r="811" spans="1:15" ht="13">
      <c r="B811" s="195"/>
      <c r="E811" s="331"/>
      <c r="G811" s="526"/>
      <c r="H811" s="526"/>
      <c r="I811" s="526"/>
      <c r="O811" s="748"/>
    </row>
    <row r="812" spans="1:15" ht="13">
      <c r="A812" s="342" t="s">
        <v>907</v>
      </c>
      <c r="B812" s="195"/>
      <c r="C812" s="195"/>
      <c r="D812" s="342"/>
      <c r="E812" s="342"/>
      <c r="F812" s="342" t="str">
        <f>$F$8</f>
        <v>TOTAL</v>
      </c>
      <c r="G812" s="539" t="s">
        <v>995</v>
      </c>
      <c r="H812" s="527"/>
      <c r="I812" s="528"/>
      <c r="J812" s="342" t="s">
        <v>229</v>
      </c>
      <c r="K812" s="342" t="s">
        <v>342</v>
      </c>
      <c r="O812" s="747"/>
    </row>
    <row r="813" spans="1:15" ht="13">
      <c r="A813" s="344" t="s">
        <v>908</v>
      </c>
      <c r="B813" s="584" t="s">
        <v>89</v>
      </c>
      <c r="C813" s="343"/>
      <c r="D813" s="585" t="s">
        <v>1001</v>
      </c>
      <c r="E813" s="585" t="s">
        <v>337</v>
      </c>
      <c r="F813" s="344" t="str">
        <f>$F$9</f>
        <v>PRODUCTION</v>
      </c>
      <c r="G813" s="652" t="s">
        <v>840</v>
      </c>
      <c r="H813" s="649" t="s">
        <v>841</v>
      </c>
      <c r="I813" s="650" t="s">
        <v>842</v>
      </c>
      <c r="J813" s="344" t="s">
        <v>341</v>
      </c>
      <c r="K813" s="344" t="s">
        <v>340</v>
      </c>
      <c r="O813" s="747"/>
    </row>
    <row r="814" spans="1:15" ht="13">
      <c r="C814" s="839" t="s">
        <v>1036</v>
      </c>
      <c r="E814" s="782">
        <v>1</v>
      </c>
      <c r="F814" s="782">
        <v>2</v>
      </c>
      <c r="G814" s="793">
        <f>$G$10</f>
        <v>3</v>
      </c>
      <c r="H814" s="794">
        <f>$H$10</f>
        <v>4</v>
      </c>
      <c r="I814" s="795">
        <f>$I$10</f>
        <v>5</v>
      </c>
      <c r="O814" s="748"/>
    </row>
    <row r="815" spans="1:15" ht="13">
      <c r="A815" s="342">
        <v>1</v>
      </c>
      <c r="B815" s="581" t="s">
        <v>25</v>
      </c>
      <c r="C815" s="195"/>
      <c r="D815" s="342"/>
      <c r="E815" s="723"/>
      <c r="F815" s="642"/>
      <c r="G815" s="560"/>
      <c r="H815" s="561"/>
      <c r="I815" s="562"/>
      <c r="J815" s="731"/>
      <c r="K815" s="731"/>
      <c r="O815" s="747"/>
    </row>
    <row r="816" spans="1:15" ht="13">
      <c r="A816" s="342">
        <v>2</v>
      </c>
      <c r="B816" s="195"/>
      <c r="C816" s="581" t="s">
        <v>248</v>
      </c>
      <c r="D816" s="719" t="s">
        <v>1003</v>
      </c>
      <c r="E816" s="708" t="str">
        <f>'FR-16(7)(v)-1 Functional'!$E$816</f>
        <v>RB29</v>
      </c>
      <c r="F816" s="642">
        <v>1</v>
      </c>
      <c r="G816" s="560">
        <f>ROUND(IF($F$296=0,0,G296/$F$296),5)</f>
        <v>0</v>
      </c>
      <c r="H816" s="561">
        <f>ROUND(IF($F$296=0,0,H296/$F$296),5)</f>
        <v>1</v>
      </c>
      <c r="I816" s="562">
        <f>ROUND(IF($F$296=0,0,I296/$F$296),5)</f>
        <v>0</v>
      </c>
      <c r="J816" s="731">
        <f>SUM(G816:I816)</f>
        <v>1</v>
      </c>
      <c r="K816" s="731">
        <f>F816-J816</f>
        <v>0</v>
      </c>
      <c r="O816" s="749">
        <f>SUM(G816:I816)</f>
        <v>1</v>
      </c>
    </row>
    <row r="817" spans="1:15" ht="13">
      <c r="A817" s="342">
        <v>3</v>
      </c>
      <c r="B817" s="195"/>
      <c r="C817" s="581" t="s">
        <v>249</v>
      </c>
      <c r="D817" s="719" t="s">
        <v>1003</v>
      </c>
      <c r="E817" s="708" t="str">
        <f>'FR-16(7)(v)-1 Functional'!$E$817</f>
        <v>RB99</v>
      </c>
      <c r="F817" s="642">
        <v>1</v>
      </c>
      <c r="G817" s="560">
        <f>ROUND(IF($F$331=0,0,G331/$F$331),5)</f>
        <v>0</v>
      </c>
      <c r="H817" s="561">
        <f>ROUND(IF($F$331=0,0,H331/$F$331),5)</f>
        <v>1</v>
      </c>
      <c r="I817" s="562">
        <f>ROUND(IF($F$331=0,0,I331/$F$331),5)</f>
        <v>0</v>
      </c>
      <c r="J817" s="731">
        <f>SUM(G817:I817)</f>
        <v>1</v>
      </c>
      <c r="K817" s="731">
        <f>F817-J817</f>
        <v>0</v>
      </c>
      <c r="O817" s="749">
        <f>SUM(G817:I817)</f>
        <v>1</v>
      </c>
    </row>
    <row r="818" spans="1:15" ht="13">
      <c r="A818" s="342">
        <v>4</v>
      </c>
      <c r="B818" s="195"/>
      <c r="C818" s="581" t="s">
        <v>383</v>
      </c>
      <c r="D818" s="719" t="s">
        <v>1003</v>
      </c>
      <c r="E818" s="708" t="str">
        <f>'FR-16(7)(v)-1 Functional'!$E$818</f>
        <v>CW29</v>
      </c>
      <c r="F818" s="642">
        <v>0</v>
      </c>
      <c r="G818" s="804">
        <v>0</v>
      </c>
      <c r="H818" s="805">
        <v>0</v>
      </c>
      <c r="I818" s="806">
        <v>0</v>
      </c>
      <c r="J818" s="645">
        <f>SUM(G818:I818)</f>
        <v>0</v>
      </c>
      <c r="K818" s="645">
        <f>F818-J818</f>
        <v>0</v>
      </c>
      <c r="O818" s="749">
        <f>SUM(G818:I818)</f>
        <v>0</v>
      </c>
    </row>
    <row r="819" spans="1:15" ht="13">
      <c r="A819" s="342">
        <v>5</v>
      </c>
      <c r="B819" s="629"/>
      <c r="C819" s="366"/>
      <c r="D819" s="579"/>
      <c r="E819" s="743"/>
      <c r="F819" s="644"/>
      <c r="G819" s="807"/>
      <c r="H819" s="808"/>
      <c r="I819" s="809"/>
      <c r="J819" s="631"/>
      <c r="K819" s="631"/>
      <c r="O819" s="747"/>
    </row>
    <row r="820" spans="1:15" ht="13">
      <c r="A820" s="342">
        <v>6</v>
      </c>
      <c r="B820" s="591" t="s">
        <v>1011</v>
      </c>
      <c r="C820" s="628"/>
      <c r="D820" s="713"/>
      <c r="E820" s="739"/>
      <c r="F820" s="645"/>
      <c r="G820" s="810"/>
      <c r="H820" s="811"/>
      <c r="I820" s="812"/>
      <c r="J820" s="635"/>
      <c r="K820" s="635"/>
      <c r="O820" s="747"/>
    </row>
    <row r="821" spans="1:15" ht="13">
      <c r="A821" s="342">
        <v>7</v>
      </c>
      <c r="B821" s="195"/>
      <c r="C821" s="581" t="s">
        <v>1006</v>
      </c>
      <c r="D821" s="719" t="s">
        <v>1003</v>
      </c>
      <c r="E821" s="708" t="str">
        <f>'FR-16(7)(v)-1 Functional'!$E$821</f>
        <v>P349</v>
      </c>
      <c r="F821" s="642">
        <v>1</v>
      </c>
      <c r="G821" s="560">
        <f>ROUND(IF($F$350=0,0,G350/$F$350),5)</f>
        <v>0</v>
      </c>
      <c r="H821" s="561">
        <f>ROUND(IF($F$350=0,0,H350/$F$350),5)</f>
        <v>1</v>
      </c>
      <c r="I821" s="562">
        <f>ROUND(IF($F$350=0,0,I350/$F$350),5)</f>
        <v>0</v>
      </c>
      <c r="J821" s="731">
        <f t="shared" ref="J821:J828" si="173">SUM(G821:I821)</f>
        <v>1</v>
      </c>
      <c r="K821" s="731">
        <f t="shared" ref="K821:K828" si="174">F821-J821</f>
        <v>0</v>
      </c>
      <c r="O821" s="749">
        <f>SUM(G821:I821)</f>
        <v>1</v>
      </c>
    </row>
    <row r="822" spans="1:15" ht="13">
      <c r="A822" s="342">
        <v>8</v>
      </c>
      <c r="B822" s="195"/>
      <c r="C822" s="581" t="s">
        <v>264</v>
      </c>
      <c r="D822" s="719" t="s">
        <v>1003</v>
      </c>
      <c r="E822" s="708" t="str">
        <f>'FR-16(7)(v)-1 Functional'!$E$822</f>
        <v>P459</v>
      </c>
      <c r="F822" s="642">
        <v>1</v>
      </c>
      <c r="G822" s="560">
        <f>ROUND(IF($F$360=0,0,G360/$F$360),5)</f>
        <v>0</v>
      </c>
      <c r="H822" s="561">
        <f>ROUND(IF($F$360=0,0,H360/$F$360),5)</f>
        <v>1</v>
      </c>
      <c r="I822" s="562">
        <f>ROUND(IF($F$360=0,0,I360/$F$360),5)</f>
        <v>0</v>
      </c>
      <c r="J822" s="731">
        <f t="shared" si="173"/>
        <v>1</v>
      </c>
      <c r="K822" s="731">
        <f t="shared" si="174"/>
        <v>0</v>
      </c>
      <c r="O822" s="749">
        <f>SUM(G822:I822)</f>
        <v>1</v>
      </c>
    </row>
    <row r="823" spans="1:15" ht="13">
      <c r="A823" s="342">
        <v>9</v>
      </c>
      <c r="B823" s="195"/>
      <c r="C823" s="581" t="s">
        <v>250</v>
      </c>
      <c r="D823" s="719" t="s">
        <v>1003</v>
      </c>
      <c r="E823" s="708" t="str">
        <f>'FR-16(7)(v)-1 Functional'!$E$823</f>
        <v>D349</v>
      </c>
      <c r="F823" s="642">
        <v>1</v>
      </c>
      <c r="G823" s="560">
        <f>ROUND(IF($F$378=0,0,G378/$F$378),5)</f>
        <v>0</v>
      </c>
      <c r="H823" s="561">
        <f>ROUND(IF($F$378=0,0,H378/$F$378),5)</f>
        <v>0</v>
      </c>
      <c r="I823" s="562">
        <f>1-SUM(G823:H823)</f>
        <v>1</v>
      </c>
      <c r="J823" s="731">
        <f t="shared" si="173"/>
        <v>1</v>
      </c>
      <c r="K823" s="731">
        <f t="shared" si="174"/>
        <v>0</v>
      </c>
      <c r="O823" s="749">
        <f>SUM(G823:I823)</f>
        <v>1</v>
      </c>
    </row>
    <row r="824" spans="1:15" ht="13">
      <c r="A824" s="342">
        <v>10</v>
      </c>
      <c r="B824" s="195"/>
      <c r="C824" s="581" t="s">
        <v>251</v>
      </c>
      <c r="D824" s="719" t="s">
        <v>1003</v>
      </c>
      <c r="E824" s="708" t="str">
        <f>'FR-16(7)(v)-1 Functional'!$E$824</f>
        <v>CA19</v>
      </c>
      <c r="F824" s="642">
        <v>1</v>
      </c>
      <c r="G824" s="560">
        <f>ROUND(IF($F$389=0,0,G389/$F$389),5)</f>
        <v>0</v>
      </c>
      <c r="H824" s="561">
        <f>ROUND(IF($F$389=0,0,H389/$F$389),5)</f>
        <v>0</v>
      </c>
      <c r="I824" s="562">
        <f>1-SUM(G824:H824)</f>
        <v>1</v>
      </c>
      <c r="J824" s="731">
        <f t="shared" si="173"/>
        <v>1</v>
      </c>
      <c r="K824" s="731">
        <f t="shared" si="174"/>
        <v>0</v>
      </c>
      <c r="O824" s="749">
        <f>SUM(G824:I824)</f>
        <v>1</v>
      </c>
    </row>
    <row r="825" spans="1:15" ht="13">
      <c r="A825" s="342">
        <v>11</v>
      </c>
      <c r="B825" s="195"/>
      <c r="C825" s="581" t="s">
        <v>1009</v>
      </c>
      <c r="D825" s="719" t="s">
        <v>1003</v>
      </c>
      <c r="E825" s="708" t="str">
        <f>'FR-16(7)(v)-1 Functional'!$E$825</f>
        <v>CS19</v>
      </c>
      <c r="F825" s="642">
        <v>1</v>
      </c>
      <c r="G825" s="560">
        <f>ROUND(IF($F$403=0,0,G403/$F$403),5)</f>
        <v>0</v>
      </c>
      <c r="H825" s="561">
        <f>ROUND(IF($F$403=0,0,H403/$F$403),5)</f>
        <v>0</v>
      </c>
      <c r="I825" s="562">
        <f>1-SUM(G825:H825)</f>
        <v>1</v>
      </c>
      <c r="J825" s="731">
        <f t="shared" si="173"/>
        <v>1</v>
      </c>
      <c r="K825" s="731">
        <f t="shared" si="174"/>
        <v>0</v>
      </c>
      <c r="O825" s="749"/>
    </row>
    <row r="826" spans="1:15" ht="13">
      <c r="A826" s="342">
        <v>12</v>
      </c>
      <c r="B826" s="195"/>
      <c r="C826" s="581" t="s">
        <v>252</v>
      </c>
      <c r="D826" s="719" t="s">
        <v>1003</v>
      </c>
      <c r="E826" s="708" t="str">
        <f>'FR-16(7)(v)-1 Functional'!$E$826</f>
        <v>SE19</v>
      </c>
      <c r="F826" s="642">
        <v>1</v>
      </c>
      <c r="G826" s="560">
        <f>ROUND(IF($F$407=0,0,G407/$F$407),5)</f>
        <v>0</v>
      </c>
      <c r="H826" s="561">
        <f>ROUND(IF($F$407=0,0,H407/$F$407),5)</f>
        <v>0</v>
      </c>
      <c r="I826" s="562">
        <f>ROUND(IF($F$407=0,0,I407/$F$407),5)</f>
        <v>0</v>
      </c>
      <c r="J826" s="731">
        <f t="shared" si="173"/>
        <v>0</v>
      </c>
      <c r="K826" s="731">
        <f t="shared" si="174"/>
        <v>1</v>
      </c>
      <c r="O826" s="749">
        <f>SUM(G826:I826)</f>
        <v>0</v>
      </c>
    </row>
    <row r="827" spans="1:15" ht="13">
      <c r="A827" s="342">
        <v>13</v>
      </c>
      <c r="B827" s="195"/>
      <c r="C827" s="581" t="s">
        <v>253</v>
      </c>
      <c r="D827" s="719" t="s">
        <v>1003</v>
      </c>
      <c r="E827" s="708" t="str">
        <f>'FR-16(7)(v)-1 Functional'!$E$827</f>
        <v>AG39</v>
      </c>
      <c r="F827" s="642">
        <v>1</v>
      </c>
      <c r="G827" s="560">
        <f>ROUND(IF($F$416=0,0,G416/$F$416),5)</f>
        <v>0</v>
      </c>
      <c r="H827" s="561">
        <f>ROUND(IF($F$416=0,0,H416/$F$416),5)</f>
        <v>1</v>
      </c>
      <c r="I827" s="562">
        <f>1-SUM(G827:H827)</f>
        <v>0</v>
      </c>
      <c r="J827" s="731">
        <f t="shared" si="173"/>
        <v>1</v>
      </c>
      <c r="K827" s="731">
        <f t="shared" si="174"/>
        <v>0</v>
      </c>
      <c r="O827" s="749">
        <f>SUM(G827:I827)</f>
        <v>1</v>
      </c>
    </row>
    <row r="828" spans="1:15" ht="13">
      <c r="A828" s="342">
        <v>14</v>
      </c>
      <c r="B828" s="195"/>
      <c r="C828" s="581" t="s">
        <v>254</v>
      </c>
      <c r="D828" s="719" t="s">
        <v>1003</v>
      </c>
      <c r="E828" s="708" t="str">
        <f>'FR-16(7)(v)-1 Functional'!$E$828</f>
        <v>OM39</v>
      </c>
      <c r="F828" s="642">
        <v>1</v>
      </c>
      <c r="G828" s="560">
        <f>ROUND(IF($F$433=0,0,G433/$F$433),5)</f>
        <v>0</v>
      </c>
      <c r="H828" s="561">
        <f>ROUND(IF($F$433=0,0,H433/$F$433),5)</f>
        <v>1</v>
      </c>
      <c r="I828" s="562">
        <f>1-SUM(G828:H828)</f>
        <v>0</v>
      </c>
      <c r="J828" s="731">
        <f t="shared" si="173"/>
        <v>1</v>
      </c>
      <c r="K828" s="731">
        <f t="shared" si="174"/>
        <v>0</v>
      </c>
      <c r="O828" s="749">
        <f>SUM(G828:I828)</f>
        <v>1</v>
      </c>
    </row>
    <row r="829" spans="1:15" ht="13">
      <c r="A829" s="342">
        <v>15</v>
      </c>
      <c r="B829" s="195"/>
      <c r="C829" s="195"/>
      <c r="D829" s="342"/>
      <c r="E829" s="723"/>
      <c r="F829" s="642"/>
      <c r="G829" s="560"/>
      <c r="H829" s="561"/>
      <c r="I829" s="562"/>
      <c r="J829" s="731"/>
      <c r="K829" s="731"/>
      <c r="O829" s="747"/>
    </row>
    <row r="830" spans="1:15" ht="13">
      <c r="A830" s="342">
        <v>16</v>
      </c>
      <c r="B830" s="581" t="s">
        <v>97</v>
      </c>
      <c r="C830" s="195"/>
      <c r="D830" s="342"/>
      <c r="E830" s="723"/>
      <c r="F830" s="642"/>
      <c r="G830" s="560"/>
      <c r="H830" s="561"/>
      <c r="I830" s="562"/>
      <c r="J830" s="731"/>
      <c r="K830" s="731"/>
      <c r="O830" s="747"/>
    </row>
    <row r="831" spans="1:15" ht="13">
      <c r="A831" s="342">
        <v>17</v>
      </c>
      <c r="B831" s="195"/>
      <c r="C831" s="581" t="s">
        <v>255</v>
      </c>
      <c r="D831" s="719" t="s">
        <v>1003</v>
      </c>
      <c r="E831" s="708" t="str">
        <f>'FR-16(7)(v)-1 Functional'!$E$831</f>
        <v>P489</v>
      </c>
      <c r="F831" s="642">
        <v>1</v>
      </c>
      <c r="G831" s="560">
        <f>ROUND(IF($F$447=0,0,G447/$F$447),5)</f>
        <v>0</v>
      </c>
      <c r="H831" s="561">
        <f>ROUND(IF($F$447=0,0,H447/$F$447),5)</f>
        <v>1</v>
      </c>
      <c r="I831" s="562">
        <f>ROUND(IF($F$447=0,0,I447/$F$447),5)</f>
        <v>0</v>
      </c>
      <c r="J831" s="731">
        <f>SUM(G831:I831)</f>
        <v>1</v>
      </c>
      <c r="K831" s="731">
        <f>F831-J831</f>
        <v>0</v>
      </c>
      <c r="O831" s="749">
        <f>SUM(G831:I831)</f>
        <v>1</v>
      </c>
    </row>
    <row r="832" spans="1:15" ht="13">
      <c r="A832" s="342">
        <v>18</v>
      </c>
      <c r="B832" s="195"/>
      <c r="C832" s="581" t="s">
        <v>256</v>
      </c>
      <c r="D832" s="719" t="s">
        <v>1003</v>
      </c>
      <c r="E832" s="708" t="str">
        <f>'FR-16(7)(v)-1 Functional'!$E$832</f>
        <v>D489</v>
      </c>
      <c r="F832" s="642">
        <v>1</v>
      </c>
      <c r="G832" s="560">
        <f>ROUND(IF($F$454=0,0,G454/$F$454),5)</f>
        <v>0</v>
      </c>
      <c r="H832" s="561">
        <f>ROUND(IF($F$454=0,0,H454/$F$454),5)</f>
        <v>0</v>
      </c>
      <c r="I832" s="562">
        <f>1-SUM(G832:H832)</f>
        <v>1</v>
      </c>
      <c r="J832" s="731">
        <f>SUM(G832:I832)</f>
        <v>1</v>
      </c>
      <c r="K832" s="731">
        <f>F832-J832</f>
        <v>0</v>
      </c>
      <c r="O832" s="749">
        <f>SUM(G832:I832)</f>
        <v>1</v>
      </c>
    </row>
    <row r="833" spans="1:15" ht="13">
      <c r="A833" s="342">
        <v>19</v>
      </c>
      <c r="B833" s="195"/>
      <c r="C833" s="581" t="s">
        <v>257</v>
      </c>
      <c r="D833" s="719" t="s">
        <v>1003</v>
      </c>
      <c r="E833" s="708" t="str">
        <f>'FR-16(7)(v)-1 Functional'!$E$833</f>
        <v>G489</v>
      </c>
      <c r="F833" s="642">
        <v>1</v>
      </c>
      <c r="G833" s="560">
        <f>ROUND(IF($F$458=0,0,G458/$F$458),5)</f>
        <v>0</v>
      </c>
      <c r="H833" s="561">
        <f>ROUND(IF($F$458=0,0,H458/$F$458),5)</f>
        <v>1</v>
      </c>
      <c r="I833" s="562">
        <f>1-SUM(G833:H833)</f>
        <v>0</v>
      </c>
      <c r="J833" s="731">
        <f>SUM(G833:I833)</f>
        <v>1</v>
      </c>
      <c r="K833" s="731">
        <f>F833-J833</f>
        <v>0</v>
      </c>
      <c r="O833" s="749">
        <f>SUM(G833:I833)</f>
        <v>1</v>
      </c>
    </row>
    <row r="834" spans="1:15" ht="13">
      <c r="A834" s="342">
        <v>20</v>
      </c>
      <c r="B834" s="195"/>
      <c r="C834" s="581" t="s">
        <v>258</v>
      </c>
      <c r="D834" s="719" t="s">
        <v>1003</v>
      </c>
      <c r="E834" s="708" t="str">
        <f>'FR-16(7)(v)-1 Functional'!$E$834</f>
        <v>C489</v>
      </c>
      <c r="F834" s="642">
        <v>1</v>
      </c>
      <c r="G834" s="560">
        <f>ROUND(IF($F$462=0,0,G462/$F$462),5)</f>
        <v>6.9999999999999994E-5</v>
      </c>
      <c r="H834" s="561">
        <f>ROUND(IF($F$462=0,0,H462/$F$462),5)</f>
        <v>0.99992999999999999</v>
      </c>
      <c r="I834" s="562">
        <f>1-SUM(G834:H834)</f>
        <v>0</v>
      </c>
      <c r="J834" s="731">
        <f>SUM(G834:I834)</f>
        <v>1</v>
      </c>
      <c r="K834" s="731">
        <f>F834-J834</f>
        <v>0</v>
      </c>
      <c r="O834" s="749">
        <f>SUM(G834:I834)</f>
        <v>1</v>
      </c>
    </row>
    <row r="835" spans="1:15" ht="13">
      <c r="A835" s="342">
        <v>21</v>
      </c>
      <c r="B835" s="195"/>
      <c r="C835" s="581" t="s">
        <v>259</v>
      </c>
      <c r="D835" s="719" t="s">
        <v>1003</v>
      </c>
      <c r="E835" s="708" t="str">
        <f>'FR-16(7)(v)-1 Functional'!$E$835</f>
        <v>DE49</v>
      </c>
      <c r="F835" s="642">
        <v>1</v>
      </c>
      <c r="G835" s="560">
        <f>ROUND(IF($F$465=0,0,G465/$F$465),5)</f>
        <v>0</v>
      </c>
      <c r="H835" s="561">
        <f>ROUND(IF($F$465=0,0,H465/$F$465),5)</f>
        <v>1</v>
      </c>
      <c r="I835" s="562">
        <f>1-SUM(G835:H835)</f>
        <v>0</v>
      </c>
      <c r="J835" s="731">
        <f>SUM(G835:I835)</f>
        <v>1</v>
      </c>
      <c r="K835" s="731">
        <f>F835-J835</f>
        <v>0</v>
      </c>
      <c r="O835" s="749">
        <f>SUM(G835:I835)</f>
        <v>1</v>
      </c>
    </row>
    <row r="836" spans="1:15" ht="13">
      <c r="A836" s="342">
        <v>22</v>
      </c>
      <c r="B836" s="195"/>
      <c r="C836" s="195"/>
      <c r="D836" s="342"/>
      <c r="E836" s="723"/>
      <c r="F836" s="646"/>
      <c r="G836" s="541"/>
      <c r="H836" s="531"/>
      <c r="I836" s="532"/>
      <c r="J836" s="526"/>
      <c r="K836" s="526"/>
      <c r="O836" s="747"/>
    </row>
    <row r="837" spans="1:15" ht="13">
      <c r="A837" s="342">
        <v>23</v>
      </c>
      <c r="B837" s="581" t="s">
        <v>62</v>
      </c>
      <c r="C837" s="195"/>
      <c r="D837" s="342"/>
      <c r="E837" s="723"/>
      <c r="F837" s="487"/>
      <c r="G837" s="542"/>
      <c r="H837" s="533"/>
      <c r="I837" s="534"/>
      <c r="J837" s="664"/>
      <c r="K837" s="664"/>
      <c r="O837" s="747"/>
    </row>
    <row r="838" spans="1:15" ht="13">
      <c r="A838" s="342">
        <v>24</v>
      </c>
      <c r="B838" s="195"/>
      <c r="C838" s="581" t="s">
        <v>260</v>
      </c>
      <c r="D838" s="719" t="s">
        <v>1003</v>
      </c>
      <c r="E838" s="708" t="str">
        <f>'FR-16(7)(v)-1 Functional'!$E$838</f>
        <v>L529</v>
      </c>
      <c r="F838" s="642">
        <v>1</v>
      </c>
      <c r="G838" s="560">
        <f>ROUND(IF($F$481=0,0,$G$481/$F$481),5)</f>
        <v>0</v>
      </c>
      <c r="H838" s="561">
        <f>ROUND(IF($F$481=0,0,$H$481/$F$481),5)</f>
        <v>1</v>
      </c>
      <c r="I838" s="562">
        <f>1-SUM(G838:H838)</f>
        <v>0</v>
      </c>
      <c r="J838" s="731">
        <f>SUM(G838:I838)</f>
        <v>1</v>
      </c>
      <c r="K838" s="731">
        <f>F838-J838</f>
        <v>0</v>
      </c>
      <c r="O838" s="749">
        <f>SUM(G838:I838)</f>
        <v>1</v>
      </c>
    </row>
    <row r="839" spans="1:15" ht="13">
      <c r="A839" s="342">
        <v>25</v>
      </c>
      <c r="B839" s="195"/>
      <c r="C839" s="581" t="s">
        <v>261</v>
      </c>
      <c r="D839" s="719" t="s">
        <v>1003</v>
      </c>
      <c r="E839" s="708" t="str">
        <f>'FR-16(7)(v)-1 Functional'!$E$839</f>
        <v>L589</v>
      </c>
      <c r="F839" s="642">
        <v>1</v>
      </c>
      <c r="G839" s="560">
        <f>ROUND(IF($F$488=0,0,$G$488/$F$488),5)</f>
        <v>0</v>
      </c>
      <c r="H839" s="561">
        <f>ROUND(IF($F$488=0,0,$H$488/$F$488),5)</f>
        <v>1</v>
      </c>
      <c r="I839" s="562">
        <f>1-SUM(G839:H839)</f>
        <v>0</v>
      </c>
      <c r="J839" s="731">
        <f>SUM(G839:I839)</f>
        <v>1</v>
      </c>
      <c r="K839" s="731">
        <f>F839-J839</f>
        <v>0</v>
      </c>
      <c r="O839" s="749">
        <f>SUM(G839:I839)</f>
        <v>1</v>
      </c>
    </row>
    <row r="840" spans="1:15" ht="13">
      <c r="A840" s="342">
        <v>26</v>
      </c>
      <c r="B840" s="195"/>
      <c r="C840" s="581" t="s">
        <v>262</v>
      </c>
      <c r="D840" s="719" t="s">
        <v>1003</v>
      </c>
      <c r="E840" s="708" t="str">
        <f>'FR-16(7)(v)-1 Functional'!$E$840</f>
        <v>L599</v>
      </c>
      <c r="F840" s="642">
        <v>1</v>
      </c>
      <c r="G840" s="560">
        <f>ROUND(IF($F$500=0,0,$G$500/$F$500),5)</f>
        <v>0</v>
      </c>
      <c r="H840" s="561">
        <f>ROUND(IF($F$500=0,0,$H$500/$F$500),5)</f>
        <v>1</v>
      </c>
      <c r="I840" s="562">
        <f>1-SUM(G840:H840)</f>
        <v>0</v>
      </c>
      <c r="J840" s="731">
        <f>SUM(G840:I840)</f>
        <v>1</v>
      </c>
      <c r="K840" s="731">
        <f>F840-J840</f>
        <v>0</v>
      </c>
      <c r="O840" s="749">
        <f>SUM(G840:I840)</f>
        <v>1</v>
      </c>
    </row>
    <row r="841" spans="1:15" ht="13">
      <c r="A841" s="342">
        <v>27</v>
      </c>
      <c r="B841" s="195"/>
      <c r="C841" s="581" t="s">
        <v>263</v>
      </c>
      <c r="D841" s="719" t="s">
        <v>1003</v>
      </c>
      <c r="E841" s="708" t="str">
        <f>'FR-16(7)(v)-1 Functional'!$E$841</f>
        <v>OP69</v>
      </c>
      <c r="F841" s="642">
        <v>1</v>
      </c>
      <c r="G841" s="560">
        <f>ROUND(IF($F$501=0,0,$G$501/$F$501),5)</f>
        <v>0</v>
      </c>
      <c r="H841" s="561">
        <f>ROUND(IF($F$501=0,0,$H$501/$F$501),5)</f>
        <v>1</v>
      </c>
      <c r="I841" s="562">
        <f>1-SUM(G841:H841)</f>
        <v>0</v>
      </c>
      <c r="J841" s="731">
        <f>SUM(G841:I841)</f>
        <v>1</v>
      </c>
      <c r="K841" s="731">
        <f>F841-J841</f>
        <v>0</v>
      </c>
      <c r="O841" s="749">
        <f>SUM(G841:I841)</f>
        <v>1</v>
      </c>
    </row>
    <row r="842" spans="1:15" ht="13">
      <c r="A842" s="342">
        <v>28</v>
      </c>
      <c r="B842" s="195"/>
      <c r="C842" s="195"/>
      <c r="D842" s="342"/>
      <c r="E842" s="723"/>
      <c r="F842" s="642"/>
      <c r="G842" s="560"/>
      <c r="H842" s="561"/>
      <c r="I842" s="562"/>
      <c r="J842" s="731"/>
      <c r="K842" s="731"/>
      <c r="O842" s="747"/>
    </row>
    <row r="843" spans="1:15" ht="13">
      <c r="A843" s="342">
        <v>29</v>
      </c>
      <c r="B843" s="581" t="s">
        <v>1157</v>
      </c>
      <c r="C843" s="195"/>
      <c r="D843" s="342"/>
      <c r="E843" s="723"/>
      <c r="F843" s="642"/>
      <c r="G843" s="560"/>
      <c r="H843" s="561"/>
      <c r="I843" s="562"/>
      <c r="J843" s="731"/>
      <c r="K843" s="731"/>
      <c r="O843" s="747"/>
    </row>
    <row r="844" spans="1:15" ht="13.5" thickBot="1">
      <c r="A844" s="342">
        <v>30</v>
      </c>
      <c r="B844" s="195"/>
      <c r="C844" s="581" t="s">
        <v>1031</v>
      </c>
      <c r="D844" s="719" t="s">
        <v>1003</v>
      </c>
      <c r="E844" s="708" t="str">
        <f>'FR-16(7)(v)-1 Functional'!$E$844</f>
        <v>CS09</v>
      </c>
      <c r="F844" s="642">
        <v>1</v>
      </c>
      <c r="G844" s="569">
        <f>ROUND(IF($F$647=0,0,G647/$F$647),5)</f>
        <v>0</v>
      </c>
      <c r="H844" s="570">
        <f>ROUND(IF($F$647=0,0,H647/$F$647),5)</f>
        <v>1</v>
      </c>
      <c r="I844" s="571">
        <f>1-SUM(G844:H844)</f>
        <v>0</v>
      </c>
      <c r="J844" s="733">
        <f>SUM(G844:I844)</f>
        <v>1</v>
      </c>
      <c r="K844" s="731">
        <f>F844-J844</f>
        <v>0</v>
      </c>
      <c r="O844" s="754">
        <f>SUM(G844:I844)</f>
        <v>1</v>
      </c>
    </row>
    <row r="848" spans="1:15" ht="13">
      <c r="A848" s="342">
        <v>1</v>
      </c>
      <c r="B848" s="611" t="s">
        <v>91</v>
      </c>
      <c r="C848" s="612"/>
      <c r="D848" s="721"/>
      <c r="E848" s="714"/>
      <c r="F848" s="348"/>
      <c r="G848" s="345"/>
      <c r="J848" s="351"/>
      <c r="K848" s="351"/>
    </row>
    <row r="849" spans="1:11" ht="13">
      <c r="A849" s="342">
        <v>2</v>
      </c>
      <c r="B849" s="613"/>
      <c r="C849" s="614" t="s">
        <v>227</v>
      </c>
      <c r="D849" s="722"/>
      <c r="E849" s="708" t="str">
        <f>'FR-16(7)(v)-1 Functional'!$E$849</f>
        <v>K597</v>
      </c>
      <c r="F849" s="471">
        <f>ROUND(0.06889*0,0)</f>
        <v>0</v>
      </c>
      <c r="G849" s="609">
        <f t="shared" ref="G849:G854" si="175">ROUND(F849*VLOOKUP(E849,AllocTable_Classified_Production,$H$10,FALSE),0)</f>
        <v>0</v>
      </c>
      <c r="H849" s="609">
        <f t="shared" ref="H849:H854" si="176">ROUND(F849*VLOOKUP(E849,AllocTable_Classified_Production,$H$10,FALSE),0)</f>
        <v>0</v>
      </c>
      <c r="I849" s="609">
        <f t="shared" ref="I849:I854" si="177">ROUND(F849*VLOOKUP(E849,AllocTable_Classified_Production,$I$10,FALSE),0)</f>
        <v>0</v>
      </c>
      <c r="J849" s="731">
        <f t="shared" ref="J849:J854" si="178">SUM(G849:I849)</f>
        <v>0</v>
      </c>
      <c r="K849" s="731">
        <f t="shared" ref="K849:K854" si="179">F849-J849</f>
        <v>0</v>
      </c>
    </row>
    <row r="850" spans="1:11" ht="13">
      <c r="A850" s="342">
        <v>3</v>
      </c>
      <c r="B850" s="612"/>
      <c r="C850" s="291" t="s">
        <v>228</v>
      </c>
      <c r="D850" s="716"/>
      <c r="E850" s="708" t="str">
        <f>'FR-16(7)(v)-1 Functional'!$E$850</f>
        <v>AG39</v>
      </c>
      <c r="F850" s="488">
        <v>0</v>
      </c>
      <c r="G850" s="609">
        <f t="shared" si="175"/>
        <v>0</v>
      </c>
      <c r="H850" s="609">
        <f t="shared" si="176"/>
        <v>0</v>
      </c>
      <c r="I850" s="609">
        <f t="shared" si="177"/>
        <v>0</v>
      </c>
      <c r="J850" s="731">
        <f t="shared" si="178"/>
        <v>0</v>
      </c>
      <c r="K850" s="731">
        <f t="shared" si="179"/>
        <v>0</v>
      </c>
    </row>
    <row r="851" spans="1:11" ht="13">
      <c r="A851" s="342">
        <v>4</v>
      </c>
      <c r="B851" s="612"/>
      <c r="C851" s="291" t="s">
        <v>427</v>
      </c>
      <c r="D851" s="716"/>
      <c r="E851" s="708" t="str">
        <f>'FR-16(7)(v)-1 Functional'!$E$851</f>
        <v>AG39</v>
      </c>
      <c r="F851" s="488">
        <v>0</v>
      </c>
      <c r="G851" s="609">
        <f t="shared" si="175"/>
        <v>0</v>
      </c>
      <c r="H851" s="609">
        <f t="shared" si="176"/>
        <v>0</v>
      </c>
      <c r="I851" s="609">
        <f t="shared" si="177"/>
        <v>0</v>
      </c>
      <c r="J851" s="731">
        <f t="shared" si="178"/>
        <v>0</v>
      </c>
      <c r="K851" s="731">
        <f t="shared" si="179"/>
        <v>0</v>
      </c>
    </row>
    <row r="852" spans="1:11" ht="13">
      <c r="A852" s="342">
        <v>5</v>
      </c>
      <c r="B852" s="612"/>
      <c r="C852" s="291" t="s">
        <v>422</v>
      </c>
      <c r="D852" s="716" t="s">
        <v>343</v>
      </c>
      <c r="E852" s="708" t="str">
        <f>'FR-16(7)(v)-1 Functional'!$E$852</f>
        <v>K301</v>
      </c>
      <c r="F852" s="488">
        <v>0</v>
      </c>
      <c r="G852" s="609">
        <f t="shared" si="175"/>
        <v>0</v>
      </c>
      <c r="H852" s="609">
        <f t="shared" si="176"/>
        <v>0</v>
      </c>
      <c r="I852" s="609">
        <f t="shared" si="177"/>
        <v>0</v>
      </c>
      <c r="J852" s="731">
        <f t="shared" si="178"/>
        <v>0</v>
      </c>
      <c r="K852" s="731">
        <f t="shared" si="179"/>
        <v>0</v>
      </c>
    </row>
    <row r="853" spans="1:11" ht="13">
      <c r="A853" s="342">
        <v>6</v>
      </c>
      <c r="B853" s="612"/>
      <c r="C853" s="291" t="s">
        <v>408</v>
      </c>
      <c r="D853" s="716"/>
      <c r="E853" s="708" t="str">
        <f>'FR-16(7)(v)-1 Functional'!$E$853</f>
        <v>K415</v>
      </c>
      <c r="F853" s="488">
        <v>0</v>
      </c>
      <c r="G853" s="609">
        <f t="shared" si="175"/>
        <v>0</v>
      </c>
      <c r="H853" s="609">
        <f t="shared" si="176"/>
        <v>0</v>
      </c>
      <c r="I853" s="609">
        <f t="shared" si="177"/>
        <v>0</v>
      </c>
      <c r="J853" s="731">
        <f t="shared" si="178"/>
        <v>0</v>
      </c>
      <c r="K853" s="731">
        <f t="shared" si="179"/>
        <v>0</v>
      </c>
    </row>
    <row r="854" spans="1:11" ht="13">
      <c r="A854" s="342">
        <v>7</v>
      </c>
      <c r="B854" s="612"/>
      <c r="C854" s="291" t="s">
        <v>423</v>
      </c>
      <c r="D854" s="716" t="s">
        <v>343</v>
      </c>
      <c r="E854" s="708" t="str">
        <f>'FR-16(7)(v)-1 Functional'!$E$854</f>
        <v>NP29</v>
      </c>
      <c r="F854" s="488">
        <v>0</v>
      </c>
      <c r="G854" s="609">
        <f t="shared" si="175"/>
        <v>0</v>
      </c>
      <c r="H854" s="609">
        <f t="shared" si="176"/>
        <v>0</v>
      </c>
      <c r="I854" s="609">
        <f t="shared" si="177"/>
        <v>0</v>
      </c>
      <c r="J854" s="731">
        <f t="shared" si="178"/>
        <v>0</v>
      </c>
      <c r="K854" s="731">
        <f t="shared" si="179"/>
        <v>0</v>
      </c>
    </row>
    <row r="855" spans="1:11" ht="13">
      <c r="A855" s="342">
        <v>8</v>
      </c>
      <c r="C855" s="482" t="s">
        <v>229</v>
      </c>
      <c r="D855" s="583" t="s">
        <v>285</v>
      </c>
      <c r="E855" s="331"/>
      <c r="F855" s="346">
        <f t="shared" ref="F855:K855" si="180">SUM(F849:F854)</f>
        <v>0</v>
      </c>
      <c r="G855" s="346">
        <f t="shared" si="180"/>
        <v>0</v>
      </c>
      <c r="H855" s="346">
        <f t="shared" si="180"/>
        <v>0</v>
      </c>
      <c r="I855" s="346">
        <f t="shared" si="180"/>
        <v>0</v>
      </c>
      <c r="J855" s="346">
        <f t="shared" si="180"/>
        <v>0</v>
      </c>
      <c r="K855" s="346">
        <f t="shared" si="180"/>
        <v>0</v>
      </c>
    </row>
    <row r="861" spans="1:11" ht="20">
      <c r="A861" s="1184" t="s">
        <v>1193</v>
      </c>
    </row>
    <row r="863" spans="1:11" ht="13">
      <c r="A863" s="342" t="s">
        <v>907</v>
      </c>
      <c r="B863" s="195"/>
      <c r="C863" s="195"/>
      <c r="D863" s="342"/>
      <c r="E863" s="195"/>
      <c r="F863" s="342" t="str">
        <f>$F$8</f>
        <v>TOTAL</v>
      </c>
      <c r="G863" s="539" t="s">
        <v>995</v>
      </c>
      <c r="H863" s="527"/>
      <c r="I863" s="528"/>
      <c r="J863" s="342" t="s">
        <v>229</v>
      </c>
      <c r="K863" s="342" t="s">
        <v>342</v>
      </c>
    </row>
    <row r="864" spans="1:11" ht="13">
      <c r="A864" s="344" t="s">
        <v>908</v>
      </c>
      <c r="B864" s="343" t="s">
        <v>99</v>
      </c>
      <c r="C864" s="343"/>
      <c r="D864" s="344" t="s">
        <v>337</v>
      </c>
      <c r="E864" s="343"/>
      <c r="F864" s="344" t="str">
        <f>$F$9</f>
        <v>PRODUCTION</v>
      </c>
      <c r="G864" s="540" t="s">
        <v>840</v>
      </c>
      <c r="H864" s="529" t="s">
        <v>841</v>
      </c>
      <c r="I864" s="530" t="s">
        <v>842</v>
      </c>
      <c r="J864" s="344" t="s">
        <v>341</v>
      </c>
      <c r="K864" s="344" t="s">
        <v>340</v>
      </c>
    </row>
    <row r="865" spans="1:11" ht="13">
      <c r="B865" s="195"/>
      <c r="C865" s="572" t="s">
        <v>4</v>
      </c>
      <c r="D865" s="342"/>
      <c r="E865" s="195"/>
      <c r="G865" s="793">
        <f>$G$10</f>
        <v>3</v>
      </c>
      <c r="H865" s="794">
        <f>$H$10</f>
        <v>4</v>
      </c>
      <c r="I865" s="795">
        <f>$I$10</f>
        <v>5</v>
      </c>
    </row>
    <row r="866" spans="1:11" ht="13">
      <c r="A866" s="331">
        <v>1</v>
      </c>
      <c r="B866" s="330" t="s">
        <v>100</v>
      </c>
      <c r="D866" s="342"/>
      <c r="E866" s="195"/>
      <c r="G866" s="541"/>
      <c r="H866" s="531"/>
      <c r="I866" s="532"/>
    </row>
    <row r="867" spans="1:11" ht="13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K867" si="181">F647</f>
        <v>45962157.504000001</v>
      </c>
      <c r="G867" s="542">
        <f t="shared" si="181"/>
        <v>-0.49599999999918509</v>
      </c>
      <c r="H867" s="533">
        <f t="shared" si="181"/>
        <v>45962158</v>
      </c>
      <c r="I867" s="534">
        <f t="shared" si="181"/>
        <v>0</v>
      </c>
      <c r="J867" s="345">
        <f t="shared" si="181"/>
        <v>45962157.504000001</v>
      </c>
      <c r="K867" s="345">
        <f t="shared" si="181"/>
        <v>0</v>
      </c>
    </row>
    <row r="868" spans="1:11" ht="13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40105</v>
      </c>
      <c r="G868" s="542">
        <f>$G$630</f>
        <v>0</v>
      </c>
      <c r="H868" s="533">
        <f>$H$630</f>
        <v>40105</v>
      </c>
      <c r="I868" s="534">
        <f>$I$630</f>
        <v>0</v>
      </c>
      <c r="J868" s="345">
        <f>$J$630</f>
        <v>40105</v>
      </c>
      <c r="K868" s="345">
        <f>$K$630</f>
        <v>0</v>
      </c>
    </row>
    <row r="869" spans="1:11" ht="13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K869" si="182">SUM(F866:F868)</f>
        <v>46002262.504000001</v>
      </c>
      <c r="G869" s="543">
        <f t="shared" si="182"/>
        <v>-0.49599999999918509</v>
      </c>
      <c r="H869" s="535">
        <f t="shared" si="182"/>
        <v>46002263</v>
      </c>
      <c r="I869" s="536">
        <f t="shared" si="182"/>
        <v>0</v>
      </c>
      <c r="J869" s="346">
        <f t="shared" si="182"/>
        <v>46002262.504000001</v>
      </c>
      <c r="K869" s="346">
        <f t="shared" si="182"/>
        <v>0</v>
      </c>
    </row>
    <row r="870" spans="1:11" ht="13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-44388820.504000001</v>
      </c>
      <c r="G870" s="542">
        <f>-$G$501</f>
        <v>0.49599999999918509</v>
      </c>
      <c r="H870" s="533">
        <f>-$H$501</f>
        <v>-44388821</v>
      </c>
      <c r="I870" s="534">
        <f>-$I$501</f>
        <v>0</v>
      </c>
      <c r="J870" s="506">
        <f>-$J$501</f>
        <v>-44388820.504000001</v>
      </c>
      <c r="K870" s="345">
        <f>-$K$501</f>
        <v>0</v>
      </c>
    </row>
    <row r="871" spans="1:11" ht="13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>-ROUND(F694*F867,0)</f>
        <v>0</v>
      </c>
      <c r="G871" s="542">
        <f>-ROUND(G694*G867,0)</f>
        <v>0</v>
      </c>
      <c r="H871" s="533">
        <f>-ROUND(H694*H867,0)</f>
        <v>0</v>
      </c>
      <c r="I871" s="534">
        <f>-ROUND(I694*I867,0)</f>
        <v>0</v>
      </c>
      <c r="J871" s="504">
        <f>SUM(G871:I871)</f>
        <v>0</v>
      </c>
      <c r="K871" s="345">
        <f>-ROUND('FR-16(7)(v)-1 Functional'!K694*K867,0)</f>
        <v>0</v>
      </c>
    </row>
    <row r="872" spans="1:11" ht="13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>SUM(F869:F871)</f>
        <v>1613442</v>
      </c>
      <c r="G872" s="543">
        <f>SUM(G869:G871)</f>
        <v>0</v>
      </c>
      <c r="H872" s="535">
        <f>SUM(H869:H871)</f>
        <v>1613442</v>
      </c>
      <c r="I872" s="536">
        <f>SUM(I869:I871)</f>
        <v>0</v>
      </c>
      <c r="J872" s="346">
        <f>SUM(G872:I872)</f>
        <v>1613442</v>
      </c>
      <c r="K872" s="346">
        <f>SUM(K869:K871)</f>
        <v>0</v>
      </c>
    </row>
    <row r="873" spans="1:11" ht="13">
      <c r="A873" s="331">
        <v>8</v>
      </c>
      <c r="D873" s="342"/>
      <c r="E873" s="195"/>
      <c r="G873" s="541"/>
      <c r="H873" s="531"/>
      <c r="I873" s="532"/>
    </row>
    <row r="874" spans="1:11" ht="13">
      <c r="A874" s="331">
        <v>9</v>
      </c>
      <c r="B874" s="330" t="s">
        <v>101</v>
      </c>
      <c r="D874" s="342"/>
      <c r="E874" s="195"/>
      <c r="G874" s="541"/>
      <c r="H874" s="531"/>
      <c r="I874" s="532"/>
    </row>
    <row r="875" spans="1:11" ht="13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-145085</v>
      </c>
      <c r="G875" s="542">
        <f>-$G$516</f>
        <v>0</v>
      </c>
      <c r="H875" s="533">
        <f>-$H$516</f>
        <v>-145085</v>
      </c>
      <c r="I875" s="534">
        <f>-$I$516</f>
        <v>0</v>
      </c>
      <c r="J875" s="345">
        <f>-$J$516</f>
        <v>-145085</v>
      </c>
      <c r="K875" s="345">
        <f>-$K$516</f>
        <v>0</v>
      </c>
    </row>
    <row r="876" spans="1:11" ht="13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-306563</v>
      </c>
      <c r="G876" s="542">
        <f>-$G$522</f>
        <v>0</v>
      </c>
      <c r="H876" s="533">
        <f>-$H$522</f>
        <v>-306563</v>
      </c>
      <c r="I876" s="534">
        <f>-$I$522</f>
        <v>0</v>
      </c>
      <c r="J876" s="345">
        <f>-$J$522</f>
        <v>-306563</v>
      </c>
      <c r="K876" s="345">
        <f>-$K$522</f>
        <v>0</v>
      </c>
    </row>
    <row r="877" spans="1:11" ht="13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>SUM(F874:F876)+F872</f>
        <v>1161794</v>
      </c>
      <c r="G877" s="543">
        <f>SUM(G874:G876)+G872</f>
        <v>0</v>
      </c>
      <c r="H877" s="535">
        <f>SUM(H874:H876)+H872</f>
        <v>1161794</v>
      </c>
      <c r="I877" s="536">
        <f>SUM(I874:I876)+I872</f>
        <v>0</v>
      </c>
      <c r="J877" s="346">
        <f>SUM(G877:I877)</f>
        <v>1161794</v>
      </c>
      <c r="K877" s="346">
        <f>SUM(K874:K876)+K872</f>
        <v>0</v>
      </c>
    </row>
    <row r="878" spans="1:11" ht="13">
      <c r="A878" s="331">
        <v>13</v>
      </c>
      <c r="D878" s="342"/>
      <c r="E878" s="195"/>
      <c r="G878" s="541"/>
      <c r="H878" s="531"/>
      <c r="I878" s="532"/>
    </row>
    <row r="879" spans="1:11" ht="13">
      <c r="A879" s="331">
        <v>14</v>
      </c>
      <c r="B879" s="330" t="s">
        <v>99</v>
      </c>
      <c r="D879" s="342"/>
      <c r="E879" s="195"/>
      <c r="G879" s="541"/>
      <c r="H879" s="531"/>
      <c r="I879" s="532"/>
    </row>
    <row r="880" spans="1:11" ht="13">
      <c r="A880" s="331">
        <v>15</v>
      </c>
      <c r="B880" s="330" t="s">
        <v>74</v>
      </c>
      <c r="D880" s="342"/>
      <c r="E880" s="195"/>
      <c r="G880" s="541"/>
      <c r="H880" s="531"/>
      <c r="I880" s="532"/>
    </row>
    <row r="881" spans="1:11" ht="13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K881" si="183">F877</f>
        <v>1161794</v>
      </c>
      <c r="G881" s="542">
        <f t="shared" si="183"/>
        <v>0</v>
      </c>
      <c r="H881" s="533">
        <f t="shared" si="183"/>
        <v>1161794</v>
      </c>
      <c r="I881" s="534">
        <f t="shared" si="183"/>
        <v>0</v>
      </c>
      <c r="J881" s="345">
        <f t="shared" si="183"/>
        <v>1161794</v>
      </c>
      <c r="K881" s="345">
        <f t="shared" si="183"/>
        <v>0</v>
      </c>
    </row>
    <row r="882" spans="1:11" ht="13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K882" si="184">SUM(F881:F881)</f>
        <v>1161794</v>
      </c>
      <c r="G882" s="542">
        <f t="shared" si="184"/>
        <v>0</v>
      </c>
      <c r="H882" s="533">
        <f t="shared" si="184"/>
        <v>1161794</v>
      </c>
      <c r="I882" s="534">
        <f t="shared" si="184"/>
        <v>0</v>
      </c>
      <c r="J882" s="345">
        <f t="shared" si="184"/>
        <v>1161794</v>
      </c>
      <c r="K882" s="345">
        <f t="shared" si="184"/>
        <v>0</v>
      </c>
    </row>
    <row r="883" spans="1:11" ht="13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560">
        <f>G692</f>
        <v>0.21</v>
      </c>
      <c r="H883" s="561">
        <f>H692</f>
        <v>0.21</v>
      </c>
      <c r="I883" s="562">
        <f>I692</f>
        <v>0.21</v>
      </c>
      <c r="J883" s="348"/>
      <c r="K883" s="348">
        <f>'FR-16(7)(v)-1 Functional'!K692</f>
        <v>0.21</v>
      </c>
    </row>
    <row r="884" spans="1:11" ht="13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>ROUND(F883*F882,0)</f>
        <v>243977</v>
      </c>
      <c r="G884" s="542">
        <f>ROUND(G883*G882,0)</f>
        <v>0</v>
      </c>
      <c r="H884" s="533">
        <f>ROUND(H883*H882,0)</f>
        <v>243977</v>
      </c>
      <c r="I884" s="534">
        <f>ROUND(I883*I882,0)</f>
        <v>0</v>
      </c>
      <c r="J884" s="345">
        <f>SUM(G884:I884)</f>
        <v>243977</v>
      </c>
      <c r="K884" s="345">
        <f>ROUND(K883*K882,0)</f>
        <v>0</v>
      </c>
    </row>
    <row r="885" spans="1:11" ht="13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811796</v>
      </c>
      <c r="G885" s="542">
        <f>$G$532</f>
        <v>0</v>
      </c>
      <c r="H885" s="533">
        <f>$H$532</f>
        <v>811796</v>
      </c>
      <c r="I885" s="534">
        <f>$I$532</f>
        <v>0</v>
      </c>
      <c r="J885" s="345">
        <f>$J$532</f>
        <v>811796</v>
      </c>
      <c r="K885" s="345">
        <f>$K$532</f>
        <v>0</v>
      </c>
    </row>
    <row r="886" spans="1:11" ht="13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-546</v>
      </c>
      <c r="G886" s="542">
        <f>-$G$536</f>
        <v>0</v>
      </c>
      <c r="H886" s="533">
        <f>-$H$536</f>
        <v>-546</v>
      </c>
      <c r="I886" s="534">
        <f>-$I$536</f>
        <v>0</v>
      </c>
      <c r="J886" s="345">
        <f>-$J$536</f>
        <v>-546</v>
      </c>
      <c r="K886" s="345">
        <f>-$K$536</f>
        <v>0</v>
      </c>
    </row>
    <row r="887" spans="1:11" ht="13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K887" si="185">SUM(F884:F886)</f>
        <v>1055227</v>
      </c>
      <c r="G887" s="543">
        <f t="shared" si="185"/>
        <v>0</v>
      </c>
      <c r="H887" s="535">
        <f t="shared" si="185"/>
        <v>1055227</v>
      </c>
      <c r="I887" s="536">
        <f t="shared" si="185"/>
        <v>0</v>
      </c>
      <c r="J887" s="346">
        <f t="shared" si="185"/>
        <v>1055227</v>
      </c>
      <c r="K887" s="346">
        <f t="shared" si="185"/>
        <v>0</v>
      </c>
    </row>
    <row r="888" spans="1:11" ht="13">
      <c r="A888" s="331">
        <v>23</v>
      </c>
      <c r="D888" s="342"/>
      <c r="E888" s="195"/>
      <c r="G888" s="541"/>
      <c r="H888" s="531"/>
      <c r="I888" s="532"/>
    </row>
    <row r="889" spans="1:11" ht="13">
      <c r="A889" s="331">
        <v>24</v>
      </c>
      <c r="B889" s="330" t="s">
        <v>75</v>
      </c>
      <c r="D889" s="342"/>
      <c r="E889" s="195"/>
      <c r="G889" s="541"/>
      <c r="H889" s="531"/>
      <c r="I889" s="532"/>
    </row>
    <row r="890" spans="1:11" ht="13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K890" si="186">F884</f>
        <v>243977</v>
      </c>
      <c r="G890" s="542">
        <f t="shared" si="186"/>
        <v>0</v>
      </c>
      <c r="H890" s="533">
        <f t="shared" si="186"/>
        <v>243977</v>
      </c>
      <c r="I890" s="534">
        <f t="shared" si="186"/>
        <v>0</v>
      </c>
      <c r="J890" s="345">
        <f t="shared" si="186"/>
        <v>243977</v>
      </c>
      <c r="K890" s="345">
        <f t="shared" si="186"/>
        <v>0</v>
      </c>
    </row>
    <row r="891" spans="1:11" ht="13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544">
        <f>-$G$540</f>
        <v>0</v>
      </c>
      <c r="H891" s="537">
        <f>-$H$540</f>
        <v>0</v>
      </c>
      <c r="I891" s="538">
        <f>-$I$540</f>
        <v>0</v>
      </c>
      <c r="J891" s="345">
        <f>-$J$540</f>
        <v>0</v>
      </c>
      <c r="K891" s="345">
        <f>-$K$540</f>
        <v>0</v>
      </c>
    </row>
    <row r="892" spans="1:11" ht="13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K892" si="187">SUM(F889:F891)</f>
        <v>243977</v>
      </c>
      <c r="G892" s="543">
        <f t="shared" si="187"/>
        <v>0</v>
      </c>
      <c r="H892" s="535">
        <f t="shared" si="187"/>
        <v>243977</v>
      </c>
      <c r="I892" s="536">
        <f t="shared" si="187"/>
        <v>0</v>
      </c>
      <c r="J892" s="346">
        <f t="shared" si="187"/>
        <v>243977</v>
      </c>
      <c r="K892" s="346">
        <f t="shared" si="187"/>
        <v>0</v>
      </c>
    </row>
    <row r="893" spans="1:11" ht="13">
      <c r="A893" s="331">
        <v>28</v>
      </c>
      <c r="D893" s="342"/>
      <c r="E893" s="195"/>
      <c r="G893" s="541"/>
      <c r="H893" s="531"/>
      <c r="I893" s="532"/>
    </row>
    <row r="894" spans="1:11" ht="13">
      <c r="A894" s="331">
        <v>29</v>
      </c>
      <c r="B894" s="330" t="s">
        <v>40</v>
      </c>
      <c r="D894" s="342"/>
      <c r="E894" s="195"/>
      <c r="G894" s="541"/>
      <c r="H894" s="531"/>
      <c r="I894" s="532"/>
    </row>
    <row r="895" spans="1:11" ht="13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K895" si="188">F872</f>
        <v>1613442</v>
      </c>
      <c r="G895" s="542">
        <f t="shared" si="188"/>
        <v>0</v>
      </c>
      <c r="H895" s="533">
        <f t="shared" si="188"/>
        <v>1613442</v>
      </c>
      <c r="I895" s="534">
        <f t="shared" si="188"/>
        <v>0</v>
      </c>
      <c r="J895" s="345">
        <f t="shared" si="188"/>
        <v>1613442</v>
      </c>
      <c r="K895" s="345">
        <f t="shared" si="188"/>
        <v>0</v>
      </c>
    </row>
    <row r="896" spans="1:11" ht="13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K896" si="189">-F887</f>
        <v>-1055227</v>
      </c>
      <c r="G896" s="542">
        <f t="shared" si="189"/>
        <v>0</v>
      </c>
      <c r="H896" s="533">
        <f t="shared" si="189"/>
        <v>-1055227</v>
      </c>
      <c r="I896" s="534">
        <f t="shared" si="189"/>
        <v>0</v>
      </c>
      <c r="J896" s="345">
        <f t="shared" si="189"/>
        <v>-1055227</v>
      </c>
      <c r="K896" s="345">
        <f t="shared" si="189"/>
        <v>0</v>
      </c>
    </row>
    <row r="897" spans="1:11" ht="13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K897" si="190">SUM(F894:F896)</f>
        <v>558215</v>
      </c>
      <c r="G897" s="543">
        <f t="shared" si="190"/>
        <v>0</v>
      </c>
      <c r="H897" s="535">
        <f t="shared" si="190"/>
        <v>558215</v>
      </c>
      <c r="I897" s="536">
        <f t="shared" si="190"/>
        <v>0</v>
      </c>
      <c r="J897" s="346">
        <f t="shared" si="190"/>
        <v>558215</v>
      </c>
      <c r="K897" s="346">
        <f t="shared" si="190"/>
        <v>0</v>
      </c>
    </row>
    <row r="898" spans="1:11" ht="13">
      <c r="A898" s="331">
        <v>33</v>
      </c>
      <c r="D898" s="342"/>
      <c r="E898" s="195"/>
      <c r="G898" s="541"/>
      <c r="H898" s="531"/>
      <c r="I898" s="532"/>
    </row>
    <row r="899" spans="1:11" ht="13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K899" si="191">IF(F331=0,0,ROUND(F897/F331,5))</f>
        <v>7.0749999999999993E-2</v>
      </c>
      <c r="G899" s="569">
        <f t="shared" si="191"/>
        <v>0</v>
      </c>
      <c r="H899" s="570">
        <f t="shared" si="191"/>
        <v>7.0749999999999993E-2</v>
      </c>
      <c r="I899" s="571">
        <f t="shared" si="191"/>
        <v>0</v>
      </c>
      <c r="J899" s="348">
        <f t="shared" si="191"/>
        <v>7.0749999999999993E-2</v>
      </c>
      <c r="K899" s="348">
        <f t="shared" si="191"/>
        <v>0</v>
      </c>
    </row>
  </sheetData>
  <conditionalFormatting sqref="O766:O778 O708:O742 O744:O762 O780:O844">
    <cfRule type="cellIs" dxfId="5" priority="1" operator="notEqual">
      <formula>1</formula>
    </cfRule>
  </conditionalFormatting>
  <pageMargins left="1" right="1" top="1" bottom="1" header="1" footer="0.5"/>
  <pageSetup scale="64" orientation="landscape" blackAndWhite="1" r:id="rId1"/>
  <headerFooter alignWithMargins="0"/>
  <rowBreaks count="16" manualBreakCount="16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  <brk id="694" max="10" man="1"/>
    <brk id="746" max="10" man="1"/>
    <brk id="803" max="10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00B050"/>
    <pageSetUpPr fitToPage="1"/>
  </sheetPr>
  <dimension ref="A1:Q900"/>
  <sheetViews>
    <sheetView zoomScale="80" zoomScaleNormal="80" zoomScaleSheetLayoutView="80" workbookViewId="0">
      <selection activeCell="C2" sqref="C2"/>
    </sheetView>
  </sheetViews>
  <sheetFormatPr defaultColWidth="8.765625" defaultRowHeight="12.5"/>
  <cols>
    <col min="1" max="1" width="6.4609375" style="330" customWidth="1"/>
    <col min="2" max="2" width="3.53515625" style="330" customWidth="1"/>
    <col min="3" max="3" width="39.23046875" style="330" customWidth="1"/>
    <col min="4" max="4" width="7.53515625" style="331" customWidth="1"/>
    <col min="5" max="5" width="7.765625" style="330" customWidth="1"/>
    <col min="6" max="6" width="12.53515625" style="330" customWidth="1"/>
    <col min="7" max="8" width="11.765625" style="330" customWidth="1"/>
    <col min="9" max="9" width="11.765625" style="351" customWidth="1"/>
    <col min="10" max="11" width="11.765625" style="330" customWidth="1"/>
    <col min="12" max="12" width="12.765625" style="330" customWidth="1"/>
    <col min="13" max="16384" width="8.765625" style="330"/>
  </cols>
  <sheetData>
    <row r="1" spans="1:12" ht="13">
      <c r="A1" s="341" t="str">
        <f>co_name</f>
        <v>DUKE ENERGY KENTUCKY, INC.</v>
      </c>
      <c r="C1" s="195"/>
      <c r="D1" s="342"/>
      <c r="E1" s="195"/>
      <c r="G1" s="195"/>
      <c r="H1" s="195"/>
      <c r="I1" s="340"/>
      <c r="K1" s="1187" t="s">
        <v>1452</v>
      </c>
      <c r="L1" s="195"/>
    </row>
    <row r="2" spans="1:12" ht="13">
      <c r="A2" s="577" t="s">
        <v>1199</v>
      </c>
      <c r="C2" s="195"/>
      <c r="D2" s="342"/>
      <c r="E2" s="195"/>
      <c r="F2" s="342"/>
      <c r="G2" s="195"/>
      <c r="H2" s="195"/>
      <c r="I2" s="340"/>
      <c r="K2" s="1187" t="s">
        <v>435</v>
      </c>
      <c r="L2" s="195"/>
    </row>
    <row r="3" spans="1:12" ht="13">
      <c r="A3" s="341" t="str">
        <f>case_name</f>
        <v>CASE NO: 2021-00190</v>
      </c>
      <c r="C3" s="195"/>
      <c r="D3" s="342"/>
      <c r="E3" s="195"/>
      <c r="F3" s="342"/>
      <c r="G3" s="195"/>
      <c r="H3" s="195"/>
      <c r="I3" s="340"/>
      <c r="K3" s="359" t="str">
        <f>Witness</f>
        <v>JAMES E. ZIOLKOWSKI</v>
      </c>
      <c r="L3" s="195"/>
    </row>
    <row r="4" spans="1:12" ht="13">
      <c r="A4" s="341" t="str">
        <f>data_filing</f>
        <v>DATA: 12 MONTH FORECASTED PERIOD</v>
      </c>
      <c r="C4" s="195"/>
      <c r="D4" s="342"/>
      <c r="E4" s="195"/>
      <c r="F4" s="342"/>
      <c r="G4" s="195"/>
      <c r="H4" s="195"/>
      <c r="I4" s="340"/>
      <c r="K4" s="359" t="str">
        <f>"PAGE "&amp;Pages-17&amp;" OF "&amp;Pages</f>
        <v>PAGE 1 OF 18</v>
      </c>
      <c r="L4" s="195"/>
    </row>
    <row r="5" spans="1:12" ht="13">
      <c r="A5" s="341" t="str">
        <f>type</f>
        <v xml:space="preserve">TYPE OF FILING: "X" ORIGINAL   UPDATED    REVISED  </v>
      </c>
      <c r="C5" s="195"/>
      <c r="D5" s="342"/>
      <c r="E5" s="195"/>
      <c r="F5" s="342"/>
      <c r="G5" s="195"/>
      <c r="H5" s="195"/>
      <c r="I5" s="340"/>
      <c r="J5" s="342"/>
      <c r="K5" s="195"/>
      <c r="L5" s="195"/>
    </row>
    <row r="6" spans="1:12" ht="13">
      <c r="A6" s="341"/>
      <c r="C6" s="195"/>
      <c r="D6" s="342"/>
      <c r="E6" s="195"/>
      <c r="F6" s="342"/>
      <c r="G6" s="195"/>
      <c r="H6" s="195"/>
      <c r="I6" s="340"/>
      <c r="J6" s="342"/>
      <c r="K6" s="195"/>
      <c r="L6" s="195"/>
    </row>
    <row r="7" spans="1:12" ht="13">
      <c r="A7" s="341"/>
      <c r="C7" s="195"/>
      <c r="D7" s="342"/>
      <c r="E7" s="195"/>
      <c r="F7" s="342" t="s">
        <v>229</v>
      </c>
      <c r="G7" s="195"/>
      <c r="H7" s="195"/>
      <c r="I7" s="340"/>
      <c r="J7" s="342"/>
      <c r="K7" s="195"/>
      <c r="L7" s="195"/>
    </row>
    <row r="8" spans="1:12" ht="13">
      <c r="A8" s="342" t="s">
        <v>907</v>
      </c>
      <c r="B8" s="195"/>
      <c r="C8" s="195"/>
      <c r="D8" s="342"/>
      <c r="E8" s="195"/>
      <c r="F8" s="342" t="s">
        <v>838</v>
      </c>
      <c r="G8" s="352" t="s">
        <v>766</v>
      </c>
      <c r="H8" s="352" t="s">
        <v>1256</v>
      </c>
      <c r="I8" s="352" t="s">
        <v>974</v>
      </c>
      <c r="J8" s="352" t="s">
        <v>546</v>
      </c>
      <c r="K8" s="352" t="s">
        <v>229</v>
      </c>
      <c r="L8" s="342" t="s">
        <v>342</v>
      </c>
    </row>
    <row r="9" spans="1:12" ht="13">
      <c r="A9" s="344" t="s">
        <v>908</v>
      </c>
      <c r="B9" s="343" t="s">
        <v>102</v>
      </c>
      <c r="C9" s="343"/>
      <c r="D9" s="344" t="s">
        <v>337</v>
      </c>
      <c r="E9" s="343"/>
      <c r="F9" s="344" t="s">
        <v>841</v>
      </c>
      <c r="G9" s="353" t="s">
        <v>338</v>
      </c>
      <c r="H9" s="353" t="s">
        <v>404</v>
      </c>
      <c r="I9" s="353" t="s">
        <v>1257</v>
      </c>
      <c r="J9" s="353" t="s">
        <v>547</v>
      </c>
      <c r="K9" s="353" t="s">
        <v>341</v>
      </c>
      <c r="L9" s="344" t="s">
        <v>340</v>
      </c>
    </row>
    <row r="10" spans="1:12" ht="13">
      <c r="C10" s="572" t="s">
        <v>354</v>
      </c>
      <c r="D10" s="342"/>
      <c r="E10" s="195"/>
      <c r="G10" s="780">
        <v>3</v>
      </c>
      <c r="H10" s="780">
        <v>4</v>
      </c>
      <c r="I10" s="780">
        <v>5</v>
      </c>
      <c r="J10" s="780">
        <v>6</v>
      </c>
      <c r="K10" s="351"/>
    </row>
    <row r="11" spans="1:12" ht="13">
      <c r="A11" s="331">
        <v>1</v>
      </c>
      <c r="B11" s="330" t="s">
        <v>100</v>
      </c>
      <c r="D11" s="342"/>
      <c r="E11" s="195"/>
      <c r="G11" s="351"/>
      <c r="H11" s="351"/>
      <c r="J11" s="351"/>
      <c r="K11" s="351"/>
    </row>
    <row r="12" spans="1:12" ht="13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 t="shared" ref="F12:K12" si="0">F101</f>
        <v>11194210</v>
      </c>
      <c r="G12" s="347">
        <f t="shared" si="0"/>
        <v>6103706</v>
      </c>
      <c r="H12" s="347">
        <f t="shared" si="0"/>
        <v>3632386</v>
      </c>
      <c r="I12" s="347">
        <f t="shared" si="0"/>
        <v>1447585</v>
      </c>
      <c r="J12" s="347">
        <f t="shared" si="0"/>
        <v>10533</v>
      </c>
      <c r="K12" s="347">
        <f t="shared" si="0"/>
        <v>11194210</v>
      </c>
      <c r="L12" s="347">
        <f>F12-K12</f>
        <v>0</v>
      </c>
    </row>
    <row r="13" spans="1:12" ht="13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 t="shared" ref="F13:K13" si="1">-F151</f>
        <v>-6119653</v>
      </c>
      <c r="G13" s="347">
        <f t="shared" si="1"/>
        <v>-3336302</v>
      </c>
      <c r="H13" s="347">
        <f t="shared" si="1"/>
        <v>-1985758</v>
      </c>
      <c r="I13" s="347">
        <f t="shared" si="1"/>
        <v>-791875</v>
      </c>
      <c r="J13" s="347">
        <f t="shared" si="1"/>
        <v>-5718</v>
      </c>
      <c r="K13" s="347">
        <f t="shared" si="1"/>
        <v>-6119653</v>
      </c>
      <c r="L13" s="347">
        <f>F13-K13</f>
        <v>0</v>
      </c>
    </row>
    <row r="14" spans="1:12" ht="13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 t="shared" ref="F14:K14" si="2">F326</f>
        <v>2815257</v>
      </c>
      <c r="G14" s="347">
        <f t="shared" si="2"/>
        <v>1850503</v>
      </c>
      <c r="H14" s="347">
        <f t="shared" si="2"/>
        <v>1081443</v>
      </c>
      <c r="I14" s="347">
        <f t="shared" si="2"/>
        <v>-116470</v>
      </c>
      <c r="J14" s="347">
        <f t="shared" si="2"/>
        <v>-219</v>
      </c>
      <c r="K14" s="347">
        <f t="shared" si="2"/>
        <v>2815257</v>
      </c>
      <c r="L14" s="347">
        <f>F14-K14</f>
        <v>0</v>
      </c>
    </row>
    <row r="15" spans="1:12" ht="13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3">SUM(F12:F14)</f>
        <v>7889814</v>
      </c>
      <c r="G15" s="346">
        <f t="shared" si="3"/>
        <v>4617907</v>
      </c>
      <c r="H15" s="346">
        <f t="shared" si="3"/>
        <v>2728071</v>
      </c>
      <c r="I15" s="346">
        <f t="shared" si="3"/>
        <v>539240</v>
      </c>
      <c r="J15" s="346">
        <f t="shared" si="3"/>
        <v>4596</v>
      </c>
      <c r="K15" s="346">
        <f t="shared" si="3"/>
        <v>7889814</v>
      </c>
      <c r="L15" s="346">
        <f>F15-K15</f>
        <v>0</v>
      </c>
    </row>
    <row r="16" spans="1:12" ht="13">
      <c r="A16" s="331">
        <v>6</v>
      </c>
      <c r="D16" s="342"/>
      <c r="E16" s="195"/>
      <c r="G16" s="351"/>
      <c r="H16" s="351"/>
      <c r="J16" s="351"/>
      <c r="K16" s="351"/>
      <c r="L16" s="351"/>
    </row>
    <row r="17" spans="1:12" ht="13">
      <c r="A17" s="331">
        <v>7</v>
      </c>
      <c r="B17" s="330" t="s">
        <v>98</v>
      </c>
      <c r="D17" s="342"/>
      <c r="E17" s="195"/>
      <c r="G17" s="351"/>
      <c r="H17" s="351"/>
      <c r="J17" s="351"/>
      <c r="K17" s="351"/>
      <c r="L17" s="351"/>
    </row>
    <row r="18" spans="1:12" ht="13">
      <c r="A18" s="331">
        <v>8</v>
      </c>
      <c r="C18" s="330" t="str">
        <f>'FR-16(7)(v)-1 Functional'!C18</f>
        <v>TOTAL O&amp;M EXPENSE</v>
      </c>
      <c r="D18" s="342"/>
      <c r="E18" s="195"/>
      <c r="F18" s="345">
        <f t="shared" ref="F18:K18" si="4">F433</f>
        <v>43377286</v>
      </c>
      <c r="G18" s="347">
        <f t="shared" si="4"/>
        <v>27093565</v>
      </c>
      <c r="H18" s="347">
        <f t="shared" si="4"/>
        <v>15894340</v>
      </c>
      <c r="I18" s="347">
        <f t="shared" si="4"/>
        <v>226978</v>
      </c>
      <c r="J18" s="347">
        <f t="shared" si="4"/>
        <v>162403</v>
      </c>
      <c r="K18" s="347">
        <f t="shared" si="4"/>
        <v>43377286</v>
      </c>
      <c r="L18" s="347">
        <f t="shared" ref="L18:L24" si="5">F18-K18</f>
        <v>0</v>
      </c>
    </row>
    <row r="19" spans="1:12" ht="13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 t="shared" ref="F19:K19" si="6">F465</f>
        <v>873953</v>
      </c>
      <c r="G19" s="347">
        <f t="shared" si="6"/>
        <v>477044</v>
      </c>
      <c r="H19" s="347">
        <f t="shared" si="6"/>
        <v>283581</v>
      </c>
      <c r="I19" s="347">
        <f t="shared" si="6"/>
        <v>112464</v>
      </c>
      <c r="J19" s="347">
        <f t="shared" si="6"/>
        <v>864</v>
      </c>
      <c r="K19" s="347">
        <f t="shared" si="6"/>
        <v>873953</v>
      </c>
      <c r="L19" s="347">
        <f t="shared" si="5"/>
        <v>0</v>
      </c>
    </row>
    <row r="20" spans="1:12" ht="13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137582</v>
      </c>
      <c r="G20" s="347">
        <f>$G$495</f>
        <v>83279</v>
      </c>
      <c r="H20" s="347">
        <f>$H$495</f>
        <v>49022</v>
      </c>
      <c r="I20" s="347">
        <f>$I$495</f>
        <v>5026</v>
      </c>
      <c r="J20" s="347">
        <f>$J$495</f>
        <v>255</v>
      </c>
      <c r="K20" s="347">
        <f>$K$495</f>
        <v>137582</v>
      </c>
      <c r="L20" s="347">
        <f t="shared" si="5"/>
        <v>0</v>
      </c>
    </row>
    <row r="21" spans="1:12" ht="13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 t="shared" ref="F21:K21" si="7">SUM(F17:F20)</f>
        <v>44388821</v>
      </c>
      <c r="G21" s="346">
        <f t="shared" si="7"/>
        <v>27653888</v>
      </c>
      <c r="H21" s="346">
        <f t="shared" si="7"/>
        <v>16226943</v>
      </c>
      <c r="I21" s="346">
        <f t="shared" si="7"/>
        <v>344468</v>
      </c>
      <c r="J21" s="346">
        <f t="shared" si="7"/>
        <v>163522</v>
      </c>
      <c r="K21" s="346">
        <f t="shared" si="7"/>
        <v>44388821</v>
      </c>
      <c r="L21" s="346">
        <f t="shared" si="5"/>
        <v>0</v>
      </c>
    </row>
    <row r="22" spans="1:12" ht="13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>F557</f>
        <v>1056420</v>
      </c>
      <c r="G22" s="347">
        <f ca="1">$G$557</f>
        <v>673568</v>
      </c>
      <c r="H22" s="347">
        <f>$H$557</f>
        <v>395120</v>
      </c>
      <c r="I22" s="347">
        <f ca="1">$I$557</f>
        <v>-16794</v>
      </c>
      <c r="J22" s="347">
        <f>$J$557</f>
        <v>4526</v>
      </c>
      <c r="K22" s="347">
        <f ca="1">$K$557</f>
        <v>1056420</v>
      </c>
      <c r="L22" s="347">
        <f t="shared" ca="1" si="5"/>
        <v>0</v>
      </c>
    </row>
    <row r="23" spans="1:12" ht="13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>F605</f>
        <v>63539</v>
      </c>
      <c r="G23" s="345">
        <f t="shared" ref="G23:K23" ca="1" si="8">G605</f>
        <v>40431</v>
      </c>
      <c r="H23" s="345">
        <f t="shared" si="8"/>
        <v>23895</v>
      </c>
      <c r="I23" s="345">
        <f t="shared" ca="1" si="8"/>
        <v>-1317</v>
      </c>
      <c r="J23" s="345">
        <f t="shared" si="8"/>
        <v>530</v>
      </c>
      <c r="K23" s="345">
        <f t="shared" ca="1" si="8"/>
        <v>63539</v>
      </c>
      <c r="L23" s="347">
        <f t="shared" ca="1" si="5"/>
        <v>0</v>
      </c>
    </row>
    <row r="24" spans="1:12" ht="13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 t="shared" ref="F24:K24" si="9">SUM(F21:F23)</f>
        <v>45508780</v>
      </c>
      <c r="G24" s="346">
        <f t="shared" ca="1" si="9"/>
        <v>28367887</v>
      </c>
      <c r="H24" s="346">
        <f t="shared" si="9"/>
        <v>16645958</v>
      </c>
      <c r="I24" s="346">
        <f t="shared" ca="1" si="9"/>
        <v>326357</v>
      </c>
      <c r="J24" s="346">
        <f t="shared" si="9"/>
        <v>168578</v>
      </c>
      <c r="K24" s="346">
        <f t="shared" ca="1" si="9"/>
        <v>45508780</v>
      </c>
      <c r="L24" s="346">
        <f t="shared" ca="1" si="5"/>
        <v>0</v>
      </c>
    </row>
    <row r="25" spans="1:12" ht="13">
      <c r="A25" s="331">
        <v>15</v>
      </c>
      <c r="D25" s="342"/>
      <c r="E25" s="195"/>
      <c r="G25" s="351"/>
      <c r="H25" s="351"/>
      <c r="J25" s="351"/>
      <c r="K25" s="351"/>
      <c r="L25" s="351"/>
    </row>
    <row r="26" spans="1:12" ht="13">
      <c r="A26" s="331">
        <v>16</v>
      </c>
      <c r="B26" s="330" t="s">
        <v>43</v>
      </c>
      <c r="D26" s="342"/>
      <c r="E26" s="195"/>
      <c r="F26" s="345">
        <f t="shared" ref="F26:K26" si="10">F334</f>
        <v>557022</v>
      </c>
      <c r="G26" s="347">
        <f t="shared" si="10"/>
        <v>326026</v>
      </c>
      <c r="H26" s="347">
        <f t="shared" si="10"/>
        <v>192602</v>
      </c>
      <c r="I26" s="347">
        <f t="shared" si="10"/>
        <v>38070</v>
      </c>
      <c r="J26" s="347">
        <f t="shared" si="10"/>
        <v>324</v>
      </c>
      <c r="K26" s="347">
        <f t="shared" si="10"/>
        <v>557022</v>
      </c>
      <c r="L26" s="347">
        <f t="shared" ref="L26:L31" si="11">F26-K26</f>
        <v>0</v>
      </c>
    </row>
    <row r="27" spans="1:12" ht="13">
      <c r="A27" s="331">
        <v>17</v>
      </c>
      <c r="B27" s="357" t="s">
        <v>103</v>
      </c>
      <c r="C27" s="357"/>
      <c r="D27" s="342"/>
      <c r="E27" s="195"/>
      <c r="F27" s="345">
        <f>-F630</f>
        <v>-40105</v>
      </c>
      <c r="G27" s="347">
        <f>-$G$630</f>
        <v>-25145</v>
      </c>
      <c r="H27" s="347">
        <f>-$H$630</f>
        <v>-14751</v>
      </c>
      <c r="I27" s="347">
        <f>-$I$630</f>
        <v>-122</v>
      </c>
      <c r="J27" s="347">
        <f>-$J$630</f>
        <v>-87</v>
      </c>
      <c r="K27" s="347">
        <f>-$K$630</f>
        <v>-40105</v>
      </c>
      <c r="L27" s="347">
        <f t="shared" si="11"/>
        <v>0</v>
      </c>
    </row>
    <row r="28" spans="1:12" ht="13">
      <c r="A28" s="331">
        <v>18</v>
      </c>
      <c r="C28" s="330" t="str">
        <f>'FR-16(7)(v)-1 Functional'!C28</f>
        <v>TOTAL GAS COST OF SERVICE</v>
      </c>
      <c r="D28" s="342"/>
      <c r="E28" s="195"/>
      <c r="F28" s="346">
        <f t="shared" ref="F28:K28" si="12">SUM(F24:F27)</f>
        <v>46025697</v>
      </c>
      <c r="G28" s="346">
        <f t="shared" ca="1" si="12"/>
        <v>28668768</v>
      </c>
      <c r="H28" s="346">
        <f t="shared" si="12"/>
        <v>16823809</v>
      </c>
      <c r="I28" s="346">
        <f t="shared" ca="1" si="12"/>
        <v>364305</v>
      </c>
      <c r="J28" s="346">
        <f t="shared" si="12"/>
        <v>168815</v>
      </c>
      <c r="K28" s="346">
        <f t="shared" ca="1" si="12"/>
        <v>46025697</v>
      </c>
      <c r="L28" s="346">
        <f t="shared" ca="1" si="11"/>
        <v>0</v>
      </c>
    </row>
    <row r="29" spans="1:12" ht="13">
      <c r="A29" s="1104">
        <v>19</v>
      </c>
      <c r="B29" s="1105" t="s">
        <v>1184</v>
      </c>
      <c r="C29" s="1106"/>
      <c r="D29" s="1107">
        <f>1-'WP FR-16(7)(v)Rate Incr (40.0%)'!I11</f>
        <v>0</v>
      </c>
      <c r="E29" s="1108"/>
      <c r="F29" s="1109">
        <f ca="1">'WP FR-16(7)(v)Rate Incr (40.0%)'!Q20</f>
        <v>0</v>
      </c>
      <c r="G29" s="1109">
        <f ca="1">'WP FR-16(7)(v)Rate Incr (40.0%)'!Q15</f>
        <v>0</v>
      </c>
      <c r="H29" s="1109">
        <f ca="1">'WP FR-16(7)(v)Rate Incr (40.0%)'!Q16</f>
        <v>0</v>
      </c>
      <c r="I29" s="1109">
        <f ca="1">'WP FR-16(7)(v)Rate Incr (40.0%)'!Q17</f>
        <v>0</v>
      </c>
      <c r="J29" s="1109">
        <f ca="1">'WP FR-16(7)(v)Rate Incr (40.0%)'!Q18</f>
        <v>0</v>
      </c>
      <c r="K29" s="1112">
        <f ca="1">SUM(G29:J29)</f>
        <v>0</v>
      </c>
      <c r="L29" s="1112">
        <f t="shared" ca="1" si="11"/>
        <v>0</v>
      </c>
    </row>
    <row r="30" spans="1:12" ht="13">
      <c r="A30" s="1104">
        <v>20</v>
      </c>
      <c r="B30" s="1113" t="s">
        <v>1185</v>
      </c>
      <c r="C30" s="1017"/>
      <c r="D30" s="1114"/>
      <c r="E30" s="1108"/>
      <c r="F30" s="1115">
        <f t="shared" ref="F30:K30" ca="1" si="13">F29+F28</f>
        <v>46025697</v>
      </c>
      <c r="G30" s="1115">
        <f t="shared" ca="1" si="13"/>
        <v>28668768</v>
      </c>
      <c r="H30" s="1115">
        <f t="shared" ca="1" si="13"/>
        <v>16823809</v>
      </c>
      <c r="I30" s="1115">
        <f t="shared" ca="1" si="13"/>
        <v>364305</v>
      </c>
      <c r="J30" s="1115">
        <f t="shared" ca="1" si="13"/>
        <v>168815</v>
      </c>
      <c r="K30" s="1115">
        <f t="shared" ca="1" si="13"/>
        <v>46025697</v>
      </c>
      <c r="L30" s="1119">
        <f t="shared" ca="1" si="11"/>
        <v>0</v>
      </c>
    </row>
    <row r="31" spans="1:12" ht="13">
      <c r="A31" s="1104">
        <v>21</v>
      </c>
      <c r="B31" s="1120" t="s">
        <v>843</v>
      </c>
      <c r="C31" s="1106"/>
      <c r="D31" s="1114"/>
      <c r="E31" s="1108"/>
      <c r="F31" s="1119">
        <f t="shared" ref="F31:K31" si="14">F745</f>
        <v>46539308</v>
      </c>
      <c r="G31" s="1119">
        <f t="shared" si="14"/>
        <v>31413307</v>
      </c>
      <c r="H31" s="1119">
        <f t="shared" si="14"/>
        <v>12049852</v>
      </c>
      <c r="I31" s="1119">
        <f t="shared" si="14"/>
        <v>2322022</v>
      </c>
      <c r="J31" s="1119">
        <f t="shared" si="14"/>
        <v>754127</v>
      </c>
      <c r="K31" s="1119">
        <f t="shared" si="14"/>
        <v>46539308</v>
      </c>
      <c r="L31" s="1119">
        <f t="shared" si="11"/>
        <v>0</v>
      </c>
    </row>
    <row r="32" spans="1:12" ht="13">
      <c r="A32" s="1104">
        <v>22</v>
      </c>
      <c r="B32" s="1121" t="s">
        <v>1186</v>
      </c>
      <c r="C32" s="1017"/>
      <c r="D32" s="1114"/>
      <c r="E32" s="1108"/>
      <c r="F32" s="1124">
        <f ca="1">F30-F31</f>
        <v>-513611</v>
      </c>
      <c r="G32" s="1124">
        <f t="shared" ref="G32:L32" ca="1" si="15">G30-G31</f>
        <v>-2744539</v>
      </c>
      <c r="H32" s="1124">
        <f t="shared" ca="1" si="15"/>
        <v>4773957</v>
      </c>
      <c r="I32" s="1124">
        <f t="shared" ca="1" si="15"/>
        <v>-1957717</v>
      </c>
      <c r="J32" s="1124">
        <f t="shared" ca="1" si="15"/>
        <v>-585312</v>
      </c>
      <c r="K32" s="1124">
        <f t="shared" ca="1" si="15"/>
        <v>-513611</v>
      </c>
      <c r="L32" s="1124">
        <f t="shared" ca="1" si="15"/>
        <v>0</v>
      </c>
    </row>
    <row r="33" spans="1:15" ht="13">
      <c r="A33" s="1104">
        <v>23</v>
      </c>
      <c r="B33" s="1017"/>
      <c r="C33" s="1017"/>
      <c r="D33" s="1114"/>
      <c r="E33" s="1108"/>
      <c r="F33" s="1017"/>
      <c r="G33" s="1017"/>
      <c r="H33" s="1017"/>
      <c r="I33" s="1017"/>
      <c r="J33" s="1017"/>
      <c r="K33" s="1017"/>
      <c r="L33" s="1017"/>
    </row>
    <row r="34" spans="1:15" ht="13">
      <c r="A34" s="1104">
        <v>24</v>
      </c>
      <c r="B34" s="1017" t="s">
        <v>104</v>
      </c>
      <c r="C34" s="1017"/>
      <c r="D34" s="1114"/>
      <c r="E34" s="1108"/>
      <c r="F34" s="1119">
        <f t="shared" ref="F34:K34" si="16">F654+F26</f>
        <v>990317</v>
      </c>
      <c r="G34" s="1119">
        <f t="shared" ca="1" si="16"/>
        <v>2416842</v>
      </c>
      <c r="H34" s="1119">
        <f t="shared" si="16"/>
        <v>-3373507</v>
      </c>
      <c r="I34" s="1119">
        <f t="shared" ca="1" si="16"/>
        <v>1506835</v>
      </c>
      <c r="J34" s="1119">
        <f t="shared" si="16"/>
        <v>440145</v>
      </c>
      <c r="K34" s="1119">
        <f t="shared" ca="1" si="16"/>
        <v>990315</v>
      </c>
      <c r="L34" s="1119">
        <f ca="1">F34-K34</f>
        <v>2</v>
      </c>
    </row>
    <row r="35" spans="1:15" ht="13">
      <c r="A35" s="1104">
        <v>25</v>
      </c>
      <c r="B35" s="1017" t="s">
        <v>105</v>
      </c>
      <c r="C35" s="1017"/>
      <c r="D35" s="1114"/>
      <c r="E35" s="1108"/>
      <c r="F35" s="1129">
        <f t="shared" ref="F35:L35" si="17">IF(F331=0,0,ROUND(F34/F331,5))</f>
        <v>0.12551999999999999</v>
      </c>
      <c r="G35" s="1129">
        <f t="shared" ca="1" si="17"/>
        <v>0.52336000000000005</v>
      </c>
      <c r="H35" s="1129">
        <f t="shared" si="17"/>
        <v>-1.2365900000000001</v>
      </c>
      <c r="I35" s="1129">
        <f t="shared" ca="1" si="17"/>
        <v>2.7943699999999998</v>
      </c>
      <c r="J35" s="1129">
        <f t="shared" si="17"/>
        <v>95.766970000000001</v>
      </c>
      <c r="K35" s="1129">
        <f t="shared" ca="1" si="17"/>
        <v>0.12551999999999999</v>
      </c>
      <c r="L35" s="1129">
        <f t="shared" si="17"/>
        <v>0</v>
      </c>
    </row>
    <row r="36" spans="1:15" ht="13">
      <c r="A36" s="1104">
        <v>26</v>
      </c>
      <c r="B36" s="1017" t="s">
        <v>42</v>
      </c>
      <c r="C36" s="1017"/>
      <c r="D36" s="1114"/>
      <c r="E36" s="1108"/>
      <c r="F36" s="1129">
        <f t="shared" ref="F36:L36" si="18">$F$688</f>
        <v>7.060000000000001E-2</v>
      </c>
      <c r="G36" s="1129">
        <f t="shared" si="18"/>
        <v>7.060000000000001E-2</v>
      </c>
      <c r="H36" s="1129">
        <f t="shared" si="18"/>
        <v>7.060000000000001E-2</v>
      </c>
      <c r="I36" s="1129">
        <f t="shared" si="18"/>
        <v>7.060000000000001E-2</v>
      </c>
      <c r="J36" s="1129">
        <f t="shared" si="18"/>
        <v>7.060000000000001E-2</v>
      </c>
      <c r="K36" s="1129">
        <f t="shared" si="18"/>
        <v>7.060000000000001E-2</v>
      </c>
      <c r="L36" s="1129">
        <f t="shared" si="18"/>
        <v>7.060000000000001E-2</v>
      </c>
      <c r="O36" s="653" t="s">
        <v>1188</v>
      </c>
    </row>
    <row r="37" spans="1:15" ht="13">
      <c r="A37" s="1104">
        <v>27</v>
      </c>
      <c r="B37" s="1017" t="s">
        <v>106</v>
      </c>
      <c r="C37" s="1017"/>
      <c r="D37" s="1114"/>
      <c r="E37" s="1108"/>
      <c r="F37" s="1129">
        <f t="shared" ref="F37:K38" si="19">IF($F$670=0,0,(F35-$F$683-$F$684-$F$686)*$F$673/$F$670)</f>
        <v>0.21134565384315462</v>
      </c>
      <c r="G37" s="1129">
        <f t="shared" ca="1" si="19"/>
        <v>0.99612962738208155</v>
      </c>
      <c r="H37" s="1129">
        <f t="shared" si="19"/>
        <v>-2.4755689304045525</v>
      </c>
      <c r="I37" s="1129">
        <f t="shared" ca="1" si="19"/>
        <v>5.4759512937470483</v>
      </c>
      <c r="J37" s="1129">
        <f t="shared" si="19"/>
        <v>188.87482133759696</v>
      </c>
      <c r="K37" s="1129">
        <f t="shared" ca="1" si="19"/>
        <v>0.21134565384315462</v>
      </c>
      <c r="L37" s="1129">
        <f>IF(F670=0,0,(L35-F683-F684-F686)*F673/F670)</f>
        <v>-3.6256609274194343E-2</v>
      </c>
      <c r="O37" s="653" t="s">
        <v>1189</v>
      </c>
    </row>
    <row r="38" spans="1:15" ht="13">
      <c r="A38" s="1104">
        <v>28</v>
      </c>
      <c r="B38" s="1017" t="s">
        <v>107</v>
      </c>
      <c r="C38" s="1017"/>
      <c r="D38" s="1114"/>
      <c r="E38" s="1108"/>
      <c r="F38" s="1129">
        <f t="shared" si="19"/>
        <v>0.10300980066912017</v>
      </c>
      <c r="G38" s="1129">
        <f t="shared" si="19"/>
        <v>0.10300980066912017</v>
      </c>
      <c r="H38" s="1129">
        <f t="shared" si="19"/>
        <v>0.10300980066912017</v>
      </c>
      <c r="I38" s="1129">
        <f t="shared" si="19"/>
        <v>0.10300980066912017</v>
      </c>
      <c r="J38" s="1129">
        <f t="shared" si="19"/>
        <v>0.10300980066912017</v>
      </c>
      <c r="K38" s="1129">
        <f t="shared" si="19"/>
        <v>0.10300980066912017</v>
      </c>
      <c r="L38" s="1129">
        <f>IF($F$670=0,0,(L36-$F$683-$F$684-$F$686)*$F$673/$F$670)</f>
        <v>0.10300980066912017</v>
      </c>
    </row>
    <row r="39" spans="1:15" ht="13">
      <c r="A39" s="1104">
        <v>29</v>
      </c>
      <c r="B39" s="1017"/>
      <c r="C39" s="1017"/>
      <c r="D39" s="1114"/>
      <c r="E39" s="1108"/>
      <c r="F39" s="1017" t="s">
        <v>343</v>
      </c>
      <c r="G39" s="1017"/>
      <c r="H39" s="1017"/>
      <c r="I39" s="1017"/>
      <c r="J39" s="1017"/>
      <c r="K39" s="1017"/>
      <c r="L39" s="1017"/>
    </row>
    <row r="40" spans="1:15" ht="13">
      <c r="A40" s="1104">
        <v>30</v>
      </c>
      <c r="B40" s="1017" t="s">
        <v>108</v>
      </c>
      <c r="C40" s="1017"/>
      <c r="D40" s="1114"/>
      <c r="E40" s="1108"/>
      <c r="F40" s="1119">
        <f t="shared" ref="F40:K40" si="20">F744</f>
        <v>40910824</v>
      </c>
      <c r="G40" s="1119">
        <f t="shared" si="20"/>
        <v>27747713</v>
      </c>
      <c r="H40" s="1119">
        <f t="shared" si="20"/>
        <v>10500032</v>
      </c>
      <c r="I40" s="1119">
        <f t="shared" si="20"/>
        <v>2006881</v>
      </c>
      <c r="J40" s="1119">
        <f t="shared" si="20"/>
        <v>656198</v>
      </c>
      <c r="K40" s="1119">
        <f t="shared" si="20"/>
        <v>40910824</v>
      </c>
      <c r="L40" s="1119">
        <f>F40-K40</f>
        <v>0</v>
      </c>
    </row>
    <row r="41" spans="1:15" ht="13">
      <c r="A41" s="1104">
        <v>31</v>
      </c>
      <c r="B41" s="1017" t="s">
        <v>109</v>
      </c>
      <c r="C41" s="1017"/>
      <c r="D41" s="1114"/>
      <c r="E41" s="1108"/>
      <c r="F41" s="1119">
        <f t="shared" ref="F41:L41" si="21">F28-F40</f>
        <v>5114873</v>
      </c>
      <c r="G41" s="1119">
        <f t="shared" ca="1" si="21"/>
        <v>921055</v>
      </c>
      <c r="H41" s="1119">
        <f t="shared" si="21"/>
        <v>6323777</v>
      </c>
      <c r="I41" s="1119">
        <f t="shared" ca="1" si="21"/>
        <v>-1642576</v>
      </c>
      <c r="J41" s="1119">
        <f t="shared" si="21"/>
        <v>-487383</v>
      </c>
      <c r="K41" s="1119">
        <f t="shared" ca="1" si="21"/>
        <v>5114873</v>
      </c>
      <c r="L41" s="1119">
        <f t="shared" ca="1" si="21"/>
        <v>0</v>
      </c>
    </row>
    <row r="42" spans="1:15" ht="13">
      <c r="A42" s="1104">
        <v>32</v>
      </c>
      <c r="B42" s="1017"/>
      <c r="C42" s="1017" t="s">
        <v>283</v>
      </c>
      <c r="D42" s="1114"/>
      <c r="E42" s="1108"/>
      <c r="F42" s="1133">
        <f t="shared" ref="F42:L42" si="22">IF(F40=0,0,ROUND(F41/F40,5))</f>
        <v>0.12501999999999999</v>
      </c>
      <c r="G42" s="1133">
        <f t="shared" ca="1" si="22"/>
        <v>3.3189999999999997E-2</v>
      </c>
      <c r="H42" s="1133">
        <f t="shared" si="22"/>
        <v>0.60226000000000002</v>
      </c>
      <c r="I42" s="1133">
        <f t="shared" ca="1" si="22"/>
        <v>-0.81847000000000003</v>
      </c>
      <c r="J42" s="1133">
        <f t="shared" si="22"/>
        <v>-0.74273999999999996</v>
      </c>
      <c r="K42" s="1133">
        <f t="shared" ca="1" si="22"/>
        <v>0.12501999999999999</v>
      </c>
      <c r="L42" s="1133">
        <f t="shared" si="22"/>
        <v>0</v>
      </c>
    </row>
    <row r="43" spans="1:15" ht="13">
      <c r="A43" s="1104">
        <v>33</v>
      </c>
      <c r="B43" s="1017" t="s">
        <v>110</v>
      </c>
      <c r="C43" s="1017"/>
      <c r="D43" s="1114"/>
      <c r="E43" s="1108"/>
      <c r="F43" s="1119">
        <f t="shared" ref="F43:L43" si="23">F31-F40</f>
        <v>5628484</v>
      </c>
      <c r="G43" s="1119">
        <f t="shared" si="23"/>
        <v>3665594</v>
      </c>
      <c r="H43" s="1119">
        <f t="shared" si="23"/>
        <v>1549820</v>
      </c>
      <c r="I43" s="1119">
        <f t="shared" si="23"/>
        <v>315141</v>
      </c>
      <c r="J43" s="1119">
        <f t="shared" si="23"/>
        <v>97929</v>
      </c>
      <c r="K43" s="1119">
        <f t="shared" si="23"/>
        <v>5628484</v>
      </c>
      <c r="L43" s="1119">
        <f t="shared" si="23"/>
        <v>0</v>
      </c>
    </row>
    <row r="44" spans="1:15" ht="13">
      <c r="A44" s="1104">
        <v>34</v>
      </c>
      <c r="B44" s="1017"/>
      <c r="C44" s="1017" t="s">
        <v>283</v>
      </c>
      <c r="D44" s="1114"/>
      <c r="E44" s="1108"/>
      <c r="F44" s="1133">
        <f t="shared" ref="F44:L44" si="24">IF(F40=0,0,ROUND(F43/F40,5))</f>
        <v>0.13758000000000001</v>
      </c>
      <c r="G44" s="1133">
        <f t="shared" si="24"/>
        <v>0.1321</v>
      </c>
      <c r="H44" s="1133">
        <f t="shared" si="24"/>
        <v>0.14760000000000001</v>
      </c>
      <c r="I44" s="1133">
        <f t="shared" si="24"/>
        <v>0.15703</v>
      </c>
      <c r="J44" s="1133">
        <f t="shared" si="24"/>
        <v>0.14924000000000001</v>
      </c>
      <c r="K44" s="1133">
        <f t="shared" si="24"/>
        <v>0.13758000000000001</v>
      </c>
      <c r="L44" s="1133">
        <f t="shared" si="24"/>
        <v>0</v>
      </c>
    </row>
    <row r="45" spans="1:15" ht="13">
      <c r="A45" s="341"/>
      <c r="C45" s="195"/>
      <c r="D45" s="342"/>
      <c r="E45" s="195"/>
      <c r="G45" s="340"/>
      <c r="H45" s="340"/>
      <c r="I45" s="195"/>
      <c r="K45" s="359"/>
      <c r="L45" s="195"/>
    </row>
    <row r="46" spans="1:15" ht="13">
      <c r="A46" s="341" t="str">
        <f>co_name</f>
        <v>DUKE ENERGY KENTUCKY, INC.</v>
      </c>
      <c r="C46" s="195"/>
      <c r="D46" s="342"/>
      <c r="E46" s="195"/>
      <c r="F46" s="342"/>
      <c r="G46" s="340"/>
      <c r="H46" s="340"/>
      <c r="I46" s="195"/>
      <c r="K46" s="359" t="str">
        <f>$K$1</f>
        <v>FR-16(7)(v)-3</v>
      </c>
      <c r="L46" s="195"/>
    </row>
    <row r="47" spans="1:15" ht="13">
      <c r="A47" s="341" t="str">
        <f>$A$2</f>
        <v>PRODUCTION COMMODITY ALLOCATED - GAS COST OF SERVICE</v>
      </c>
      <c r="C47" s="195"/>
      <c r="D47" s="342"/>
      <c r="E47" s="195"/>
      <c r="F47" s="342"/>
      <c r="G47" s="340"/>
      <c r="H47" s="340"/>
      <c r="I47" s="195"/>
      <c r="K47" s="359" t="str">
        <f>$K$2</f>
        <v>WITNESS RESPONSIBLE:</v>
      </c>
      <c r="L47" s="195"/>
    </row>
    <row r="48" spans="1:15" ht="13">
      <c r="A48" s="341" t="str">
        <f>case_name</f>
        <v>CASE NO: 2021-00190</v>
      </c>
      <c r="C48" s="195"/>
      <c r="D48" s="342"/>
      <c r="E48" s="195"/>
      <c r="F48" s="342"/>
      <c r="G48" s="340"/>
      <c r="H48" s="340"/>
      <c r="I48" s="195"/>
      <c r="K48" s="359" t="str">
        <f>Witness</f>
        <v>JAMES E. ZIOLKOWSKI</v>
      </c>
      <c r="L48" s="195"/>
    </row>
    <row r="49" spans="1:12" ht="13">
      <c r="A49" s="341" t="str">
        <f>data_filing</f>
        <v>DATA: 12 MONTH FORECASTED PERIOD</v>
      </c>
      <c r="C49" s="195"/>
      <c r="D49" s="342"/>
      <c r="E49" s="195"/>
      <c r="F49" s="342"/>
      <c r="G49" s="340"/>
      <c r="H49" s="340"/>
      <c r="I49" s="195"/>
      <c r="K49" s="359" t="str">
        <f>"PAGE "&amp;Pages-16&amp;" OF "&amp;Pages</f>
        <v>PAGE 2 OF 18</v>
      </c>
      <c r="L49" s="195"/>
    </row>
    <row r="50" spans="1:12" ht="13">
      <c r="A50" s="341" t="str">
        <f>type</f>
        <v xml:space="preserve">TYPE OF FILING: "X" ORIGINAL   UPDATED    REVISED  </v>
      </c>
      <c r="C50" s="195"/>
      <c r="D50" s="342"/>
      <c r="E50" s="195"/>
      <c r="F50" s="342"/>
      <c r="G50" s="340"/>
      <c r="H50" s="340"/>
      <c r="I50" s="195"/>
      <c r="J50" s="342"/>
      <c r="K50" s="195"/>
      <c r="L50" s="195"/>
    </row>
    <row r="51" spans="1:12" ht="13">
      <c r="A51" s="341"/>
      <c r="C51" s="195"/>
      <c r="D51" s="342"/>
      <c r="E51" s="195"/>
      <c r="F51" s="342"/>
      <c r="G51" s="340"/>
      <c r="H51" s="340"/>
      <c r="I51" s="195"/>
      <c r="J51" s="342"/>
      <c r="K51" s="195"/>
      <c r="L51" s="195"/>
    </row>
    <row r="52" spans="1:12" ht="13">
      <c r="A52" s="341"/>
      <c r="C52" s="195"/>
      <c r="D52" s="342"/>
      <c r="E52" s="195"/>
      <c r="F52" s="342" t="str">
        <f>$F$7</f>
        <v>TOTAL</v>
      </c>
      <c r="G52" s="340"/>
      <c r="H52" s="340"/>
      <c r="I52" s="195"/>
      <c r="J52" s="342"/>
      <c r="K52" s="195"/>
      <c r="L52" s="195"/>
    </row>
    <row r="53" spans="1:12" ht="13">
      <c r="A53" s="342" t="s">
        <v>907</v>
      </c>
      <c r="B53" s="195"/>
      <c r="C53" s="195"/>
      <c r="D53" s="342"/>
      <c r="E53" s="195"/>
      <c r="F53" s="342" t="str">
        <f>$F$8</f>
        <v>PRODUCTION</v>
      </c>
      <c r="G53" s="352" t="s">
        <v>859</v>
      </c>
      <c r="H53" s="352" t="s">
        <v>857</v>
      </c>
      <c r="I53" s="342" t="s">
        <v>858</v>
      </c>
      <c r="J53" s="342" t="s">
        <v>546</v>
      </c>
      <c r="K53" s="342" t="s">
        <v>229</v>
      </c>
      <c r="L53" s="342" t="s">
        <v>342</v>
      </c>
    </row>
    <row r="54" spans="1:12" ht="13">
      <c r="A54" s="344" t="s">
        <v>908</v>
      </c>
      <c r="B54" s="343" t="s">
        <v>95</v>
      </c>
      <c r="C54" s="343"/>
      <c r="D54" s="344" t="s">
        <v>337</v>
      </c>
      <c r="E54" s="343"/>
      <c r="F54" s="342" t="str">
        <f>$F$9</f>
        <v>COMMODITY</v>
      </c>
      <c r="G54" s="353" t="s">
        <v>338</v>
      </c>
      <c r="H54" s="353" t="s">
        <v>404</v>
      </c>
      <c r="I54" s="344" t="s">
        <v>404</v>
      </c>
      <c r="J54" s="344" t="s">
        <v>547</v>
      </c>
      <c r="K54" s="344" t="s">
        <v>341</v>
      </c>
      <c r="L54" s="344" t="s">
        <v>340</v>
      </c>
    </row>
    <row r="55" spans="1:12" ht="13">
      <c r="C55" s="572" t="s">
        <v>344</v>
      </c>
      <c r="D55" s="342"/>
      <c r="E55" s="195"/>
      <c r="F55" s="755"/>
      <c r="G55" s="627">
        <f>$G$10</f>
        <v>3</v>
      </c>
      <c r="H55" s="627">
        <f>$H$10</f>
        <v>4</v>
      </c>
      <c r="I55" s="627">
        <f>$I$10</f>
        <v>5</v>
      </c>
      <c r="J55" s="627">
        <f>$J$10</f>
        <v>6</v>
      </c>
      <c r="L55" s="330" t="s">
        <v>343</v>
      </c>
    </row>
    <row r="56" spans="1:12" ht="13">
      <c r="A56" s="331">
        <v>1</v>
      </c>
      <c r="B56" s="330" t="s">
        <v>14</v>
      </c>
      <c r="E56" s="195"/>
      <c r="G56" s="351"/>
      <c r="H56" s="351"/>
      <c r="I56" s="330"/>
    </row>
    <row r="57" spans="1:12" ht="13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3">
        <f>'FR-16(7)(v)-2 PROD Classified'!H57</f>
        <v>4625622</v>
      </c>
      <c r="G57" s="347">
        <f>F57-SUM(H57:J57)</f>
        <v>2471100</v>
      </c>
      <c r="H57" s="347">
        <f>ROUND($F$57*VLOOKUP($D$57,ALLOCTABLE_Prod_Commodity,$H$10,FALSE),0)</f>
        <v>1501384</v>
      </c>
      <c r="I57" s="345">
        <f>ROUND(F57*VLOOKUP(D57,ALLOCTABLE_Prod_Commodity,$I$10,FALSE),0)</f>
        <v>653138</v>
      </c>
      <c r="J57" s="345">
        <f>ROUND(F57*VLOOKUP(D57,ALLOCTABLE_Prod_Commodity,$J$10,FALSE),0)</f>
        <v>0</v>
      </c>
      <c r="K57" s="345">
        <f>SUM($G$57:$J$57)</f>
        <v>4625622</v>
      </c>
      <c r="L57" s="345">
        <f>F57-$K$57</f>
        <v>0</v>
      </c>
    </row>
    <row r="58" spans="1:12" ht="13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3">
        <f>'FR-16(7)(v)-2 PROD Classified'!H58</f>
        <v>0</v>
      </c>
      <c r="G58" s="347">
        <f>F58-SUM(H58:J58)</f>
        <v>0</v>
      </c>
      <c r="H58" s="347">
        <f>ROUND($F$58*VLOOKUP($D$58,ALLOCTABLE_Prod_Commodity,$H$10,FALSE),0)</f>
        <v>0</v>
      </c>
      <c r="I58" s="345">
        <f>ROUND(F58*VLOOKUP(D58,ALLOCTABLE_Prod_Commodity,$I$10,FALSE),0)</f>
        <v>0</v>
      </c>
      <c r="J58" s="345">
        <f>ROUND(F58*VLOOKUP(D58,ALLOCTABLE_Prod_Commodity,$J$10,FALSE),0)</f>
        <v>0</v>
      </c>
      <c r="K58" s="345">
        <f>SUM($G$58:$J$58)</f>
        <v>0</v>
      </c>
      <c r="L58" s="345">
        <f>F58-$K$58</f>
        <v>0</v>
      </c>
    </row>
    <row r="59" spans="1:12" ht="13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4625622</v>
      </c>
      <c r="G59" s="346">
        <f>SUM($G$57:$G$58)</f>
        <v>2471100</v>
      </c>
      <c r="H59" s="346">
        <f>SUM($H$57:$H$58)</f>
        <v>1501384</v>
      </c>
      <c r="I59" s="346">
        <f>SUM($I$57:$I$58)</f>
        <v>653138</v>
      </c>
      <c r="J59" s="346">
        <f>SUM($J$57:$J$58)</f>
        <v>0</v>
      </c>
      <c r="K59" s="346">
        <f>SUM($K$57:$K$58)</f>
        <v>4625622</v>
      </c>
      <c r="L59" s="346">
        <f>SUM($L$57:$L$58)</f>
        <v>0</v>
      </c>
    </row>
    <row r="60" spans="1:12" ht="13">
      <c r="A60" s="331">
        <v>5</v>
      </c>
      <c r="D60" s="342"/>
      <c r="E60" s="195"/>
      <c r="G60" s="351"/>
      <c r="H60" s="351"/>
      <c r="I60" s="330"/>
    </row>
    <row r="61" spans="1:12" ht="13">
      <c r="A61" s="331">
        <v>6</v>
      </c>
      <c r="B61" s="330" t="s">
        <v>15</v>
      </c>
      <c r="D61" s="342"/>
      <c r="E61" s="195"/>
      <c r="G61" s="351"/>
      <c r="H61" s="351"/>
      <c r="I61" s="330"/>
    </row>
    <row r="62" spans="1:12" ht="13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1"/>
      <c r="G62" s="347"/>
      <c r="H62" s="347"/>
      <c r="I62" s="345"/>
      <c r="J62" s="345"/>
      <c r="K62" s="345"/>
      <c r="L62" s="345"/>
    </row>
    <row r="63" spans="1:12" ht="13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346">
        <f>SUM($G$62)</f>
        <v>0</v>
      </c>
      <c r="H63" s="346">
        <f>SUM($H$62)</f>
        <v>0</v>
      </c>
      <c r="I63" s="346">
        <f>SUM($I$62)</f>
        <v>0</v>
      </c>
      <c r="J63" s="346">
        <f>SUM($J$62)</f>
        <v>0</v>
      </c>
      <c r="K63" s="346">
        <f>SUM($K$62)</f>
        <v>0</v>
      </c>
      <c r="L63" s="346">
        <f>SUM($L$62)</f>
        <v>0</v>
      </c>
    </row>
    <row r="64" spans="1:12" ht="13">
      <c r="A64" s="331">
        <v>9</v>
      </c>
      <c r="D64" s="342"/>
      <c r="E64" s="195"/>
      <c r="G64" s="351"/>
      <c r="H64" s="351"/>
      <c r="I64" s="330"/>
    </row>
    <row r="65" spans="1:12" ht="13">
      <c r="A65" s="331">
        <v>10</v>
      </c>
      <c r="B65" s="330" t="s">
        <v>16</v>
      </c>
      <c r="D65" s="342"/>
      <c r="E65" s="195"/>
      <c r="F65" s="345">
        <f>F63+F59</f>
        <v>4625622</v>
      </c>
      <c r="G65" s="347">
        <f>$G$63+$G$59</f>
        <v>2471100</v>
      </c>
      <c r="H65" s="347">
        <f>$H$63+$H$59</f>
        <v>1501384</v>
      </c>
      <c r="I65" s="345">
        <f>$I$63+$I$59</f>
        <v>653138</v>
      </c>
      <c r="J65" s="345">
        <f>$J$63+$J$59</f>
        <v>0</v>
      </c>
      <c r="K65" s="345">
        <f>$K$63+$K$59</f>
        <v>4625622</v>
      </c>
      <c r="L65" s="345">
        <f>$L$63+$L$59</f>
        <v>0</v>
      </c>
    </row>
    <row r="66" spans="1:12" ht="13">
      <c r="A66" s="331">
        <v>11</v>
      </c>
      <c r="D66" s="342"/>
      <c r="E66" s="195"/>
      <c r="G66" s="351"/>
      <c r="H66" s="351"/>
      <c r="I66" s="330"/>
    </row>
    <row r="67" spans="1:12" ht="13">
      <c r="A67" s="331">
        <v>12</v>
      </c>
      <c r="B67" s="330" t="s">
        <v>17</v>
      </c>
      <c r="D67" s="342"/>
      <c r="E67" s="195"/>
      <c r="G67" s="351"/>
      <c r="H67" s="351"/>
      <c r="I67" s="330"/>
    </row>
    <row r="68" spans="1:12" ht="13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3">
        <f>'FR-16(7)(v)-2 PROD Classified'!H68</f>
        <v>0</v>
      </c>
      <c r="G68" s="347">
        <f t="shared" ref="G68:G77" si="25">F68-SUM(H68:J68)</f>
        <v>0</v>
      </c>
      <c r="H68" s="347">
        <f>ROUND($F$68*VLOOKUP($D$68,ALLOCTABLE_Prod_Commodity,$H$10,FALSE),0)</f>
        <v>0</v>
      </c>
      <c r="I68" s="345">
        <f t="shared" ref="I68:I77" si="26">ROUND(F68*VLOOKUP(D68,ALLOCTABLE_Prod_Commodity,$I$10,FALSE),0)</f>
        <v>0</v>
      </c>
      <c r="J68" s="345">
        <f t="shared" ref="J68:J77" si="27">ROUND(F68*VLOOKUP(D68,ALLOCTABLE_Prod_Commodity,$J$10,FALSE),0)</f>
        <v>0</v>
      </c>
      <c r="K68" s="345">
        <f t="shared" ref="K68:K77" si="28">SUM(G68:J68)</f>
        <v>0</v>
      </c>
      <c r="L68" s="345">
        <f t="shared" ref="L68:L77" si="29">F68-K68</f>
        <v>0</v>
      </c>
    </row>
    <row r="69" spans="1:12" ht="13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3">
        <f>'FR-16(7)(v)-2 PROD Classified'!H69</f>
        <v>0</v>
      </c>
      <c r="G69" s="347">
        <f t="shared" si="25"/>
        <v>0</v>
      </c>
      <c r="H69" s="347">
        <f>ROUND($F$69*VLOOKUP($D$69,ALLOCTABLE_Prod_Commodity,$H$10,FALSE),0)</f>
        <v>0</v>
      </c>
      <c r="I69" s="345">
        <f t="shared" si="26"/>
        <v>0</v>
      </c>
      <c r="J69" s="345">
        <f t="shared" si="27"/>
        <v>0</v>
      </c>
      <c r="K69" s="345">
        <f t="shared" si="28"/>
        <v>0</v>
      </c>
      <c r="L69" s="345">
        <f t="shared" si="29"/>
        <v>0</v>
      </c>
    </row>
    <row r="70" spans="1:12" ht="13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3">
        <f>'FR-16(7)(v)-2 PROD Classified'!H70</f>
        <v>0</v>
      </c>
      <c r="G70" s="347">
        <f t="shared" si="25"/>
        <v>0</v>
      </c>
      <c r="H70" s="347">
        <f>ROUND($F$70*VLOOKUP($D$70,ALLOCTABLE_Prod_Commodity,$H$10,FALSE),0)</f>
        <v>0</v>
      </c>
      <c r="I70" s="345">
        <f t="shared" si="26"/>
        <v>0</v>
      </c>
      <c r="J70" s="345">
        <f t="shared" si="27"/>
        <v>0</v>
      </c>
      <c r="K70" s="345">
        <f t="shared" si="28"/>
        <v>0</v>
      </c>
      <c r="L70" s="345">
        <f t="shared" si="29"/>
        <v>0</v>
      </c>
    </row>
    <row r="71" spans="1:12" ht="13">
      <c r="A71" s="331">
        <v>16</v>
      </c>
      <c r="C71" s="330" t="str">
        <f>'FR-16(7)(v)-1 Functional'!C71</f>
        <v>MAINS - (2761, 2762, 2763, 2765)</v>
      </c>
      <c r="D71" s="342" t="str">
        <f>'FR-16(7)(v)-1 Functional'!D71</f>
        <v>K415</v>
      </c>
      <c r="E71" s="195"/>
      <c r="F71" s="473">
        <f>'FR-16(7)(v)-2 PROD Classified'!H71</f>
        <v>0</v>
      </c>
      <c r="G71" s="347">
        <f t="shared" si="25"/>
        <v>0</v>
      </c>
      <c r="H71" s="347">
        <f>ROUND($F$71*VLOOKUP($D$71,ALLOCTABLE_Prod_Commodity,$H$10,FALSE),0)</f>
        <v>0</v>
      </c>
      <c r="I71" s="345">
        <f t="shared" si="26"/>
        <v>0</v>
      </c>
      <c r="J71" s="345">
        <f t="shared" si="27"/>
        <v>0</v>
      </c>
      <c r="K71" s="345">
        <f t="shared" si="28"/>
        <v>0</v>
      </c>
      <c r="L71" s="345">
        <f t="shared" si="29"/>
        <v>0</v>
      </c>
    </row>
    <row r="72" spans="1:12" ht="13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3">
        <f>'FR-16(7)(v)-2 PROD Classified'!H72</f>
        <v>0</v>
      </c>
      <c r="G72" s="347">
        <f t="shared" si="25"/>
        <v>0</v>
      </c>
      <c r="H72" s="347">
        <f>ROUND($F$72*VLOOKUP($D$72,ALLOCTABLE_Prod_Commodity,$H$10,FALSE),0)</f>
        <v>0</v>
      </c>
      <c r="I72" s="345">
        <f t="shared" si="26"/>
        <v>0</v>
      </c>
      <c r="J72" s="345">
        <f t="shared" si="27"/>
        <v>0</v>
      </c>
      <c r="K72" s="345">
        <f t="shared" si="28"/>
        <v>0</v>
      </c>
      <c r="L72" s="345">
        <f t="shared" si="29"/>
        <v>0</v>
      </c>
    </row>
    <row r="73" spans="1:12" ht="13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3">
        <f>'FR-16(7)(v)-2 PROD Classified'!H73</f>
        <v>0</v>
      </c>
      <c r="G73" s="347">
        <f t="shared" si="25"/>
        <v>0</v>
      </c>
      <c r="H73" s="347">
        <f>ROUND($F$73*VLOOKUP($D$73,ALLOCTABLE_Prod_Commodity,$H$10,FALSE),0)</f>
        <v>0</v>
      </c>
      <c r="I73" s="345">
        <f t="shared" si="26"/>
        <v>0</v>
      </c>
      <c r="J73" s="345">
        <f t="shared" si="27"/>
        <v>0</v>
      </c>
      <c r="K73" s="345">
        <f t="shared" si="28"/>
        <v>0</v>
      </c>
      <c r="L73" s="345">
        <f t="shared" si="29"/>
        <v>0</v>
      </c>
    </row>
    <row r="74" spans="1:12" ht="13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3">
        <f>'FR-16(7)(v)-2 PROD Classified'!H74</f>
        <v>0</v>
      </c>
      <c r="G74" s="347">
        <f t="shared" si="25"/>
        <v>0</v>
      </c>
      <c r="H74" s="347">
        <f>ROUND($F$74*VLOOKUP($D$74,ALLOCTABLE_Prod_Commodity,$H$10,FALSE),0)</f>
        <v>0</v>
      </c>
      <c r="I74" s="345">
        <f t="shared" si="26"/>
        <v>0</v>
      </c>
      <c r="J74" s="345">
        <f t="shared" si="27"/>
        <v>0</v>
      </c>
      <c r="K74" s="345">
        <f t="shared" si="28"/>
        <v>0</v>
      </c>
      <c r="L74" s="345">
        <f t="shared" si="29"/>
        <v>0</v>
      </c>
    </row>
    <row r="75" spans="1:12" ht="13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3">
        <f>'FR-16(7)(v)-2 PROD Classified'!H75</f>
        <v>0</v>
      </c>
      <c r="G75" s="347">
        <f t="shared" si="25"/>
        <v>0</v>
      </c>
      <c r="H75" s="347">
        <f>ROUND($F$75*VLOOKUP($D$75,ALLOCTABLE_Prod_Commodity,$H$10,FALSE),0)</f>
        <v>0</v>
      </c>
      <c r="I75" s="345">
        <f t="shared" si="26"/>
        <v>0</v>
      </c>
      <c r="J75" s="345">
        <f t="shared" si="27"/>
        <v>0</v>
      </c>
      <c r="K75" s="345">
        <f t="shared" si="28"/>
        <v>0</v>
      </c>
      <c r="L75" s="345">
        <f t="shared" si="29"/>
        <v>0</v>
      </c>
    </row>
    <row r="76" spans="1:12" ht="13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3">
        <f>'FR-16(7)(v)-2 PROD Classified'!H76</f>
        <v>0</v>
      </c>
      <c r="G76" s="347">
        <f t="shared" si="25"/>
        <v>0</v>
      </c>
      <c r="H76" s="347">
        <f>ROUND($F$76*VLOOKUP($D$76,ALLOCTABLE_Prod_Commodity,$H$10,FALSE),0)</f>
        <v>0</v>
      </c>
      <c r="I76" s="345">
        <f t="shared" si="26"/>
        <v>0</v>
      </c>
      <c r="J76" s="345">
        <f t="shared" si="27"/>
        <v>0</v>
      </c>
      <c r="K76" s="345">
        <f t="shared" si="28"/>
        <v>0</v>
      </c>
      <c r="L76" s="345">
        <f t="shared" si="29"/>
        <v>0</v>
      </c>
    </row>
    <row r="77" spans="1:12" ht="13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3">
        <f>'FR-16(7)(v)-2 PROD Classified'!H77</f>
        <v>0</v>
      </c>
      <c r="G77" s="347">
        <f t="shared" si="25"/>
        <v>0</v>
      </c>
      <c r="H77" s="347">
        <f>ROUND($F$77*VLOOKUP($D$77,ALLOCTABLE_Prod_Commodity,$H$10,FALSE),0)</f>
        <v>0</v>
      </c>
      <c r="I77" s="345">
        <f t="shared" si="26"/>
        <v>0</v>
      </c>
      <c r="J77" s="345">
        <f t="shared" si="27"/>
        <v>0</v>
      </c>
      <c r="K77" s="345">
        <f t="shared" si="28"/>
        <v>0</v>
      </c>
      <c r="L77" s="345">
        <f t="shared" si="29"/>
        <v>0</v>
      </c>
    </row>
    <row r="78" spans="1:12" ht="13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L78" si="30">SUM(F68:F77)</f>
        <v>0</v>
      </c>
      <c r="G78" s="346">
        <f>SUM(G68:G77)</f>
        <v>0</v>
      </c>
      <c r="H78" s="346">
        <f t="shared" si="30"/>
        <v>0</v>
      </c>
      <c r="I78" s="346">
        <f t="shared" si="30"/>
        <v>0</v>
      </c>
      <c r="J78" s="346">
        <f t="shared" si="30"/>
        <v>0</v>
      </c>
      <c r="K78" s="346">
        <f t="shared" si="30"/>
        <v>0</v>
      </c>
      <c r="L78" s="346">
        <f t="shared" si="30"/>
        <v>0</v>
      </c>
    </row>
    <row r="79" spans="1:12" ht="13">
      <c r="A79" s="331">
        <v>24</v>
      </c>
      <c r="D79" s="342"/>
      <c r="E79" s="195"/>
      <c r="G79" s="351"/>
      <c r="H79" s="351"/>
      <c r="I79" s="330"/>
    </row>
    <row r="80" spans="1:12" ht="13">
      <c r="A80" s="331">
        <v>25</v>
      </c>
      <c r="B80" s="330" t="s">
        <v>18</v>
      </c>
      <c r="D80" s="342"/>
      <c r="E80" s="195"/>
      <c r="F80" s="345">
        <f>F78+F63</f>
        <v>0</v>
      </c>
      <c r="G80" s="347">
        <f>G78+$G$63</f>
        <v>0</v>
      </c>
      <c r="H80" s="347">
        <f>H78+$H$63</f>
        <v>0</v>
      </c>
      <c r="I80" s="345">
        <f>I78+$I$63</f>
        <v>0</v>
      </c>
      <c r="J80" s="345">
        <f>J78+$J$63</f>
        <v>0</v>
      </c>
      <c r="K80" s="345">
        <f>K78+$K$63</f>
        <v>0</v>
      </c>
      <c r="L80" s="345">
        <f>L78+$L$63</f>
        <v>0</v>
      </c>
    </row>
    <row r="81" spans="1:12" ht="13">
      <c r="A81" s="331">
        <v>26</v>
      </c>
      <c r="B81" s="330" t="s">
        <v>19</v>
      </c>
      <c r="D81" s="342"/>
      <c r="E81" s="195"/>
      <c r="F81" s="345">
        <f t="shared" ref="F81:L81" si="31">F78+F65</f>
        <v>4625622</v>
      </c>
      <c r="G81" s="347">
        <f>G78+G65</f>
        <v>2471100</v>
      </c>
      <c r="H81" s="347">
        <f t="shared" si="31"/>
        <v>1501384</v>
      </c>
      <c r="I81" s="345">
        <f t="shared" si="31"/>
        <v>653138</v>
      </c>
      <c r="J81" s="345">
        <f t="shared" si="31"/>
        <v>0</v>
      </c>
      <c r="K81" s="345">
        <f t="shared" si="31"/>
        <v>4625622</v>
      </c>
      <c r="L81" s="345">
        <f t="shared" si="31"/>
        <v>0</v>
      </c>
    </row>
    <row r="82" spans="1:12" ht="13">
      <c r="A82" s="331">
        <v>27</v>
      </c>
      <c r="D82" s="342"/>
      <c r="E82" s="195"/>
      <c r="G82" s="351"/>
      <c r="H82" s="351"/>
      <c r="I82" s="330"/>
    </row>
    <row r="83" spans="1:12" ht="13">
      <c r="A83" s="331">
        <v>28</v>
      </c>
      <c r="B83" s="330" t="s">
        <v>20</v>
      </c>
      <c r="D83" s="342"/>
      <c r="E83" s="195"/>
      <c r="G83" s="351"/>
      <c r="H83" s="351"/>
      <c r="I83" s="330"/>
    </row>
    <row r="84" spans="1:12" ht="13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3">
        <f>'FR-16(7)(v)-2 PROD Classified'!H84</f>
        <v>2861675</v>
      </c>
      <c r="G84" s="347">
        <f t="shared" ref="G84:G89" si="32">F84-SUM(H84:J84)</f>
        <v>1431782</v>
      </c>
      <c r="H84" s="347">
        <f>ROUND($F$84*VLOOKUP($D$84,ALLOCTABLE_Prod_Commodity,$H$10,FALSE),0)</f>
        <v>839930</v>
      </c>
      <c r="I84" s="345">
        <f t="shared" ref="I84:I89" si="33">ROUND(F84*VLOOKUP(D84,ALLOCTABLE_Prod_Commodity,$I$10,FALSE),0)</f>
        <v>589963</v>
      </c>
      <c r="J84" s="345">
        <f t="shared" ref="J84:J89" si="34">ROUND(F84*VLOOKUP(D84,ALLOCTABLE_Prod_Commodity,$J$10,FALSE),0)</f>
        <v>0</v>
      </c>
      <c r="K84" s="345">
        <f t="shared" ref="K84:K89" si="35">SUM(G84:J84)</f>
        <v>2861675</v>
      </c>
      <c r="L84" s="345">
        <f t="shared" ref="L84:L89" si="36">F84-K84</f>
        <v>0</v>
      </c>
    </row>
    <row r="85" spans="1:12" ht="13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3">
        <f>'FR-16(7)(v)-2 PROD Classified'!H85</f>
        <v>2108436</v>
      </c>
      <c r="G85" s="347">
        <f t="shared" si="32"/>
        <v>1316823</v>
      </c>
      <c r="H85" s="347">
        <f>ROUND($F$85*VLOOKUP($D$85,ALLOCTABLE_Prod_Commodity,$H$10,FALSE),0)</f>
        <v>772489</v>
      </c>
      <c r="I85" s="345">
        <f t="shared" si="33"/>
        <v>11154</v>
      </c>
      <c r="J85" s="345">
        <f t="shared" si="34"/>
        <v>7970</v>
      </c>
      <c r="K85" s="345">
        <f t="shared" si="35"/>
        <v>2108436</v>
      </c>
      <c r="L85" s="345">
        <f t="shared" si="36"/>
        <v>0</v>
      </c>
    </row>
    <row r="86" spans="1:12" ht="13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3">
        <f>'FR-16(7)(v)-2 PROD Classified'!H86</f>
        <v>0</v>
      </c>
      <c r="G86" s="347">
        <f t="shared" si="32"/>
        <v>0</v>
      </c>
      <c r="H86" s="347">
        <f>ROUND($F$86*VLOOKUP($D$86,ALLOCTABLE_Prod_Commodity,$H$10,FALSE),0)</f>
        <v>0</v>
      </c>
      <c r="I86" s="345">
        <f t="shared" si="33"/>
        <v>0</v>
      </c>
      <c r="J86" s="345">
        <f t="shared" si="34"/>
        <v>0</v>
      </c>
      <c r="K86" s="345">
        <f t="shared" si="35"/>
        <v>0</v>
      </c>
      <c r="L86" s="345">
        <f t="shared" si="36"/>
        <v>0</v>
      </c>
    </row>
    <row r="87" spans="1:12" ht="13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3">
        <f>'FR-16(7)(v)-2 PROD Classified'!H87</f>
        <v>0</v>
      </c>
      <c r="G87" s="347">
        <f t="shared" si="32"/>
        <v>0</v>
      </c>
      <c r="H87" s="347">
        <f>ROUND($F$87*VLOOKUP($D$87,ALLOCTABLE_Prod_Commodity,$H$10,FALSE),0)</f>
        <v>0</v>
      </c>
      <c r="I87" s="345">
        <f t="shared" si="33"/>
        <v>0</v>
      </c>
      <c r="J87" s="345">
        <f t="shared" si="34"/>
        <v>0</v>
      </c>
      <c r="K87" s="345">
        <f t="shared" si="35"/>
        <v>0</v>
      </c>
      <c r="L87" s="345">
        <f t="shared" si="36"/>
        <v>0</v>
      </c>
    </row>
    <row r="88" spans="1:12" ht="13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3">
        <f>'FR-16(7)(v)-2 PROD Classified'!H88</f>
        <v>0</v>
      </c>
      <c r="G88" s="347">
        <f t="shared" si="32"/>
        <v>0</v>
      </c>
      <c r="H88" s="347">
        <f>ROUND($F$88*VLOOKUP($D$88,ALLOCTABLE_Prod_Commodity,$H$10,FALSE),0)</f>
        <v>0</v>
      </c>
      <c r="I88" s="345">
        <f t="shared" si="33"/>
        <v>0</v>
      </c>
      <c r="J88" s="345">
        <f t="shared" si="34"/>
        <v>0</v>
      </c>
      <c r="K88" s="345">
        <f t="shared" si="35"/>
        <v>0</v>
      </c>
      <c r="L88" s="345">
        <f t="shared" si="36"/>
        <v>0</v>
      </c>
    </row>
    <row r="89" spans="1:12" ht="13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3">
        <f>'FR-16(7)(v)-2 PROD Classified'!H89</f>
        <v>0</v>
      </c>
      <c r="G89" s="347">
        <f t="shared" si="32"/>
        <v>0</v>
      </c>
      <c r="H89" s="347">
        <f>ROUND($F$89*VLOOKUP($D$89,ALLOCTABLE_Prod_Commodity,$H$10,FALSE),0)</f>
        <v>0</v>
      </c>
      <c r="I89" s="345">
        <f t="shared" si="33"/>
        <v>0</v>
      </c>
      <c r="J89" s="345">
        <f t="shared" si="34"/>
        <v>0</v>
      </c>
      <c r="K89" s="345">
        <f t="shared" si="35"/>
        <v>0</v>
      </c>
      <c r="L89" s="345">
        <f t="shared" si="36"/>
        <v>0</v>
      </c>
    </row>
    <row r="90" spans="1:12" ht="13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4">
        <f t="shared" ref="F90:L90" si="37">SUM(F84:F89)</f>
        <v>4970111</v>
      </c>
      <c r="G90" s="346">
        <f>SUM(G84:G89)</f>
        <v>2748605</v>
      </c>
      <c r="H90" s="346">
        <f t="shared" si="37"/>
        <v>1612419</v>
      </c>
      <c r="I90" s="346">
        <f t="shared" si="37"/>
        <v>601117</v>
      </c>
      <c r="J90" s="346">
        <f t="shared" si="37"/>
        <v>7970</v>
      </c>
      <c r="K90" s="346">
        <f t="shared" si="37"/>
        <v>4970111</v>
      </c>
      <c r="L90" s="346">
        <f t="shared" si="37"/>
        <v>0</v>
      </c>
    </row>
    <row r="91" spans="1:12" ht="13">
      <c r="A91" s="331">
        <v>36</v>
      </c>
      <c r="D91" s="342"/>
      <c r="E91" s="195"/>
      <c r="G91" s="351"/>
      <c r="H91" s="351"/>
      <c r="I91" s="330"/>
    </row>
    <row r="92" spans="1:12" ht="13">
      <c r="A92" s="331">
        <v>37</v>
      </c>
      <c r="B92" s="330" t="s">
        <v>21</v>
      </c>
      <c r="D92" s="342"/>
      <c r="E92" s="195"/>
      <c r="G92" s="351"/>
      <c r="H92" s="351"/>
      <c r="I92" s="330"/>
    </row>
    <row r="93" spans="1:12" ht="13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3">
        <f>'FR-16(7)(v)-2 PROD Classified'!H93</f>
        <v>920366</v>
      </c>
      <c r="G93" s="347">
        <f t="shared" ref="G93:G98" si="38">F93-SUM(H93:J93)</f>
        <v>460486</v>
      </c>
      <c r="H93" s="347">
        <f>ROUND($F$93*VLOOKUP($D$93,ALLOCTABLE_Prod_Commodity,$H$10,FALSE),0)</f>
        <v>270137</v>
      </c>
      <c r="I93" s="345">
        <f t="shared" ref="I93:I98" si="39">ROUND(F93*VLOOKUP(D93,ALLOCTABLE_Prod_Commodity,$I$10,FALSE),0)</f>
        <v>189743</v>
      </c>
      <c r="J93" s="345">
        <f t="shared" ref="J93:J98" si="40">ROUND(F93*VLOOKUP(D93,ALLOCTABLE_Prod_Commodity,$J$10,FALSE),0)</f>
        <v>0</v>
      </c>
      <c r="K93" s="345">
        <f t="shared" ref="K93:K98" si="41">SUM(G93:J93)</f>
        <v>920366</v>
      </c>
      <c r="L93" s="345">
        <f t="shared" ref="L93:L98" si="42">F93-K93</f>
        <v>0</v>
      </c>
    </row>
    <row r="94" spans="1:12" ht="13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3">
        <f>'FR-16(7)(v)-2 PROD Classified'!H94</f>
        <v>678111</v>
      </c>
      <c r="G94" s="347">
        <f t="shared" si="38"/>
        <v>423515</v>
      </c>
      <c r="H94" s="347">
        <f>ROUND($F$94*VLOOKUP($D$94,ALLOCTABLE_Prod_Commodity,$H$10,FALSE),0)</f>
        <v>248446</v>
      </c>
      <c r="I94" s="345">
        <f t="shared" si="39"/>
        <v>3587</v>
      </c>
      <c r="J94" s="345">
        <f t="shared" si="40"/>
        <v>2563</v>
      </c>
      <c r="K94" s="345">
        <f t="shared" si="41"/>
        <v>678111</v>
      </c>
      <c r="L94" s="345">
        <f t="shared" si="42"/>
        <v>0</v>
      </c>
    </row>
    <row r="95" spans="1:12" ht="13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3">
        <f>'FR-16(7)(v)-2 PROD Classified'!H95</f>
        <v>0</v>
      </c>
      <c r="G95" s="347">
        <f t="shared" si="38"/>
        <v>0</v>
      </c>
      <c r="H95" s="347">
        <f>ROUND($F$95*VLOOKUP($D$95,ALLOCTABLE_Prod_Commodity,$H$10,FALSE),0)</f>
        <v>0</v>
      </c>
      <c r="I95" s="345">
        <f t="shared" si="39"/>
        <v>0</v>
      </c>
      <c r="J95" s="345">
        <f t="shared" si="40"/>
        <v>0</v>
      </c>
      <c r="K95" s="345">
        <f t="shared" si="41"/>
        <v>0</v>
      </c>
      <c r="L95" s="345">
        <f t="shared" si="42"/>
        <v>0</v>
      </c>
    </row>
    <row r="96" spans="1:12" ht="13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3">
        <f>'FR-16(7)(v)-2 PROD Classified'!H96</f>
        <v>0</v>
      </c>
      <c r="G96" s="347">
        <f t="shared" si="38"/>
        <v>0</v>
      </c>
      <c r="H96" s="347">
        <f>ROUND($F$96*VLOOKUP($D$96,ALLOCTABLE_Prod_Commodity,$H$10,FALSE),0)</f>
        <v>0</v>
      </c>
      <c r="I96" s="345">
        <f t="shared" si="39"/>
        <v>0</v>
      </c>
      <c r="J96" s="345">
        <f t="shared" si="40"/>
        <v>0</v>
      </c>
      <c r="K96" s="345">
        <f t="shared" si="41"/>
        <v>0</v>
      </c>
      <c r="L96" s="345">
        <f t="shared" si="42"/>
        <v>0</v>
      </c>
    </row>
    <row r="97" spans="1:12" ht="13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3">
        <f>'FR-16(7)(v)-2 PROD Classified'!H97</f>
        <v>0</v>
      </c>
      <c r="G97" s="347">
        <f t="shared" si="38"/>
        <v>0</v>
      </c>
      <c r="H97" s="347">
        <f>ROUND($F$97*VLOOKUP($D$97,ALLOCTABLE_Prod_Commodity,$H$10,FALSE),0)</f>
        <v>0</v>
      </c>
      <c r="I97" s="345">
        <f t="shared" si="39"/>
        <v>0</v>
      </c>
      <c r="J97" s="345">
        <f t="shared" si="40"/>
        <v>0</v>
      </c>
      <c r="K97" s="345">
        <f t="shared" si="41"/>
        <v>0</v>
      </c>
      <c r="L97" s="345">
        <f t="shared" si="42"/>
        <v>0</v>
      </c>
    </row>
    <row r="98" spans="1:12" ht="13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3">
        <f>'FR-16(7)(v)-2 PROD Classified'!H98</f>
        <v>0</v>
      </c>
      <c r="G98" s="347">
        <f t="shared" si="38"/>
        <v>0</v>
      </c>
      <c r="H98" s="347">
        <f>ROUND($F$98*VLOOKUP($D$98,ALLOCTABLE_Prod_Commodity,$H$10,FALSE),0)</f>
        <v>0</v>
      </c>
      <c r="I98" s="345">
        <f t="shared" si="39"/>
        <v>0</v>
      </c>
      <c r="J98" s="345">
        <f t="shared" si="40"/>
        <v>0</v>
      </c>
      <c r="K98" s="345">
        <f t="shared" si="41"/>
        <v>0</v>
      </c>
      <c r="L98" s="345">
        <f t="shared" si="42"/>
        <v>0</v>
      </c>
    </row>
    <row r="99" spans="1:12" ht="13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L99" si="43">SUM(F93:F98)</f>
        <v>1598477</v>
      </c>
      <c r="G99" s="346">
        <f>SUM(G93:G98)</f>
        <v>884001</v>
      </c>
      <c r="H99" s="346">
        <f t="shared" si="43"/>
        <v>518583</v>
      </c>
      <c r="I99" s="346">
        <f t="shared" si="43"/>
        <v>193330</v>
      </c>
      <c r="J99" s="346">
        <f t="shared" si="43"/>
        <v>2563</v>
      </c>
      <c r="K99" s="346">
        <f t="shared" si="43"/>
        <v>1598477</v>
      </c>
      <c r="L99" s="346">
        <f t="shared" si="43"/>
        <v>0</v>
      </c>
    </row>
    <row r="100" spans="1:12" ht="13">
      <c r="A100" s="331">
        <v>45</v>
      </c>
      <c r="E100" s="195"/>
      <c r="G100" s="351"/>
      <c r="H100" s="351"/>
      <c r="I100" s="330"/>
    </row>
    <row r="101" spans="1:12" ht="13">
      <c r="A101" s="331">
        <v>46</v>
      </c>
      <c r="B101" s="330" t="s">
        <v>95</v>
      </c>
      <c r="E101" s="195"/>
      <c r="F101" s="345">
        <f t="shared" ref="F101:L101" si="44">F81+F90+F99</f>
        <v>11194210</v>
      </c>
      <c r="G101" s="347">
        <f>G81+G90+G99</f>
        <v>6103706</v>
      </c>
      <c r="H101" s="347">
        <f t="shared" si="44"/>
        <v>3632386</v>
      </c>
      <c r="I101" s="345">
        <f t="shared" si="44"/>
        <v>1447585</v>
      </c>
      <c r="J101" s="345">
        <f t="shared" si="44"/>
        <v>10533</v>
      </c>
      <c r="K101" s="345">
        <f t="shared" si="44"/>
        <v>11194210</v>
      </c>
      <c r="L101" s="345">
        <f t="shared" si="44"/>
        <v>0</v>
      </c>
    </row>
    <row r="102" spans="1:12" ht="13">
      <c r="B102" s="341"/>
      <c r="C102" s="195"/>
      <c r="D102" s="342"/>
      <c r="E102" s="195"/>
      <c r="G102" s="195"/>
      <c r="H102" s="195"/>
      <c r="I102" s="195"/>
      <c r="J102" s="342"/>
      <c r="K102" s="195"/>
      <c r="L102" s="195"/>
    </row>
    <row r="103" spans="1:12" ht="13">
      <c r="A103" s="341" t="str">
        <f>co_name</f>
        <v>DUKE ENERGY KENTUCKY, INC.</v>
      </c>
      <c r="C103" s="195"/>
      <c r="D103" s="342"/>
      <c r="E103" s="195"/>
      <c r="F103" s="342"/>
      <c r="G103" s="340"/>
      <c r="H103" s="340"/>
      <c r="I103" s="195"/>
      <c r="K103" s="359" t="str">
        <f>$K$1</f>
        <v>FR-16(7)(v)-3</v>
      </c>
      <c r="L103" s="195"/>
    </row>
    <row r="104" spans="1:12" ht="13">
      <c r="A104" s="341" t="str">
        <f>$A$2</f>
        <v>PRODUCTION COMMODITY ALLOCATED - GAS COST OF SERVICE</v>
      </c>
      <c r="C104" s="195"/>
      <c r="D104" s="342"/>
      <c r="E104" s="195"/>
      <c r="F104" s="342"/>
      <c r="G104" s="340"/>
      <c r="H104" s="340"/>
      <c r="I104" s="195"/>
      <c r="K104" s="359" t="str">
        <f>$K$2</f>
        <v>WITNESS RESPONSIBLE:</v>
      </c>
      <c r="L104" s="195"/>
    </row>
    <row r="105" spans="1:12" ht="13">
      <c r="A105" s="341" t="str">
        <f>case_name</f>
        <v>CASE NO: 2021-00190</v>
      </c>
      <c r="C105" s="195"/>
      <c r="D105" s="342"/>
      <c r="E105" s="195"/>
      <c r="F105" s="342"/>
      <c r="G105" s="340"/>
      <c r="H105" s="340"/>
      <c r="I105" s="195"/>
      <c r="K105" s="359" t="str">
        <f>Witness</f>
        <v>JAMES E. ZIOLKOWSKI</v>
      </c>
      <c r="L105" s="195"/>
    </row>
    <row r="106" spans="1:12" ht="13">
      <c r="A106" s="341" t="str">
        <f>data_filing</f>
        <v>DATA: 12 MONTH FORECASTED PERIOD</v>
      </c>
      <c r="C106" s="195"/>
      <c r="D106" s="342"/>
      <c r="E106" s="195"/>
      <c r="F106" s="342"/>
      <c r="G106" s="340"/>
      <c r="H106" s="340"/>
      <c r="I106" s="195"/>
      <c r="K106" s="359" t="str">
        <f>"PAGE "&amp;Pages-15&amp;" OF "&amp;Pages</f>
        <v>PAGE 3 OF 18</v>
      </c>
      <c r="L106" s="195"/>
    </row>
    <row r="107" spans="1:12" ht="13">
      <c r="A107" s="341" t="str">
        <f>type</f>
        <v xml:space="preserve">TYPE OF FILING: "X" ORIGINAL   UPDATED    REVISED  </v>
      </c>
      <c r="C107" s="195"/>
      <c r="D107" s="342"/>
      <c r="E107" s="195"/>
      <c r="F107" s="342"/>
      <c r="G107" s="340"/>
      <c r="H107" s="340"/>
      <c r="I107" s="195"/>
      <c r="J107" s="342"/>
      <c r="K107" s="195"/>
      <c r="L107" s="195"/>
    </row>
    <row r="108" spans="1:12" ht="13">
      <c r="A108" s="341"/>
      <c r="C108" s="195"/>
      <c r="D108" s="342"/>
      <c r="E108" s="195"/>
      <c r="F108" s="342"/>
      <c r="G108" s="340"/>
      <c r="H108" s="340"/>
      <c r="I108" s="195"/>
      <c r="J108" s="342"/>
      <c r="K108" s="195"/>
      <c r="L108" s="195"/>
    </row>
    <row r="109" spans="1:12" ht="13">
      <c r="B109" s="341"/>
      <c r="C109" s="195"/>
      <c r="D109" s="342"/>
      <c r="E109" s="195"/>
      <c r="F109" s="342" t="str">
        <f>$F$7</f>
        <v>TOTAL</v>
      </c>
      <c r="G109" s="195"/>
      <c r="H109" s="195"/>
      <c r="I109" s="195"/>
      <c r="J109" s="342"/>
      <c r="K109" s="195"/>
      <c r="L109" s="195"/>
    </row>
    <row r="110" spans="1:12" ht="13">
      <c r="A110" s="342" t="s">
        <v>907</v>
      </c>
      <c r="B110" s="195"/>
      <c r="C110" s="195"/>
      <c r="D110" s="342"/>
      <c r="E110" s="195"/>
      <c r="F110" s="342" t="str">
        <f>$F$8</f>
        <v>PRODUCTION</v>
      </c>
      <c r="G110" s="342" t="s">
        <v>417</v>
      </c>
      <c r="H110" s="342" t="s">
        <v>857</v>
      </c>
      <c r="I110" s="342" t="s">
        <v>858</v>
      </c>
      <c r="J110" s="342" t="s">
        <v>546</v>
      </c>
      <c r="K110" s="342" t="s">
        <v>229</v>
      </c>
      <c r="L110" s="342" t="s">
        <v>342</v>
      </c>
    </row>
    <row r="111" spans="1:12" ht="13">
      <c r="A111" s="344" t="s">
        <v>908</v>
      </c>
      <c r="B111" s="343" t="s">
        <v>22</v>
      </c>
      <c r="C111" s="343"/>
      <c r="D111" s="344" t="s">
        <v>337</v>
      </c>
      <c r="E111" s="343"/>
      <c r="F111" s="342" t="str">
        <f>$F$9</f>
        <v>COMMODITY</v>
      </c>
      <c r="G111" s="344" t="s">
        <v>338</v>
      </c>
      <c r="H111" s="344" t="s">
        <v>404</v>
      </c>
      <c r="I111" s="344" t="s">
        <v>404</v>
      </c>
      <c r="J111" s="344" t="s">
        <v>547</v>
      </c>
      <c r="K111" s="344" t="s">
        <v>341</v>
      </c>
      <c r="L111" s="344" t="s">
        <v>340</v>
      </c>
    </row>
    <row r="112" spans="1:12" ht="13">
      <c r="C112" s="572" t="s">
        <v>345</v>
      </c>
      <c r="D112" s="342"/>
      <c r="E112" s="195"/>
      <c r="F112" s="755"/>
      <c r="G112" s="627">
        <f>$G$10</f>
        <v>3</v>
      </c>
      <c r="H112" s="627">
        <f>$H$10</f>
        <v>4</v>
      </c>
      <c r="I112" s="627">
        <f>$I$10</f>
        <v>5</v>
      </c>
      <c r="J112" s="627">
        <f>$J$10</f>
        <v>6</v>
      </c>
    </row>
    <row r="113" spans="1:12" ht="13">
      <c r="A113" s="331">
        <v>1</v>
      </c>
      <c r="B113" s="330" t="s">
        <v>14</v>
      </c>
      <c r="D113" s="342"/>
      <c r="E113" s="195"/>
      <c r="I113" s="330"/>
    </row>
    <row r="114" spans="1:12" ht="13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3">
        <f>'FR-16(7)(v)-2 PROD Classified'!H114</f>
        <v>2553891</v>
      </c>
      <c r="G114" s="347">
        <f>F114-SUM(H114:J114)</f>
        <v>1364340</v>
      </c>
      <c r="H114" s="345">
        <f>ROUND($F$114*VLOOKUP($D$114,ALLOCTABLE_Prod_Commodity,$H$10,FALSE),0)</f>
        <v>828942</v>
      </c>
      <c r="I114" s="345">
        <f>ROUND(F114*VLOOKUP(D114,ALLOCTABLE_Prod_Commodity,$I$10,FALSE),0)</f>
        <v>360609</v>
      </c>
      <c r="J114" s="345">
        <f>ROUND(F114*VLOOKUP(D114,ALLOCTABLE_Prod_Commodity,$J$10,FALSE),0)</f>
        <v>0</v>
      </c>
      <c r="K114" s="345">
        <f>SUM(G114:J114)</f>
        <v>2553891</v>
      </c>
      <c r="L114" s="345">
        <f>F114-K114</f>
        <v>0</v>
      </c>
    </row>
    <row r="115" spans="1:12" ht="13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L115" si="45">SUM(F114:F114)</f>
        <v>2553891</v>
      </c>
      <c r="G115" s="346">
        <f>SUM(G114:G114)</f>
        <v>1364340</v>
      </c>
      <c r="H115" s="346">
        <f t="shared" si="45"/>
        <v>828942</v>
      </c>
      <c r="I115" s="346">
        <f t="shared" si="45"/>
        <v>360609</v>
      </c>
      <c r="J115" s="346">
        <f t="shared" si="45"/>
        <v>0</v>
      </c>
      <c r="K115" s="346">
        <f t="shared" si="45"/>
        <v>2553891</v>
      </c>
      <c r="L115" s="346">
        <f t="shared" si="45"/>
        <v>0</v>
      </c>
    </row>
    <row r="116" spans="1:12" ht="13">
      <c r="A116" s="331">
        <v>4</v>
      </c>
      <c r="D116" s="342"/>
      <c r="E116" s="195"/>
      <c r="I116" s="330"/>
    </row>
    <row r="117" spans="1:12" ht="13">
      <c r="A117" s="331">
        <v>5</v>
      </c>
      <c r="B117" s="330" t="s">
        <v>15</v>
      </c>
      <c r="D117" s="342"/>
      <c r="E117" s="195"/>
      <c r="I117" s="330"/>
    </row>
    <row r="118" spans="1:12" ht="13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1"/>
      <c r="G118" s="345"/>
      <c r="H118" s="345"/>
      <c r="I118" s="345"/>
      <c r="J118" s="345"/>
      <c r="K118" s="345"/>
      <c r="L118" s="345"/>
    </row>
    <row r="119" spans="1:12" ht="13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L119" si="46">SUM(F118:F118)</f>
        <v>0</v>
      </c>
      <c r="G119" s="346">
        <f>SUM(G118:G118)</f>
        <v>0</v>
      </c>
      <c r="H119" s="346">
        <f t="shared" si="46"/>
        <v>0</v>
      </c>
      <c r="I119" s="346">
        <f t="shared" si="46"/>
        <v>0</v>
      </c>
      <c r="J119" s="346">
        <f t="shared" si="46"/>
        <v>0</v>
      </c>
      <c r="K119" s="346">
        <f t="shared" si="46"/>
        <v>0</v>
      </c>
      <c r="L119" s="346">
        <f t="shared" si="46"/>
        <v>0</v>
      </c>
    </row>
    <row r="120" spans="1:12" ht="13">
      <c r="A120" s="331">
        <v>8</v>
      </c>
      <c r="D120" s="342"/>
      <c r="E120" s="195"/>
      <c r="I120" s="330"/>
    </row>
    <row r="121" spans="1:12" ht="13">
      <c r="A121" s="331">
        <v>9</v>
      </c>
      <c r="B121" s="330" t="s">
        <v>17</v>
      </c>
      <c r="D121" s="342"/>
      <c r="E121" s="195"/>
      <c r="I121" s="330"/>
    </row>
    <row r="122" spans="1:12" ht="13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3">
        <f>'FR-16(7)(v)-2 PROD Classified'!H122</f>
        <v>0</v>
      </c>
      <c r="G122" s="347">
        <f t="shared" ref="G122:G130" si="47">F122-SUM(H122:J122)</f>
        <v>0</v>
      </c>
      <c r="H122" s="345">
        <f>ROUND($F$122*VLOOKUP($D$122,ALLOCTABLE_Prod_Commodity,$H$10,FALSE),0)</f>
        <v>0</v>
      </c>
      <c r="I122" s="345">
        <f t="shared" ref="I122:I130" si="48">ROUND(F122*VLOOKUP(D122,ALLOCTABLE_Prod_Commodity,$I$10,FALSE),0)</f>
        <v>0</v>
      </c>
      <c r="J122" s="345">
        <f t="shared" ref="J122:J130" si="49">ROUND(F122*VLOOKUP(D122,ALLOCTABLE_Prod_Commodity,$J$10,FALSE),0)</f>
        <v>0</v>
      </c>
      <c r="K122" s="345">
        <f t="shared" ref="K122:K130" si="50">SUM(G122:J122)</f>
        <v>0</v>
      </c>
      <c r="L122" s="345">
        <f t="shared" ref="L122:L130" si="51">F122-K122</f>
        <v>0</v>
      </c>
    </row>
    <row r="123" spans="1:12" ht="13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3">
        <f>'FR-16(7)(v)-2 PROD Classified'!H123</f>
        <v>0</v>
      </c>
      <c r="G123" s="347">
        <f t="shared" si="47"/>
        <v>0</v>
      </c>
      <c r="H123" s="345">
        <f>ROUND($F$123*VLOOKUP($D$123,ALLOCTABLE_Prod_Commodity,$H$10,FALSE),0)</f>
        <v>0</v>
      </c>
      <c r="I123" s="345">
        <f t="shared" si="48"/>
        <v>0</v>
      </c>
      <c r="J123" s="345">
        <f t="shared" si="49"/>
        <v>0</v>
      </c>
      <c r="K123" s="345">
        <f t="shared" si="50"/>
        <v>0</v>
      </c>
      <c r="L123" s="345">
        <f t="shared" si="51"/>
        <v>0</v>
      </c>
    </row>
    <row r="124" spans="1:12" ht="13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3">
        <f>'FR-16(7)(v)-2 PROD Classified'!H124</f>
        <v>0</v>
      </c>
      <c r="G124" s="347">
        <f t="shared" si="47"/>
        <v>0</v>
      </c>
      <c r="H124" s="345">
        <f>ROUND($F$124*VLOOKUP($D$124,ALLOCTABLE_Prod_Commodity,$H$10,FALSE),0)</f>
        <v>0</v>
      </c>
      <c r="I124" s="345">
        <f t="shared" si="48"/>
        <v>0</v>
      </c>
      <c r="J124" s="345">
        <f t="shared" si="49"/>
        <v>0</v>
      </c>
      <c r="K124" s="345">
        <f t="shared" si="50"/>
        <v>0</v>
      </c>
      <c r="L124" s="345">
        <f t="shared" si="51"/>
        <v>0</v>
      </c>
    </row>
    <row r="125" spans="1:12" ht="13">
      <c r="A125" s="331">
        <v>13</v>
      </c>
      <c r="C125" s="330" t="str">
        <f>'FR-16(7)(v)-1 Functional'!C125</f>
        <v>MAINS - (2761, 2762, 2763, 2765)</v>
      </c>
      <c r="D125" s="342" t="str">
        <f>'FR-16(7)(v)-1 Functional'!D125</f>
        <v>K415</v>
      </c>
      <c r="E125" s="195"/>
      <c r="F125" s="473">
        <f>'FR-16(7)(v)-2 PROD Classified'!H125</f>
        <v>0</v>
      </c>
      <c r="G125" s="347">
        <f t="shared" si="47"/>
        <v>0</v>
      </c>
      <c r="H125" s="345">
        <f>ROUND($F$125*VLOOKUP($D$125,ALLOCTABLE_Prod_Commodity,$H$10,FALSE),0)</f>
        <v>0</v>
      </c>
      <c r="I125" s="345">
        <f t="shared" si="48"/>
        <v>0</v>
      </c>
      <c r="J125" s="345">
        <f t="shared" si="49"/>
        <v>0</v>
      </c>
      <c r="K125" s="345">
        <f t="shared" si="50"/>
        <v>0</v>
      </c>
      <c r="L125" s="345">
        <f t="shared" si="51"/>
        <v>0</v>
      </c>
    </row>
    <row r="126" spans="1:12" ht="13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3">
        <f>'FR-16(7)(v)-2 PROD Classified'!H126</f>
        <v>0</v>
      </c>
      <c r="G126" s="347">
        <f t="shared" si="47"/>
        <v>0</v>
      </c>
      <c r="H126" s="345">
        <f>ROUND($F$126*VLOOKUP($D$126,ALLOCTABLE_Prod_Commodity,$H$10,FALSE),0)</f>
        <v>0</v>
      </c>
      <c r="I126" s="345">
        <f t="shared" si="48"/>
        <v>0</v>
      </c>
      <c r="J126" s="345">
        <f t="shared" si="49"/>
        <v>0</v>
      </c>
      <c r="K126" s="345">
        <f t="shared" si="50"/>
        <v>0</v>
      </c>
      <c r="L126" s="345">
        <f t="shared" si="51"/>
        <v>0</v>
      </c>
    </row>
    <row r="127" spans="1:12" ht="13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3">
        <f>'FR-16(7)(v)-2 PROD Classified'!H127</f>
        <v>0</v>
      </c>
      <c r="G127" s="347">
        <f t="shared" si="47"/>
        <v>0</v>
      </c>
      <c r="H127" s="345">
        <f>ROUND($F$127*VLOOKUP($D$127,ALLOCTABLE_Prod_Commodity,$H$10,FALSE),0)</f>
        <v>0</v>
      </c>
      <c r="I127" s="345">
        <f t="shared" si="48"/>
        <v>0</v>
      </c>
      <c r="J127" s="345">
        <f t="shared" si="49"/>
        <v>0</v>
      </c>
      <c r="K127" s="345">
        <f t="shared" si="50"/>
        <v>0</v>
      </c>
      <c r="L127" s="345">
        <f t="shared" si="51"/>
        <v>0</v>
      </c>
    </row>
    <row r="128" spans="1:12" ht="13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3">
        <f>'FR-16(7)(v)-2 PROD Classified'!H128</f>
        <v>0</v>
      </c>
      <c r="G128" s="347">
        <f t="shared" si="47"/>
        <v>0</v>
      </c>
      <c r="H128" s="345">
        <f>ROUND($F$128*VLOOKUP($D$128,ALLOCTABLE_Prod_Commodity,$H$10,FALSE),0)</f>
        <v>0</v>
      </c>
      <c r="I128" s="345">
        <f t="shared" si="48"/>
        <v>0</v>
      </c>
      <c r="J128" s="345">
        <f t="shared" si="49"/>
        <v>0</v>
      </c>
      <c r="K128" s="345">
        <f t="shared" si="50"/>
        <v>0</v>
      </c>
      <c r="L128" s="345">
        <f t="shared" si="51"/>
        <v>0</v>
      </c>
    </row>
    <row r="129" spans="1:12" ht="13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3">
        <f>'FR-16(7)(v)-2 PROD Classified'!H129</f>
        <v>0</v>
      </c>
      <c r="G129" s="347">
        <f t="shared" si="47"/>
        <v>0</v>
      </c>
      <c r="H129" s="345">
        <f>ROUND($F$129*VLOOKUP($D$129,ALLOCTABLE_Prod_Commodity,$H$10,FALSE),0)</f>
        <v>0</v>
      </c>
      <c r="I129" s="345">
        <f t="shared" si="48"/>
        <v>0</v>
      </c>
      <c r="J129" s="345">
        <f t="shared" si="49"/>
        <v>0</v>
      </c>
      <c r="K129" s="345">
        <f t="shared" si="50"/>
        <v>0</v>
      </c>
      <c r="L129" s="345">
        <f t="shared" si="51"/>
        <v>0</v>
      </c>
    </row>
    <row r="130" spans="1:12" ht="13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3">
        <f>'FR-16(7)(v)-2 PROD Classified'!H130</f>
        <v>0</v>
      </c>
      <c r="G130" s="347">
        <f t="shared" si="47"/>
        <v>0</v>
      </c>
      <c r="H130" s="345">
        <f>ROUND($F$130*VLOOKUP($D$130,ALLOCTABLE_Prod_Commodity,$H$10,FALSE),0)</f>
        <v>0</v>
      </c>
      <c r="I130" s="345">
        <f t="shared" si="48"/>
        <v>0</v>
      </c>
      <c r="J130" s="345">
        <f t="shared" si="49"/>
        <v>0</v>
      </c>
      <c r="K130" s="345">
        <f t="shared" si="50"/>
        <v>0</v>
      </c>
      <c r="L130" s="345">
        <f t="shared" si="51"/>
        <v>0</v>
      </c>
    </row>
    <row r="131" spans="1:12" ht="13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L131" si="52">SUM(F121:F130)</f>
        <v>0</v>
      </c>
      <c r="G131" s="346">
        <f>SUM(G121:G130)</f>
        <v>0</v>
      </c>
      <c r="H131" s="346">
        <f t="shared" si="52"/>
        <v>0</v>
      </c>
      <c r="I131" s="346">
        <f t="shared" si="52"/>
        <v>0</v>
      </c>
      <c r="J131" s="346">
        <f t="shared" si="52"/>
        <v>0</v>
      </c>
      <c r="K131" s="346">
        <f t="shared" si="52"/>
        <v>0</v>
      </c>
      <c r="L131" s="346">
        <f t="shared" si="52"/>
        <v>0</v>
      </c>
    </row>
    <row r="132" spans="1:12" ht="13">
      <c r="A132" s="331">
        <v>20</v>
      </c>
      <c r="D132" s="342"/>
      <c r="E132" s="195"/>
      <c r="I132" s="330"/>
    </row>
    <row r="133" spans="1:12" ht="13">
      <c r="A133" s="331">
        <v>21</v>
      </c>
      <c r="B133" s="330" t="s">
        <v>20</v>
      </c>
      <c r="D133" s="342"/>
      <c r="E133" s="195"/>
      <c r="I133" s="330"/>
    </row>
    <row r="134" spans="1:12" ht="13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3">
        <f>'FR-16(7)(v)-2 PROD Classified'!H134</f>
        <v>1408783</v>
      </c>
      <c r="G134" s="347">
        <f t="shared" ref="G134:G139" si="53">F134-SUM(H134:J134)</f>
        <v>704856</v>
      </c>
      <c r="H134" s="345">
        <f>ROUND($F$134*VLOOKUP($D$134,ALLOCTABLE_Prod_Commodity,$H$10,FALSE),0)</f>
        <v>413492</v>
      </c>
      <c r="I134" s="345">
        <f t="shared" ref="I134:I139" si="54">ROUND(F134*VLOOKUP(D134,ALLOCTABLE_Prod_Commodity,$I$10,FALSE),0)</f>
        <v>290435</v>
      </c>
      <c r="J134" s="345">
        <f t="shared" ref="J134:J139" si="55">ROUND(F134*VLOOKUP(D134,ALLOCTABLE_Prod_Commodity,$J$10,FALSE),0)</f>
        <v>0</v>
      </c>
      <c r="K134" s="345">
        <f t="shared" ref="K134:K139" si="56">SUM(G134:J134)</f>
        <v>1408783</v>
      </c>
      <c r="L134" s="345">
        <f t="shared" ref="L134:L139" si="57">F134-K134</f>
        <v>0</v>
      </c>
    </row>
    <row r="135" spans="1:12" ht="13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3">
        <f>'FR-16(7)(v)-2 PROD Classified'!H135</f>
        <v>1037967</v>
      </c>
      <c r="G135" s="347">
        <f t="shared" si="53"/>
        <v>648262</v>
      </c>
      <c r="H135" s="345">
        <f>ROUND($F$135*VLOOKUP($D$135,ALLOCTABLE_Prod_Commodity,$H$10,FALSE),0)</f>
        <v>380290</v>
      </c>
      <c r="I135" s="345">
        <f t="shared" si="54"/>
        <v>5491</v>
      </c>
      <c r="J135" s="345">
        <f t="shared" si="55"/>
        <v>3924</v>
      </c>
      <c r="K135" s="345">
        <f t="shared" si="56"/>
        <v>1037967</v>
      </c>
      <c r="L135" s="345">
        <f t="shared" si="57"/>
        <v>0</v>
      </c>
    </row>
    <row r="136" spans="1:12" ht="13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3">
        <f>'FR-16(7)(v)-2 PROD Classified'!H136</f>
        <v>0</v>
      </c>
      <c r="G136" s="347">
        <f t="shared" si="53"/>
        <v>0</v>
      </c>
      <c r="H136" s="345">
        <f>ROUND($F$136*VLOOKUP($D$136,ALLOCTABLE_Prod_Commodity,$H$10,FALSE),0)</f>
        <v>0</v>
      </c>
      <c r="I136" s="345">
        <f t="shared" si="54"/>
        <v>0</v>
      </c>
      <c r="J136" s="345">
        <f t="shared" si="55"/>
        <v>0</v>
      </c>
      <c r="K136" s="345">
        <f t="shared" si="56"/>
        <v>0</v>
      </c>
      <c r="L136" s="345">
        <f t="shared" si="57"/>
        <v>0</v>
      </c>
    </row>
    <row r="137" spans="1:12" ht="13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3">
        <f>'FR-16(7)(v)-2 PROD Classified'!H137</f>
        <v>0</v>
      </c>
      <c r="G137" s="347">
        <f t="shared" si="53"/>
        <v>0</v>
      </c>
      <c r="H137" s="345">
        <f>ROUND($F$137*VLOOKUP($D$137,ALLOCTABLE_Prod_Commodity,$H$10,FALSE),0)</f>
        <v>0</v>
      </c>
      <c r="I137" s="345">
        <f t="shared" si="54"/>
        <v>0</v>
      </c>
      <c r="J137" s="345">
        <f t="shared" si="55"/>
        <v>0</v>
      </c>
      <c r="K137" s="345">
        <f t="shared" si="56"/>
        <v>0</v>
      </c>
      <c r="L137" s="345">
        <f t="shared" si="57"/>
        <v>0</v>
      </c>
    </row>
    <row r="138" spans="1:12" ht="13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3">
        <f>'FR-16(7)(v)-2 PROD Classified'!H138</f>
        <v>0</v>
      </c>
      <c r="G138" s="347">
        <f t="shared" si="53"/>
        <v>0</v>
      </c>
      <c r="H138" s="345">
        <f>ROUND($F$138*VLOOKUP($D$138,ALLOCTABLE_Prod_Commodity,$H$10,FALSE),0)</f>
        <v>0</v>
      </c>
      <c r="I138" s="345">
        <f t="shared" si="54"/>
        <v>0</v>
      </c>
      <c r="J138" s="345">
        <f t="shared" si="55"/>
        <v>0</v>
      </c>
      <c r="K138" s="345">
        <f t="shared" si="56"/>
        <v>0</v>
      </c>
      <c r="L138" s="345">
        <f t="shared" si="57"/>
        <v>0</v>
      </c>
    </row>
    <row r="139" spans="1:12" ht="13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3">
        <f>'FR-16(7)(v)-2 PROD Classified'!H139</f>
        <v>0</v>
      </c>
      <c r="G139" s="347">
        <f t="shared" si="53"/>
        <v>0</v>
      </c>
      <c r="H139" s="345">
        <f>ROUND($F$139*VLOOKUP($D$139,ALLOCTABLE_Prod_Commodity,$H$10,FALSE),0)</f>
        <v>0</v>
      </c>
      <c r="I139" s="345">
        <f t="shared" si="54"/>
        <v>0</v>
      </c>
      <c r="J139" s="345">
        <f t="shared" si="55"/>
        <v>0</v>
      </c>
      <c r="K139" s="345">
        <f t="shared" si="56"/>
        <v>0</v>
      </c>
      <c r="L139" s="345">
        <f t="shared" si="57"/>
        <v>0</v>
      </c>
    </row>
    <row r="140" spans="1:12" ht="13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L140" si="58">SUM(F133:F139)</f>
        <v>2446750</v>
      </c>
      <c r="G140" s="346">
        <f>SUM(G133:G139)</f>
        <v>1353118</v>
      </c>
      <c r="H140" s="346">
        <f t="shared" si="58"/>
        <v>793782</v>
      </c>
      <c r="I140" s="346">
        <f t="shared" si="58"/>
        <v>295926</v>
      </c>
      <c r="J140" s="346">
        <f t="shared" si="58"/>
        <v>3924</v>
      </c>
      <c r="K140" s="346">
        <f t="shared" si="58"/>
        <v>2446750</v>
      </c>
      <c r="L140" s="346">
        <f t="shared" si="58"/>
        <v>0</v>
      </c>
    </row>
    <row r="141" spans="1:12" ht="13">
      <c r="A141" s="331">
        <v>29</v>
      </c>
      <c r="C141" s="363"/>
      <c r="D141" s="342"/>
      <c r="E141" s="195"/>
      <c r="I141" s="330"/>
    </row>
    <row r="142" spans="1:12" ht="13">
      <c r="A142" s="331">
        <v>30</v>
      </c>
      <c r="B142" s="330" t="s">
        <v>21</v>
      </c>
      <c r="C142" s="363"/>
      <c r="D142" s="342"/>
      <c r="E142" s="195"/>
      <c r="I142" s="330"/>
    </row>
    <row r="143" spans="1:12" ht="13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3">
        <f>'FR-16(7)(v)-2 PROD Classified'!H143</f>
        <v>644301</v>
      </c>
      <c r="G143" s="347">
        <f t="shared" ref="G143:G148" si="59">F143-SUM(H143:J143)</f>
        <v>322363</v>
      </c>
      <c r="H143" s="345">
        <f>ROUND($F$143*VLOOKUP($D$143,ALLOCTABLE_Prod_Commodity,$H$10,FALSE),0)</f>
        <v>189109</v>
      </c>
      <c r="I143" s="345">
        <f t="shared" ref="I143:I148" si="60">ROUND(F143*VLOOKUP(D143,ALLOCTABLE_Prod_Commodity,$I$10,FALSE),0)</f>
        <v>132829</v>
      </c>
      <c r="J143" s="345">
        <f t="shared" ref="J143:J148" si="61">ROUND(F143*VLOOKUP(D143,ALLOCTABLE_Prod_Commodity,$J$10,FALSE),0)</f>
        <v>0</v>
      </c>
      <c r="K143" s="345">
        <f t="shared" ref="K143:K148" si="62">SUM(G143:J143)</f>
        <v>644301</v>
      </c>
      <c r="L143" s="345">
        <f t="shared" ref="L143:L148" si="63">F143-K143</f>
        <v>0</v>
      </c>
    </row>
    <row r="144" spans="1:12" ht="13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3">
        <f>'FR-16(7)(v)-2 PROD Classified'!H144</f>
        <v>474711</v>
      </c>
      <c r="G144" s="347">
        <f t="shared" si="59"/>
        <v>296481</v>
      </c>
      <c r="H144" s="345">
        <f>ROUND($F$144*VLOOKUP($D$144,ALLOCTABLE_Prod_Commodity,$H$10,FALSE),0)</f>
        <v>173925</v>
      </c>
      <c r="I144" s="345">
        <f t="shared" si="60"/>
        <v>2511</v>
      </c>
      <c r="J144" s="345">
        <f t="shared" si="61"/>
        <v>1794</v>
      </c>
      <c r="K144" s="345">
        <f t="shared" si="62"/>
        <v>474711</v>
      </c>
      <c r="L144" s="345">
        <f t="shared" si="63"/>
        <v>0</v>
      </c>
    </row>
    <row r="145" spans="1:12" ht="13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3">
        <f>'FR-16(7)(v)-2 PROD Classified'!H145</f>
        <v>0</v>
      </c>
      <c r="G145" s="347">
        <f t="shared" si="59"/>
        <v>0</v>
      </c>
      <c r="H145" s="345">
        <f>ROUND($F$145*VLOOKUP($D$145,ALLOCTABLE_Prod_Commodity,$H$10,FALSE),0)</f>
        <v>0</v>
      </c>
      <c r="I145" s="345">
        <f t="shared" si="60"/>
        <v>0</v>
      </c>
      <c r="J145" s="345">
        <f t="shared" si="61"/>
        <v>0</v>
      </c>
      <c r="K145" s="345">
        <f t="shared" si="62"/>
        <v>0</v>
      </c>
      <c r="L145" s="345">
        <f t="shared" si="63"/>
        <v>0</v>
      </c>
    </row>
    <row r="146" spans="1:12" ht="13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3">
        <f>'FR-16(7)(v)-2 PROD Classified'!H146</f>
        <v>0</v>
      </c>
      <c r="G146" s="347">
        <f t="shared" si="59"/>
        <v>0</v>
      </c>
      <c r="H146" s="345">
        <f>ROUND($F$146*VLOOKUP($D$146,ALLOCTABLE_Prod_Commodity,$H$10,FALSE),0)</f>
        <v>0</v>
      </c>
      <c r="I146" s="345">
        <f t="shared" si="60"/>
        <v>0</v>
      </c>
      <c r="J146" s="345">
        <f t="shared" si="61"/>
        <v>0</v>
      </c>
      <c r="K146" s="345">
        <f t="shared" si="62"/>
        <v>0</v>
      </c>
      <c r="L146" s="345">
        <f t="shared" si="63"/>
        <v>0</v>
      </c>
    </row>
    <row r="147" spans="1:12" ht="13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3">
        <f>'FR-16(7)(v)-2 PROD Classified'!H147</f>
        <v>0</v>
      </c>
      <c r="G147" s="347">
        <f t="shared" si="59"/>
        <v>0</v>
      </c>
      <c r="H147" s="345">
        <f>ROUND($F$147*VLOOKUP($D$147,ALLOCTABLE_Prod_Commodity,$H$10,FALSE),0)</f>
        <v>0</v>
      </c>
      <c r="I147" s="345">
        <f t="shared" si="60"/>
        <v>0</v>
      </c>
      <c r="J147" s="345">
        <f t="shared" si="61"/>
        <v>0</v>
      </c>
      <c r="K147" s="345">
        <f t="shared" si="62"/>
        <v>0</v>
      </c>
      <c r="L147" s="345">
        <f t="shared" si="63"/>
        <v>0</v>
      </c>
    </row>
    <row r="148" spans="1:12" ht="13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3">
        <f>'FR-16(7)(v)-2 PROD Classified'!H148</f>
        <v>0</v>
      </c>
      <c r="G148" s="347">
        <f t="shared" si="59"/>
        <v>0</v>
      </c>
      <c r="H148" s="345">
        <f>ROUND($F$148*VLOOKUP($D$148,ALLOCTABLE_Prod_Commodity,$H$10,FALSE),0)</f>
        <v>0</v>
      </c>
      <c r="I148" s="345">
        <f t="shared" si="60"/>
        <v>0</v>
      </c>
      <c r="J148" s="345">
        <f t="shared" si="61"/>
        <v>0</v>
      </c>
      <c r="K148" s="345">
        <f t="shared" si="62"/>
        <v>0</v>
      </c>
      <c r="L148" s="345">
        <f t="shared" si="63"/>
        <v>0</v>
      </c>
    </row>
    <row r="149" spans="1:12" ht="13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1119012</v>
      </c>
      <c r="G149" s="346">
        <f t="shared" ref="G149:L149" si="64">SUM(G142:G148)</f>
        <v>618844</v>
      </c>
      <c r="H149" s="346">
        <f t="shared" si="64"/>
        <v>363034</v>
      </c>
      <c r="I149" s="346">
        <f t="shared" si="64"/>
        <v>135340</v>
      </c>
      <c r="J149" s="346">
        <f t="shared" si="64"/>
        <v>1794</v>
      </c>
      <c r="K149" s="346">
        <f t="shared" si="64"/>
        <v>1119012</v>
      </c>
      <c r="L149" s="346">
        <f t="shared" si="64"/>
        <v>0</v>
      </c>
    </row>
    <row r="150" spans="1:12" ht="13">
      <c r="A150" s="331">
        <v>38</v>
      </c>
      <c r="D150" s="342"/>
      <c r="E150" s="195"/>
      <c r="I150" s="330"/>
    </row>
    <row r="151" spans="1:12" ht="13">
      <c r="A151" s="331">
        <v>39</v>
      </c>
      <c r="B151" s="330" t="s">
        <v>23</v>
      </c>
      <c r="D151" s="342"/>
      <c r="E151" s="195"/>
      <c r="F151" s="345">
        <f t="shared" ref="F151:L151" si="65">F149+F140+F131+F119+F115</f>
        <v>6119653</v>
      </c>
      <c r="G151" s="345">
        <f>G149+G140+G131+G119+G115</f>
        <v>3336302</v>
      </c>
      <c r="H151" s="345">
        <f t="shared" si="65"/>
        <v>1985758</v>
      </c>
      <c r="I151" s="345">
        <f t="shared" si="65"/>
        <v>791875</v>
      </c>
      <c r="J151" s="345">
        <f t="shared" si="65"/>
        <v>5718</v>
      </c>
      <c r="K151" s="345">
        <f t="shared" si="65"/>
        <v>6119653</v>
      </c>
      <c r="L151" s="345">
        <f t="shared" si="65"/>
        <v>0</v>
      </c>
    </row>
    <row r="152" spans="1:12" ht="13">
      <c r="B152" s="341"/>
      <c r="C152" s="195"/>
      <c r="D152" s="342"/>
      <c r="E152" s="195"/>
      <c r="G152" s="195"/>
      <c r="H152" s="195"/>
      <c r="I152" s="195"/>
      <c r="J152" s="342"/>
      <c r="K152" s="195"/>
    </row>
    <row r="153" spans="1:12" ht="13">
      <c r="A153" s="341" t="str">
        <f>co_name</f>
        <v>DUKE ENERGY KENTUCKY, INC.</v>
      </c>
      <c r="C153" s="195"/>
      <c r="D153" s="342"/>
      <c r="E153" s="195"/>
      <c r="F153" s="342"/>
      <c r="G153" s="340"/>
      <c r="H153" s="340"/>
      <c r="I153" s="195"/>
      <c r="K153" s="359" t="str">
        <f>$K$1</f>
        <v>FR-16(7)(v)-3</v>
      </c>
    </row>
    <row r="154" spans="1:12" ht="13">
      <c r="A154" s="341" t="str">
        <f>$A$2</f>
        <v>PRODUCTION COMMODITY ALLOCATED - GAS COST OF SERVICE</v>
      </c>
      <c r="C154" s="195"/>
      <c r="D154" s="342"/>
      <c r="E154" s="195"/>
      <c r="F154" s="342"/>
      <c r="G154" s="340"/>
      <c r="H154" s="340"/>
      <c r="I154" s="195"/>
      <c r="K154" s="359" t="str">
        <f>$K$2</f>
        <v>WITNESS RESPONSIBLE:</v>
      </c>
    </row>
    <row r="155" spans="1:12" ht="13">
      <c r="A155" s="341" t="str">
        <f>case_name</f>
        <v>CASE NO: 2021-00190</v>
      </c>
      <c r="C155" s="195"/>
      <c r="D155" s="342"/>
      <c r="E155" s="195"/>
      <c r="F155" s="342"/>
      <c r="G155" s="340"/>
      <c r="H155" s="340"/>
      <c r="I155" s="195"/>
      <c r="K155" s="359" t="str">
        <f>Witness</f>
        <v>JAMES E. ZIOLKOWSKI</v>
      </c>
    </row>
    <row r="156" spans="1:12" ht="13">
      <c r="A156" s="341" t="str">
        <f>data_filing</f>
        <v>DATA: 12 MONTH FORECASTED PERIOD</v>
      </c>
      <c r="C156" s="195"/>
      <c r="D156" s="342"/>
      <c r="E156" s="195"/>
      <c r="F156" s="342"/>
      <c r="G156" s="340"/>
      <c r="H156" s="340"/>
      <c r="I156" s="195"/>
      <c r="K156" s="359" t="str">
        <f>"PAGE "&amp;Pages-14&amp;" OF "&amp;Pages</f>
        <v>PAGE 4 OF 18</v>
      </c>
    </row>
    <row r="157" spans="1:12" ht="13">
      <c r="A157" s="341" t="str">
        <f>type</f>
        <v xml:space="preserve">TYPE OF FILING: "X" ORIGINAL   UPDATED    REVISED  </v>
      </c>
      <c r="C157" s="195"/>
      <c r="D157" s="342"/>
      <c r="E157" s="195"/>
      <c r="F157" s="342"/>
      <c r="G157" s="340"/>
      <c r="H157" s="340"/>
      <c r="I157" s="195"/>
      <c r="J157" s="342"/>
      <c r="K157" s="195"/>
    </row>
    <row r="158" spans="1:12" ht="13">
      <c r="A158" s="341"/>
      <c r="C158" s="195"/>
      <c r="D158" s="342"/>
      <c r="E158" s="195"/>
      <c r="F158" s="342"/>
      <c r="G158" s="340"/>
      <c r="H158" s="340"/>
      <c r="I158" s="195"/>
      <c r="J158" s="342"/>
      <c r="K158" s="195"/>
    </row>
    <row r="159" spans="1:12" ht="13">
      <c r="B159" s="341"/>
      <c r="C159" s="195"/>
      <c r="D159" s="342"/>
      <c r="E159" s="195"/>
      <c r="F159" s="342" t="str">
        <f>$F$7</f>
        <v>TOTAL</v>
      </c>
      <c r="G159" s="195"/>
      <c r="H159" s="195"/>
      <c r="I159" s="195"/>
      <c r="J159" s="342"/>
      <c r="K159" s="195"/>
    </row>
    <row r="160" spans="1:12" ht="13">
      <c r="A160" s="342" t="s">
        <v>907</v>
      </c>
      <c r="B160" s="195"/>
      <c r="C160" s="195"/>
      <c r="D160" s="342"/>
      <c r="E160" s="195"/>
      <c r="F160" s="342" t="str">
        <f>$F$8</f>
        <v>PRODUCTION</v>
      </c>
      <c r="G160" s="342" t="s">
        <v>417</v>
      </c>
      <c r="H160" s="342" t="s">
        <v>857</v>
      </c>
      <c r="I160" s="342" t="s">
        <v>858</v>
      </c>
      <c r="J160" s="342" t="s">
        <v>546</v>
      </c>
      <c r="K160" s="342" t="s">
        <v>229</v>
      </c>
      <c r="L160" s="342" t="s">
        <v>342</v>
      </c>
    </row>
    <row r="161" spans="1:12" ht="13">
      <c r="A161" s="344" t="s">
        <v>908</v>
      </c>
      <c r="B161" s="343" t="str">
        <f>"NET GAS PLANT"</f>
        <v>NET GAS PLANT</v>
      </c>
      <c r="C161" s="343"/>
      <c r="D161" s="344" t="s">
        <v>337</v>
      </c>
      <c r="E161" s="343"/>
      <c r="F161" s="342" t="str">
        <f>$F$9</f>
        <v>COMMODITY</v>
      </c>
      <c r="G161" s="344" t="s">
        <v>338</v>
      </c>
      <c r="H161" s="344" t="s">
        <v>404</v>
      </c>
      <c r="I161" s="344" t="s">
        <v>404</v>
      </c>
      <c r="J161" s="344" t="s">
        <v>547</v>
      </c>
      <c r="K161" s="344" t="s">
        <v>341</v>
      </c>
      <c r="L161" s="344" t="s">
        <v>340</v>
      </c>
    </row>
    <row r="162" spans="1:12" ht="13">
      <c r="C162" s="572" t="s">
        <v>346</v>
      </c>
      <c r="D162" s="342"/>
      <c r="E162" s="195"/>
      <c r="F162" s="755"/>
      <c r="G162" s="627">
        <f>$G$10</f>
        <v>3</v>
      </c>
      <c r="H162" s="627">
        <f>$H$10</f>
        <v>4</v>
      </c>
      <c r="I162" s="627">
        <f>$I$10</f>
        <v>5</v>
      </c>
      <c r="J162" s="627">
        <f>$J$10</f>
        <v>6</v>
      </c>
    </row>
    <row r="163" spans="1:12" ht="13">
      <c r="A163" s="331">
        <v>1</v>
      </c>
      <c r="B163" s="330" t="s">
        <v>14</v>
      </c>
      <c r="D163" s="342"/>
      <c r="E163" s="195"/>
      <c r="I163" s="330"/>
    </row>
    <row r="164" spans="1:12" ht="13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4625622</v>
      </c>
      <c r="G164" s="345">
        <f>$G$59</f>
        <v>2471100</v>
      </c>
      <c r="H164" s="345">
        <f>$H$59</f>
        <v>1501384</v>
      </c>
      <c r="I164" s="345">
        <f>$I$59</f>
        <v>653138</v>
      </c>
      <c r="J164" s="345">
        <f>$J$59</f>
        <v>0</v>
      </c>
      <c r="K164" s="345">
        <f>$K$59</f>
        <v>4625622</v>
      </c>
      <c r="L164" s="345">
        <f>F164-K164</f>
        <v>0</v>
      </c>
    </row>
    <row r="165" spans="1:12" ht="13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 t="shared" ref="F165:K165" si="66">-F115</f>
        <v>-2553891</v>
      </c>
      <c r="G165" s="345">
        <f t="shared" si="66"/>
        <v>-1364340</v>
      </c>
      <c r="H165" s="345">
        <f t="shared" si="66"/>
        <v>-828942</v>
      </c>
      <c r="I165" s="345">
        <f t="shared" si="66"/>
        <v>-360609</v>
      </c>
      <c r="J165" s="345">
        <f t="shared" si="66"/>
        <v>0</v>
      </c>
      <c r="K165" s="345">
        <f t="shared" si="66"/>
        <v>-2553891</v>
      </c>
      <c r="L165" s="345">
        <f>F165-K165</f>
        <v>0</v>
      </c>
    </row>
    <row r="166" spans="1:12" ht="13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L166" si="67">SUM(F164:F165)</f>
        <v>2071731</v>
      </c>
      <c r="G166" s="346">
        <f t="shared" si="67"/>
        <v>1106760</v>
      </c>
      <c r="H166" s="346">
        <f t="shared" si="67"/>
        <v>672442</v>
      </c>
      <c r="I166" s="346">
        <f t="shared" si="67"/>
        <v>292529</v>
      </c>
      <c r="J166" s="346">
        <f t="shared" si="67"/>
        <v>0</v>
      </c>
      <c r="K166" s="346">
        <f t="shared" si="67"/>
        <v>2071731</v>
      </c>
      <c r="L166" s="346">
        <f t="shared" si="67"/>
        <v>0</v>
      </c>
    </row>
    <row r="167" spans="1:12" ht="13">
      <c r="A167" s="331">
        <v>5</v>
      </c>
      <c r="D167" s="342"/>
      <c r="E167" s="195"/>
      <c r="I167" s="330"/>
    </row>
    <row r="168" spans="1:12" ht="13">
      <c r="A168" s="331">
        <v>6</v>
      </c>
      <c r="B168" s="357" t="s">
        <v>15</v>
      </c>
      <c r="C168" s="357"/>
      <c r="D168" s="342"/>
      <c r="E168" s="195"/>
      <c r="F168" s="345"/>
      <c r="G168" s="345"/>
      <c r="H168" s="345"/>
      <c r="I168" s="345"/>
      <c r="J168" s="345"/>
      <c r="K168" s="345"/>
    </row>
    <row r="169" spans="1:12" ht="13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345">
        <f>$G$63</f>
        <v>0</v>
      </c>
      <c r="H169" s="345">
        <f>$H$63</f>
        <v>0</v>
      </c>
      <c r="I169" s="345">
        <f>$I$63</f>
        <v>0</v>
      </c>
      <c r="J169" s="345">
        <f>$J$63</f>
        <v>0</v>
      </c>
      <c r="K169" s="345">
        <f>$K$63</f>
        <v>0</v>
      </c>
      <c r="L169" s="345">
        <f>F169-K169</f>
        <v>0</v>
      </c>
    </row>
    <row r="170" spans="1:12" ht="13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 t="shared" ref="F170:K170" si="68">-F119</f>
        <v>0</v>
      </c>
      <c r="G170" s="345">
        <f t="shared" si="68"/>
        <v>0</v>
      </c>
      <c r="H170" s="345">
        <f t="shared" si="68"/>
        <v>0</v>
      </c>
      <c r="I170" s="345">
        <f t="shared" si="68"/>
        <v>0</v>
      </c>
      <c r="J170" s="345">
        <f t="shared" si="68"/>
        <v>0</v>
      </c>
      <c r="K170" s="345">
        <f t="shared" si="68"/>
        <v>0</v>
      </c>
      <c r="L170" s="345">
        <f>F170-K170</f>
        <v>0</v>
      </c>
    </row>
    <row r="171" spans="1:12" ht="13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L171" si="69">SUM(F168:F170)</f>
        <v>0</v>
      </c>
      <c r="G171" s="346">
        <f t="shared" si="69"/>
        <v>0</v>
      </c>
      <c r="H171" s="346">
        <f t="shared" si="69"/>
        <v>0</v>
      </c>
      <c r="I171" s="346">
        <f t="shared" si="69"/>
        <v>0</v>
      </c>
      <c r="J171" s="346">
        <f t="shared" si="69"/>
        <v>0</v>
      </c>
      <c r="K171" s="346">
        <f t="shared" si="69"/>
        <v>0</v>
      </c>
      <c r="L171" s="346">
        <f t="shared" si="69"/>
        <v>0</v>
      </c>
    </row>
    <row r="172" spans="1:12" ht="13">
      <c r="A172" s="331">
        <v>10</v>
      </c>
      <c r="D172" s="342"/>
      <c r="E172" s="195"/>
      <c r="I172" s="330"/>
    </row>
    <row r="173" spans="1:12" ht="13">
      <c r="A173" s="331">
        <v>11</v>
      </c>
      <c r="B173" s="330" t="s">
        <v>17</v>
      </c>
      <c r="D173" s="342"/>
      <c r="E173" s="195"/>
      <c r="I173" s="330"/>
    </row>
    <row r="174" spans="1:12" ht="13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 t="shared" ref="F174:K174" si="70">F78</f>
        <v>0</v>
      </c>
      <c r="G174" s="345">
        <f t="shared" si="70"/>
        <v>0</v>
      </c>
      <c r="H174" s="345">
        <f t="shared" si="70"/>
        <v>0</v>
      </c>
      <c r="I174" s="345">
        <f t="shared" si="70"/>
        <v>0</v>
      </c>
      <c r="J174" s="345">
        <f t="shared" si="70"/>
        <v>0</v>
      </c>
      <c r="K174" s="345">
        <f t="shared" si="70"/>
        <v>0</v>
      </c>
      <c r="L174" s="345">
        <f>F174-K174</f>
        <v>0</v>
      </c>
    </row>
    <row r="175" spans="1:12" ht="13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 t="shared" ref="F175:K175" si="71">-F131</f>
        <v>0</v>
      </c>
      <c r="G175" s="345">
        <f t="shared" si="71"/>
        <v>0</v>
      </c>
      <c r="H175" s="345">
        <f t="shared" si="71"/>
        <v>0</v>
      </c>
      <c r="I175" s="345">
        <f t="shared" si="71"/>
        <v>0</v>
      </c>
      <c r="J175" s="345">
        <f t="shared" si="71"/>
        <v>0</v>
      </c>
      <c r="K175" s="345">
        <f t="shared" si="71"/>
        <v>0</v>
      </c>
      <c r="L175" s="345">
        <f>F175-K175</f>
        <v>0</v>
      </c>
    </row>
    <row r="176" spans="1:12" ht="13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L176" si="72">SUM(F173:F175)</f>
        <v>0</v>
      </c>
      <c r="G176" s="346">
        <f t="shared" si="72"/>
        <v>0</v>
      </c>
      <c r="H176" s="346">
        <f t="shared" si="72"/>
        <v>0</v>
      </c>
      <c r="I176" s="346">
        <f t="shared" si="72"/>
        <v>0</v>
      </c>
      <c r="J176" s="346">
        <f t="shared" si="72"/>
        <v>0</v>
      </c>
      <c r="K176" s="346">
        <f t="shared" si="72"/>
        <v>0</v>
      </c>
      <c r="L176" s="346">
        <f t="shared" si="72"/>
        <v>0</v>
      </c>
    </row>
    <row r="177" spans="1:12" ht="13">
      <c r="A177" s="331">
        <v>15</v>
      </c>
      <c r="D177" s="342"/>
      <c r="E177" s="195"/>
      <c r="I177" s="330"/>
    </row>
    <row r="178" spans="1:12" ht="13">
      <c r="A178" s="331">
        <v>16</v>
      </c>
      <c r="B178" s="330" t="s">
        <v>429</v>
      </c>
      <c r="D178" s="342"/>
      <c r="E178" s="195"/>
      <c r="F178" s="345">
        <f t="shared" ref="F178:L178" si="73">F176+F171+F166</f>
        <v>2071731</v>
      </c>
      <c r="G178" s="345">
        <f t="shared" si="73"/>
        <v>1106760</v>
      </c>
      <c r="H178" s="345">
        <f t="shared" si="73"/>
        <v>672442</v>
      </c>
      <c r="I178" s="345">
        <f t="shared" si="73"/>
        <v>292529</v>
      </c>
      <c r="J178" s="345">
        <f t="shared" si="73"/>
        <v>0</v>
      </c>
      <c r="K178" s="345">
        <f t="shared" si="73"/>
        <v>2071731</v>
      </c>
      <c r="L178" s="345">
        <f t="shared" si="73"/>
        <v>0</v>
      </c>
    </row>
    <row r="179" spans="1:12" ht="13">
      <c r="A179" s="331">
        <v>17</v>
      </c>
      <c r="B179" s="330" t="s">
        <v>24</v>
      </c>
      <c r="D179" s="342"/>
      <c r="E179" s="195"/>
      <c r="F179" s="345">
        <f t="shared" ref="F179:L179" si="74">F176+F171</f>
        <v>0</v>
      </c>
      <c r="G179" s="345">
        <f t="shared" si="74"/>
        <v>0</v>
      </c>
      <c r="H179" s="345">
        <f t="shared" si="74"/>
        <v>0</v>
      </c>
      <c r="I179" s="345">
        <f t="shared" si="74"/>
        <v>0</v>
      </c>
      <c r="J179" s="345">
        <f t="shared" si="74"/>
        <v>0</v>
      </c>
      <c r="K179" s="345">
        <f t="shared" si="74"/>
        <v>0</v>
      </c>
      <c r="L179" s="345">
        <f t="shared" si="74"/>
        <v>0</v>
      </c>
    </row>
    <row r="180" spans="1:12" ht="13">
      <c r="A180" s="331">
        <v>18</v>
      </c>
      <c r="D180" s="342"/>
      <c r="E180" s="195"/>
      <c r="I180" s="330"/>
    </row>
    <row r="181" spans="1:12" ht="13">
      <c r="A181" s="331">
        <v>19</v>
      </c>
      <c r="B181" s="330" t="s">
        <v>20</v>
      </c>
      <c r="D181" s="342"/>
      <c r="E181" s="195"/>
      <c r="I181" s="330"/>
    </row>
    <row r="182" spans="1:12" ht="13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 t="shared" ref="F182:K182" si="75">F90</f>
        <v>4970111</v>
      </c>
      <c r="G182" s="345">
        <f t="shared" si="75"/>
        <v>2748605</v>
      </c>
      <c r="H182" s="345">
        <f t="shared" si="75"/>
        <v>1612419</v>
      </c>
      <c r="I182" s="345">
        <f t="shared" si="75"/>
        <v>601117</v>
      </c>
      <c r="J182" s="345">
        <f t="shared" si="75"/>
        <v>7970</v>
      </c>
      <c r="K182" s="345">
        <f t="shared" si="75"/>
        <v>4970111</v>
      </c>
      <c r="L182" s="345">
        <f>F182-K182</f>
        <v>0</v>
      </c>
    </row>
    <row r="183" spans="1:12" ht="13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 t="shared" ref="F183:K183" si="76">-F140</f>
        <v>-2446750</v>
      </c>
      <c r="G183" s="345">
        <f t="shared" si="76"/>
        <v>-1353118</v>
      </c>
      <c r="H183" s="345">
        <f t="shared" si="76"/>
        <v>-793782</v>
      </c>
      <c r="I183" s="345">
        <f t="shared" si="76"/>
        <v>-295926</v>
      </c>
      <c r="J183" s="345">
        <f t="shared" si="76"/>
        <v>-3924</v>
      </c>
      <c r="K183" s="345">
        <f t="shared" si="76"/>
        <v>-2446750</v>
      </c>
      <c r="L183" s="345">
        <f>F183-K183</f>
        <v>0</v>
      </c>
    </row>
    <row r="184" spans="1:12" ht="13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L184" si="77">SUM(F181:F183)</f>
        <v>2523361</v>
      </c>
      <c r="G184" s="346">
        <f t="shared" si="77"/>
        <v>1395487</v>
      </c>
      <c r="H184" s="346">
        <f t="shared" si="77"/>
        <v>818637</v>
      </c>
      <c r="I184" s="346">
        <f t="shared" si="77"/>
        <v>305191</v>
      </c>
      <c r="J184" s="346">
        <f t="shared" si="77"/>
        <v>4046</v>
      </c>
      <c r="K184" s="346">
        <f t="shared" si="77"/>
        <v>2523361</v>
      </c>
      <c r="L184" s="346">
        <f t="shared" si="77"/>
        <v>0</v>
      </c>
    </row>
    <row r="185" spans="1:12" ht="13">
      <c r="A185" s="331">
        <v>23</v>
      </c>
      <c r="D185" s="342"/>
      <c r="E185" s="195"/>
      <c r="F185" s="345"/>
      <c r="G185" s="345"/>
      <c r="H185" s="345"/>
      <c r="I185" s="345"/>
      <c r="J185" s="345"/>
      <c r="K185" s="345"/>
    </row>
    <row r="186" spans="1:12" ht="13">
      <c r="A186" s="331">
        <v>24</v>
      </c>
      <c r="B186" s="330" t="s">
        <v>21</v>
      </c>
      <c r="D186" s="342"/>
      <c r="E186" s="195"/>
      <c r="F186" s="345"/>
      <c r="G186" s="345"/>
      <c r="H186" s="345"/>
      <c r="I186" s="345"/>
      <c r="J186" s="345"/>
      <c r="K186" s="345"/>
    </row>
    <row r="187" spans="1:12" ht="13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 t="shared" ref="F187:K187" si="78">F99</f>
        <v>1598477</v>
      </c>
      <c r="G187" s="345">
        <f t="shared" si="78"/>
        <v>884001</v>
      </c>
      <c r="H187" s="345">
        <f t="shared" si="78"/>
        <v>518583</v>
      </c>
      <c r="I187" s="345">
        <f t="shared" si="78"/>
        <v>193330</v>
      </c>
      <c r="J187" s="345">
        <f t="shared" si="78"/>
        <v>2563</v>
      </c>
      <c r="K187" s="345">
        <f t="shared" si="78"/>
        <v>1598477</v>
      </c>
      <c r="L187" s="345">
        <f>F187-K187</f>
        <v>0</v>
      </c>
    </row>
    <row r="188" spans="1:12" ht="13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 t="shared" ref="F188:K188" si="79">-F149</f>
        <v>-1119012</v>
      </c>
      <c r="G188" s="345">
        <f t="shared" si="79"/>
        <v>-618844</v>
      </c>
      <c r="H188" s="345">
        <f t="shared" si="79"/>
        <v>-363034</v>
      </c>
      <c r="I188" s="345">
        <f t="shared" si="79"/>
        <v>-135340</v>
      </c>
      <c r="J188" s="345">
        <f t="shared" si="79"/>
        <v>-1794</v>
      </c>
      <c r="K188" s="345">
        <f t="shared" si="79"/>
        <v>-1119012</v>
      </c>
      <c r="L188" s="345">
        <f>F188-K188</f>
        <v>0</v>
      </c>
    </row>
    <row r="189" spans="1:12" ht="13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L189" si="80">SUM(F186:F188)</f>
        <v>479465</v>
      </c>
      <c r="G189" s="346">
        <f t="shared" si="80"/>
        <v>265157</v>
      </c>
      <c r="H189" s="346">
        <f t="shared" si="80"/>
        <v>155549</v>
      </c>
      <c r="I189" s="346">
        <f t="shared" si="80"/>
        <v>57990</v>
      </c>
      <c r="J189" s="346">
        <f t="shared" si="80"/>
        <v>769</v>
      </c>
      <c r="K189" s="346">
        <f t="shared" si="80"/>
        <v>479465</v>
      </c>
      <c r="L189" s="346">
        <f t="shared" si="80"/>
        <v>0</v>
      </c>
    </row>
    <row r="190" spans="1:12" ht="13">
      <c r="A190" s="331">
        <v>28</v>
      </c>
      <c r="D190" s="342"/>
      <c r="E190" s="195"/>
      <c r="F190" s="345"/>
      <c r="G190" s="345"/>
      <c r="H190" s="345"/>
      <c r="I190" s="345"/>
      <c r="J190" s="345"/>
      <c r="K190" s="345"/>
      <c r="L190" s="345"/>
    </row>
    <row r="191" spans="1:12" ht="13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L191" si="81">F189+F184+F176+F171+F166</f>
        <v>5074557</v>
      </c>
      <c r="G191" s="345">
        <f t="shared" si="81"/>
        <v>2767404</v>
      </c>
      <c r="H191" s="345">
        <f t="shared" si="81"/>
        <v>1646628</v>
      </c>
      <c r="I191" s="345">
        <f t="shared" si="81"/>
        <v>655710</v>
      </c>
      <c r="J191" s="345">
        <f t="shared" si="81"/>
        <v>4815</v>
      </c>
      <c r="K191" s="345">
        <f t="shared" si="81"/>
        <v>5074557</v>
      </c>
      <c r="L191" s="345">
        <f t="shared" si="81"/>
        <v>0</v>
      </c>
    </row>
    <row r="192" spans="1:12" ht="13">
      <c r="B192" s="341"/>
      <c r="C192" s="195"/>
      <c r="D192" s="342"/>
      <c r="E192" s="195"/>
      <c r="G192" s="195"/>
      <c r="H192" s="195"/>
      <c r="I192" s="195"/>
      <c r="J192" s="342"/>
      <c r="K192" s="195"/>
      <c r="L192" s="195"/>
    </row>
    <row r="193" spans="1:12" ht="13">
      <c r="A193" s="341" t="str">
        <f>co_name</f>
        <v>DUKE ENERGY KENTUCKY, INC.</v>
      </c>
      <c r="C193" s="195"/>
      <c r="D193" s="342"/>
      <c r="E193" s="195"/>
      <c r="F193" s="342"/>
      <c r="G193" s="340"/>
      <c r="H193" s="340"/>
      <c r="I193" s="195"/>
      <c r="K193" s="359" t="str">
        <f>$K$1</f>
        <v>FR-16(7)(v)-3</v>
      </c>
      <c r="L193" s="195"/>
    </row>
    <row r="194" spans="1:12" ht="13">
      <c r="A194" s="341" t="str">
        <f>$A$2</f>
        <v>PRODUCTION COMMODITY ALLOCATED - GAS COST OF SERVICE</v>
      </c>
      <c r="C194" s="195"/>
      <c r="D194" s="342"/>
      <c r="E194" s="195"/>
      <c r="F194" s="342"/>
      <c r="G194" s="340"/>
      <c r="H194" s="340"/>
      <c r="I194" s="195"/>
      <c r="K194" s="359" t="str">
        <f>$K$2</f>
        <v>WITNESS RESPONSIBLE:</v>
      </c>
      <c r="L194" s="195"/>
    </row>
    <row r="195" spans="1:12" ht="13">
      <c r="A195" s="341" t="str">
        <f>case_name</f>
        <v>CASE NO: 2021-00190</v>
      </c>
      <c r="C195" s="195"/>
      <c r="D195" s="342"/>
      <c r="E195" s="195"/>
      <c r="F195" s="342"/>
      <c r="G195" s="340"/>
      <c r="H195" s="340"/>
      <c r="I195" s="195"/>
      <c r="K195" s="359" t="str">
        <f>Witness</f>
        <v>JAMES E. ZIOLKOWSKI</v>
      </c>
      <c r="L195" s="195"/>
    </row>
    <row r="196" spans="1:12" ht="13">
      <c r="A196" s="341" t="str">
        <f>data_filing</f>
        <v>DATA: 12 MONTH FORECASTED PERIOD</v>
      </c>
      <c r="C196" s="195"/>
      <c r="D196" s="342"/>
      <c r="E196" s="195"/>
      <c r="F196" s="342"/>
      <c r="G196" s="340"/>
      <c r="H196" s="340"/>
      <c r="I196" s="195"/>
      <c r="K196" s="359" t="str">
        <f>"PAGE "&amp;Pages-13&amp;" OF "&amp;Pages</f>
        <v>PAGE 5 OF 18</v>
      </c>
      <c r="L196" s="195"/>
    </row>
    <row r="197" spans="1:12" ht="13">
      <c r="A197" s="341" t="str">
        <f>type</f>
        <v xml:space="preserve">TYPE OF FILING: "X" ORIGINAL   UPDATED    REVISED  </v>
      </c>
      <c r="C197" s="195"/>
      <c r="D197" s="342"/>
      <c r="E197" s="195"/>
      <c r="F197" s="342"/>
      <c r="G197" s="340"/>
      <c r="H197" s="340"/>
      <c r="I197" s="195"/>
      <c r="J197" s="342"/>
      <c r="K197" s="195"/>
      <c r="L197" s="195"/>
    </row>
    <row r="198" spans="1:12" ht="13">
      <c r="B198" s="341"/>
      <c r="C198" s="195"/>
      <c r="D198" s="342"/>
      <c r="E198" s="195"/>
      <c r="F198" s="342"/>
      <c r="G198" s="195"/>
      <c r="H198" s="195"/>
      <c r="I198" s="195"/>
      <c r="J198" s="342"/>
      <c r="K198" s="195"/>
      <c r="L198" s="195"/>
    </row>
    <row r="199" spans="1:12" ht="13">
      <c r="B199" s="341"/>
      <c r="C199" s="195"/>
      <c r="D199" s="342"/>
      <c r="E199" s="195"/>
      <c r="F199" s="342" t="str">
        <f>$F$7</f>
        <v>TOTAL</v>
      </c>
      <c r="G199" s="195"/>
      <c r="H199" s="195"/>
      <c r="I199" s="195"/>
      <c r="J199" s="342"/>
      <c r="K199" s="195"/>
      <c r="L199" s="195"/>
    </row>
    <row r="200" spans="1:12" ht="13">
      <c r="A200" s="342" t="s">
        <v>907</v>
      </c>
      <c r="B200" s="195"/>
      <c r="C200" s="195"/>
      <c r="D200" s="342"/>
      <c r="E200" s="195"/>
      <c r="F200" s="342" t="str">
        <f>$F$8</f>
        <v>PRODUCTION</v>
      </c>
      <c r="G200" s="342" t="s">
        <v>417</v>
      </c>
      <c r="H200" s="342" t="s">
        <v>857</v>
      </c>
      <c r="I200" s="342" t="s">
        <v>858</v>
      </c>
      <c r="J200" s="342" t="s">
        <v>546</v>
      </c>
      <c r="K200" s="342" t="s">
        <v>229</v>
      </c>
      <c r="L200" s="342" t="s">
        <v>342</v>
      </c>
    </row>
    <row r="201" spans="1:12" ht="13">
      <c r="A201" s="344" t="s">
        <v>908</v>
      </c>
      <c r="B201" s="343" t="s">
        <v>946</v>
      </c>
      <c r="C201" s="343"/>
      <c r="D201" s="344" t="s">
        <v>337</v>
      </c>
      <c r="E201" s="343"/>
      <c r="F201" s="342" t="str">
        <f>$F$9</f>
        <v>COMMODITY</v>
      </c>
      <c r="G201" s="344" t="s">
        <v>338</v>
      </c>
      <c r="H201" s="344" t="s">
        <v>404</v>
      </c>
      <c r="I201" s="344" t="s">
        <v>404</v>
      </c>
      <c r="J201" s="344" t="s">
        <v>547</v>
      </c>
      <c r="K201" s="344" t="s">
        <v>341</v>
      </c>
      <c r="L201" s="344" t="s">
        <v>340</v>
      </c>
    </row>
    <row r="202" spans="1:12" ht="13">
      <c r="C202" s="572" t="s">
        <v>347</v>
      </c>
      <c r="D202" s="342"/>
      <c r="E202" s="195"/>
      <c r="F202" s="755"/>
      <c r="G202" s="627">
        <f>$G$10</f>
        <v>3</v>
      </c>
      <c r="H202" s="627">
        <f>$H$10</f>
        <v>4</v>
      </c>
      <c r="I202" s="627">
        <f>$I$10</f>
        <v>5</v>
      </c>
      <c r="J202" s="627">
        <f>$J$10</f>
        <v>6</v>
      </c>
    </row>
    <row r="203" spans="1:12" ht="13">
      <c r="A203" s="331">
        <v>1</v>
      </c>
      <c r="B203" s="330" t="s">
        <v>26</v>
      </c>
      <c r="D203" s="342"/>
      <c r="E203" s="195"/>
      <c r="I203" s="330"/>
    </row>
    <row r="204" spans="1:12" ht="13">
      <c r="A204" s="331">
        <v>2</v>
      </c>
      <c r="B204" s="330" t="s">
        <v>816</v>
      </c>
      <c r="D204" s="342"/>
      <c r="E204" s="195"/>
      <c r="I204" s="330"/>
    </row>
    <row r="205" spans="1:12" ht="13">
      <c r="A205" s="331">
        <v>3</v>
      </c>
      <c r="B205" s="330" t="s">
        <v>27</v>
      </c>
      <c r="D205" s="342"/>
      <c r="E205" s="195"/>
      <c r="I205" s="330"/>
    </row>
    <row r="206" spans="1:12" ht="13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3">
        <f>'FR-16(7)(v)-2 PROD Classified'!H206</f>
        <v>592980</v>
      </c>
      <c r="G206" s="347">
        <f t="shared" ref="G206:G214" si="82">F206-SUM(H206:J206)</f>
        <v>323376</v>
      </c>
      <c r="H206" s="345">
        <f>ROUND($F$206*VLOOKUP($D$206,ALLOCTABLE_Prod_Commodity,$H$10,FALSE),0)</f>
        <v>192416</v>
      </c>
      <c r="I206" s="345">
        <f t="shared" ref="I206:I214" si="83">ROUND(F206*VLOOKUP(D206,ALLOCTABLE_Prod_Commodity,$I$10,FALSE),0)</f>
        <v>76625</v>
      </c>
      <c r="J206" s="345">
        <f t="shared" ref="J206:J214" si="84">ROUND(F206*VLOOKUP(D206,ALLOCTABLE_Prod_Commodity,$J$10,FALSE),0)</f>
        <v>563</v>
      </c>
      <c r="K206" s="345">
        <f t="shared" ref="K206:K214" si="85">SUM(G206:J206)</f>
        <v>592980</v>
      </c>
      <c r="L206" s="345">
        <f t="shared" ref="L206:L214" si="86">F206-K206</f>
        <v>0</v>
      </c>
    </row>
    <row r="207" spans="1:12" ht="13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3">
        <f>'FR-16(7)(v)-2 PROD Classified'!H207</f>
        <v>0</v>
      </c>
      <c r="G207" s="347">
        <f t="shared" si="82"/>
        <v>0</v>
      </c>
      <c r="H207" s="345">
        <f>ROUND($F$207*VLOOKUP($D$207,ALLOCTABLE_Prod_Commodity,$H$10,FALSE),0)</f>
        <v>0</v>
      </c>
      <c r="I207" s="345">
        <f t="shared" si="83"/>
        <v>0</v>
      </c>
      <c r="J207" s="345">
        <f t="shared" si="84"/>
        <v>0</v>
      </c>
      <c r="K207" s="345">
        <f t="shared" si="85"/>
        <v>0</v>
      </c>
      <c r="L207" s="345">
        <f t="shared" si="86"/>
        <v>0</v>
      </c>
    </row>
    <row r="208" spans="1:12" ht="13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3">
        <f>'FR-16(7)(v)-2 PROD Classified'!H208</f>
        <v>0</v>
      </c>
      <c r="G208" s="347">
        <f t="shared" si="82"/>
        <v>0</v>
      </c>
      <c r="H208" s="345">
        <f>ROUND($F$208*VLOOKUP($D$208,ALLOCTABLE_Prod_Commodity,$H$10,FALSE),0)</f>
        <v>0</v>
      </c>
      <c r="I208" s="345">
        <f t="shared" si="83"/>
        <v>0</v>
      </c>
      <c r="J208" s="345">
        <f t="shared" si="84"/>
        <v>0</v>
      </c>
      <c r="K208" s="345">
        <f t="shared" si="85"/>
        <v>0</v>
      </c>
      <c r="L208" s="345">
        <f t="shared" si="86"/>
        <v>0</v>
      </c>
    </row>
    <row r="209" spans="1:12" ht="13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3">
        <f>'FR-16(7)(v)-2 PROD Classified'!H209</f>
        <v>-13973</v>
      </c>
      <c r="G209" s="347">
        <f t="shared" si="82"/>
        <v>-7620</v>
      </c>
      <c r="H209" s="345">
        <f>ROUND($F$209*VLOOKUP($D$209,ALLOCTABLE_Prod_Commodity,$H$10,FALSE),0)</f>
        <v>-4534</v>
      </c>
      <c r="I209" s="345">
        <f t="shared" si="83"/>
        <v>-1806</v>
      </c>
      <c r="J209" s="345">
        <f t="shared" si="84"/>
        <v>-13</v>
      </c>
      <c r="K209" s="345">
        <f t="shared" si="85"/>
        <v>-13973</v>
      </c>
      <c r="L209" s="345">
        <f t="shared" si="86"/>
        <v>0</v>
      </c>
    </row>
    <row r="210" spans="1:12" ht="13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3">
        <f>'FR-16(7)(v)-2 PROD Classified'!H210</f>
        <v>0</v>
      </c>
      <c r="G210" s="347">
        <f t="shared" si="82"/>
        <v>0</v>
      </c>
      <c r="H210" s="345">
        <f>ROUND($F$210*VLOOKUP($D$210,ALLOCTABLE_Prod_Commodity,$H$10,FALSE),0)</f>
        <v>0</v>
      </c>
      <c r="I210" s="345">
        <f t="shared" si="83"/>
        <v>0</v>
      </c>
      <c r="J210" s="345">
        <f t="shared" si="84"/>
        <v>0</v>
      </c>
      <c r="K210" s="345">
        <f t="shared" si="85"/>
        <v>0</v>
      </c>
      <c r="L210" s="345">
        <f t="shared" si="86"/>
        <v>0</v>
      </c>
    </row>
    <row r="211" spans="1:12" ht="13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3">
        <f>'FR-16(7)(v)-2 PROD Classified'!H211</f>
        <v>0</v>
      </c>
      <c r="G211" s="347">
        <f t="shared" si="82"/>
        <v>0</v>
      </c>
      <c r="H211" s="345">
        <f>ROUND($F$211*VLOOKUP($D$211,ALLOCTABLE_Prod_Commodity,$H$10,FALSE),0)</f>
        <v>0</v>
      </c>
      <c r="I211" s="345">
        <f t="shared" si="83"/>
        <v>0</v>
      </c>
      <c r="J211" s="345">
        <f t="shared" si="84"/>
        <v>0</v>
      </c>
      <c r="K211" s="345">
        <f t="shared" si="85"/>
        <v>0</v>
      </c>
      <c r="L211" s="345">
        <f t="shared" si="86"/>
        <v>0</v>
      </c>
    </row>
    <row r="212" spans="1:12" ht="13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3">
        <f>'FR-16(7)(v)-2 PROD Classified'!H212</f>
        <v>-96937</v>
      </c>
      <c r="G212" s="347">
        <f t="shared" si="82"/>
        <v>-60776</v>
      </c>
      <c r="H212" s="345">
        <f>ROUND($F$212*VLOOKUP($D$212,ALLOCTABLE_Prod_Commodity,$H$10,FALSE),0)</f>
        <v>-35654</v>
      </c>
      <c r="I212" s="345">
        <f t="shared" si="83"/>
        <v>-296</v>
      </c>
      <c r="J212" s="345">
        <f t="shared" si="84"/>
        <v>-211</v>
      </c>
      <c r="K212" s="345">
        <f t="shared" si="85"/>
        <v>-96937</v>
      </c>
      <c r="L212" s="345">
        <f t="shared" si="86"/>
        <v>0</v>
      </c>
    </row>
    <row r="213" spans="1:12" ht="13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3">
        <f>'FR-16(7)(v)-2 PROD Classified'!H213</f>
        <v>0</v>
      </c>
      <c r="G213" s="347">
        <f t="shared" si="82"/>
        <v>0</v>
      </c>
      <c r="H213" s="345">
        <f>ROUND($F$213*VLOOKUP($D$213,ALLOCTABLE_Prod_Commodity,$H$10,FALSE),0)</f>
        <v>0</v>
      </c>
      <c r="I213" s="345">
        <f t="shared" si="83"/>
        <v>0</v>
      </c>
      <c r="J213" s="345">
        <f t="shared" si="84"/>
        <v>0</v>
      </c>
      <c r="K213" s="345">
        <f t="shared" si="85"/>
        <v>0</v>
      </c>
      <c r="L213" s="345">
        <f t="shared" si="86"/>
        <v>0</v>
      </c>
    </row>
    <row r="214" spans="1:12" ht="13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3">
        <f>'FR-16(7)(v)-2 PROD Classified'!H214</f>
        <v>70245</v>
      </c>
      <c r="G214" s="347">
        <f t="shared" si="82"/>
        <v>38307</v>
      </c>
      <c r="H214" s="345">
        <f>ROUND($F$214*VLOOKUP($D$214,ALLOCTABLE_Prod_Commodity,$H$10,FALSE),0)</f>
        <v>22794</v>
      </c>
      <c r="I214" s="345">
        <f t="shared" si="83"/>
        <v>9077</v>
      </c>
      <c r="J214" s="345">
        <f t="shared" si="84"/>
        <v>67</v>
      </c>
      <c r="K214" s="345">
        <f t="shared" si="85"/>
        <v>70245</v>
      </c>
      <c r="L214" s="345">
        <f t="shared" si="86"/>
        <v>0</v>
      </c>
    </row>
    <row r="215" spans="1:12" ht="13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L215" si="87">SUM(F206:F214)</f>
        <v>552315</v>
      </c>
      <c r="G215" s="346">
        <f>SUM(G206:G214)</f>
        <v>293287</v>
      </c>
      <c r="H215" s="346">
        <f t="shared" si="87"/>
        <v>175022</v>
      </c>
      <c r="I215" s="346">
        <f t="shared" si="87"/>
        <v>83600</v>
      </c>
      <c r="J215" s="346">
        <f t="shared" si="87"/>
        <v>406</v>
      </c>
      <c r="K215" s="346">
        <f t="shared" si="87"/>
        <v>552315</v>
      </c>
      <c r="L215" s="346">
        <f t="shared" si="87"/>
        <v>0</v>
      </c>
    </row>
    <row r="216" spans="1:12" ht="13">
      <c r="A216" s="331">
        <v>14</v>
      </c>
      <c r="D216" s="342"/>
      <c r="E216" s="195"/>
      <c r="I216" s="330"/>
    </row>
    <row r="217" spans="1:12" ht="13">
      <c r="A217" s="331">
        <v>15</v>
      </c>
      <c r="B217" s="330" t="s">
        <v>28</v>
      </c>
      <c r="D217" s="342"/>
      <c r="E217" s="195"/>
      <c r="I217" s="330"/>
    </row>
    <row r="218" spans="1:12" ht="13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3">
        <f>'FR-16(7)(v)-2 PROD Classified'!H218</f>
        <v>0</v>
      </c>
      <c r="G218" s="347">
        <f t="shared" ref="G218:G228" si="88">F218-SUM(H218:J218)</f>
        <v>0</v>
      </c>
      <c r="H218" s="345">
        <f>ROUND($F$218*VLOOKUP($D$218,ALLOCTABLE_Prod_Commodity,$H$10,FALSE),0)</f>
        <v>0</v>
      </c>
      <c r="I218" s="345">
        <f t="shared" ref="I218:I225" si="89">ROUND(F218*VLOOKUP(D218,ALLOCTABLE_Prod_Commodity,$I$10,FALSE),0)</f>
        <v>0</v>
      </c>
      <c r="J218" s="345">
        <f t="shared" ref="J218:J225" si="90">ROUND(F218*VLOOKUP(D218,ALLOCTABLE_Prod_Commodity,$J$10,FALSE),0)</f>
        <v>0</v>
      </c>
      <c r="K218" s="345">
        <f t="shared" ref="K218:K228" si="91">SUM(G218:J218)</f>
        <v>0</v>
      </c>
      <c r="L218" s="345">
        <f t="shared" ref="L218:L228" si="92">F218-K218</f>
        <v>0</v>
      </c>
    </row>
    <row r="219" spans="1:12" ht="13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3">
        <f>'FR-16(7)(v)-2 PROD Classified'!H219</f>
        <v>0</v>
      </c>
      <c r="G219" s="347">
        <f t="shared" si="88"/>
        <v>0</v>
      </c>
      <c r="H219" s="345">
        <f>ROUND($F$219*VLOOKUP($D$219,ALLOCTABLE_Prod_Commodity,$H$10,FALSE),0)</f>
        <v>0</v>
      </c>
      <c r="I219" s="345">
        <f t="shared" si="89"/>
        <v>0</v>
      </c>
      <c r="J219" s="345">
        <f t="shared" si="90"/>
        <v>0</v>
      </c>
      <c r="K219" s="345">
        <f t="shared" si="91"/>
        <v>0</v>
      </c>
      <c r="L219" s="345">
        <f t="shared" si="92"/>
        <v>0</v>
      </c>
    </row>
    <row r="220" spans="1:12" ht="13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3">
        <f>'FR-16(7)(v)-2 PROD Classified'!H220</f>
        <v>0</v>
      </c>
      <c r="G220" s="347">
        <f t="shared" si="88"/>
        <v>0</v>
      </c>
      <c r="H220" s="345">
        <f>ROUND($F$220*VLOOKUP($D$220,ALLOCTABLE_Prod_Commodity,$H$10,FALSE),0)</f>
        <v>0</v>
      </c>
      <c r="I220" s="345">
        <f t="shared" si="89"/>
        <v>0</v>
      </c>
      <c r="J220" s="345">
        <f t="shared" si="90"/>
        <v>0</v>
      </c>
      <c r="K220" s="345">
        <f t="shared" si="91"/>
        <v>0</v>
      </c>
      <c r="L220" s="345">
        <f t="shared" si="92"/>
        <v>0</v>
      </c>
    </row>
    <row r="221" spans="1:12" ht="13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3">
        <f>'FR-16(7)(v)-2 PROD Classified'!H221</f>
        <v>0</v>
      </c>
      <c r="G221" s="347">
        <f t="shared" si="88"/>
        <v>0</v>
      </c>
      <c r="H221" s="345">
        <f>ROUND($F$221*VLOOKUP($D$221,ALLOCTABLE_Prod_Commodity,$H$10,FALSE),0)</f>
        <v>0</v>
      </c>
      <c r="I221" s="345">
        <f t="shared" si="89"/>
        <v>0</v>
      </c>
      <c r="J221" s="345">
        <f t="shared" si="90"/>
        <v>0</v>
      </c>
      <c r="K221" s="345">
        <f t="shared" si="91"/>
        <v>0</v>
      </c>
      <c r="L221" s="345">
        <f t="shared" si="92"/>
        <v>0</v>
      </c>
    </row>
    <row r="222" spans="1:12" ht="13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3">
        <f>'FR-16(7)(v)-2 PROD Classified'!H222</f>
        <v>0</v>
      </c>
      <c r="G222" s="347">
        <f t="shared" si="88"/>
        <v>0</v>
      </c>
      <c r="H222" s="345">
        <f>ROUND($F$222*VLOOKUP($D$222,ALLOCTABLE_Prod_Commodity,$H$10,FALSE),0)</f>
        <v>0</v>
      </c>
      <c r="I222" s="345">
        <f t="shared" si="89"/>
        <v>0</v>
      </c>
      <c r="J222" s="345">
        <f t="shared" si="90"/>
        <v>0</v>
      </c>
      <c r="K222" s="345">
        <f t="shared" si="91"/>
        <v>0</v>
      </c>
      <c r="L222" s="345">
        <f t="shared" si="92"/>
        <v>0</v>
      </c>
    </row>
    <row r="223" spans="1:12" ht="13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3">
        <f>'FR-16(7)(v)-2 PROD Classified'!H223</f>
        <v>0</v>
      </c>
      <c r="G223" s="347">
        <f t="shared" si="88"/>
        <v>0</v>
      </c>
      <c r="H223" s="345">
        <f>ROUND($F$223*VLOOKUP($D$223,ALLOCTABLE_Prod_Commodity,$H$10,FALSE),0)</f>
        <v>0</v>
      </c>
      <c r="I223" s="345">
        <f t="shared" si="89"/>
        <v>0</v>
      </c>
      <c r="J223" s="345">
        <f t="shared" si="90"/>
        <v>0</v>
      </c>
      <c r="K223" s="345">
        <f t="shared" si="91"/>
        <v>0</v>
      </c>
      <c r="L223" s="345">
        <f t="shared" si="92"/>
        <v>0</v>
      </c>
    </row>
    <row r="224" spans="1:12" ht="13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3">
        <f>'FR-16(7)(v)-2 PROD Classified'!H224</f>
        <v>0</v>
      </c>
      <c r="G224" s="347">
        <f t="shared" si="88"/>
        <v>0</v>
      </c>
      <c r="H224" s="345">
        <f>ROUND($F$224*VLOOKUP($D$224,ALLOCTABLE_Prod_Commodity,$H$10,FALSE),0)</f>
        <v>0</v>
      </c>
      <c r="I224" s="345">
        <f t="shared" si="89"/>
        <v>0</v>
      </c>
      <c r="J224" s="345">
        <f t="shared" si="90"/>
        <v>0</v>
      </c>
      <c r="K224" s="345">
        <f t="shared" si="91"/>
        <v>0</v>
      </c>
      <c r="L224" s="345">
        <f t="shared" si="92"/>
        <v>0</v>
      </c>
    </row>
    <row r="225" spans="1:12" ht="13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3">
        <f>'FR-16(7)(v)-2 PROD Classified'!H225</f>
        <v>0</v>
      </c>
      <c r="G225" s="347">
        <f t="shared" si="88"/>
        <v>0</v>
      </c>
      <c r="H225" s="345">
        <f>ROUND($F$225*VLOOKUP($D$225,ALLOCTABLE_Prod_Commodity,$H$10,FALSE),0)</f>
        <v>0</v>
      </c>
      <c r="I225" s="345">
        <f t="shared" si="89"/>
        <v>0</v>
      </c>
      <c r="J225" s="345">
        <f t="shared" si="90"/>
        <v>0</v>
      </c>
      <c r="K225" s="345">
        <f t="shared" si="91"/>
        <v>0</v>
      </c>
      <c r="L225" s="345">
        <f t="shared" si="92"/>
        <v>0</v>
      </c>
    </row>
    <row r="226" spans="1:12" ht="13">
      <c r="A226" s="331">
        <v>24</v>
      </c>
      <c r="C226" s="612" t="str">
        <f>'FR-16(7)(v)-1 Functional'!C226</f>
        <v>RATE CASE EXPENSE AMORT</v>
      </c>
      <c r="D226" s="342" t="str">
        <f>'FR-16(7)(v)-1 Functional'!D226</f>
        <v>AG39</v>
      </c>
      <c r="F226" s="473">
        <f>'FR-16(7)(v)-2 PROD Classified'!H226</f>
        <v>0</v>
      </c>
      <c r="G226" s="347">
        <f t="shared" si="88"/>
        <v>0</v>
      </c>
      <c r="H226" s="345">
        <f>ROUND($F$226*VLOOKUP($D$226,ALLOCTABLE_Prod_Commodity,$H$10,FALSE),0)</f>
        <v>0</v>
      </c>
      <c r="I226" s="345">
        <f>ROUND(F226*VLOOKUP(D226,ALLOCTABLE_Prod_Commodity,$I$10,FALSE),0)</f>
        <v>0</v>
      </c>
      <c r="J226" s="345">
        <f>ROUND(F226*VLOOKUP(D226,ALLOCTABLE_Prod_Commodity,$J$10,FALSE),0)</f>
        <v>0</v>
      </c>
      <c r="K226" s="345">
        <f>SUM(G226:J226)</f>
        <v>0</v>
      </c>
      <c r="L226" s="345">
        <f>F226-K226</f>
        <v>0</v>
      </c>
    </row>
    <row r="227" spans="1:12" ht="13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3">
        <f>'FR-16(7)(v)-2 PROD Classified'!H227</f>
        <v>0</v>
      </c>
      <c r="G227" s="347">
        <f t="shared" si="88"/>
        <v>0</v>
      </c>
      <c r="H227" s="345">
        <f>ROUND($F$227*VLOOKUP($D$227,ALLOCTABLE_Prod_Commodity,$H$10,FALSE),0)</f>
        <v>0</v>
      </c>
      <c r="I227" s="345">
        <f>ROUND(F227*VLOOKUP(D227,ALLOCTABLE_Prod_Commodity,$I$10,FALSE),0)</f>
        <v>0</v>
      </c>
      <c r="J227" s="345">
        <f>ROUND(F227*VLOOKUP(D227,ALLOCTABLE_Prod_Commodity,$J$10,FALSE),0)</f>
        <v>0</v>
      </c>
      <c r="K227" s="345">
        <f>SUM(G227:J227)</f>
        <v>0</v>
      </c>
      <c r="L227" s="345">
        <f>F227-K227</f>
        <v>0</v>
      </c>
    </row>
    <row r="228" spans="1:12" ht="13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3">
        <f>'FR-16(7)(v)-2 PROD Classified'!H228</f>
        <v>0</v>
      </c>
      <c r="G228" s="347">
        <f t="shared" si="88"/>
        <v>0</v>
      </c>
      <c r="H228" s="345">
        <f>ROUND($F$228*VLOOKUP($D$228,ALLOCTABLE_Prod_Commodity,$H$10,FALSE),0)</f>
        <v>0</v>
      </c>
      <c r="I228" s="345">
        <f>ROUND(F228*VLOOKUP(D228,ALLOCTABLE_Prod_Commodity,$I$10,FALSE),0)</f>
        <v>0</v>
      </c>
      <c r="J228" s="345">
        <f>ROUND(F228*VLOOKUP(D228,ALLOCTABLE_Prod_Commodity,$J$10,FALSE),0)</f>
        <v>0</v>
      </c>
      <c r="K228" s="345">
        <f t="shared" si="91"/>
        <v>0</v>
      </c>
      <c r="L228" s="345">
        <f t="shared" si="92"/>
        <v>0</v>
      </c>
    </row>
    <row r="229" spans="1:12" ht="13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L229" si="93">SUM(F217:F228)</f>
        <v>0</v>
      </c>
      <c r="G229" s="346">
        <f>SUM(G217:G228)</f>
        <v>0</v>
      </c>
      <c r="H229" s="346">
        <f t="shared" si="93"/>
        <v>0</v>
      </c>
      <c r="I229" s="346">
        <f t="shared" si="93"/>
        <v>0</v>
      </c>
      <c r="J229" s="346">
        <f t="shared" si="93"/>
        <v>0</v>
      </c>
      <c r="K229" s="346">
        <f t="shared" si="93"/>
        <v>0</v>
      </c>
      <c r="L229" s="346">
        <f t="shared" si="93"/>
        <v>0</v>
      </c>
    </row>
    <row r="230" spans="1:12" ht="13">
      <c r="A230" s="331">
        <v>28</v>
      </c>
      <c r="D230" s="342"/>
      <c r="E230" s="195"/>
      <c r="I230" s="330"/>
    </row>
    <row r="231" spans="1:12" ht="13">
      <c r="A231" s="331">
        <v>29</v>
      </c>
      <c r="B231" s="351" t="s">
        <v>817</v>
      </c>
      <c r="C231" s="351"/>
      <c r="D231" s="342"/>
      <c r="E231" s="195"/>
      <c r="I231" s="330"/>
    </row>
    <row r="232" spans="1:12" ht="13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3">
        <f>'FR-16(7)(v)-2 PROD Classified'!H232</f>
        <v>0</v>
      </c>
      <c r="G232" s="347">
        <f>F232-SUM(H232:J232)</f>
        <v>0</v>
      </c>
      <c r="H232" s="345">
        <f>ROUND($F$232*VLOOKUP($D$232,ALLOCTABLE_Prod_Commodity,$H$10,FALSE),0)</f>
        <v>0</v>
      </c>
      <c r="I232" s="345">
        <f>ROUND(F232*VLOOKUP(D232,ALLOCTABLE_Prod_Commodity,$I$10,FALSE),0)</f>
        <v>0</v>
      </c>
      <c r="J232" s="345">
        <f>ROUND(F232*VLOOKUP(D232,ALLOCTABLE_Prod_Commodity,$J$10,FALSE),0)</f>
        <v>0</v>
      </c>
      <c r="K232" s="345">
        <f>SUM(G232:J232)</f>
        <v>0</v>
      </c>
      <c r="L232" s="345">
        <f>F232-K232</f>
        <v>0</v>
      </c>
    </row>
    <row r="233" spans="1:12" ht="13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3">
        <f>'FR-16(7)(v)-2 PROD Classified'!H233</f>
        <v>0</v>
      </c>
      <c r="G233" s="347">
        <f>F233-SUM(H233:J233)</f>
        <v>0</v>
      </c>
      <c r="H233" s="345">
        <f>ROUND($F$233*VLOOKUP($D$233,ALLOCTABLE_Prod_Commodity,$H$10,FALSE),0)</f>
        <v>0</v>
      </c>
      <c r="I233" s="345">
        <f>ROUND(F233*VLOOKUP(D233,ALLOCTABLE_Prod_Commodity,$I$10,FALSE),0)</f>
        <v>0</v>
      </c>
      <c r="J233" s="345">
        <f>ROUND(F233*VLOOKUP(D233,ALLOCTABLE_Prod_Commodity,$J$10,FALSE),0)</f>
        <v>0</v>
      </c>
      <c r="K233" s="345">
        <f>SUM(G233:J233)</f>
        <v>0</v>
      </c>
      <c r="L233" s="345">
        <f>F233-K233</f>
        <v>0</v>
      </c>
    </row>
    <row r="234" spans="1:12" ht="13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3">
        <f>'FR-16(7)(v)-2 PROD Classified'!H234</f>
        <v>0</v>
      </c>
      <c r="G234" s="347">
        <f>F234-SUM(H234:J234)</f>
        <v>0</v>
      </c>
      <c r="H234" s="345">
        <f>ROUND($F$234*VLOOKUP($D$234,ALLOCTABLE_Prod_Commodity,$H$10,FALSE),0)</f>
        <v>0</v>
      </c>
      <c r="I234" s="345">
        <f>ROUND(F234*VLOOKUP(D234,ALLOCTABLE_Prod_Commodity,$I$10,FALSE),0)</f>
        <v>0</v>
      </c>
      <c r="J234" s="345">
        <f>ROUND(F234*VLOOKUP(D234,ALLOCTABLE_Prod_Commodity,$J$10,FALSE),0)</f>
        <v>0</v>
      </c>
      <c r="K234" s="345">
        <f>SUM(G234:J234)</f>
        <v>0</v>
      </c>
      <c r="L234" s="345">
        <f>F234-K234</f>
        <v>0</v>
      </c>
    </row>
    <row r="235" spans="1:12" ht="13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3">
        <f>'FR-16(7)(v)-2 PROD Classified'!H235</f>
        <v>262844</v>
      </c>
      <c r="G235" s="347">
        <f>F235-SUM(H235:J235)</f>
        <v>143339</v>
      </c>
      <c r="H235" s="345">
        <f>ROUND($F$235*VLOOKUP($D$235,ALLOCTABLE_Prod_Commodity,$H$10,FALSE),0)</f>
        <v>85290</v>
      </c>
      <c r="I235" s="345">
        <f>ROUND(F235*VLOOKUP(D235,ALLOCTABLE_Prod_Commodity,$I$10,FALSE),0)</f>
        <v>33965</v>
      </c>
      <c r="J235" s="345">
        <f>ROUND(F235*VLOOKUP(D235,ALLOCTABLE_Prod_Commodity,$J$10,FALSE),0)</f>
        <v>250</v>
      </c>
      <c r="K235" s="345">
        <f>SUM(G235:J235)</f>
        <v>262844</v>
      </c>
      <c r="L235" s="345">
        <f>F235-K235</f>
        <v>0</v>
      </c>
    </row>
    <row r="236" spans="1:12" ht="13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L236" si="94">SUM(F231:F235)</f>
        <v>262844</v>
      </c>
      <c r="G236" s="346">
        <f>SUM(G231:G235)</f>
        <v>143339</v>
      </c>
      <c r="H236" s="346">
        <f t="shared" si="94"/>
        <v>85290</v>
      </c>
      <c r="I236" s="346">
        <f t="shared" si="94"/>
        <v>33965</v>
      </c>
      <c r="J236" s="346">
        <f t="shared" si="94"/>
        <v>250</v>
      </c>
      <c r="K236" s="346">
        <f t="shared" si="94"/>
        <v>262844</v>
      </c>
      <c r="L236" s="346">
        <f t="shared" si="94"/>
        <v>0</v>
      </c>
    </row>
    <row r="237" spans="1:12" ht="13">
      <c r="A237" s="331">
        <v>35</v>
      </c>
      <c r="D237" s="342"/>
      <c r="E237" s="195"/>
      <c r="I237" s="330"/>
    </row>
    <row r="238" spans="1:12" ht="13">
      <c r="A238" s="331">
        <v>36</v>
      </c>
      <c r="B238" s="330" t="s">
        <v>821</v>
      </c>
      <c r="D238" s="342"/>
      <c r="E238" s="195"/>
      <c r="F238" s="345">
        <f t="shared" ref="F238:L238" si="95">F236+F229+F215</f>
        <v>815159</v>
      </c>
      <c r="G238" s="345">
        <f>G236+G229+G215</f>
        <v>436626</v>
      </c>
      <c r="H238" s="345">
        <f t="shared" si="95"/>
        <v>260312</v>
      </c>
      <c r="I238" s="345">
        <f t="shared" si="95"/>
        <v>117565</v>
      </c>
      <c r="J238" s="345">
        <f t="shared" si="95"/>
        <v>656</v>
      </c>
      <c r="K238" s="345">
        <f t="shared" si="95"/>
        <v>815159</v>
      </c>
      <c r="L238" s="345">
        <f t="shared" si="95"/>
        <v>0</v>
      </c>
    </row>
    <row r="239" spans="1:12" ht="13">
      <c r="B239" s="341"/>
      <c r="C239" s="195"/>
      <c r="D239" s="342"/>
      <c r="E239" s="195"/>
      <c r="G239" s="195"/>
      <c r="H239" s="195"/>
      <c r="I239" s="195"/>
      <c r="J239" s="342"/>
      <c r="K239" s="195"/>
      <c r="L239" s="195"/>
    </row>
    <row r="240" spans="1:12" ht="13">
      <c r="A240" s="341" t="str">
        <f>co_name</f>
        <v>DUKE ENERGY KENTUCKY, INC.</v>
      </c>
      <c r="C240" s="195"/>
      <c r="D240" s="342"/>
      <c r="E240" s="195"/>
      <c r="F240" s="342"/>
      <c r="G240" s="340"/>
      <c r="H240" s="340"/>
      <c r="I240" s="195"/>
      <c r="K240" s="359" t="str">
        <f>$K$1</f>
        <v>FR-16(7)(v)-3</v>
      </c>
      <c r="L240" s="195"/>
    </row>
    <row r="241" spans="1:12" ht="13">
      <c r="A241" s="341" t="str">
        <f>$A$2</f>
        <v>PRODUCTION COMMODITY ALLOCATED - GAS COST OF SERVICE</v>
      </c>
      <c r="C241" s="195"/>
      <c r="D241" s="342"/>
      <c r="E241" s="195"/>
      <c r="F241" s="342"/>
      <c r="G241" s="340"/>
      <c r="H241" s="340"/>
      <c r="I241" s="195"/>
      <c r="K241" s="359" t="str">
        <f>$K$2</f>
        <v>WITNESS RESPONSIBLE:</v>
      </c>
      <c r="L241" s="195"/>
    </row>
    <row r="242" spans="1:12" ht="13">
      <c r="A242" s="341" t="str">
        <f>case_name</f>
        <v>CASE NO: 2021-00190</v>
      </c>
      <c r="C242" s="195"/>
      <c r="D242" s="342"/>
      <c r="E242" s="195"/>
      <c r="F242" s="342"/>
      <c r="G242" s="340"/>
      <c r="H242" s="340"/>
      <c r="I242" s="195"/>
      <c r="K242" s="359" t="str">
        <f>Witness</f>
        <v>JAMES E. ZIOLKOWSKI</v>
      </c>
      <c r="L242" s="195"/>
    </row>
    <row r="243" spans="1:12" ht="13">
      <c r="A243" s="341" t="str">
        <f>data_filing</f>
        <v>DATA: 12 MONTH FORECASTED PERIOD</v>
      </c>
      <c r="C243" s="195"/>
      <c r="D243" s="342"/>
      <c r="E243" s="195"/>
      <c r="F243" s="342"/>
      <c r="G243" s="340"/>
      <c r="H243" s="340"/>
      <c r="I243" s="195"/>
      <c r="K243" s="359" t="str">
        <f>"PAGE "&amp;Pages-12&amp;" OF "&amp;Pages</f>
        <v>PAGE 6 OF 18</v>
      </c>
      <c r="L243" s="195"/>
    </row>
    <row r="244" spans="1:12" ht="13">
      <c r="A244" s="341" t="str">
        <f>type</f>
        <v xml:space="preserve">TYPE OF FILING: "X" ORIGINAL   UPDATED    REVISED  </v>
      </c>
      <c r="C244" s="195"/>
      <c r="D244" s="342"/>
      <c r="E244" s="195"/>
      <c r="F244" s="342"/>
      <c r="G244" s="340"/>
      <c r="H244" s="340"/>
      <c r="I244" s="195"/>
      <c r="J244" s="342"/>
      <c r="K244" s="195"/>
      <c r="L244" s="195"/>
    </row>
    <row r="245" spans="1:12" ht="13">
      <c r="B245" s="341"/>
      <c r="C245" s="195"/>
      <c r="D245" s="342"/>
      <c r="E245" s="195"/>
      <c r="F245" s="342"/>
      <c r="G245" s="195"/>
      <c r="H245" s="195"/>
      <c r="I245" s="195"/>
      <c r="J245" s="342"/>
      <c r="K245" s="195"/>
      <c r="L245" s="195"/>
    </row>
    <row r="246" spans="1:12" ht="13">
      <c r="B246" s="341"/>
      <c r="C246" s="195"/>
      <c r="D246" s="342"/>
      <c r="E246" s="195"/>
      <c r="F246" s="342" t="str">
        <f>$F$7</f>
        <v>TOTAL</v>
      </c>
      <c r="G246" s="195"/>
      <c r="H246" s="195"/>
      <c r="I246" s="195"/>
      <c r="J246" s="342"/>
      <c r="K246" s="195"/>
      <c r="L246" s="195"/>
    </row>
    <row r="247" spans="1:12" ht="13">
      <c r="A247" s="342" t="s">
        <v>907</v>
      </c>
      <c r="B247" s="195"/>
      <c r="C247" s="195"/>
      <c r="D247" s="342"/>
      <c r="E247" s="195"/>
      <c r="F247" s="342" t="str">
        <f>$F$8</f>
        <v>PRODUCTION</v>
      </c>
      <c r="G247" s="342" t="s">
        <v>417</v>
      </c>
      <c r="H247" s="342" t="s">
        <v>857</v>
      </c>
      <c r="I247" s="342" t="s">
        <v>858</v>
      </c>
      <c r="J247" s="342" t="s">
        <v>546</v>
      </c>
      <c r="K247" s="342" t="s">
        <v>229</v>
      </c>
      <c r="L247" s="342" t="s">
        <v>342</v>
      </c>
    </row>
    <row r="248" spans="1:12" ht="13">
      <c r="A248" s="344" t="s">
        <v>908</v>
      </c>
      <c r="B248" s="343" t="s">
        <v>947</v>
      </c>
      <c r="C248" s="343"/>
      <c r="D248" s="344" t="s">
        <v>337</v>
      </c>
      <c r="E248" s="343"/>
      <c r="F248" s="342" t="str">
        <f>$F$9</f>
        <v>COMMODITY</v>
      </c>
      <c r="G248" s="344" t="s">
        <v>338</v>
      </c>
      <c r="H248" s="344" t="s">
        <v>404</v>
      </c>
      <c r="I248" s="344" t="s">
        <v>404</v>
      </c>
      <c r="J248" s="344" t="s">
        <v>547</v>
      </c>
      <c r="K248" s="344" t="s">
        <v>341</v>
      </c>
      <c r="L248" s="344" t="s">
        <v>340</v>
      </c>
    </row>
    <row r="249" spans="1:12" ht="13">
      <c r="C249" s="572" t="s">
        <v>555</v>
      </c>
      <c r="D249" s="342"/>
      <c r="E249" s="195"/>
      <c r="F249" s="755"/>
      <c r="G249" s="627">
        <f>$G$10</f>
        <v>3</v>
      </c>
      <c r="H249" s="627">
        <f>$H$10</f>
        <v>4</v>
      </c>
      <c r="I249" s="627">
        <f>$I$10</f>
        <v>5</v>
      </c>
      <c r="J249" s="627">
        <f>$J$10</f>
        <v>6</v>
      </c>
    </row>
    <row r="250" spans="1:12" ht="13">
      <c r="A250" s="331">
        <v>1</v>
      </c>
      <c r="B250" s="330" t="s">
        <v>819</v>
      </c>
      <c r="D250" s="342"/>
      <c r="E250" s="195"/>
      <c r="I250" s="330"/>
    </row>
    <row r="251" spans="1:12" ht="13">
      <c r="A251" s="331">
        <v>2</v>
      </c>
      <c r="B251" s="330" t="s">
        <v>29</v>
      </c>
      <c r="D251" s="342"/>
      <c r="E251" s="195"/>
      <c r="I251" s="330"/>
    </row>
    <row r="252" spans="1:12" ht="13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3">
        <f>'FR-16(7)(v)-2 PROD Classified'!H252</f>
        <v>0</v>
      </c>
      <c r="G252" s="347">
        <f t="shared" ref="G252:G274" si="96">F252-SUM(H252:J252)</f>
        <v>0</v>
      </c>
      <c r="H252" s="345">
        <f>ROUND($F$252*VLOOKUP($D$252,ALLOCTABLE_Prod_Commodity,$H$10,FALSE),0)</f>
        <v>0</v>
      </c>
      <c r="I252" s="345">
        <f t="shared" ref="I252:I274" si="97">ROUND(F252*VLOOKUP(D252,ALLOCTABLE_Prod_Commodity,$I$10,FALSE),0)</f>
        <v>0</v>
      </c>
      <c r="J252" s="345">
        <f t="shared" ref="J252:J274" si="98">ROUND(F252*VLOOKUP(D252,ALLOCTABLE_Prod_Commodity,$J$10,FALSE),0)</f>
        <v>0</v>
      </c>
      <c r="K252" s="345">
        <f t="shared" ref="K252:K274" si="99">SUM(G252:J252)</f>
        <v>0</v>
      </c>
      <c r="L252" s="345">
        <f t="shared" ref="L252:L274" si="100">F252-K252</f>
        <v>0</v>
      </c>
    </row>
    <row r="253" spans="1:12" ht="13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3">
        <f>'FR-16(7)(v)-2 PROD Classified'!H253</f>
        <v>0</v>
      </c>
      <c r="G253" s="347">
        <f t="shared" si="96"/>
        <v>0</v>
      </c>
      <c r="H253" s="345">
        <f>ROUND($F$253*VLOOKUP($D$253,ALLOCTABLE_Prod_Commodity,$H$10,FALSE),0)</f>
        <v>0</v>
      </c>
      <c r="I253" s="345">
        <f t="shared" si="97"/>
        <v>0</v>
      </c>
      <c r="J253" s="345">
        <f t="shared" si="98"/>
        <v>0</v>
      </c>
      <c r="K253" s="345">
        <f t="shared" si="99"/>
        <v>0</v>
      </c>
      <c r="L253" s="345">
        <f t="shared" si="100"/>
        <v>0</v>
      </c>
    </row>
    <row r="254" spans="1:12" ht="13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3">
        <f>'FR-16(7)(v)-2 PROD Classified'!H254</f>
        <v>0</v>
      </c>
      <c r="G254" s="347">
        <f t="shared" si="96"/>
        <v>0</v>
      </c>
      <c r="H254" s="345">
        <f>ROUND($F$254*VLOOKUP($D$254,ALLOCTABLE_Prod_Commodity,$H$10,FALSE),0)</f>
        <v>0</v>
      </c>
      <c r="I254" s="345">
        <f t="shared" si="97"/>
        <v>0</v>
      </c>
      <c r="J254" s="345">
        <f t="shared" si="98"/>
        <v>0</v>
      </c>
      <c r="K254" s="345">
        <f t="shared" si="99"/>
        <v>0</v>
      </c>
      <c r="L254" s="345">
        <f t="shared" si="100"/>
        <v>0</v>
      </c>
    </row>
    <row r="255" spans="1:12" ht="13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3">
        <f>'FR-16(7)(v)-2 PROD Classified'!H255</f>
        <v>0</v>
      </c>
      <c r="G255" s="347">
        <f t="shared" si="96"/>
        <v>0</v>
      </c>
      <c r="H255" s="345">
        <f>ROUND($F$255*VLOOKUP($D$255,ALLOCTABLE_Prod_Commodity,$H$10,FALSE),0)</f>
        <v>0</v>
      </c>
      <c r="I255" s="345">
        <f t="shared" si="97"/>
        <v>0</v>
      </c>
      <c r="J255" s="345">
        <f t="shared" si="98"/>
        <v>0</v>
      </c>
      <c r="K255" s="345">
        <f t="shared" si="99"/>
        <v>0</v>
      </c>
      <c r="L255" s="345">
        <f t="shared" si="100"/>
        <v>0</v>
      </c>
    </row>
    <row r="256" spans="1:12" ht="13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3">
        <f>'FR-16(7)(v)-2 PROD Classified'!H256</f>
        <v>0</v>
      </c>
      <c r="G256" s="347">
        <f t="shared" si="96"/>
        <v>0</v>
      </c>
      <c r="H256" s="345">
        <f>ROUND($F$256*VLOOKUP($D$256,ALLOCTABLE_Prod_Commodity,$H$10,FALSE),0)</f>
        <v>0</v>
      </c>
      <c r="I256" s="345">
        <f t="shared" si="97"/>
        <v>0</v>
      </c>
      <c r="J256" s="345">
        <f t="shared" si="98"/>
        <v>0</v>
      </c>
      <c r="K256" s="345">
        <f t="shared" si="99"/>
        <v>0</v>
      </c>
      <c r="L256" s="345">
        <f t="shared" si="100"/>
        <v>0</v>
      </c>
    </row>
    <row r="257" spans="1:12" ht="13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3">
        <f>'FR-16(7)(v)-2 PROD Classified'!H257</f>
        <v>0</v>
      </c>
      <c r="G257" s="347">
        <f t="shared" si="96"/>
        <v>0</v>
      </c>
      <c r="H257" s="345">
        <f>ROUND($F$257*VLOOKUP($D$257,ALLOCTABLE_Prod_Commodity,$H$10,FALSE),0)</f>
        <v>0</v>
      </c>
      <c r="I257" s="345">
        <f t="shared" si="97"/>
        <v>0</v>
      </c>
      <c r="J257" s="345">
        <f t="shared" si="98"/>
        <v>0</v>
      </c>
      <c r="K257" s="345">
        <f t="shared" si="99"/>
        <v>0</v>
      </c>
      <c r="L257" s="345">
        <f t="shared" si="100"/>
        <v>0</v>
      </c>
    </row>
    <row r="258" spans="1:12" ht="13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3">
        <f>'FR-16(7)(v)-2 PROD Classified'!H258</f>
        <v>0</v>
      </c>
      <c r="G258" s="347">
        <f t="shared" si="96"/>
        <v>0</v>
      </c>
      <c r="H258" s="345">
        <f>ROUND($F$258*VLOOKUP($D$258,ALLOCTABLE_Prod_Commodity,$H$10,FALSE),0)</f>
        <v>0</v>
      </c>
      <c r="I258" s="345">
        <f t="shared" si="97"/>
        <v>0</v>
      </c>
      <c r="J258" s="345">
        <f t="shared" si="98"/>
        <v>0</v>
      </c>
      <c r="K258" s="345">
        <f t="shared" si="99"/>
        <v>0</v>
      </c>
      <c r="L258" s="345">
        <f t="shared" si="100"/>
        <v>0</v>
      </c>
    </row>
    <row r="259" spans="1:12" ht="13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3">
        <f>'FR-16(7)(v)-2 PROD Classified'!H259</f>
        <v>0</v>
      </c>
      <c r="G259" s="347">
        <f t="shared" si="96"/>
        <v>0</v>
      </c>
      <c r="H259" s="345">
        <f>ROUND($F$259*VLOOKUP($D$259,ALLOCTABLE_Prod_Commodity,$H$10,FALSE),0)</f>
        <v>0</v>
      </c>
      <c r="I259" s="345">
        <f t="shared" si="97"/>
        <v>0</v>
      </c>
      <c r="J259" s="345">
        <f t="shared" si="98"/>
        <v>0</v>
      </c>
      <c r="K259" s="345">
        <f t="shared" si="99"/>
        <v>0</v>
      </c>
      <c r="L259" s="345">
        <f t="shared" si="100"/>
        <v>0</v>
      </c>
    </row>
    <row r="260" spans="1:12" ht="13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3">
        <f>'FR-16(7)(v)-2 PROD Classified'!H260</f>
        <v>0</v>
      </c>
      <c r="G260" s="347">
        <f t="shared" si="96"/>
        <v>0</v>
      </c>
      <c r="H260" s="345">
        <f>ROUND($F$260*VLOOKUP($D$260,ALLOCTABLE_Prod_Commodity,$H$10,FALSE),0)</f>
        <v>0</v>
      </c>
      <c r="I260" s="345">
        <f t="shared" si="97"/>
        <v>0</v>
      </c>
      <c r="J260" s="345">
        <f t="shared" si="98"/>
        <v>0</v>
      </c>
      <c r="K260" s="345">
        <f t="shared" si="99"/>
        <v>0</v>
      </c>
      <c r="L260" s="345">
        <f t="shared" si="100"/>
        <v>0</v>
      </c>
    </row>
    <row r="261" spans="1:12" ht="13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3">
        <f>'FR-16(7)(v)-2 PROD Classified'!H261</f>
        <v>0</v>
      </c>
      <c r="G261" s="347">
        <f t="shared" si="96"/>
        <v>0</v>
      </c>
      <c r="H261" s="345">
        <f>ROUND($F$261*VLOOKUP($D$261,ALLOCTABLE_Prod_Commodity,$H$10,FALSE),0)</f>
        <v>0</v>
      </c>
      <c r="I261" s="345">
        <f t="shared" si="97"/>
        <v>0</v>
      </c>
      <c r="J261" s="345">
        <f t="shared" si="98"/>
        <v>0</v>
      </c>
      <c r="K261" s="345">
        <f t="shared" si="99"/>
        <v>0</v>
      </c>
      <c r="L261" s="345">
        <f t="shared" si="100"/>
        <v>0</v>
      </c>
    </row>
    <row r="262" spans="1:12" ht="13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3">
        <f>'FR-16(7)(v)-2 PROD Classified'!H262</f>
        <v>0</v>
      </c>
      <c r="G262" s="347">
        <f t="shared" si="96"/>
        <v>0</v>
      </c>
      <c r="H262" s="345">
        <f>ROUND($F$262*VLOOKUP($D$262,ALLOCTABLE_Prod_Commodity,$H$10,FALSE),0)</f>
        <v>0</v>
      </c>
      <c r="I262" s="345">
        <f t="shared" si="97"/>
        <v>0</v>
      </c>
      <c r="J262" s="345">
        <f t="shared" si="98"/>
        <v>0</v>
      </c>
      <c r="K262" s="345">
        <f t="shared" si="99"/>
        <v>0</v>
      </c>
      <c r="L262" s="345">
        <f t="shared" si="100"/>
        <v>0</v>
      </c>
    </row>
    <row r="263" spans="1:12" ht="13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3">
        <f>'FR-16(7)(v)-2 PROD Classified'!H263</f>
        <v>0</v>
      </c>
      <c r="G263" s="347">
        <f t="shared" si="96"/>
        <v>0</v>
      </c>
      <c r="H263" s="345">
        <f>ROUND($F$263*VLOOKUP($D$263,ALLOCTABLE_Prod_Commodity,$H$10,FALSE),0)</f>
        <v>0</v>
      </c>
      <c r="I263" s="345">
        <f t="shared" si="97"/>
        <v>0</v>
      </c>
      <c r="J263" s="345">
        <f t="shared" si="98"/>
        <v>0</v>
      </c>
      <c r="K263" s="345">
        <f t="shared" si="99"/>
        <v>0</v>
      </c>
      <c r="L263" s="345">
        <f t="shared" si="100"/>
        <v>0</v>
      </c>
    </row>
    <row r="264" spans="1:12" ht="13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3">
        <f>'FR-16(7)(v)-2 PROD Classified'!H264</f>
        <v>0</v>
      </c>
      <c r="G264" s="347">
        <f t="shared" si="96"/>
        <v>0</v>
      </c>
      <c r="H264" s="345">
        <f>ROUND($F$264*VLOOKUP($D$264,ALLOCTABLE_Prod_Commodity,$H$10,FALSE),0)</f>
        <v>0</v>
      </c>
      <c r="I264" s="345">
        <f t="shared" si="97"/>
        <v>0</v>
      </c>
      <c r="J264" s="345">
        <f t="shared" si="98"/>
        <v>0</v>
      </c>
      <c r="K264" s="345">
        <f t="shared" si="99"/>
        <v>0</v>
      </c>
      <c r="L264" s="345">
        <f t="shared" si="100"/>
        <v>0</v>
      </c>
    </row>
    <row r="265" spans="1:12" ht="13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3">
        <f>'FR-16(7)(v)-2 PROD Classified'!H265</f>
        <v>0</v>
      </c>
      <c r="G265" s="347">
        <f t="shared" si="96"/>
        <v>0</v>
      </c>
      <c r="H265" s="345">
        <f>ROUND($F$265*VLOOKUP($D$265,ALLOCTABLE_Prod_Commodity,$H$10,FALSE),0)</f>
        <v>0</v>
      </c>
      <c r="I265" s="345">
        <f t="shared" si="97"/>
        <v>0</v>
      </c>
      <c r="J265" s="345">
        <f t="shared" si="98"/>
        <v>0</v>
      </c>
      <c r="K265" s="345">
        <f t="shared" si="99"/>
        <v>0</v>
      </c>
      <c r="L265" s="345">
        <f t="shared" si="100"/>
        <v>0</v>
      </c>
    </row>
    <row r="266" spans="1:12" ht="13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3">
        <f>'FR-16(7)(v)-2 PROD Classified'!H266</f>
        <v>0</v>
      </c>
      <c r="G266" s="347">
        <f t="shared" si="96"/>
        <v>0</v>
      </c>
      <c r="H266" s="345">
        <f>ROUND($F$266*VLOOKUP($D$266,ALLOCTABLE_Prod_Commodity,$H$10,FALSE),0)</f>
        <v>0</v>
      </c>
      <c r="I266" s="345">
        <f t="shared" si="97"/>
        <v>0</v>
      </c>
      <c r="J266" s="345">
        <f t="shared" si="98"/>
        <v>0</v>
      </c>
      <c r="K266" s="345">
        <f t="shared" si="99"/>
        <v>0</v>
      </c>
      <c r="L266" s="345">
        <f t="shared" si="100"/>
        <v>0</v>
      </c>
    </row>
    <row r="267" spans="1:12" ht="13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3">
        <f>'FR-16(7)(v)-2 PROD Classified'!H267</f>
        <v>0</v>
      </c>
      <c r="G267" s="347">
        <f t="shared" si="96"/>
        <v>0</v>
      </c>
      <c r="H267" s="345">
        <f>ROUND($F$267*VLOOKUP($D$267,ALLOCTABLE_Prod_Commodity,$H$10,FALSE),0)</f>
        <v>0</v>
      </c>
      <c r="I267" s="345">
        <f t="shared" si="97"/>
        <v>0</v>
      </c>
      <c r="J267" s="345">
        <f t="shared" si="98"/>
        <v>0</v>
      </c>
      <c r="K267" s="345">
        <f t="shared" si="99"/>
        <v>0</v>
      </c>
      <c r="L267" s="345">
        <f t="shared" si="100"/>
        <v>0</v>
      </c>
    </row>
    <row r="268" spans="1:12" ht="13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3">
        <f>'FR-16(7)(v)-2 PROD Classified'!H268</f>
        <v>0</v>
      </c>
      <c r="G268" s="347">
        <f t="shared" si="96"/>
        <v>0</v>
      </c>
      <c r="H268" s="345">
        <f>ROUND($F$268*VLOOKUP($D$268,ALLOCTABLE_Prod_Commodity,$H$10,FALSE),0)</f>
        <v>0</v>
      </c>
      <c r="I268" s="345">
        <f t="shared" si="97"/>
        <v>0</v>
      </c>
      <c r="J268" s="345">
        <f t="shared" si="98"/>
        <v>0</v>
      </c>
      <c r="K268" s="345">
        <f t="shared" si="99"/>
        <v>0</v>
      </c>
      <c r="L268" s="345">
        <f t="shared" si="100"/>
        <v>0</v>
      </c>
    </row>
    <row r="269" spans="1:12" ht="13">
      <c r="A269" s="331">
        <v>20</v>
      </c>
      <c r="C269" s="483" t="str">
        <f>'FR-16(7)(v)-1 Functional'!C269</f>
        <v>401K INCENTIVE PLAN</v>
      </c>
      <c r="D269" s="342" t="str">
        <f>'FR-16(7)(v)-1 Functional'!D269</f>
        <v>AG39</v>
      </c>
      <c r="F269" s="473">
        <f>'FR-16(7)(v)-2 PROD Classified'!H269</f>
        <v>0</v>
      </c>
      <c r="G269" s="347">
        <f t="shared" si="96"/>
        <v>0</v>
      </c>
      <c r="H269" s="345">
        <f>ROUND($F$269*VLOOKUP($D$269,ALLOCTABLE_Prod_Commodity,$H$10,FALSE),0)</f>
        <v>0</v>
      </c>
      <c r="I269" s="345">
        <f t="shared" si="97"/>
        <v>0</v>
      </c>
      <c r="J269" s="345">
        <f t="shared" si="98"/>
        <v>0</v>
      </c>
      <c r="K269" s="345">
        <f t="shared" si="99"/>
        <v>0</v>
      </c>
      <c r="L269" s="345">
        <f t="shared" si="100"/>
        <v>0</v>
      </c>
    </row>
    <row r="270" spans="1:12" ht="13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3">
        <f>'FR-16(7)(v)-2 PROD Classified'!H270</f>
        <v>0</v>
      </c>
      <c r="G270" s="347">
        <f t="shared" si="96"/>
        <v>0</v>
      </c>
      <c r="H270" s="345">
        <f>ROUND($F$270*VLOOKUP($D$270,ALLOCTABLE_Prod_Commodity,$H$10,FALSE),0)</f>
        <v>0</v>
      </c>
      <c r="I270" s="345">
        <f t="shared" si="97"/>
        <v>0</v>
      </c>
      <c r="J270" s="345">
        <f t="shared" si="98"/>
        <v>0</v>
      </c>
      <c r="K270" s="345">
        <f t="shared" si="99"/>
        <v>0</v>
      </c>
      <c r="L270" s="345">
        <f t="shared" si="100"/>
        <v>0</v>
      </c>
    </row>
    <row r="271" spans="1:12" ht="13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3">
        <f>'FR-16(7)(v)-2 PROD Classified'!H271</f>
        <v>0</v>
      </c>
      <c r="G271" s="347">
        <f t="shared" si="96"/>
        <v>0</v>
      </c>
      <c r="H271" s="345">
        <f>ROUND($F$271*VLOOKUP($D$271,ALLOCTABLE_Prod_Commodity,$H$10,FALSE),0)</f>
        <v>0</v>
      </c>
      <c r="I271" s="345">
        <f t="shared" si="97"/>
        <v>0</v>
      </c>
      <c r="J271" s="345">
        <f t="shared" si="98"/>
        <v>0</v>
      </c>
      <c r="K271" s="345">
        <f t="shared" si="99"/>
        <v>0</v>
      </c>
      <c r="L271" s="345">
        <f t="shared" si="100"/>
        <v>0</v>
      </c>
    </row>
    <row r="272" spans="1:12" ht="13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3">
        <f>'FR-16(7)(v)-2 PROD Classified'!H272</f>
        <v>0</v>
      </c>
      <c r="G272" s="347">
        <f t="shared" si="96"/>
        <v>0</v>
      </c>
      <c r="H272" s="345">
        <f>ROUND($F$272*VLOOKUP($D$272,ALLOCTABLE_Prod_Commodity,$H$10,FALSE),0)</f>
        <v>0</v>
      </c>
      <c r="I272" s="345">
        <f t="shared" si="97"/>
        <v>0</v>
      </c>
      <c r="J272" s="345">
        <f t="shared" si="98"/>
        <v>0</v>
      </c>
      <c r="K272" s="345">
        <f t="shared" si="99"/>
        <v>0</v>
      </c>
      <c r="L272" s="345">
        <f t="shared" si="100"/>
        <v>0</v>
      </c>
    </row>
    <row r="273" spans="1:12" ht="13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3">
        <f>'FR-16(7)(v)-2 PROD Classified'!H273</f>
        <v>0</v>
      </c>
      <c r="G273" s="347">
        <f t="shared" si="96"/>
        <v>0</v>
      </c>
      <c r="H273" s="345">
        <f>ROUND($F$273*VLOOKUP($D$273,ALLOCTABLE_Prod_Commodity,$H$10,FALSE),0)</f>
        <v>0</v>
      </c>
      <c r="I273" s="345">
        <f t="shared" si="97"/>
        <v>0</v>
      </c>
      <c r="J273" s="345">
        <f t="shared" si="98"/>
        <v>0</v>
      </c>
      <c r="K273" s="345">
        <f t="shared" si="99"/>
        <v>0</v>
      </c>
      <c r="L273" s="345">
        <f t="shared" si="100"/>
        <v>0</v>
      </c>
    </row>
    <row r="274" spans="1:12" ht="13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3">
        <f>'FR-16(7)(v)-2 PROD Classified'!H274</f>
        <v>78671</v>
      </c>
      <c r="G274" s="347">
        <f t="shared" si="96"/>
        <v>49323</v>
      </c>
      <c r="H274" s="345">
        <f>ROUND($F$274*VLOOKUP($D$274,ALLOCTABLE_Prod_Commodity,$H$10,FALSE),0)</f>
        <v>28936</v>
      </c>
      <c r="I274" s="345">
        <f t="shared" si="97"/>
        <v>240</v>
      </c>
      <c r="J274" s="345">
        <f t="shared" si="98"/>
        <v>172</v>
      </c>
      <c r="K274" s="345">
        <f t="shared" si="99"/>
        <v>78671</v>
      </c>
      <c r="L274" s="345">
        <f t="shared" si="100"/>
        <v>0</v>
      </c>
    </row>
    <row r="275" spans="1:12" ht="13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L275" si="101">SUM(F251:F274)</f>
        <v>78671</v>
      </c>
      <c r="G275" s="346">
        <f>SUM(G251:G274)</f>
        <v>49323</v>
      </c>
      <c r="H275" s="346">
        <f t="shared" si="101"/>
        <v>28936</v>
      </c>
      <c r="I275" s="346">
        <f t="shared" si="101"/>
        <v>240</v>
      </c>
      <c r="J275" s="346">
        <f t="shared" si="101"/>
        <v>172</v>
      </c>
      <c r="K275" s="346">
        <f t="shared" si="101"/>
        <v>78671</v>
      </c>
      <c r="L275" s="346">
        <f t="shared" si="101"/>
        <v>0</v>
      </c>
    </row>
    <row r="276" spans="1:12" ht="13">
      <c r="A276" s="331">
        <v>27</v>
      </c>
      <c r="D276" s="342"/>
      <c r="E276" s="195"/>
      <c r="I276" s="330"/>
    </row>
    <row r="277" spans="1:12" ht="13">
      <c r="A277" s="331">
        <v>28</v>
      </c>
      <c r="B277" s="330" t="s">
        <v>30</v>
      </c>
      <c r="D277" s="342"/>
      <c r="E277" s="195"/>
      <c r="I277" s="330"/>
    </row>
    <row r="278" spans="1:12" ht="13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3">
        <f>'FR-16(7)(v)-2 PROD Classified'!H278</f>
        <v>0</v>
      </c>
      <c r="G278" s="345">
        <f>ROUND($F$278*VLOOKUP($D$278,ALLOCTABLE_Prod_Commodity,$G$10,FALSE),0)</f>
        <v>0</v>
      </c>
      <c r="H278" s="345">
        <f>ROUND($F$278*VLOOKUP($D$278,ALLOCTABLE_Prod_Commodity,$H$10,FALSE),0)</f>
        <v>0</v>
      </c>
      <c r="I278" s="345">
        <f>ROUND(F278*VLOOKUP(D278,ALLOCTABLE_Prod_Commodity,$I$10,FALSE),0)</f>
        <v>0</v>
      </c>
      <c r="J278" s="345">
        <f>ROUND(F278*VLOOKUP(D278,ALLOCTABLE_Prod_Commodity,$J$10,FALSE),0)</f>
        <v>0</v>
      </c>
      <c r="K278" s="345">
        <f>SUM(G278:J278)</f>
        <v>0</v>
      </c>
      <c r="L278" s="345">
        <f>F278-K278</f>
        <v>0</v>
      </c>
    </row>
    <row r="279" spans="1:12" ht="13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1">
        <f>'FR-16(7)(v)-2 PROD Classified'!H279</f>
        <v>0</v>
      </c>
      <c r="G279" s="345">
        <f>ROUND($F$279*VLOOKUP($D$279,ALLOCTABLE_Prod_Commodity,$G$10,FALSE),0)</f>
        <v>0</v>
      </c>
      <c r="H279" s="345">
        <f>ROUND($F$279*VLOOKUP($D$279,ALLOCTABLE_Prod_Commodity,$H$10,FALSE),0)</f>
        <v>0</v>
      </c>
      <c r="I279" s="345">
        <f>ROUND(F279*VLOOKUP(D279,ALLOCTABLE_Prod_Commodity,$I$10,FALSE),0)</f>
        <v>0</v>
      </c>
      <c r="J279" s="345">
        <f>ROUND(F279*VLOOKUP(D279,ALLOCTABLE_Prod_Commodity,$J$10,FALSE),0)</f>
        <v>0</v>
      </c>
      <c r="K279" s="345">
        <f>SUM(G279:J279)</f>
        <v>0</v>
      </c>
      <c r="L279" s="345">
        <f>F279-K279</f>
        <v>0</v>
      </c>
    </row>
    <row r="280" spans="1:12" ht="13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1">
        <f>'FR-16(7)(v)-2 PROD Classified'!H280</f>
        <v>0</v>
      </c>
      <c r="G280" s="345">
        <f>ROUND($F$280*VLOOKUP($D$280,ALLOCTABLE_Prod_Commodity,$G$10,FALSE),0)</f>
        <v>0</v>
      </c>
      <c r="H280" s="345">
        <f>ROUND($F$280*VLOOKUP($D$280,ALLOCTABLE_Prod_Commodity,$H$10,FALSE),0)</f>
        <v>0</v>
      </c>
      <c r="I280" s="345">
        <f>ROUND(F280*VLOOKUP(D280,ALLOCTABLE_Prod_Commodity,$I$10,FALSE),0)</f>
        <v>0</v>
      </c>
      <c r="J280" s="345">
        <f>ROUND(F280*VLOOKUP(D280,ALLOCTABLE_Prod_Commodity,$J$10,FALSE),0)</f>
        <v>0</v>
      </c>
      <c r="K280" s="345">
        <f>SUM(G280:J280)</f>
        <v>0</v>
      </c>
      <c r="L280" s="345">
        <f>F280-K280</f>
        <v>0</v>
      </c>
    </row>
    <row r="281" spans="1:12" ht="13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346">
        <f t="shared" ref="G281:L281" si="102">SUM(G277:G280)</f>
        <v>0</v>
      </c>
      <c r="H281" s="346">
        <f t="shared" si="102"/>
        <v>0</v>
      </c>
      <c r="I281" s="346">
        <f t="shared" si="102"/>
        <v>0</v>
      </c>
      <c r="J281" s="346">
        <f t="shared" si="102"/>
        <v>0</v>
      </c>
      <c r="K281" s="346">
        <f t="shared" si="102"/>
        <v>0</v>
      </c>
      <c r="L281" s="346">
        <f t="shared" si="102"/>
        <v>0</v>
      </c>
    </row>
    <row r="282" spans="1:12" ht="13">
      <c r="A282" s="331">
        <v>33</v>
      </c>
      <c r="D282" s="342"/>
      <c r="F282" s="333" t="s">
        <v>343</v>
      </c>
      <c r="I282" s="330"/>
    </row>
    <row r="283" spans="1:12" ht="13">
      <c r="A283" s="331">
        <v>34</v>
      </c>
      <c r="B283" s="330" t="s">
        <v>818</v>
      </c>
      <c r="D283" s="342"/>
      <c r="F283" s="345">
        <f t="shared" ref="F283:L283" si="103">F275+F281</f>
        <v>78671</v>
      </c>
      <c r="G283" s="345">
        <f>G275+G281</f>
        <v>49323</v>
      </c>
      <c r="H283" s="345">
        <f t="shared" si="103"/>
        <v>28936</v>
      </c>
      <c r="I283" s="345">
        <f t="shared" si="103"/>
        <v>240</v>
      </c>
      <c r="J283" s="345">
        <f t="shared" si="103"/>
        <v>172</v>
      </c>
      <c r="K283" s="345">
        <f t="shared" si="103"/>
        <v>78671</v>
      </c>
      <c r="L283" s="345">
        <f t="shared" si="103"/>
        <v>0</v>
      </c>
    </row>
    <row r="284" spans="1:12" ht="13">
      <c r="B284" s="341"/>
      <c r="C284" s="195"/>
      <c r="D284" s="342"/>
      <c r="E284" s="195"/>
      <c r="G284" s="195"/>
      <c r="H284" s="195"/>
      <c r="I284" s="195"/>
      <c r="J284" s="342"/>
      <c r="K284" s="195"/>
      <c r="L284" s="195"/>
    </row>
    <row r="285" spans="1:12" ht="13">
      <c r="A285" s="341" t="str">
        <f>co_name</f>
        <v>DUKE ENERGY KENTUCKY, INC.</v>
      </c>
      <c r="C285" s="195"/>
      <c r="D285" s="342"/>
      <c r="E285" s="195"/>
      <c r="F285" s="342"/>
      <c r="G285" s="340"/>
      <c r="H285" s="340"/>
      <c r="I285" s="195"/>
      <c r="K285" s="359" t="str">
        <f>$K$1</f>
        <v>FR-16(7)(v)-3</v>
      </c>
      <c r="L285" s="195"/>
    </row>
    <row r="286" spans="1:12" ht="13">
      <c r="A286" s="341" t="str">
        <f>$A$2</f>
        <v>PRODUCTION COMMODITY ALLOCATED - GAS COST OF SERVICE</v>
      </c>
      <c r="C286" s="195"/>
      <c r="D286" s="342"/>
      <c r="E286" s="195"/>
      <c r="F286" s="342"/>
      <c r="G286" s="340"/>
      <c r="H286" s="340"/>
      <c r="I286" s="195"/>
      <c r="K286" s="359" t="str">
        <f>$K$2</f>
        <v>WITNESS RESPONSIBLE:</v>
      </c>
      <c r="L286" s="195"/>
    </row>
    <row r="287" spans="1:12" ht="13">
      <c r="A287" s="341" t="str">
        <f>case_name</f>
        <v>CASE NO: 2021-00190</v>
      </c>
      <c r="C287" s="195"/>
      <c r="D287" s="342"/>
      <c r="E287" s="195"/>
      <c r="F287" s="342"/>
      <c r="G287" s="340"/>
      <c r="H287" s="340"/>
      <c r="I287" s="195"/>
      <c r="K287" s="359" t="str">
        <f>Witness</f>
        <v>JAMES E. ZIOLKOWSKI</v>
      </c>
      <c r="L287" s="195"/>
    </row>
    <row r="288" spans="1:12" ht="13">
      <c r="A288" s="341" t="str">
        <f>data_filing</f>
        <v>DATA: 12 MONTH FORECASTED PERIOD</v>
      </c>
      <c r="C288" s="195"/>
      <c r="D288" s="342"/>
      <c r="E288" s="195"/>
      <c r="F288" s="342"/>
      <c r="G288" s="340"/>
      <c r="H288" s="340"/>
      <c r="I288" s="195"/>
      <c r="K288" s="359" t="str">
        <f>"PAGE "&amp;Pages-11&amp;" OF "&amp;Pages</f>
        <v>PAGE 7 OF 18</v>
      </c>
      <c r="L288" s="195"/>
    </row>
    <row r="289" spans="1:12" ht="13">
      <c r="A289" s="341" t="str">
        <f>type</f>
        <v xml:space="preserve">TYPE OF FILING: "X" ORIGINAL   UPDATED    REVISED  </v>
      </c>
      <c r="C289" s="195"/>
      <c r="D289" s="342"/>
      <c r="E289" s="195"/>
      <c r="F289" s="342"/>
      <c r="G289" s="340"/>
      <c r="H289" s="340"/>
      <c r="I289" s="195"/>
      <c r="J289" s="342"/>
      <c r="K289" s="195"/>
      <c r="L289" s="195"/>
    </row>
    <row r="290" spans="1:12" ht="13">
      <c r="B290" s="341"/>
      <c r="C290" s="195"/>
      <c r="D290" s="342"/>
      <c r="E290" s="195"/>
      <c r="F290" s="342"/>
      <c r="G290" s="195"/>
      <c r="H290" s="195"/>
      <c r="I290" s="195"/>
      <c r="J290" s="342"/>
      <c r="K290" s="195"/>
      <c r="L290" s="195"/>
    </row>
    <row r="291" spans="1:12" ht="13">
      <c r="B291" s="341"/>
      <c r="C291" s="195"/>
      <c r="D291" s="342"/>
      <c r="E291" s="195"/>
      <c r="F291" s="342" t="str">
        <f>$F$7</f>
        <v>TOTAL</v>
      </c>
      <c r="G291" s="195"/>
      <c r="H291" s="195"/>
      <c r="I291" s="195"/>
      <c r="J291" s="342"/>
      <c r="K291" s="195"/>
      <c r="L291" s="195"/>
    </row>
    <row r="292" spans="1:12" ht="13">
      <c r="A292" s="342" t="s">
        <v>907</v>
      </c>
      <c r="B292" s="195"/>
      <c r="C292" s="195"/>
      <c r="D292" s="342"/>
      <c r="E292" s="195"/>
      <c r="F292" s="342" t="str">
        <f>$F$8</f>
        <v>PRODUCTION</v>
      </c>
      <c r="G292" s="342" t="s">
        <v>417</v>
      </c>
      <c r="H292" s="342" t="s">
        <v>857</v>
      </c>
      <c r="I292" s="342" t="s">
        <v>858</v>
      </c>
      <c r="J292" s="342" t="s">
        <v>546</v>
      </c>
      <c r="K292" s="342" t="s">
        <v>229</v>
      </c>
      <c r="L292" s="342" t="s">
        <v>342</v>
      </c>
    </row>
    <row r="293" spans="1:12" ht="13">
      <c r="A293" s="344" t="s">
        <v>908</v>
      </c>
      <c r="B293" s="343" t="s">
        <v>32</v>
      </c>
      <c r="C293" s="343"/>
      <c r="D293" s="344" t="s">
        <v>337</v>
      </c>
      <c r="E293" s="343"/>
      <c r="F293" s="342" t="str">
        <f>$F$9</f>
        <v>COMMODITY</v>
      </c>
      <c r="G293" s="344" t="s">
        <v>338</v>
      </c>
      <c r="H293" s="344" t="s">
        <v>404</v>
      </c>
      <c r="I293" s="344" t="s">
        <v>404</v>
      </c>
      <c r="J293" s="344" t="s">
        <v>547</v>
      </c>
      <c r="K293" s="344" t="s">
        <v>341</v>
      </c>
      <c r="L293" s="344" t="s">
        <v>340</v>
      </c>
    </row>
    <row r="294" spans="1:12" ht="13">
      <c r="C294" s="572" t="s">
        <v>556</v>
      </c>
      <c r="D294" s="342"/>
      <c r="E294" s="484"/>
      <c r="F294" s="757"/>
      <c r="G294" s="627">
        <f>$G$10</f>
        <v>3</v>
      </c>
      <c r="H294" s="627">
        <f>$H$10</f>
        <v>4</v>
      </c>
      <c r="I294" s="627">
        <f>$I$10</f>
        <v>5</v>
      </c>
      <c r="J294" s="627">
        <f>$J$10</f>
        <v>6</v>
      </c>
      <c r="K294" s="484"/>
      <c r="L294" s="484"/>
    </row>
    <row r="295" spans="1:12" ht="13">
      <c r="C295" s="572"/>
      <c r="D295" s="342"/>
      <c r="E295" s="484"/>
      <c r="F295" s="485"/>
      <c r="G295" s="627"/>
      <c r="H295" s="627"/>
      <c r="I295" s="627"/>
      <c r="J295" s="627"/>
      <c r="K295" s="484"/>
      <c r="L295" s="484"/>
    </row>
    <row r="296" spans="1:12" ht="13">
      <c r="A296" s="331">
        <v>1</v>
      </c>
      <c r="B296" s="330" t="s">
        <v>31</v>
      </c>
      <c r="D296" s="342"/>
      <c r="E296" s="195"/>
      <c r="F296" s="345">
        <f t="shared" ref="F296:L296" si="104">F191-F238+F283</f>
        <v>4338069</v>
      </c>
      <c r="G296" s="345">
        <f>G191-G238+G283</f>
        <v>2380101</v>
      </c>
      <c r="H296" s="345">
        <f t="shared" si="104"/>
        <v>1415252</v>
      </c>
      <c r="I296" s="345">
        <f t="shared" si="104"/>
        <v>538385</v>
      </c>
      <c r="J296" s="345">
        <f t="shared" si="104"/>
        <v>4331</v>
      </c>
      <c r="K296" s="345">
        <f t="shared" si="104"/>
        <v>4338069</v>
      </c>
      <c r="L296" s="345">
        <f t="shared" si="104"/>
        <v>0</v>
      </c>
    </row>
    <row r="297" spans="1:12" ht="13">
      <c r="A297" s="331">
        <v>2</v>
      </c>
      <c r="D297" s="342"/>
      <c r="E297" s="195"/>
      <c r="I297" s="330"/>
    </row>
    <row r="298" spans="1:12" ht="13">
      <c r="A298" s="331">
        <v>3</v>
      </c>
      <c r="B298" s="330" t="s">
        <v>32</v>
      </c>
      <c r="D298" s="342"/>
      <c r="E298" s="195"/>
      <c r="I298" s="330"/>
    </row>
    <row r="299" spans="1:12" ht="13">
      <c r="A299" s="331">
        <v>4</v>
      </c>
      <c r="D299" s="342"/>
      <c r="E299" s="195"/>
      <c r="I299" s="330"/>
    </row>
    <row r="300" spans="1:12" ht="13">
      <c r="A300" s="331">
        <v>5</v>
      </c>
      <c r="B300" s="330" t="s">
        <v>33</v>
      </c>
      <c r="D300" s="342"/>
      <c r="E300" s="195"/>
      <c r="I300" s="330"/>
    </row>
    <row r="301" spans="1:12" ht="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3">
        <f>'FR-16(7)(v)-2 PROD Classified'!H301</f>
        <v>1785156</v>
      </c>
      <c r="G301" s="347">
        <f>F301-SUM(H301:J301)</f>
        <v>1125112</v>
      </c>
      <c r="H301" s="345">
        <f>ROUND($F$301*VLOOKUP($D$301,ALLOCTABLE_Prod_Commodity,$H$10,FALSE),0)</f>
        <v>660044</v>
      </c>
      <c r="I301" s="345">
        <f>ROUND(F301*VLOOKUP(D301,ALLOCTABLE_Prod_Commodity,$I$10,FALSE),0)</f>
        <v>0</v>
      </c>
      <c r="J301" s="345">
        <f>ROUND(F301*VLOOKUP(D301,ALLOCTABLE_Prod_Commodity,$J$10,FALSE),0)</f>
        <v>0</v>
      </c>
      <c r="K301" s="345">
        <f>SUM(G301:J301)</f>
        <v>1785156</v>
      </c>
      <c r="L301" s="345">
        <f>F301-K301</f>
        <v>0</v>
      </c>
    </row>
    <row r="302" spans="1:12" ht="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3">
        <f>'FR-16(7)(v)-2 PROD Classified'!H302</f>
        <v>3791</v>
      </c>
      <c r="G302" s="347">
        <f>F302-SUM(H302:J302)</f>
        <v>2067</v>
      </c>
      <c r="H302" s="345">
        <f>ROUND($F$302*VLOOKUP($D$302,ALLOCTABLE_Prod_Commodity,$H$10,FALSE),0)</f>
        <v>1230</v>
      </c>
      <c r="I302" s="345">
        <f>ROUND(F302*VLOOKUP(D302,ALLOCTABLE_Prod_Commodity,$I$10,FALSE),0)</f>
        <v>490</v>
      </c>
      <c r="J302" s="345">
        <f>ROUND(F302*VLOOKUP(D302,ALLOCTABLE_Prod_Commodity,$J$10,FALSE),0)</f>
        <v>4</v>
      </c>
      <c r="K302" s="345">
        <f>SUM(G302:J302)</f>
        <v>3791</v>
      </c>
      <c r="L302" s="345">
        <f>F302-K302</f>
        <v>0</v>
      </c>
    </row>
    <row r="303" spans="1:12" ht="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L303" si="105">SUM(F300:F302)</f>
        <v>1788947</v>
      </c>
      <c r="G303" s="346">
        <f>SUM(G300:G302)</f>
        <v>1127179</v>
      </c>
      <c r="H303" s="346">
        <f t="shared" si="105"/>
        <v>661274</v>
      </c>
      <c r="I303" s="346">
        <f t="shared" si="105"/>
        <v>490</v>
      </c>
      <c r="J303" s="346">
        <f t="shared" si="105"/>
        <v>4</v>
      </c>
      <c r="K303" s="346">
        <f t="shared" si="105"/>
        <v>1788947</v>
      </c>
      <c r="L303" s="346">
        <f t="shared" si="105"/>
        <v>0</v>
      </c>
    </row>
    <row r="304" spans="1:12" ht="13">
      <c r="A304" s="331">
        <v>9</v>
      </c>
      <c r="B304" s="330" t="s">
        <v>34</v>
      </c>
      <c r="D304" s="342"/>
      <c r="E304" s="195"/>
      <c r="F304" s="345">
        <f t="shared" ref="F304:L304" si="106">F303</f>
        <v>1788947</v>
      </c>
      <c r="G304" s="664">
        <f t="shared" si="106"/>
        <v>1127179</v>
      </c>
      <c r="H304" s="664">
        <f t="shared" si="106"/>
        <v>661274</v>
      </c>
      <c r="I304" s="345">
        <f t="shared" si="106"/>
        <v>490</v>
      </c>
      <c r="J304" s="345">
        <f t="shared" si="106"/>
        <v>4</v>
      </c>
      <c r="K304" s="345">
        <f t="shared" si="106"/>
        <v>1788947</v>
      </c>
      <c r="L304" s="345">
        <f t="shared" si="106"/>
        <v>0</v>
      </c>
    </row>
    <row r="305" spans="1:12" ht="13">
      <c r="A305" s="331">
        <v>10</v>
      </c>
      <c r="D305" s="342"/>
      <c r="E305" s="195"/>
      <c r="I305" s="330"/>
    </row>
    <row r="306" spans="1:12" ht="13">
      <c r="A306" s="331">
        <v>11</v>
      </c>
      <c r="B306" s="330" t="s">
        <v>35</v>
      </c>
      <c r="D306" s="342"/>
      <c r="E306" s="195"/>
      <c r="I306" s="330"/>
    </row>
    <row r="307" spans="1:12" ht="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3">
        <f>'FR-16(7)(v)-2 PROD Classified'!H307</f>
        <v>69844</v>
      </c>
      <c r="G307" s="347">
        <f>F307-SUM(H307:J307)</f>
        <v>43626</v>
      </c>
      <c r="H307" s="345">
        <f>ROUND($F$307*VLOOKUP($D$307,ALLOCTABLE_Prod_Commodity,$H$10,FALSE),0)</f>
        <v>25592</v>
      </c>
      <c r="I307" s="345">
        <f>ROUND(F307*VLOOKUP(D307,ALLOCTABLE_Prod_Commodity,$I$10,FALSE),0)</f>
        <v>365</v>
      </c>
      <c r="J307" s="345">
        <f>ROUND(F307*VLOOKUP(D307,ALLOCTABLE_Prod_Commodity,$J$10,FALSE),0)</f>
        <v>261</v>
      </c>
      <c r="K307" s="345">
        <f>SUM(G307:J307)</f>
        <v>69844</v>
      </c>
      <c r="L307" s="345">
        <f>F307-K307</f>
        <v>0</v>
      </c>
    </row>
    <row r="308" spans="1:12" ht="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3">
        <f>'FR-16(7)(v)-2 PROD Classified'!H308</f>
        <v>0</v>
      </c>
      <c r="G308" s="347">
        <f>F308-SUM(H308:J308)</f>
        <v>0</v>
      </c>
      <c r="H308" s="345">
        <f>ROUND($F$308*VLOOKUP($D$308,ALLOCTABLE_Prod_Commodity,$H$10,FALSE),0)</f>
        <v>0</v>
      </c>
      <c r="I308" s="345">
        <f>ROUND(F308*VLOOKUP(D308,ALLOCTABLE_Prod_Commodity,$I$10,FALSE),0)</f>
        <v>0</v>
      </c>
      <c r="J308" s="345">
        <f>ROUND(F308*VLOOKUP(D308,ALLOCTABLE_Prod_Commodity,$J$10,FALSE),0)</f>
        <v>0</v>
      </c>
      <c r="K308" s="345">
        <f>SUM(G308:J308)</f>
        <v>0</v>
      </c>
      <c r="L308" s="345">
        <f>F308-K308</f>
        <v>0</v>
      </c>
    </row>
    <row r="309" spans="1:12" ht="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3">
        <f>'FR-16(7)(v)-2 PROD Classified'!H309</f>
        <v>0</v>
      </c>
      <c r="G309" s="347">
        <f>F309-SUM(H309:J309)</f>
        <v>0</v>
      </c>
      <c r="H309" s="345">
        <f>ROUND($F$309*VLOOKUP($D$309,ALLOCTABLE_Prod_Commodity,$H$10,FALSE),0)</f>
        <v>0</v>
      </c>
      <c r="I309" s="345">
        <f>ROUND(F309*VLOOKUP(D309,ALLOCTABLE_Prod_Commodity,$I$10,FALSE),0)</f>
        <v>0</v>
      </c>
      <c r="J309" s="345">
        <f>ROUND(F309*VLOOKUP(D309,ALLOCTABLE_Prod_Commodity,$J$10,FALSE),0)</f>
        <v>0</v>
      </c>
      <c r="K309" s="345">
        <f>SUM(G309:J309)</f>
        <v>0</v>
      </c>
      <c r="L309" s="345">
        <f>F309-K309</f>
        <v>0</v>
      </c>
    </row>
    <row r="310" spans="1:12" ht="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3">
        <f t="shared" ref="F310:L310" si="107">SUM(F306:F309)</f>
        <v>69844</v>
      </c>
      <c r="G310" s="573">
        <f>SUM(G306:G309)</f>
        <v>43626</v>
      </c>
      <c r="H310" s="573">
        <f t="shared" si="107"/>
        <v>25592</v>
      </c>
      <c r="I310" s="573">
        <f t="shared" si="107"/>
        <v>365</v>
      </c>
      <c r="J310" s="573">
        <f t="shared" si="107"/>
        <v>261</v>
      </c>
      <c r="K310" s="573">
        <f t="shared" si="107"/>
        <v>69844</v>
      </c>
      <c r="L310" s="573">
        <f t="shared" si="107"/>
        <v>0</v>
      </c>
    </row>
    <row r="311" spans="1:12" ht="13">
      <c r="A311" s="331">
        <v>16</v>
      </c>
      <c r="D311" s="342"/>
      <c r="E311" s="195"/>
      <c r="I311" s="330"/>
    </row>
    <row r="312" spans="1:12" ht="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345">
        <f>IF(WorkingCap="No",0,ROUND((G433-G348-G353)/8,0))</f>
        <v>0</v>
      </c>
      <c r="H312" s="345">
        <f>IF(WorkingCap="No",0,ROUND((H433-H348-H353)/8,0))</f>
        <v>0</v>
      </c>
      <c r="I312" s="345">
        <f>IF(WorkingCap="No",0,ROUND((I433-I348-I353)/8,0))</f>
        <v>0</v>
      </c>
      <c r="J312" s="345">
        <f>IF(WorkingCap="No",0,ROUND((J433-J348-J353)/8,0))</f>
        <v>0</v>
      </c>
      <c r="K312" s="345">
        <f>SUM(G312:J312)</f>
        <v>0</v>
      </c>
      <c r="L312" s="345">
        <f>F312-K312</f>
        <v>0</v>
      </c>
    </row>
    <row r="313" spans="1:12" ht="13">
      <c r="A313" s="331">
        <v>18</v>
      </c>
      <c r="B313" s="330" t="s">
        <v>37</v>
      </c>
      <c r="D313" s="342"/>
      <c r="E313" s="195"/>
      <c r="F313" s="345">
        <f t="shared" ref="F313:L313" si="108">F312</f>
        <v>0</v>
      </c>
      <c r="G313" s="664">
        <f t="shared" si="108"/>
        <v>0</v>
      </c>
      <c r="H313" s="664">
        <f t="shared" si="108"/>
        <v>0</v>
      </c>
      <c r="I313" s="664">
        <f t="shared" si="108"/>
        <v>0</v>
      </c>
      <c r="J313" s="345">
        <f t="shared" si="108"/>
        <v>0</v>
      </c>
      <c r="K313" s="345">
        <f t="shared" si="108"/>
        <v>0</v>
      </c>
      <c r="L313" s="345">
        <f t="shared" si="108"/>
        <v>0</v>
      </c>
    </row>
    <row r="314" spans="1:12" ht="13">
      <c r="A314" s="331">
        <v>19</v>
      </c>
      <c r="D314" s="342"/>
      <c r="E314" s="195"/>
      <c r="I314" s="330"/>
    </row>
    <row r="315" spans="1:12" ht="13">
      <c r="A315" s="331">
        <v>20</v>
      </c>
      <c r="B315" s="330" t="s">
        <v>38</v>
      </c>
      <c r="D315" s="342"/>
      <c r="E315" s="195"/>
      <c r="I315" s="330"/>
    </row>
    <row r="316" spans="1:12" ht="13">
      <c r="A316" s="331">
        <v>21</v>
      </c>
      <c r="C316" s="612" t="str">
        <f>'FR-16(7)(v)-1 Functional'!C316</f>
        <v>GAS STORED UNDERGROUND</v>
      </c>
      <c r="D316" s="342" t="str">
        <f>'FR-16(7)(v)-1 Functional'!D316</f>
        <v>K301</v>
      </c>
      <c r="E316" s="195"/>
      <c r="F316" s="473">
        <f>'FR-16(7)(v)-2 PROD Classified'!H316</f>
        <v>1692954</v>
      </c>
      <c r="G316" s="347">
        <f>F316-SUM(H316:J316)</f>
        <v>1067001</v>
      </c>
      <c r="H316" s="345">
        <f>ROUND($F$316*VLOOKUP($D$316,ALLOCTABLE_Prod_Commodity,$H$10,FALSE),0)</f>
        <v>625953</v>
      </c>
      <c r="I316" s="345">
        <f>ROUND(F316*VLOOKUP(D316,ALLOCTABLE_Prod_Commodity,$I$10,FALSE),0)</f>
        <v>0</v>
      </c>
      <c r="J316" s="345">
        <f>ROUND(F316*VLOOKUP(D316,ALLOCTABLE_Prod_Commodity,$J$10,FALSE),0)</f>
        <v>0</v>
      </c>
      <c r="K316" s="345">
        <f>SUM(G316:J316)</f>
        <v>1692954</v>
      </c>
      <c r="L316" s="345">
        <f>F316-K316</f>
        <v>0</v>
      </c>
    </row>
    <row r="317" spans="1:12" ht="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3">
        <f>'FR-16(7)(v)-2 PROD Classified'!H317</f>
        <v>0</v>
      </c>
      <c r="G317" s="347">
        <f>F317-SUM(H317:J317)</f>
        <v>0</v>
      </c>
      <c r="H317" s="345">
        <f>ROUND($F$317*VLOOKUP($D$317,ALLOCTABLE_Prod_Commodity,$H$10,FALSE),0)</f>
        <v>0</v>
      </c>
      <c r="I317" s="345">
        <f>ROUND(F317*VLOOKUP(D317,ALLOCTABLE_Prod_Commodity,$I$10,FALSE),0)</f>
        <v>0</v>
      </c>
      <c r="J317" s="345">
        <f>ROUND(F317*VLOOKUP(D317,ALLOCTABLE_Prod_Commodity,$J$10,FALSE),0)</f>
        <v>0</v>
      </c>
      <c r="K317" s="345">
        <f>SUM(G317:J317)</f>
        <v>0</v>
      </c>
      <c r="L317" s="345">
        <f>F317-K317</f>
        <v>0</v>
      </c>
    </row>
    <row r="318" spans="1:12" ht="13">
      <c r="A318" s="331">
        <v>23</v>
      </c>
      <c r="C318" s="505" t="str">
        <f>'FR-16(7)(v)-1 Functional'!C318</f>
        <v>RESERVED FOR FUTURE USE</v>
      </c>
      <c r="D318" s="342" t="str">
        <f>'FR-16(7)(v)-1 Functional'!D318</f>
        <v>D249</v>
      </c>
      <c r="E318" s="195"/>
      <c r="F318" s="473">
        <f>'FR-16(7)(v)-2 PROD Classified'!H318</f>
        <v>0</v>
      </c>
      <c r="G318" s="347">
        <f>F318-SUM(H318:J318)</f>
        <v>0</v>
      </c>
      <c r="H318" s="345">
        <f>ROUND($F$318*VLOOKUP($D$318,ALLOCTABLE_Prod_Commodity,$H$10,FALSE),0)</f>
        <v>0</v>
      </c>
      <c r="I318" s="345">
        <f>ROUND(F318*VLOOKUP(D318,ALLOCTABLE_Prod_Commodity,$I$10,FALSE),0)</f>
        <v>0</v>
      </c>
      <c r="J318" s="345">
        <f>ROUND(F318*VLOOKUP(D318,ALLOCTABLE_Prod_Commodity,$J$10,FALSE),0)</f>
        <v>0</v>
      </c>
      <c r="K318" s="345">
        <f>SUM(G318:J318)</f>
        <v>0</v>
      </c>
      <c r="L318" s="345">
        <f>F318-K318</f>
        <v>0</v>
      </c>
    </row>
    <row r="319" spans="1:12" ht="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L319" si="109">SUM(F315:F318)</f>
        <v>1692954</v>
      </c>
      <c r="G319" s="346">
        <f>SUM(G315:G318)</f>
        <v>1067001</v>
      </c>
      <c r="H319" s="346">
        <f t="shared" si="109"/>
        <v>625953</v>
      </c>
      <c r="I319" s="346">
        <f t="shared" si="109"/>
        <v>0</v>
      </c>
      <c r="J319" s="346">
        <f t="shared" si="109"/>
        <v>0</v>
      </c>
      <c r="K319" s="346">
        <f t="shared" si="109"/>
        <v>1692954</v>
      </c>
      <c r="L319" s="346">
        <f t="shared" si="109"/>
        <v>0</v>
      </c>
    </row>
    <row r="320" spans="1:12" ht="13">
      <c r="A320" s="331">
        <v>25</v>
      </c>
      <c r="D320" s="342"/>
      <c r="E320" s="195"/>
      <c r="I320" s="330"/>
    </row>
    <row r="321" spans="1:12" ht="13">
      <c r="A321" s="331">
        <v>26</v>
      </c>
      <c r="B321" s="330" t="s">
        <v>39</v>
      </c>
      <c r="D321" s="342"/>
      <c r="E321" s="195"/>
      <c r="F321" s="345">
        <f t="shared" ref="F321:L321" si="110">F304+F310+F313+F319</f>
        <v>3551745</v>
      </c>
      <c r="G321" s="345">
        <f>G304+G310+G313+G319</f>
        <v>2237806</v>
      </c>
      <c r="H321" s="345">
        <f t="shared" si="110"/>
        <v>1312819</v>
      </c>
      <c r="I321" s="345">
        <f t="shared" si="110"/>
        <v>855</v>
      </c>
      <c r="J321" s="345">
        <f t="shared" si="110"/>
        <v>265</v>
      </c>
      <c r="K321" s="345">
        <f t="shared" si="110"/>
        <v>3551745</v>
      </c>
      <c r="L321" s="345">
        <f t="shared" si="110"/>
        <v>0</v>
      </c>
    </row>
    <row r="322" spans="1:12" ht="13">
      <c r="A322" s="331">
        <v>27</v>
      </c>
      <c r="B322" s="330" t="s">
        <v>40</v>
      </c>
      <c r="D322" s="342"/>
      <c r="E322" s="195"/>
      <c r="I322" s="330"/>
    </row>
    <row r="323" spans="1:12" ht="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L323" si="111">-F238</f>
        <v>-815159</v>
      </c>
      <c r="G323" s="345">
        <f>-G238</f>
        <v>-436626</v>
      </c>
      <c r="H323" s="345">
        <f t="shared" si="111"/>
        <v>-260312</v>
      </c>
      <c r="I323" s="345">
        <f t="shared" si="111"/>
        <v>-117565</v>
      </c>
      <c r="J323" s="345">
        <f t="shared" si="111"/>
        <v>-656</v>
      </c>
      <c r="K323" s="345">
        <f t="shared" si="111"/>
        <v>-815159</v>
      </c>
      <c r="L323" s="345">
        <f t="shared" si="111"/>
        <v>0</v>
      </c>
    </row>
    <row r="324" spans="1:12" ht="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L324" si="112">F283</f>
        <v>78671</v>
      </c>
      <c r="G324" s="345">
        <f>G283</f>
        <v>49323</v>
      </c>
      <c r="H324" s="345">
        <f t="shared" si="112"/>
        <v>28936</v>
      </c>
      <c r="I324" s="345">
        <f t="shared" si="112"/>
        <v>240</v>
      </c>
      <c r="J324" s="345">
        <f t="shared" si="112"/>
        <v>172</v>
      </c>
      <c r="K324" s="345">
        <f t="shared" si="112"/>
        <v>78671</v>
      </c>
      <c r="L324" s="345">
        <f t="shared" si="112"/>
        <v>0</v>
      </c>
    </row>
    <row r="325" spans="1:12" ht="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L325" si="113">F321</f>
        <v>3551745</v>
      </c>
      <c r="G325" s="345">
        <f>G321</f>
        <v>2237806</v>
      </c>
      <c r="H325" s="345">
        <f t="shared" si="113"/>
        <v>1312819</v>
      </c>
      <c r="I325" s="345">
        <f t="shared" si="113"/>
        <v>855</v>
      </c>
      <c r="J325" s="345">
        <f t="shared" si="113"/>
        <v>265</v>
      </c>
      <c r="K325" s="345">
        <f t="shared" si="113"/>
        <v>3551745</v>
      </c>
      <c r="L325" s="345">
        <f t="shared" si="113"/>
        <v>0</v>
      </c>
    </row>
    <row r="326" spans="1:12" ht="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L326" si="114">SUM(F322:F325)</f>
        <v>2815257</v>
      </c>
      <c r="G326" s="346">
        <f>SUM(G322:G325)</f>
        <v>1850503</v>
      </c>
      <c r="H326" s="346">
        <f t="shared" si="114"/>
        <v>1081443</v>
      </c>
      <c r="I326" s="346">
        <f t="shared" si="114"/>
        <v>-116470</v>
      </c>
      <c r="J326" s="346">
        <f t="shared" si="114"/>
        <v>-219</v>
      </c>
      <c r="K326" s="346">
        <f t="shared" si="114"/>
        <v>2815257</v>
      </c>
      <c r="L326" s="346">
        <f t="shared" si="114"/>
        <v>0</v>
      </c>
    </row>
    <row r="327" spans="1:12" ht="13">
      <c r="A327" s="331">
        <v>32</v>
      </c>
      <c r="D327" s="342"/>
      <c r="E327" s="195"/>
      <c r="I327" s="330"/>
    </row>
    <row r="328" spans="1:12" ht="13">
      <c r="A328" s="331">
        <v>33</v>
      </c>
      <c r="B328" s="330" t="s">
        <v>41</v>
      </c>
      <c r="D328" s="342"/>
      <c r="E328" s="195"/>
      <c r="I328" s="330"/>
    </row>
    <row r="329" spans="1:12" ht="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L329" si="115">F191</f>
        <v>5074557</v>
      </c>
      <c r="G329" s="345">
        <f>G191</f>
        <v>2767404</v>
      </c>
      <c r="H329" s="345">
        <f t="shared" si="115"/>
        <v>1646628</v>
      </c>
      <c r="I329" s="345">
        <f t="shared" si="115"/>
        <v>655710</v>
      </c>
      <c r="J329" s="345">
        <f t="shared" si="115"/>
        <v>4815</v>
      </c>
      <c r="K329" s="345">
        <f t="shared" si="115"/>
        <v>5074557</v>
      </c>
      <c r="L329" s="345">
        <f t="shared" si="115"/>
        <v>0</v>
      </c>
    </row>
    <row r="330" spans="1:12" ht="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L330" si="116">F326</f>
        <v>2815257</v>
      </c>
      <c r="G330" s="345">
        <f>G326</f>
        <v>1850503</v>
      </c>
      <c r="H330" s="345">
        <f t="shared" si="116"/>
        <v>1081443</v>
      </c>
      <c r="I330" s="345">
        <f t="shared" si="116"/>
        <v>-116470</v>
      </c>
      <c r="J330" s="345">
        <f t="shared" si="116"/>
        <v>-219</v>
      </c>
      <c r="K330" s="345">
        <f t="shared" si="116"/>
        <v>2815257</v>
      </c>
      <c r="L330" s="345">
        <f t="shared" si="116"/>
        <v>0</v>
      </c>
    </row>
    <row r="331" spans="1:12" ht="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L331" si="117">SUM(F328:F330)</f>
        <v>7889814</v>
      </c>
      <c r="G331" s="346">
        <f>SUM(G328:G330)</f>
        <v>4617907</v>
      </c>
      <c r="H331" s="346">
        <f t="shared" si="117"/>
        <v>2728071</v>
      </c>
      <c r="I331" s="346">
        <f t="shared" si="117"/>
        <v>539240</v>
      </c>
      <c r="J331" s="346">
        <f t="shared" si="117"/>
        <v>4596</v>
      </c>
      <c r="K331" s="346">
        <f t="shared" si="117"/>
        <v>7889814</v>
      </c>
      <c r="L331" s="346">
        <f t="shared" si="117"/>
        <v>0</v>
      </c>
    </row>
    <row r="332" spans="1:12" ht="13">
      <c r="A332" s="331">
        <v>37</v>
      </c>
      <c r="D332" s="342"/>
      <c r="E332" s="195"/>
      <c r="I332" s="330"/>
    </row>
    <row r="333" spans="1:12" ht="13">
      <c r="A333" s="331">
        <v>38</v>
      </c>
      <c r="B333" s="330" t="s">
        <v>42</v>
      </c>
      <c r="D333" s="342"/>
      <c r="E333" s="195"/>
      <c r="F333" s="1273">
        <f>$F$688</f>
        <v>7.060000000000001E-2</v>
      </c>
      <c r="G333" s="1273">
        <f>F688</f>
        <v>7.060000000000001E-2</v>
      </c>
      <c r="H333" s="1273">
        <f>F688</f>
        <v>7.060000000000001E-2</v>
      </c>
      <c r="I333" s="1273">
        <f>F688</f>
        <v>7.060000000000001E-2</v>
      </c>
      <c r="J333" s="1273">
        <f>F688</f>
        <v>7.060000000000001E-2</v>
      </c>
      <c r="K333" s="1273">
        <f>F688</f>
        <v>7.060000000000001E-2</v>
      </c>
      <c r="L333" s="1273">
        <f>'FR-16(7)(v)-1 Functional'!F688</f>
        <v>7.060000000000001E-2</v>
      </c>
    </row>
    <row r="334" spans="1:12" ht="13">
      <c r="A334" s="331">
        <v>39</v>
      </c>
      <c r="B334" s="330" t="s">
        <v>43</v>
      </c>
      <c r="D334" s="342"/>
      <c r="E334" s="195"/>
      <c r="F334" s="609">
        <f>ROUND(F333*F331,0)+1</f>
        <v>557022</v>
      </c>
      <c r="G334" s="347">
        <f>F334-SUM(H334:J334)</f>
        <v>326026</v>
      </c>
      <c r="H334" s="471">
        <f>ROUND(H331*H333,0)</f>
        <v>192602</v>
      </c>
      <c r="I334" s="471">
        <f>ROUND(I331*I333,0)</f>
        <v>38070</v>
      </c>
      <c r="J334" s="471">
        <f>ROUND(J331*J333,0)</f>
        <v>324</v>
      </c>
      <c r="K334" s="345">
        <f>SUM(G334:J334)</f>
        <v>557022</v>
      </c>
      <c r="L334" s="345">
        <f>F334-K334</f>
        <v>0</v>
      </c>
    </row>
    <row r="335" spans="1:12" ht="13">
      <c r="B335" s="341"/>
      <c r="C335" s="195"/>
      <c r="D335" s="342"/>
      <c r="E335" s="195"/>
      <c r="G335" s="195"/>
      <c r="H335" s="195"/>
      <c r="I335" s="195"/>
      <c r="J335" s="342"/>
      <c r="K335" s="195"/>
      <c r="L335" s="195"/>
    </row>
    <row r="336" spans="1:12" ht="13">
      <c r="A336" s="341" t="str">
        <f>co_name</f>
        <v>DUKE ENERGY KENTUCKY, INC.</v>
      </c>
      <c r="C336" s="195"/>
      <c r="D336" s="342"/>
      <c r="E336" s="195"/>
      <c r="F336" s="342"/>
      <c r="G336" s="340"/>
      <c r="H336" s="340"/>
      <c r="I336" s="195"/>
      <c r="K336" s="359" t="str">
        <f>$K$1</f>
        <v>FR-16(7)(v)-3</v>
      </c>
      <c r="L336" s="195"/>
    </row>
    <row r="337" spans="1:12" ht="13">
      <c r="A337" s="341" t="str">
        <f>$A$2</f>
        <v>PRODUCTION COMMODITY ALLOCATED - GAS COST OF SERVICE</v>
      </c>
      <c r="C337" s="195"/>
      <c r="D337" s="342"/>
      <c r="E337" s="195"/>
      <c r="F337" s="342"/>
      <c r="G337" s="340"/>
      <c r="H337" s="340"/>
      <c r="I337" s="195"/>
      <c r="K337" s="359" t="str">
        <f>$K$2</f>
        <v>WITNESS RESPONSIBLE:</v>
      </c>
      <c r="L337" s="195"/>
    </row>
    <row r="338" spans="1:12" ht="13">
      <c r="A338" s="341" t="str">
        <f>case_name</f>
        <v>CASE NO: 2021-00190</v>
      </c>
      <c r="C338" s="195"/>
      <c r="D338" s="342"/>
      <c r="E338" s="195"/>
      <c r="F338" s="342"/>
      <c r="G338" s="340"/>
      <c r="H338" s="340"/>
      <c r="I338" s="195"/>
      <c r="K338" s="359" t="str">
        <f>Witness</f>
        <v>JAMES E. ZIOLKOWSKI</v>
      </c>
      <c r="L338" s="195"/>
    </row>
    <row r="339" spans="1:12" ht="13">
      <c r="A339" s="341" t="str">
        <f>data_filing</f>
        <v>DATA: 12 MONTH FORECASTED PERIOD</v>
      </c>
      <c r="C339" s="195"/>
      <c r="D339" s="342"/>
      <c r="E339" s="195"/>
      <c r="F339" s="342"/>
      <c r="G339" s="340"/>
      <c r="H339" s="340"/>
      <c r="I339" s="195"/>
      <c r="K339" s="359" t="str">
        <f>"PAGE "&amp;Pages-10&amp;" OF "&amp;Pages</f>
        <v>PAGE 8 OF 18</v>
      </c>
      <c r="L339" s="195"/>
    </row>
    <row r="340" spans="1:12" ht="13">
      <c r="A340" s="341" t="str">
        <f>type</f>
        <v xml:space="preserve">TYPE OF FILING: "X" ORIGINAL   UPDATED    REVISED  </v>
      </c>
      <c r="C340" s="195"/>
      <c r="D340" s="342"/>
      <c r="E340" s="195"/>
      <c r="F340" s="342"/>
      <c r="G340" s="340"/>
      <c r="H340" s="340"/>
      <c r="I340" s="195"/>
      <c r="J340" s="342"/>
      <c r="K340" s="195"/>
      <c r="L340" s="195"/>
    </row>
    <row r="341" spans="1:12" ht="13">
      <c r="B341" s="341"/>
      <c r="C341" s="195"/>
      <c r="D341" s="342"/>
      <c r="E341" s="195"/>
      <c r="F341" s="342"/>
      <c r="G341" s="195"/>
      <c r="H341" s="195"/>
      <c r="I341" s="195"/>
      <c r="J341" s="342"/>
      <c r="K341" s="195"/>
      <c r="L341" s="195"/>
    </row>
    <row r="342" spans="1:12" ht="13">
      <c r="B342" s="341"/>
      <c r="C342" s="195"/>
      <c r="D342" s="342"/>
      <c r="E342" s="195"/>
      <c r="F342" s="342" t="str">
        <f>$F$7</f>
        <v>TOTAL</v>
      </c>
      <c r="G342" s="195"/>
      <c r="H342" s="195"/>
      <c r="I342" s="195"/>
      <c r="J342" s="342"/>
      <c r="K342" s="195"/>
      <c r="L342" s="195"/>
    </row>
    <row r="343" spans="1:12" ht="13">
      <c r="A343" s="342" t="s">
        <v>907</v>
      </c>
      <c r="B343" s="195"/>
      <c r="C343" s="195"/>
      <c r="D343" s="342"/>
      <c r="E343" s="195"/>
      <c r="F343" s="342" t="str">
        <f>$F$8</f>
        <v>PRODUCTION</v>
      </c>
      <c r="G343" s="342" t="s">
        <v>417</v>
      </c>
      <c r="H343" s="342" t="s">
        <v>857</v>
      </c>
      <c r="I343" s="342" t="s">
        <v>858</v>
      </c>
      <c r="J343" s="342" t="s">
        <v>546</v>
      </c>
      <c r="K343" s="342" t="s">
        <v>229</v>
      </c>
      <c r="L343" s="342" t="s">
        <v>342</v>
      </c>
    </row>
    <row r="344" spans="1:12" ht="13">
      <c r="A344" s="344" t="s">
        <v>908</v>
      </c>
      <c r="B344" s="343" t="s">
        <v>44</v>
      </c>
      <c r="C344" s="343"/>
      <c r="D344" s="344" t="s">
        <v>337</v>
      </c>
      <c r="E344" s="343"/>
      <c r="F344" s="342" t="str">
        <f>$F$9</f>
        <v>COMMODITY</v>
      </c>
      <c r="G344" s="344" t="s">
        <v>338</v>
      </c>
      <c r="H344" s="344" t="s">
        <v>404</v>
      </c>
      <c r="I344" s="344" t="s">
        <v>404</v>
      </c>
      <c r="J344" s="344" t="s">
        <v>547</v>
      </c>
      <c r="K344" s="344" t="s">
        <v>341</v>
      </c>
      <c r="L344" s="344" t="s">
        <v>340</v>
      </c>
    </row>
    <row r="345" spans="1:12" ht="13">
      <c r="C345" s="572" t="s">
        <v>348</v>
      </c>
      <c r="D345" s="342"/>
      <c r="E345" s="195"/>
      <c r="F345" s="755"/>
      <c r="G345" s="627">
        <f>$G$10</f>
        <v>3</v>
      </c>
      <c r="H345" s="627">
        <f>$H$10</f>
        <v>4</v>
      </c>
      <c r="I345" s="627">
        <f>$I$10</f>
        <v>5</v>
      </c>
      <c r="J345" s="627">
        <f>$J$10</f>
        <v>6</v>
      </c>
    </row>
    <row r="346" spans="1:12" ht="13">
      <c r="A346" s="331">
        <v>1</v>
      </c>
      <c r="B346" s="330" t="s">
        <v>45</v>
      </c>
      <c r="D346" s="342"/>
      <c r="E346" s="195"/>
      <c r="I346" s="330"/>
    </row>
    <row r="347" spans="1:12" ht="13">
      <c r="A347" s="331">
        <v>2</v>
      </c>
      <c r="B347" s="330" t="s">
        <v>46</v>
      </c>
      <c r="D347" s="342"/>
      <c r="E347" s="195"/>
      <c r="I347" s="330"/>
    </row>
    <row r="348" spans="1:12" ht="13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3">
        <f>'FR-16(7)(v)-2 PROD Classified'!H348</f>
        <v>41036376</v>
      </c>
      <c r="G348" s="347">
        <f>F348-SUM(H348:J348)</f>
        <v>25863586</v>
      </c>
      <c r="H348" s="345">
        <f>ROUND($F$348*VLOOKUP($D$348,ALLOCTABLE_Prod_Commodity,$H$10,FALSE),0)</f>
        <v>15172790</v>
      </c>
      <c r="I348" s="345">
        <f>ROUND(F348*VLOOKUP(D348,ALLOCTABLE_Prod_Commodity,$I$10,FALSE),0)</f>
        <v>0</v>
      </c>
      <c r="J348" s="345">
        <f>ROUND(F348*VLOOKUP(D348,ALLOCTABLE_Prod_Commodity,$J$10,FALSE),0)</f>
        <v>0</v>
      </c>
      <c r="K348" s="345">
        <f>SUM(G348:J348)</f>
        <v>41036376</v>
      </c>
      <c r="L348" s="345">
        <f>F348-K348</f>
        <v>0</v>
      </c>
    </row>
    <row r="349" spans="1:12" ht="13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3">
        <f>'FR-16(7)(v)-2 PROD Classified'!H349</f>
        <v>1244794</v>
      </c>
      <c r="G349" s="347">
        <f>F349-SUM(H349:J349)</f>
        <v>542743</v>
      </c>
      <c r="H349" s="345">
        <f>ROUND($F$349*VLOOKUP($D$349,ALLOCTABLE_Prod_Commodity,$H$10,FALSE),0)</f>
        <v>318393</v>
      </c>
      <c r="I349" s="345">
        <f>ROUND(F349*VLOOKUP(D349,ALLOCTABLE_Prod_Commodity,$I$10,FALSE),0)</f>
        <v>223640</v>
      </c>
      <c r="J349" s="345">
        <f>ROUND(F349*VLOOKUP(D349,ALLOCTABLE_Prod_Commodity,$J$10,FALSE),0)</f>
        <v>160018</v>
      </c>
      <c r="K349" s="345">
        <f>SUM(G349:J349)</f>
        <v>1244794</v>
      </c>
      <c r="L349" s="345">
        <f>F349-K349</f>
        <v>0</v>
      </c>
    </row>
    <row r="350" spans="1:12" ht="13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L350" si="118">SUM(F348:F349)</f>
        <v>42281170</v>
      </c>
      <c r="G350" s="346">
        <f>SUM(G348:G349)</f>
        <v>26406329</v>
      </c>
      <c r="H350" s="346">
        <f t="shared" si="118"/>
        <v>15491183</v>
      </c>
      <c r="I350" s="346">
        <f t="shared" si="118"/>
        <v>223640</v>
      </c>
      <c r="J350" s="346">
        <f t="shared" si="118"/>
        <v>160018</v>
      </c>
      <c r="K350" s="346">
        <f t="shared" si="118"/>
        <v>42281170</v>
      </c>
      <c r="L350" s="346">
        <f t="shared" si="118"/>
        <v>0</v>
      </c>
    </row>
    <row r="351" spans="1:12" ht="13">
      <c r="A351" s="331">
        <v>6</v>
      </c>
      <c r="D351" s="342"/>
      <c r="E351" s="195"/>
      <c r="I351" s="330"/>
    </row>
    <row r="352" spans="1:12" ht="13">
      <c r="A352" s="331">
        <v>7</v>
      </c>
      <c r="B352" s="357" t="s">
        <v>47</v>
      </c>
      <c r="C352" s="357"/>
      <c r="D352" s="342"/>
      <c r="E352" s="195"/>
      <c r="F352" s="345"/>
      <c r="I352" s="330"/>
      <c r="J352" s="345"/>
      <c r="K352" s="345"/>
      <c r="L352" s="345"/>
    </row>
    <row r="353" spans="1:12" ht="13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1">
        <v>0</v>
      </c>
      <c r="G353" s="347">
        <f>F353-SUM(H353:J353)</f>
        <v>0</v>
      </c>
      <c r="H353" s="345">
        <f>ROUND($F$353*VLOOKUP($D$353,ALLOCTABLE_Prod_Commodity,$H$10,FALSE),0)</f>
        <v>0</v>
      </c>
      <c r="I353" s="345">
        <f>ROUND(F353*VLOOKUP(D353,ALLOCTABLE_Prod_Commodity,$I$10,FALSE),0)</f>
        <v>0</v>
      </c>
      <c r="J353" s="345">
        <f>ROUND(F353*VLOOKUP(D353,ALLOCTABLE_Prod_Commodity,$J$10,FALSE),0)</f>
        <v>0</v>
      </c>
      <c r="K353" s="345">
        <f>SUM(G353:J353)</f>
        <v>0</v>
      </c>
      <c r="L353" s="345">
        <f>F353-K353</f>
        <v>0</v>
      </c>
    </row>
    <row r="354" spans="1:12" ht="13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L354" si="119">SUM(F352:F353)</f>
        <v>0</v>
      </c>
      <c r="G354" s="346">
        <f>SUM(G352:G353)</f>
        <v>0</v>
      </c>
      <c r="H354" s="346">
        <f t="shared" si="119"/>
        <v>0</v>
      </c>
      <c r="I354" s="346">
        <f t="shared" si="119"/>
        <v>0</v>
      </c>
      <c r="J354" s="346">
        <f t="shared" si="119"/>
        <v>0</v>
      </c>
      <c r="K354" s="346">
        <f t="shared" si="119"/>
        <v>0</v>
      </c>
      <c r="L354" s="346">
        <f t="shared" si="119"/>
        <v>0</v>
      </c>
    </row>
    <row r="355" spans="1:12" ht="13">
      <c r="A355" s="331">
        <v>10</v>
      </c>
      <c r="D355" s="342"/>
      <c r="E355" s="195"/>
      <c r="I355" s="330"/>
    </row>
    <row r="356" spans="1:12" ht="13">
      <c r="A356" s="331">
        <v>11</v>
      </c>
      <c r="B356" s="330" t="s">
        <v>1000</v>
      </c>
      <c r="D356" s="342"/>
      <c r="E356" s="195"/>
      <c r="I356" s="330"/>
    </row>
    <row r="357" spans="1:12" ht="13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3">
        <f>'FR-16(7)(v)-2 PROD Classified'!H357</f>
        <v>0</v>
      </c>
      <c r="G357" s="347">
        <f>F357-SUM(H357:J357)</f>
        <v>0</v>
      </c>
      <c r="H357" s="345">
        <f>ROUND($F$357*VLOOKUP($D$357,ALLOCTABLE_Prod_Commodity,$H$10,FALSE),0)</f>
        <v>0</v>
      </c>
      <c r="I357" s="345">
        <f>ROUND(F357*VLOOKUP(D357,ALLOCTABLE_Prod_Commodity,$I$10,FALSE),0)</f>
        <v>0</v>
      </c>
      <c r="J357" s="345">
        <f>ROUND(F357*VLOOKUP(D357,ALLOCTABLE_Prod_Commodity,$J$10,FALSE),0)</f>
        <v>0</v>
      </c>
      <c r="K357" s="345">
        <f>SUM(G357:J357)</f>
        <v>0</v>
      </c>
      <c r="L357" s="345">
        <f>F357-K357</f>
        <v>0</v>
      </c>
    </row>
    <row r="358" spans="1:12" ht="13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L358" si="120">SUM(F356:F357)</f>
        <v>0</v>
      </c>
      <c r="G358" s="346">
        <f>SUM(G356:G357)</f>
        <v>0</v>
      </c>
      <c r="H358" s="346">
        <f t="shared" si="120"/>
        <v>0</v>
      </c>
      <c r="I358" s="346">
        <f t="shared" si="120"/>
        <v>0</v>
      </c>
      <c r="J358" s="346">
        <f t="shared" si="120"/>
        <v>0</v>
      </c>
      <c r="K358" s="346">
        <f t="shared" si="120"/>
        <v>0</v>
      </c>
      <c r="L358" s="346">
        <f t="shared" si="120"/>
        <v>0</v>
      </c>
    </row>
    <row r="359" spans="1:12" ht="13">
      <c r="A359" s="331">
        <v>14</v>
      </c>
      <c r="D359" s="342"/>
      <c r="E359" s="195"/>
      <c r="F359" s="345"/>
      <c r="I359" s="330"/>
      <c r="J359" s="345"/>
      <c r="K359" s="345"/>
      <c r="L359" s="345"/>
    </row>
    <row r="360" spans="1:12" ht="13">
      <c r="A360" s="331">
        <v>15</v>
      </c>
      <c r="B360" s="330" t="s">
        <v>48</v>
      </c>
      <c r="D360" s="342"/>
      <c r="E360" s="195" t="s">
        <v>343</v>
      </c>
      <c r="F360" s="345">
        <f t="shared" ref="F360:L360" si="121">F358+F354+F350</f>
        <v>42281170</v>
      </c>
      <c r="G360" s="345">
        <f>G358+G354+G350</f>
        <v>26406329</v>
      </c>
      <c r="H360" s="345">
        <f t="shared" si="121"/>
        <v>15491183</v>
      </c>
      <c r="I360" s="345">
        <f t="shared" si="121"/>
        <v>223640</v>
      </c>
      <c r="J360" s="345">
        <f t="shared" si="121"/>
        <v>160018</v>
      </c>
      <c r="K360" s="345">
        <f t="shared" si="121"/>
        <v>42281170</v>
      </c>
      <c r="L360" s="345">
        <f t="shared" si="121"/>
        <v>0</v>
      </c>
    </row>
    <row r="361" spans="1:12" ht="13">
      <c r="A361" s="331">
        <v>16</v>
      </c>
      <c r="D361" s="342"/>
      <c r="E361" s="195"/>
      <c r="I361" s="330"/>
    </row>
    <row r="362" spans="1:12" ht="13">
      <c r="A362" s="331">
        <v>17</v>
      </c>
      <c r="B362" s="330" t="s">
        <v>49</v>
      </c>
      <c r="D362" s="342"/>
      <c r="E362" s="195"/>
      <c r="I362" s="330"/>
    </row>
    <row r="363" spans="1:12" ht="13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1"/>
      <c r="G363" s="345"/>
      <c r="H363" s="345"/>
      <c r="I363" s="345"/>
      <c r="J363" s="345"/>
      <c r="K363" s="345"/>
      <c r="L363" s="345"/>
    </row>
    <row r="364" spans="1:12" ht="13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L364" si="122">SUM(F363)</f>
        <v>0</v>
      </c>
      <c r="G364" s="346">
        <f>SUM(G363)</f>
        <v>0</v>
      </c>
      <c r="H364" s="346">
        <f t="shared" si="122"/>
        <v>0</v>
      </c>
      <c r="I364" s="346">
        <f t="shared" si="122"/>
        <v>0</v>
      </c>
      <c r="J364" s="346">
        <f t="shared" si="122"/>
        <v>0</v>
      </c>
      <c r="K364" s="346">
        <f t="shared" si="122"/>
        <v>0</v>
      </c>
      <c r="L364" s="346">
        <f t="shared" si="122"/>
        <v>0</v>
      </c>
    </row>
    <row r="365" spans="1:12" ht="13">
      <c r="A365" s="331">
        <v>20</v>
      </c>
      <c r="D365" s="342"/>
      <c r="E365" s="195"/>
      <c r="I365" s="330"/>
    </row>
    <row r="366" spans="1:12" ht="13">
      <c r="A366" s="331">
        <v>21</v>
      </c>
      <c r="B366" s="330" t="s">
        <v>50</v>
      </c>
      <c r="D366" s="342"/>
      <c r="E366" s="195"/>
      <c r="I366" s="330"/>
    </row>
    <row r="367" spans="1:12" ht="13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3">
        <f>'FR-16(7)(v)-2 PROD Classified'!H367</f>
        <v>0</v>
      </c>
      <c r="G367" s="347">
        <f t="shared" ref="G367:G377" si="123">F367-SUM(H367:J367)</f>
        <v>0</v>
      </c>
      <c r="H367" s="345">
        <f>ROUND($F$367*VLOOKUP($D$367,ALLOCTABLE_Prod_Commodity,$H$10,FALSE),0)</f>
        <v>0</v>
      </c>
      <c r="I367" s="345">
        <f t="shared" ref="I367:I377" si="124">ROUND(F367*VLOOKUP(D367,ALLOCTABLE_Prod_Commodity,$I$10,FALSE),0)</f>
        <v>0</v>
      </c>
      <c r="J367" s="345">
        <f t="shared" ref="J367:J377" si="125">ROUND(F367*VLOOKUP(D367,ALLOCTABLE_Prod_Commodity,$J$10,FALSE),0)</f>
        <v>0</v>
      </c>
      <c r="K367" s="345">
        <f t="shared" ref="K367:K377" si="126">SUM(G367:J367)</f>
        <v>0</v>
      </c>
      <c r="L367" s="345">
        <f t="shared" ref="L367:L377" si="127">F367-K367</f>
        <v>0</v>
      </c>
    </row>
    <row r="368" spans="1:12" ht="13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3">
        <f>'FR-16(7)(v)-2 PROD Classified'!H368</f>
        <v>0</v>
      </c>
      <c r="G368" s="347">
        <f t="shared" si="123"/>
        <v>0</v>
      </c>
      <c r="H368" s="345">
        <f>ROUND($F$368*VLOOKUP($D$368,ALLOCTABLE_Prod_Commodity,$H$10,FALSE),0)</f>
        <v>0</v>
      </c>
      <c r="I368" s="345">
        <f t="shared" si="124"/>
        <v>0</v>
      </c>
      <c r="J368" s="345">
        <f t="shared" si="125"/>
        <v>0</v>
      </c>
      <c r="K368" s="345">
        <f t="shared" si="126"/>
        <v>0</v>
      </c>
      <c r="L368" s="345">
        <f t="shared" si="127"/>
        <v>0</v>
      </c>
    </row>
    <row r="369" spans="1:12" ht="13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3">
        <f>'FR-16(7)(v)-2 PROD Classified'!H369</f>
        <v>0</v>
      </c>
      <c r="G369" s="347">
        <f t="shared" si="123"/>
        <v>0</v>
      </c>
      <c r="H369" s="345">
        <f>ROUND($F$369*VLOOKUP($D$369,ALLOCTABLE_Prod_Commodity,$H$10,FALSE),0)</f>
        <v>0</v>
      </c>
      <c r="I369" s="345">
        <f t="shared" si="124"/>
        <v>0</v>
      </c>
      <c r="J369" s="345">
        <f t="shared" si="125"/>
        <v>0</v>
      </c>
      <c r="K369" s="345">
        <f t="shared" si="126"/>
        <v>0</v>
      </c>
      <c r="L369" s="345">
        <f t="shared" si="127"/>
        <v>0</v>
      </c>
    </row>
    <row r="370" spans="1:12" ht="13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3">
        <f>'FR-16(7)(v)-2 PROD Classified'!H370</f>
        <v>0</v>
      </c>
      <c r="G370" s="347">
        <f t="shared" si="123"/>
        <v>0</v>
      </c>
      <c r="H370" s="345">
        <f>ROUND($F$370*VLOOKUP($D$370,ALLOCTABLE_Prod_Commodity,$H$10,FALSE),0)</f>
        <v>0</v>
      </c>
      <c r="I370" s="345">
        <f t="shared" si="124"/>
        <v>0</v>
      </c>
      <c r="J370" s="345">
        <f t="shared" si="125"/>
        <v>0</v>
      </c>
      <c r="K370" s="345">
        <f t="shared" si="126"/>
        <v>0</v>
      </c>
      <c r="L370" s="345">
        <f t="shared" si="127"/>
        <v>0</v>
      </c>
    </row>
    <row r="371" spans="1:12" ht="13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3">
        <f>'FR-16(7)(v)-2 PROD Classified'!H371</f>
        <v>0</v>
      </c>
      <c r="G371" s="347">
        <f t="shared" si="123"/>
        <v>0</v>
      </c>
      <c r="H371" s="345">
        <f>ROUND($F$371*VLOOKUP($D$371,ALLOCTABLE_Prod_Commodity,$H$10,FALSE),0)</f>
        <v>0</v>
      </c>
      <c r="I371" s="345">
        <f t="shared" si="124"/>
        <v>0</v>
      </c>
      <c r="J371" s="345">
        <f t="shared" si="125"/>
        <v>0</v>
      </c>
      <c r="K371" s="345">
        <f t="shared" si="126"/>
        <v>0</v>
      </c>
      <c r="L371" s="345">
        <f t="shared" si="127"/>
        <v>0</v>
      </c>
    </row>
    <row r="372" spans="1:12" ht="13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3">
        <f>'FR-16(7)(v)-2 PROD Classified'!H372</f>
        <v>0</v>
      </c>
      <c r="G372" s="347">
        <f t="shared" si="123"/>
        <v>0</v>
      </c>
      <c r="H372" s="345">
        <f>ROUND($F$372*VLOOKUP($D$372,ALLOCTABLE_Prod_Commodity,$H$10,FALSE),0)</f>
        <v>0</v>
      </c>
      <c r="I372" s="345">
        <f t="shared" si="124"/>
        <v>0</v>
      </c>
      <c r="J372" s="345">
        <f t="shared" si="125"/>
        <v>0</v>
      </c>
      <c r="K372" s="345">
        <f t="shared" si="126"/>
        <v>0</v>
      </c>
      <c r="L372" s="345">
        <f t="shared" si="127"/>
        <v>0</v>
      </c>
    </row>
    <row r="373" spans="1:12" ht="13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3">
        <f>'FR-16(7)(v)-2 PROD Classified'!H373</f>
        <v>0</v>
      </c>
      <c r="G373" s="347">
        <f t="shared" si="123"/>
        <v>0</v>
      </c>
      <c r="H373" s="345">
        <f>ROUND($F$373*VLOOKUP($D$373,ALLOCTABLE_Prod_Commodity,$H$10,FALSE),0)</f>
        <v>0</v>
      </c>
      <c r="I373" s="345">
        <f t="shared" si="124"/>
        <v>0</v>
      </c>
      <c r="J373" s="345">
        <f t="shared" si="125"/>
        <v>0</v>
      </c>
      <c r="K373" s="345">
        <f t="shared" si="126"/>
        <v>0</v>
      </c>
      <c r="L373" s="345">
        <f t="shared" si="127"/>
        <v>0</v>
      </c>
    </row>
    <row r="374" spans="1:12" ht="13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3">
        <f>'FR-16(7)(v)-2 PROD Classified'!H374</f>
        <v>0</v>
      </c>
      <c r="G374" s="347">
        <f t="shared" si="123"/>
        <v>0</v>
      </c>
      <c r="H374" s="345">
        <f>ROUND($F$374*VLOOKUP($D$374,ALLOCTABLE_Prod_Commodity,$H$10,FALSE),0)</f>
        <v>0</v>
      </c>
      <c r="I374" s="345">
        <f t="shared" si="124"/>
        <v>0</v>
      </c>
      <c r="J374" s="345">
        <f t="shared" si="125"/>
        <v>0</v>
      </c>
      <c r="K374" s="345">
        <f t="shared" si="126"/>
        <v>0</v>
      </c>
      <c r="L374" s="345">
        <f t="shared" si="127"/>
        <v>0</v>
      </c>
    </row>
    <row r="375" spans="1:12" ht="13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3">
        <f>'FR-16(7)(v)-2 PROD Classified'!H375</f>
        <v>0</v>
      </c>
      <c r="G375" s="347">
        <f t="shared" si="123"/>
        <v>0</v>
      </c>
      <c r="H375" s="345">
        <f>ROUND($F$375*VLOOKUP($D$375,ALLOCTABLE_Prod_Commodity,$H$10,FALSE),0)</f>
        <v>0</v>
      </c>
      <c r="I375" s="345">
        <f t="shared" si="124"/>
        <v>0</v>
      </c>
      <c r="J375" s="345">
        <f t="shared" si="125"/>
        <v>0</v>
      </c>
      <c r="K375" s="345">
        <f t="shared" si="126"/>
        <v>0</v>
      </c>
      <c r="L375" s="345">
        <f t="shared" si="127"/>
        <v>0</v>
      </c>
    </row>
    <row r="376" spans="1:12" ht="13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3">
        <f>'FR-16(7)(v)-2 PROD Classified'!H376</f>
        <v>0</v>
      </c>
      <c r="G376" s="347">
        <f t="shared" si="123"/>
        <v>0</v>
      </c>
      <c r="H376" s="345">
        <f>ROUND($F$376*VLOOKUP($D$376,ALLOCTABLE_Prod_Commodity,$H$10,FALSE),0)</f>
        <v>0</v>
      </c>
      <c r="I376" s="345">
        <f t="shared" si="124"/>
        <v>0</v>
      </c>
      <c r="J376" s="345">
        <f t="shared" si="125"/>
        <v>0</v>
      </c>
      <c r="K376" s="345">
        <f t="shared" si="126"/>
        <v>0</v>
      </c>
      <c r="L376" s="345">
        <f t="shared" si="127"/>
        <v>0</v>
      </c>
    </row>
    <row r="377" spans="1:12" ht="13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3">
        <f>'FR-16(7)(v)-2 PROD Classified'!H377</f>
        <v>0</v>
      </c>
      <c r="G377" s="347">
        <f t="shared" si="123"/>
        <v>0</v>
      </c>
      <c r="H377" s="345">
        <f>ROUND($F$377*VLOOKUP($D$377,ALLOCTABLE_Prod_Commodity,$H$10,FALSE),0)</f>
        <v>0</v>
      </c>
      <c r="I377" s="345">
        <f t="shared" si="124"/>
        <v>0</v>
      </c>
      <c r="J377" s="345">
        <f t="shared" si="125"/>
        <v>0</v>
      </c>
      <c r="K377" s="345">
        <f t="shared" si="126"/>
        <v>0</v>
      </c>
      <c r="L377" s="345">
        <f t="shared" si="127"/>
        <v>0</v>
      </c>
    </row>
    <row r="378" spans="1:12" ht="13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L378" si="128">SUM(F366:F377)</f>
        <v>0</v>
      </c>
      <c r="G378" s="346">
        <f>SUM(G366:G377)</f>
        <v>0</v>
      </c>
      <c r="H378" s="346">
        <f t="shared" si="128"/>
        <v>0</v>
      </c>
      <c r="I378" s="346">
        <f t="shared" si="128"/>
        <v>0</v>
      </c>
      <c r="J378" s="346">
        <f t="shared" si="128"/>
        <v>0</v>
      </c>
      <c r="K378" s="346">
        <f t="shared" si="128"/>
        <v>0</v>
      </c>
      <c r="L378" s="346">
        <f t="shared" si="128"/>
        <v>0</v>
      </c>
    </row>
    <row r="379" spans="1:12" ht="13">
      <c r="A379" s="331">
        <v>34</v>
      </c>
      <c r="C379" s="330" t="s">
        <v>343</v>
      </c>
      <c r="D379" s="342"/>
      <c r="E379" s="195"/>
      <c r="I379" s="330"/>
    </row>
    <row r="380" spans="1:12" ht="13">
      <c r="A380" s="331">
        <v>35</v>
      </c>
      <c r="B380" s="330" t="s">
        <v>51</v>
      </c>
      <c r="D380" s="342"/>
      <c r="E380" s="195"/>
      <c r="F380" s="330" t="s">
        <v>343</v>
      </c>
      <c r="I380" s="330"/>
    </row>
    <row r="381" spans="1:12" ht="13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3">
        <f>'FR-16(7)(v)-2 PROD Classified'!H381</f>
        <v>0</v>
      </c>
      <c r="G381" s="347">
        <f t="shared" ref="G381:G388" si="129">F381-SUM(H381:J381)</f>
        <v>0</v>
      </c>
      <c r="H381" s="345">
        <f>ROUND($F$381*VLOOKUP($D$381,ALLOCTABLE_Prod_Commodity,$H$10,FALSE),0)</f>
        <v>0</v>
      </c>
      <c r="I381" s="345">
        <f t="shared" ref="I381:I388" si="130">ROUND(F381*VLOOKUP(D381,ALLOCTABLE_Prod_Commodity,$I$10,FALSE),0)</f>
        <v>0</v>
      </c>
      <c r="J381" s="345">
        <f t="shared" ref="J381:J388" si="131">ROUND(F381*VLOOKUP(D381,ALLOCTABLE_Prod_Commodity,$J$10,FALSE),0)</f>
        <v>0</v>
      </c>
      <c r="K381" s="345">
        <f t="shared" ref="K381:K388" si="132">SUM(G381:J381)</f>
        <v>0</v>
      </c>
      <c r="L381" s="345">
        <f t="shared" ref="L381:L388" si="133">F381-K381</f>
        <v>0</v>
      </c>
    </row>
    <row r="382" spans="1:12" ht="13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3">
        <f>'FR-16(7)(v)-2 PROD Classified'!H382</f>
        <v>0</v>
      </c>
      <c r="G382" s="347">
        <f t="shared" si="129"/>
        <v>0</v>
      </c>
      <c r="H382" s="345">
        <f>ROUND($F$382*VLOOKUP($D$382,ALLOCTABLE_Prod_Commodity,$H$10,FALSE),0)</f>
        <v>0</v>
      </c>
      <c r="I382" s="345">
        <f t="shared" si="130"/>
        <v>0</v>
      </c>
      <c r="J382" s="345">
        <f t="shared" si="131"/>
        <v>0</v>
      </c>
      <c r="K382" s="345">
        <f t="shared" si="132"/>
        <v>0</v>
      </c>
      <c r="L382" s="345">
        <f t="shared" si="133"/>
        <v>0</v>
      </c>
    </row>
    <row r="383" spans="1:12" ht="13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3">
        <f>'FR-16(7)(v)-2 PROD Classified'!H383</f>
        <v>0</v>
      </c>
      <c r="G383" s="347">
        <f t="shared" si="129"/>
        <v>0</v>
      </c>
      <c r="H383" s="345">
        <f>ROUND($F$383*VLOOKUP($D$383,ALLOCTABLE_Prod_Commodity,$H$10,FALSE),0)</f>
        <v>0</v>
      </c>
      <c r="I383" s="345">
        <f t="shared" si="130"/>
        <v>0</v>
      </c>
      <c r="J383" s="345">
        <f t="shared" si="131"/>
        <v>0</v>
      </c>
      <c r="K383" s="345">
        <f t="shared" si="132"/>
        <v>0</v>
      </c>
      <c r="L383" s="345">
        <f t="shared" si="133"/>
        <v>0</v>
      </c>
    </row>
    <row r="384" spans="1:12" ht="13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3">
        <f>'FR-16(7)(v)-2 PROD Classified'!H384</f>
        <v>0</v>
      </c>
      <c r="G384" s="347">
        <f t="shared" si="129"/>
        <v>0</v>
      </c>
      <c r="H384" s="345">
        <f>ROUND($F$384*VLOOKUP($D$384,ALLOCTABLE_Prod_Commodity,$H$10,FALSE),0)</f>
        <v>0</v>
      </c>
      <c r="I384" s="345">
        <f t="shared" si="130"/>
        <v>0</v>
      </c>
      <c r="J384" s="345">
        <f t="shared" si="131"/>
        <v>0</v>
      </c>
      <c r="K384" s="345">
        <f t="shared" si="132"/>
        <v>0</v>
      </c>
      <c r="L384" s="345">
        <f t="shared" si="133"/>
        <v>0</v>
      </c>
    </row>
    <row r="385" spans="1:12" ht="13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3">
        <f>'FR-16(7)(v)-2 PROD Classified'!H385</f>
        <v>0</v>
      </c>
      <c r="G385" s="347">
        <f t="shared" si="129"/>
        <v>0</v>
      </c>
      <c r="H385" s="345">
        <f>ROUND($F$385*VLOOKUP($D$385,ALLOCTABLE_Prod_Commodity,$H$10,FALSE),0)</f>
        <v>0</v>
      </c>
      <c r="I385" s="345">
        <f t="shared" si="130"/>
        <v>0</v>
      </c>
      <c r="J385" s="345">
        <f t="shared" si="131"/>
        <v>0</v>
      </c>
      <c r="K385" s="345">
        <f t="shared" si="132"/>
        <v>0</v>
      </c>
      <c r="L385" s="345">
        <f t="shared" si="133"/>
        <v>0</v>
      </c>
    </row>
    <row r="386" spans="1:12" ht="13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3">
        <f>'FR-16(7)(v)-2 PROD Classified'!H386</f>
        <v>0</v>
      </c>
      <c r="G386" s="347">
        <f t="shared" si="129"/>
        <v>0</v>
      </c>
      <c r="H386" s="345">
        <f>ROUND($F$386*VLOOKUP($D$386,ALLOCTABLE_Prod_Commodity,$H$10,FALSE),0)</f>
        <v>0</v>
      </c>
      <c r="I386" s="345">
        <f t="shared" si="130"/>
        <v>0</v>
      </c>
      <c r="J386" s="345">
        <f t="shared" si="131"/>
        <v>0</v>
      </c>
      <c r="K386" s="345">
        <f t="shared" si="132"/>
        <v>0</v>
      </c>
      <c r="L386" s="345">
        <f t="shared" si="133"/>
        <v>0</v>
      </c>
    </row>
    <row r="387" spans="1:12" ht="13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3">
        <f>'FR-16(7)(v)-2 PROD Classified'!H387</f>
        <v>0</v>
      </c>
      <c r="G387" s="347">
        <f t="shared" si="129"/>
        <v>0</v>
      </c>
      <c r="H387" s="345">
        <f>ROUND($F$387*VLOOKUP($D$387,ALLOCTABLE_Prod_Commodity,$H$10,FALSE),0)</f>
        <v>0</v>
      </c>
      <c r="I387" s="345">
        <f t="shared" si="130"/>
        <v>0</v>
      </c>
      <c r="J387" s="345">
        <f t="shared" si="131"/>
        <v>0</v>
      </c>
      <c r="K387" s="345">
        <f t="shared" si="132"/>
        <v>0</v>
      </c>
      <c r="L387" s="345">
        <f t="shared" si="133"/>
        <v>0</v>
      </c>
    </row>
    <row r="388" spans="1:12" ht="13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3">
        <f>'FR-16(7)(v)-2 PROD Classified'!H388</f>
        <v>0</v>
      </c>
      <c r="G388" s="347">
        <f t="shared" si="129"/>
        <v>0</v>
      </c>
      <c r="H388" s="345">
        <f>ROUND($F$388*VLOOKUP($D$388,ALLOCTABLE_Prod_Commodity,$H$10,FALSE),0)</f>
        <v>0</v>
      </c>
      <c r="I388" s="345">
        <f t="shared" si="130"/>
        <v>0</v>
      </c>
      <c r="J388" s="345">
        <f t="shared" si="131"/>
        <v>0</v>
      </c>
      <c r="K388" s="345">
        <f t="shared" si="132"/>
        <v>0</v>
      </c>
      <c r="L388" s="345">
        <f t="shared" si="133"/>
        <v>0</v>
      </c>
    </row>
    <row r="389" spans="1:12" ht="13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L389" si="134">SUM(F380:F388)</f>
        <v>0</v>
      </c>
      <c r="G389" s="346">
        <f>SUM(G380:G388)</f>
        <v>0</v>
      </c>
      <c r="H389" s="346">
        <f t="shared" si="134"/>
        <v>0</v>
      </c>
      <c r="I389" s="346">
        <f t="shared" si="134"/>
        <v>0</v>
      </c>
      <c r="J389" s="346">
        <f t="shared" si="134"/>
        <v>0</v>
      </c>
      <c r="K389" s="346">
        <f t="shared" si="134"/>
        <v>0</v>
      </c>
      <c r="L389" s="346">
        <f t="shared" si="134"/>
        <v>0</v>
      </c>
    </row>
    <row r="390" spans="1:12" ht="13">
      <c r="B390" s="341"/>
      <c r="C390" s="195"/>
      <c r="D390" s="342"/>
      <c r="E390" s="195"/>
      <c r="G390" s="195"/>
      <c r="H390" s="195"/>
      <c r="I390" s="195"/>
      <c r="J390" s="342"/>
      <c r="K390" s="195"/>
      <c r="L390" s="195"/>
    </row>
    <row r="391" spans="1:12" ht="13">
      <c r="A391" s="341" t="str">
        <f>co_name</f>
        <v>DUKE ENERGY KENTUCKY, INC.</v>
      </c>
      <c r="C391" s="195"/>
      <c r="D391" s="342"/>
      <c r="E391" s="195"/>
      <c r="F391" s="342"/>
      <c r="G391" s="340"/>
      <c r="H391" s="340"/>
      <c r="I391" s="195"/>
      <c r="K391" s="359" t="str">
        <f>$K$1</f>
        <v>FR-16(7)(v)-3</v>
      </c>
      <c r="L391" s="195"/>
    </row>
    <row r="392" spans="1:12" ht="13">
      <c r="A392" s="341" t="str">
        <f>$A$2</f>
        <v>PRODUCTION COMMODITY ALLOCATED - GAS COST OF SERVICE</v>
      </c>
      <c r="C392" s="195"/>
      <c r="D392" s="342"/>
      <c r="E392" s="195"/>
      <c r="F392" s="342"/>
      <c r="G392" s="340"/>
      <c r="H392" s="340"/>
      <c r="I392" s="195"/>
      <c r="K392" s="359" t="str">
        <f>$K$2</f>
        <v>WITNESS RESPONSIBLE:</v>
      </c>
      <c r="L392" s="195"/>
    </row>
    <row r="393" spans="1:12" ht="13">
      <c r="A393" s="341" t="str">
        <f>case_name</f>
        <v>CASE NO: 2021-00190</v>
      </c>
      <c r="C393" s="195"/>
      <c r="D393" s="342"/>
      <c r="E393" s="195"/>
      <c r="F393" s="342"/>
      <c r="G393" s="340"/>
      <c r="H393" s="340"/>
      <c r="I393" s="195"/>
      <c r="K393" s="359" t="str">
        <f>Witness</f>
        <v>JAMES E. ZIOLKOWSKI</v>
      </c>
      <c r="L393" s="195"/>
    </row>
    <row r="394" spans="1:12" ht="13">
      <c r="A394" s="341" t="str">
        <f>data_filing</f>
        <v>DATA: 12 MONTH FORECASTED PERIOD</v>
      </c>
      <c r="C394" s="195"/>
      <c r="D394" s="342"/>
      <c r="E394" s="195"/>
      <c r="F394" s="342"/>
      <c r="G394" s="340"/>
      <c r="H394" s="340"/>
      <c r="I394" s="195"/>
      <c r="K394" s="359" t="str">
        <f>"PAGE "&amp;Pages-9&amp;" OF "&amp;Pages</f>
        <v>PAGE 9 OF 18</v>
      </c>
      <c r="L394" s="195"/>
    </row>
    <row r="395" spans="1:12" ht="13">
      <c r="A395" s="341" t="str">
        <f>type</f>
        <v xml:space="preserve">TYPE OF FILING: "X" ORIGINAL   UPDATED    REVISED  </v>
      </c>
      <c r="C395" s="195"/>
      <c r="D395" s="342"/>
      <c r="E395" s="195"/>
      <c r="F395" s="342"/>
      <c r="G395" s="340"/>
      <c r="H395" s="340"/>
      <c r="I395" s="195"/>
      <c r="J395" s="342"/>
      <c r="K395" s="195"/>
      <c r="L395" s="195"/>
    </row>
    <row r="396" spans="1:12" ht="13">
      <c r="B396" s="341"/>
      <c r="C396" s="195"/>
      <c r="D396" s="342"/>
      <c r="E396" s="195"/>
      <c r="F396" s="342"/>
      <c r="G396" s="195"/>
      <c r="H396" s="195"/>
      <c r="I396" s="195"/>
      <c r="J396" s="342"/>
      <c r="K396" s="195"/>
      <c r="L396" s="195"/>
    </row>
    <row r="397" spans="1:12" ht="13">
      <c r="B397" s="341"/>
      <c r="C397" s="195"/>
      <c r="D397" s="342"/>
      <c r="E397" s="195"/>
      <c r="F397" s="342" t="str">
        <f>$F$7</f>
        <v>TOTAL</v>
      </c>
      <c r="G397" s="195"/>
      <c r="H397" s="195"/>
      <c r="I397" s="195"/>
      <c r="J397" s="342"/>
      <c r="K397" s="195"/>
      <c r="L397" s="195"/>
    </row>
    <row r="398" spans="1:12" ht="13">
      <c r="A398" s="342" t="s">
        <v>907</v>
      </c>
      <c r="B398" s="195"/>
      <c r="C398" s="195"/>
      <c r="D398" s="342"/>
      <c r="E398" s="195"/>
      <c r="F398" s="342" t="str">
        <f>$F$8</f>
        <v>PRODUCTION</v>
      </c>
      <c r="G398" s="342" t="s">
        <v>417</v>
      </c>
      <c r="H398" s="342" t="s">
        <v>857</v>
      </c>
      <c r="I398" s="342" t="s">
        <v>858</v>
      </c>
      <c r="J398" s="342" t="s">
        <v>546</v>
      </c>
      <c r="K398" s="342" t="s">
        <v>229</v>
      </c>
      <c r="L398" s="342" t="s">
        <v>342</v>
      </c>
    </row>
    <row r="399" spans="1:12" ht="13">
      <c r="A399" s="344" t="s">
        <v>908</v>
      </c>
      <c r="B399" s="343" t="s">
        <v>44</v>
      </c>
      <c r="C399" s="343"/>
      <c r="D399" s="344" t="s">
        <v>337</v>
      </c>
      <c r="E399" s="343"/>
      <c r="F399" s="342" t="str">
        <f>$F$9</f>
        <v>COMMODITY</v>
      </c>
      <c r="G399" s="344" t="s">
        <v>338</v>
      </c>
      <c r="H399" s="344" t="s">
        <v>404</v>
      </c>
      <c r="I399" s="344" t="s">
        <v>404</v>
      </c>
      <c r="J399" s="344" t="s">
        <v>547</v>
      </c>
      <c r="K399" s="344" t="s">
        <v>341</v>
      </c>
      <c r="L399" s="344" t="s">
        <v>340</v>
      </c>
    </row>
    <row r="400" spans="1:12" ht="13">
      <c r="C400" s="572" t="s">
        <v>557</v>
      </c>
      <c r="D400" s="342"/>
      <c r="E400" s="195"/>
      <c r="F400" s="755"/>
      <c r="G400" s="627">
        <f>$G$10</f>
        <v>3</v>
      </c>
      <c r="H400" s="627">
        <f>$H$10</f>
        <v>4</v>
      </c>
      <c r="I400" s="627">
        <f>$I$10</f>
        <v>5</v>
      </c>
      <c r="J400" s="627">
        <f>$J$10</f>
        <v>6</v>
      </c>
    </row>
    <row r="401" spans="1:12" ht="13">
      <c r="A401" s="331">
        <v>1</v>
      </c>
      <c r="B401" s="330" t="s">
        <v>52</v>
      </c>
      <c r="D401" s="342"/>
      <c r="E401" s="195"/>
      <c r="I401" s="330"/>
    </row>
    <row r="402" spans="1:12" ht="13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3">
        <f>'FR-16(7)(v)-2 PROD Classified'!H402</f>
        <v>0</v>
      </c>
      <c r="G402" s="347">
        <f>F402-SUM(H402:J402)</f>
        <v>0</v>
      </c>
      <c r="H402" s="345">
        <f>ROUND($F$402*VLOOKUP($D$402,ALLOCTABLE_Prod_Commodity,$H$10,FALSE),0)</f>
        <v>0</v>
      </c>
      <c r="I402" s="345">
        <f>ROUND(F402*VLOOKUP(D402,ALLOCTABLE_Prod_Commodity,$I$10,FALSE),0)</f>
        <v>0</v>
      </c>
      <c r="J402" s="345">
        <f>ROUND(F402*VLOOKUP(D402,ALLOCTABLE_Prod_Commodity,$J$10,FALSE),0)</f>
        <v>0</v>
      </c>
      <c r="K402" s="345">
        <f>SUM(G402:J402)</f>
        <v>0</v>
      </c>
      <c r="L402" s="345">
        <f>F402-K402</f>
        <v>0</v>
      </c>
    </row>
    <row r="403" spans="1:12" ht="13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L403" si="135">SUM(F402:F402)</f>
        <v>0</v>
      </c>
      <c r="G403" s="346">
        <f>SUM(G402:G402)</f>
        <v>0</v>
      </c>
      <c r="H403" s="346">
        <f t="shared" si="135"/>
        <v>0</v>
      </c>
      <c r="I403" s="346">
        <f t="shared" si="135"/>
        <v>0</v>
      </c>
      <c r="J403" s="346">
        <f t="shared" si="135"/>
        <v>0</v>
      </c>
      <c r="K403" s="346">
        <f t="shared" si="135"/>
        <v>0</v>
      </c>
      <c r="L403" s="346">
        <f t="shared" si="135"/>
        <v>0</v>
      </c>
    </row>
    <row r="404" spans="1:12" ht="13">
      <c r="A404" s="331">
        <v>4</v>
      </c>
      <c r="D404" s="342"/>
      <c r="E404" s="195"/>
      <c r="F404" s="345"/>
      <c r="I404" s="330"/>
      <c r="J404" s="345"/>
      <c r="K404" s="345"/>
      <c r="L404" s="345"/>
    </row>
    <row r="405" spans="1:12" ht="13">
      <c r="A405" s="331">
        <v>5</v>
      </c>
      <c r="B405" s="330" t="s">
        <v>53</v>
      </c>
      <c r="D405" s="342"/>
      <c r="E405" s="195"/>
      <c r="F405" s="345"/>
      <c r="I405" s="330"/>
      <c r="J405" s="345"/>
      <c r="K405" s="345"/>
      <c r="L405" s="345"/>
    </row>
    <row r="406" spans="1:12" ht="13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3">
        <f>'FR-16(7)(v)-2 PROD Classified'!H406</f>
        <v>0</v>
      </c>
      <c r="G406" s="347">
        <f>F406-SUM(H406:J406)</f>
        <v>0</v>
      </c>
      <c r="H406" s="345">
        <f>ROUND($F$406*VLOOKUP($D$406,ALLOCTABLE_Prod_Commodity,$H$10,FALSE),0)</f>
        <v>0</v>
      </c>
      <c r="I406" s="345">
        <f>ROUND(F406*VLOOKUP(D406,ALLOCTABLE_Prod_Commodity,$I$10,FALSE),0)</f>
        <v>0</v>
      </c>
      <c r="J406" s="345">
        <f>ROUND(F406*VLOOKUP(D406,ALLOCTABLE_Prod_Commodity,$J$10,FALSE),0)</f>
        <v>0</v>
      </c>
      <c r="K406" s="345">
        <f>SUM(G406:J406)</f>
        <v>0</v>
      </c>
      <c r="L406" s="345">
        <f>F406-K406</f>
        <v>0</v>
      </c>
    </row>
    <row r="407" spans="1:12" ht="13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L407" si="136">SUM(F405:F406)</f>
        <v>0</v>
      </c>
      <c r="G407" s="346">
        <f>SUM(G405:G406)</f>
        <v>0</v>
      </c>
      <c r="H407" s="346">
        <f t="shared" si="136"/>
        <v>0</v>
      </c>
      <c r="I407" s="346">
        <f t="shared" si="136"/>
        <v>0</v>
      </c>
      <c r="J407" s="346">
        <f t="shared" si="136"/>
        <v>0</v>
      </c>
      <c r="K407" s="346">
        <f t="shared" si="136"/>
        <v>0</v>
      </c>
      <c r="L407" s="346">
        <f t="shared" si="136"/>
        <v>0</v>
      </c>
    </row>
    <row r="408" spans="1:12" ht="13">
      <c r="A408" s="331">
        <v>8</v>
      </c>
      <c r="D408" s="342"/>
      <c r="E408" s="195"/>
      <c r="I408" s="330"/>
    </row>
    <row r="409" spans="1:12" ht="13">
      <c r="A409" s="331">
        <v>9</v>
      </c>
      <c r="B409" s="330" t="s">
        <v>54</v>
      </c>
      <c r="D409" s="342"/>
      <c r="E409" s="195"/>
      <c r="I409" s="330"/>
    </row>
    <row r="410" spans="1:12" ht="13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3">
        <f>'FR-16(7)(v)-2 PROD Classified'!H410</f>
        <v>658571</v>
      </c>
      <c r="G410" s="347">
        <f t="shared" ref="G410:G415" si="137">F410-SUM(H410:J410)</f>
        <v>411311</v>
      </c>
      <c r="H410" s="345">
        <f>ROUND($F$410*VLOOKUP($D$410,ALLOCTABLE_Prod_Commodity,$H$10,FALSE),0)</f>
        <v>241287</v>
      </c>
      <c r="I410" s="345">
        <f t="shared" ref="I410:I415" si="138">ROUND(F410*VLOOKUP(D410,ALLOCTABLE_Prod_Commodity,$I$10,FALSE),0)</f>
        <v>3484</v>
      </c>
      <c r="J410" s="345">
        <f t="shared" ref="J410:J415" si="139">ROUND(F410*VLOOKUP(D410,ALLOCTABLE_Prod_Commodity,$J$10,FALSE),0)</f>
        <v>2489</v>
      </c>
      <c r="K410" s="345">
        <f t="shared" ref="K410:K415" si="140">SUM(G410:J410)</f>
        <v>658571</v>
      </c>
      <c r="L410" s="345">
        <f t="shared" ref="L410:L415" si="141">F410-K410</f>
        <v>0</v>
      </c>
    </row>
    <row r="411" spans="1:12" ht="13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3">
        <f>'FR-16(7)(v)-2 PROD Classified'!H411</f>
        <v>485224</v>
      </c>
      <c r="G411" s="347">
        <f t="shared" si="137"/>
        <v>305817</v>
      </c>
      <c r="H411" s="345">
        <f>ROUND($F$411*VLOOKUP($D$411,ALLOCTABLE_Prod_Commodity,$H$10,FALSE),0)</f>
        <v>179407</v>
      </c>
      <c r="I411" s="345">
        <f t="shared" si="138"/>
        <v>0</v>
      </c>
      <c r="J411" s="345">
        <f t="shared" si="139"/>
        <v>0</v>
      </c>
      <c r="K411" s="345">
        <f t="shared" si="140"/>
        <v>485224</v>
      </c>
      <c r="L411" s="345">
        <f t="shared" si="141"/>
        <v>0</v>
      </c>
    </row>
    <row r="412" spans="1:12" ht="13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3">
        <f>'FR-16(7)(v)-2 PROD Classified'!H412</f>
        <v>0</v>
      </c>
      <c r="G412" s="347">
        <f t="shared" si="137"/>
        <v>0</v>
      </c>
      <c r="H412" s="345">
        <f>ROUND($F$412*VLOOKUP($D$412,ALLOCTABLE_Prod_Commodity,$H$10,FALSE),0)</f>
        <v>0</v>
      </c>
      <c r="I412" s="345">
        <f t="shared" si="138"/>
        <v>0</v>
      </c>
      <c r="J412" s="345">
        <f t="shared" si="139"/>
        <v>0</v>
      </c>
      <c r="K412" s="345">
        <f t="shared" si="140"/>
        <v>0</v>
      </c>
      <c r="L412" s="345">
        <f t="shared" si="141"/>
        <v>0</v>
      </c>
    </row>
    <row r="413" spans="1:12" ht="13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3">
        <f>'FR-16(7)(v)-2 PROD Classified'!H413</f>
        <v>0</v>
      </c>
      <c r="G413" s="347">
        <f t="shared" si="137"/>
        <v>0</v>
      </c>
      <c r="H413" s="345">
        <f>ROUND($F$413*VLOOKUP($D$413,ALLOCTABLE_Prod_Commodity,$H$10,FALSE),0)</f>
        <v>0</v>
      </c>
      <c r="I413" s="345">
        <f t="shared" si="138"/>
        <v>0</v>
      </c>
      <c r="J413" s="345">
        <f t="shared" si="139"/>
        <v>0</v>
      </c>
      <c r="K413" s="345">
        <f t="shared" si="140"/>
        <v>0</v>
      </c>
      <c r="L413" s="345">
        <f t="shared" si="141"/>
        <v>0</v>
      </c>
    </row>
    <row r="414" spans="1:12" ht="13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3">
        <f>'FR-16(7)(v)-2 PROD Classified'!H414</f>
        <v>0</v>
      </c>
      <c r="G414" s="347">
        <f t="shared" si="137"/>
        <v>0</v>
      </c>
      <c r="H414" s="345">
        <f>ROUND($F$414*VLOOKUP($D$414,ALLOCTABLE_Prod_Commodity,$H$10,FALSE),0)</f>
        <v>0</v>
      </c>
      <c r="I414" s="345">
        <f t="shared" si="138"/>
        <v>0</v>
      </c>
      <c r="J414" s="345">
        <f t="shared" si="139"/>
        <v>0</v>
      </c>
      <c r="K414" s="345">
        <f t="shared" si="140"/>
        <v>0</v>
      </c>
      <c r="L414" s="345">
        <f t="shared" si="141"/>
        <v>0</v>
      </c>
    </row>
    <row r="415" spans="1:12" ht="13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3">
        <f>'FR-16(7)(v)-2 PROD Classified'!H415</f>
        <v>0</v>
      </c>
      <c r="G415" s="347">
        <f t="shared" si="137"/>
        <v>0</v>
      </c>
      <c r="H415" s="345">
        <f>ROUND($F$415*VLOOKUP($D$415,ALLOCTABLE_Prod_Commodity,$H$10,FALSE),0)</f>
        <v>0</v>
      </c>
      <c r="I415" s="345">
        <f t="shared" si="138"/>
        <v>0</v>
      </c>
      <c r="J415" s="345">
        <f t="shared" si="139"/>
        <v>0</v>
      </c>
      <c r="K415" s="496">
        <f t="shared" si="140"/>
        <v>0</v>
      </c>
      <c r="L415" s="496">
        <f t="shared" si="141"/>
        <v>0</v>
      </c>
    </row>
    <row r="416" spans="1:12" ht="13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7">
        <f t="shared" ref="F416:L416" si="142">SUM(F410:F415)</f>
        <v>1143795</v>
      </c>
      <c r="G416" s="497">
        <f>SUM(G410:G415)</f>
        <v>717128</v>
      </c>
      <c r="H416" s="497">
        <f t="shared" si="142"/>
        <v>420694</v>
      </c>
      <c r="I416" s="497">
        <f t="shared" si="142"/>
        <v>3484</v>
      </c>
      <c r="J416" s="497">
        <f t="shared" si="142"/>
        <v>2489</v>
      </c>
      <c r="K416" s="471">
        <f t="shared" si="142"/>
        <v>1143795</v>
      </c>
      <c r="L416" s="471">
        <f t="shared" si="142"/>
        <v>0</v>
      </c>
    </row>
    <row r="417" spans="1:12" ht="13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3">
        <f>'FR-16(7)(v)-2 PROD Classified'!H417</f>
        <v>10979</v>
      </c>
      <c r="G417" s="347">
        <f t="shared" ref="G417:G430" si="143">F417-SUM(H417:J417)</f>
        <v>6884</v>
      </c>
      <c r="H417" s="345">
        <f>ROUND($F$417*VLOOKUP($D$417,ALLOCTABLE_Prod_Commodity,$H$10,FALSE),0)</f>
        <v>4038</v>
      </c>
      <c r="I417" s="345">
        <f t="shared" ref="I417:I430" si="144">ROUND(F417*VLOOKUP(D417,ALLOCTABLE_Prod_Commodity,$I$10,FALSE),0)</f>
        <v>33</v>
      </c>
      <c r="J417" s="345">
        <f t="shared" ref="J417:J430" si="145">ROUND(F417*VLOOKUP(D417,ALLOCTABLE_Prod_Commodity,$J$10,FALSE),0)</f>
        <v>24</v>
      </c>
      <c r="K417" s="345">
        <f t="shared" ref="K417:K430" si="146">SUM(G417:J417)</f>
        <v>10979</v>
      </c>
      <c r="L417" s="345">
        <f t="shared" ref="L417:L430" si="147">F417-K417</f>
        <v>0</v>
      </c>
    </row>
    <row r="418" spans="1:12" ht="13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3">
        <f>'FR-16(7)(v)-2 PROD Classified'!H418</f>
        <v>-90601</v>
      </c>
      <c r="G418" s="347">
        <f t="shared" si="143"/>
        <v>-56803</v>
      </c>
      <c r="H418" s="345">
        <f>ROUND($F$418*VLOOKUP($D$418,ALLOCTABLE_Prod_Commodity,$H$10,FALSE),0)</f>
        <v>-33324</v>
      </c>
      <c r="I418" s="345">
        <f t="shared" si="144"/>
        <v>-276</v>
      </c>
      <c r="J418" s="345">
        <f t="shared" si="145"/>
        <v>-198</v>
      </c>
      <c r="K418" s="345">
        <f t="shared" si="146"/>
        <v>-90601</v>
      </c>
      <c r="L418" s="345">
        <f t="shared" si="147"/>
        <v>0</v>
      </c>
    </row>
    <row r="419" spans="1:12" ht="13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3">
        <f>'FR-16(7)(v)-2 PROD Classified'!H419</f>
        <v>-31386</v>
      </c>
      <c r="G419" s="347">
        <f t="shared" si="143"/>
        <v>-19678</v>
      </c>
      <c r="H419" s="345">
        <f>ROUND($F$419*VLOOKUP($D$419,ALLOCTABLE_Prod_Commodity,$H$10,FALSE),0)</f>
        <v>-11544</v>
      </c>
      <c r="I419" s="345">
        <f t="shared" si="144"/>
        <v>-96</v>
      </c>
      <c r="J419" s="345">
        <f t="shared" si="145"/>
        <v>-68</v>
      </c>
      <c r="K419" s="345">
        <f t="shared" si="146"/>
        <v>-31386</v>
      </c>
      <c r="L419" s="345">
        <f t="shared" si="147"/>
        <v>0</v>
      </c>
    </row>
    <row r="420" spans="1:12" ht="13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3">
        <f>'FR-16(7)(v)-2 PROD Classified'!H420</f>
        <v>0</v>
      </c>
      <c r="G420" s="347">
        <f t="shared" si="143"/>
        <v>0</v>
      </c>
      <c r="H420" s="345">
        <f>ROUND($F$420*VLOOKUP($D$420,ALLOCTABLE_Prod_Commodity,$H$10,FALSE),0)</f>
        <v>0</v>
      </c>
      <c r="I420" s="345">
        <f t="shared" si="144"/>
        <v>0</v>
      </c>
      <c r="J420" s="345">
        <f t="shared" si="145"/>
        <v>0</v>
      </c>
      <c r="K420" s="345">
        <f t="shared" si="146"/>
        <v>0</v>
      </c>
      <c r="L420" s="345">
        <f t="shared" si="147"/>
        <v>0</v>
      </c>
    </row>
    <row r="421" spans="1:12" ht="13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3">
        <f>'FR-16(7)(v)-2 PROD Classified'!H421</f>
        <v>63329</v>
      </c>
      <c r="G421" s="347">
        <f t="shared" si="143"/>
        <v>39705</v>
      </c>
      <c r="H421" s="345">
        <f>ROUND($F$421*VLOOKUP($D$421,ALLOCTABLE_Prod_Commodity,$H$10,FALSE),0)</f>
        <v>23293</v>
      </c>
      <c r="I421" s="345">
        <f t="shared" si="144"/>
        <v>193</v>
      </c>
      <c r="J421" s="345">
        <f t="shared" si="145"/>
        <v>138</v>
      </c>
      <c r="K421" s="345">
        <f t="shared" si="146"/>
        <v>63329</v>
      </c>
      <c r="L421" s="345">
        <f t="shared" si="147"/>
        <v>0</v>
      </c>
    </row>
    <row r="422" spans="1:12" ht="13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3">
        <f>'FR-16(7)(v)-2 PROD Classified'!H422</f>
        <v>0</v>
      </c>
      <c r="G422" s="347">
        <f t="shared" si="143"/>
        <v>0</v>
      </c>
      <c r="H422" s="345">
        <f>ROUND($F$422*VLOOKUP($D$422,ALLOCTABLE_Prod_Commodity,$H$10,FALSE),0)</f>
        <v>0</v>
      </c>
      <c r="I422" s="345">
        <f t="shared" si="144"/>
        <v>0</v>
      </c>
      <c r="J422" s="345">
        <f t="shared" si="145"/>
        <v>0</v>
      </c>
      <c r="K422" s="345">
        <f t="shared" si="146"/>
        <v>0</v>
      </c>
      <c r="L422" s="345">
        <f t="shared" si="147"/>
        <v>0</v>
      </c>
    </row>
    <row r="423" spans="1:12" ht="13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3">
        <f>'FR-16(7)(v)-2 PROD Classified'!H423</f>
        <v>0</v>
      </c>
      <c r="G423" s="347">
        <f t="shared" si="143"/>
        <v>0</v>
      </c>
      <c r="H423" s="345">
        <f>ROUND($F$423*VLOOKUP($D$423,ALLOCTABLE_Prod_Commodity,$H$10,FALSE),0)</f>
        <v>0</v>
      </c>
      <c r="I423" s="345">
        <f t="shared" si="144"/>
        <v>0</v>
      </c>
      <c r="J423" s="345">
        <f t="shared" si="145"/>
        <v>0</v>
      </c>
      <c r="K423" s="345">
        <f t="shared" si="146"/>
        <v>0</v>
      </c>
      <c r="L423" s="345">
        <f t="shared" si="147"/>
        <v>0</v>
      </c>
    </row>
    <row r="424" spans="1:12" ht="13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3">
        <f>'FR-16(7)(v)-2 PROD Classified'!H424</f>
        <v>0</v>
      </c>
      <c r="G424" s="347">
        <f t="shared" si="143"/>
        <v>0</v>
      </c>
      <c r="H424" s="345">
        <f>ROUND($F$424*VLOOKUP($D$424,ALLOCTABLE_Prod_Commodity,$H$10,FALSE),0)</f>
        <v>0</v>
      </c>
      <c r="I424" s="345">
        <f t="shared" si="144"/>
        <v>0</v>
      </c>
      <c r="J424" s="345">
        <f t="shared" si="145"/>
        <v>0</v>
      </c>
      <c r="K424" s="345">
        <f t="shared" ref="K424:K429" si="148">SUM(G424:J424)</f>
        <v>0</v>
      </c>
      <c r="L424" s="345">
        <f t="shared" ref="L424:L429" si="149">F424-K424</f>
        <v>0</v>
      </c>
    </row>
    <row r="425" spans="1:12" ht="13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3">
        <f>'FR-16(7)(v)-2 PROD Classified'!H425</f>
        <v>0</v>
      </c>
      <c r="G425" s="347">
        <f t="shared" si="143"/>
        <v>0</v>
      </c>
      <c r="H425" s="345">
        <f>ROUND($F$425*VLOOKUP($D$425,ALLOCTABLE_Prod_Commodity,$H$10,FALSE),0)</f>
        <v>0</v>
      </c>
      <c r="I425" s="345">
        <f t="shared" si="144"/>
        <v>0</v>
      </c>
      <c r="J425" s="345">
        <f t="shared" si="145"/>
        <v>0</v>
      </c>
      <c r="K425" s="345">
        <f t="shared" si="148"/>
        <v>0</v>
      </c>
      <c r="L425" s="345">
        <f t="shared" si="149"/>
        <v>0</v>
      </c>
    </row>
    <row r="426" spans="1:12" ht="13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3">
        <f>'FR-16(7)(v)-2 PROD Classified'!H426</f>
        <v>0</v>
      </c>
      <c r="G426" s="347">
        <f t="shared" si="143"/>
        <v>0</v>
      </c>
      <c r="H426" s="345">
        <f>ROUND($F$426*VLOOKUP($D$426,ALLOCTABLE_Prod_Commodity,$H$10,FALSE),0)</f>
        <v>0</v>
      </c>
      <c r="I426" s="345">
        <f t="shared" si="144"/>
        <v>0</v>
      </c>
      <c r="J426" s="345">
        <f t="shared" si="145"/>
        <v>0</v>
      </c>
      <c r="K426" s="345">
        <f t="shared" si="148"/>
        <v>0</v>
      </c>
      <c r="L426" s="345">
        <f t="shared" si="149"/>
        <v>0</v>
      </c>
    </row>
    <row r="427" spans="1:12" ht="13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3">
        <f>'FR-16(7)(v)-2 PROD Classified'!H427</f>
        <v>0</v>
      </c>
      <c r="G427" s="347">
        <f t="shared" si="143"/>
        <v>0</v>
      </c>
      <c r="H427" s="345">
        <f>ROUND($F$427*VLOOKUP($D$427,ALLOCTABLE_Prod_Commodity,$H$10,FALSE),0)</f>
        <v>0</v>
      </c>
      <c r="I427" s="345">
        <f t="shared" si="144"/>
        <v>0</v>
      </c>
      <c r="J427" s="345">
        <f t="shared" si="145"/>
        <v>0</v>
      </c>
      <c r="K427" s="345">
        <f t="shared" si="148"/>
        <v>0</v>
      </c>
      <c r="L427" s="345">
        <f t="shared" si="149"/>
        <v>0</v>
      </c>
    </row>
    <row r="428" spans="1:12" ht="13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3">
        <f>'FR-16(7)(v)-2 PROD Classified'!H428</f>
        <v>0</v>
      </c>
      <c r="G428" s="347">
        <f t="shared" si="143"/>
        <v>0</v>
      </c>
      <c r="H428" s="345">
        <f>ROUND($F$428*VLOOKUP($D$428,ALLOCTABLE_Prod_Commodity,$H$10,FALSE),0)</f>
        <v>0</v>
      </c>
      <c r="I428" s="345">
        <f t="shared" si="144"/>
        <v>0</v>
      </c>
      <c r="J428" s="345">
        <f t="shared" si="145"/>
        <v>0</v>
      </c>
      <c r="K428" s="345">
        <f t="shared" si="148"/>
        <v>0</v>
      </c>
      <c r="L428" s="345">
        <f t="shared" si="149"/>
        <v>0</v>
      </c>
    </row>
    <row r="429" spans="1:12" ht="13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3">
        <f>'FR-16(7)(v)-2 PROD Classified'!H429</f>
        <v>0</v>
      </c>
      <c r="G429" s="347">
        <f t="shared" si="143"/>
        <v>0</v>
      </c>
      <c r="H429" s="345">
        <f>ROUND($F$429*VLOOKUP($D$429,ALLOCTABLE_Prod_Commodity,$H$10,FALSE),0)</f>
        <v>0</v>
      </c>
      <c r="I429" s="345">
        <f t="shared" si="144"/>
        <v>0</v>
      </c>
      <c r="J429" s="345">
        <f t="shared" si="145"/>
        <v>0</v>
      </c>
      <c r="K429" s="345">
        <f t="shared" si="148"/>
        <v>0</v>
      </c>
      <c r="L429" s="345">
        <f t="shared" si="149"/>
        <v>0</v>
      </c>
    </row>
    <row r="430" spans="1:12" ht="13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3">
        <f>'FR-16(7)(v)-2 PROD Classified'!H430</f>
        <v>0</v>
      </c>
      <c r="G430" s="347">
        <f t="shared" si="143"/>
        <v>0</v>
      </c>
      <c r="H430" s="345">
        <f>ROUND($F$430*VLOOKUP($D$430,ALLOCTABLE_Prod_Commodity,$H$10,FALSE),0)</f>
        <v>0</v>
      </c>
      <c r="I430" s="345">
        <f t="shared" si="144"/>
        <v>0</v>
      </c>
      <c r="J430" s="345">
        <f t="shared" si="145"/>
        <v>0</v>
      </c>
      <c r="K430" s="345">
        <f t="shared" si="146"/>
        <v>0</v>
      </c>
      <c r="L430" s="345">
        <f t="shared" si="147"/>
        <v>0</v>
      </c>
    </row>
    <row r="431" spans="1:12" ht="13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L431" si="150">SUM(F416:F430)</f>
        <v>1096116</v>
      </c>
      <c r="G431" s="346">
        <f>SUM(G416:G430)</f>
        <v>687236</v>
      </c>
      <c r="H431" s="346">
        <f t="shared" si="150"/>
        <v>403157</v>
      </c>
      <c r="I431" s="346">
        <f t="shared" si="150"/>
        <v>3338</v>
      </c>
      <c r="J431" s="346">
        <f t="shared" si="150"/>
        <v>2385</v>
      </c>
      <c r="K431" s="346">
        <f t="shared" si="150"/>
        <v>1096116</v>
      </c>
      <c r="L431" s="346">
        <f t="shared" si="150"/>
        <v>0</v>
      </c>
    </row>
    <row r="432" spans="1:12" ht="13">
      <c r="A432" s="331">
        <v>32</v>
      </c>
      <c r="D432" s="342"/>
      <c r="E432" s="195"/>
      <c r="F432" s="333"/>
      <c r="I432" s="330"/>
      <c r="J432" s="345"/>
      <c r="K432" s="345"/>
      <c r="L432" s="345"/>
    </row>
    <row r="433" spans="1:12" ht="13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L433" si="151">F431+F407+F403+F389+F378+F364+F360</f>
        <v>43377286</v>
      </c>
      <c r="G433" s="345">
        <f>G431+G407+G403+G389+G378+G364+G360</f>
        <v>27093565</v>
      </c>
      <c r="H433" s="345">
        <f t="shared" si="151"/>
        <v>15894340</v>
      </c>
      <c r="I433" s="345">
        <f t="shared" si="151"/>
        <v>226978</v>
      </c>
      <c r="J433" s="345">
        <f t="shared" si="151"/>
        <v>162403</v>
      </c>
      <c r="K433" s="345">
        <f t="shared" si="151"/>
        <v>43377286</v>
      </c>
      <c r="L433" s="345">
        <f t="shared" si="151"/>
        <v>0</v>
      </c>
    </row>
    <row r="434" spans="1:12" ht="13">
      <c r="B434" s="341"/>
      <c r="C434" s="195"/>
      <c r="D434" s="342"/>
      <c r="E434" s="195"/>
      <c r="G434" s="195"/>
      <c r="H434" s="340"/>
      <c r="I434" s="340"/>
      <c r="J434" s="352"/>
      <c r="K434" s="195"/>
      <c r="L434" s="195"/>
    </row>
    <row r="435" spans="1:12" ht="13">
      <c r="A435" s="341" t="str">
        <f>co_name</f>
        <v>DUKE ENERGY KENTUCKY, INC.</v>
      </c>
      <c r="C435" s="195"/>
      <c r="D435" s="342"/>
      <c r="E435" s="195"/>
      <c r="F435" s="342"/>
      <c r="G435" s="340"/>
      <c r="H435" s="340"/>
      <c r="I435" s="195"/>
      <c r="K435" s="359" t="str">
        <f>$K$1</f>
        <v>FR-16(7)(v)-3</v>
      </c>
      <c r="L435" s="195"/>
    </row>
    <row r="436" spans="1:12" ht="13">
      <c r="A436" s="341" t="str">
        <f>$A$2</f>
        <v>PRODUCTION COMMODITY ALLOCATED - GAS COST OF SERVICE</v>
      </c>
      <c r="C436" s="195"/>
      <c r="D436" s="342"/>
      <c r="E436" s="195"/>
      <c r="F436" s="342"/>
      <c r="G436" s="340"/>
      <c r="H436" s="340"/>
      <c r="I436" s="195"/>
      <c r="K436" s="359" t="str">
        <f>$K$2</f>
        <v>WITNESS RESPONSIBLE:</v>
      </c>
      <c r="L436" s="195"/>
    </row>
    <row r="437" spans="1:12" ht="13">
      <c r="A437" s="341" t="str">
        <f>case_name</f>
        <v>CASE NO: 2021-00190</v>
      </c>
      <c r="C437" s="195"/>
      <c r="D437" s="342"/>
      <c r="E437" s="195"/>
      <c r="F437" s="342"/>
      <c r="G437" s="340"/>
      <c r="H437" s="340"/>
      <c r="I437" s="195"/>
      <c r="K437" s="359" t="str">
        <f>Witness</f>
        <v>JAMES E. ZIOLKOWSKI</v>
      </c>
      <c r="L437" s="195"/>
    </row>
    <row r="438" spans="1:12" ht="13">
      <c r="A438" s="341" t="str">
        <f>data_filing</f>
        <v>DATA: 12 MONTH FORECASTED PERIOD</v>
      </c>
      <c r="C438" s="195"/>
      <c r="D438" s="342"/>
      <c r="E438" s="195"/>
      <c r="F438" s="342"/>
      <c r="G438" s="340"/>
      <c r="H438" s="340"/>
      <c r="I438" s="195"/>
      <c r="K438" s="359" t="str">
        <f>"PAGE "&amp;Pages-8&amp;" OF "&amp;Pages</f>
        <v>PAGE 10 OF 18</v>
      </c>
      <c r="L438" s="195"/>
    </row>
    <row r="439" spans="1:12" ht="13">
      <c r="A439" s="341" t="str">
        <f>type</f>
        <v xml:space="preserve">TYPE OF FILING: "X" ORIGINAL   UPDATED    REVISED  </v>
      </c>
      <c r="C439" s="195"/>
      <c r="D439" s="342"/>
      <c r="E439" s="195"/>
      <c r="F439" s="342"/>
      <c r="G439" s="340"/>
      <c r="H439" s="340"/>
      <c r="I439" s="195"/>
      <c r="J439" s="342"/>
      <c r="K439" s="195"/>
      <c r="L439" s="195"/>
    </row>
    <row r="440" spans="1:12" ht="13">
      <c r="B440" s="341"/>
      <c r="C440" s="195"/>
      <c r="D440" s="342"/>
      <c r="E440" s="195"/>
      <c r="F440" s="342"/>
      <c r="G440" s="195"/>
      <c r="H440" s="340"/>
      <c r="I440" s="340"/>
      <c r="J440" s="352"/>
      <c r="K440" s="195"/>
      <c r="L440" s="195"/>
    </row>
    <row r="441" spans="1:12" ht="13">
      <c r="B441" s="341"/>
      <c r="C441" s="195"/>
      <c r="D441" s="342"/>
      <c r="E441" s="195"/>
      <c r="F441" s="342" t="str">
        <f>$F$7</f>
        <v>TOTAL</v>
      </c>
      <c r="G441" s="195"/>
      <c r="H441" s="340"/>
      <c r="I441" s="340"/>
      <c r="J441" s="352"/>
      <c r="K441" s="195"/>
      <c r="L441" s="195"/>
    </row>
    <row r="442" spans="1:12" ht="13">
      <c r="A442" s="342" t="s">
        <v>907</v>
      </c>
      <c r="B442" s="195"/>
      <c r="C442" s="195"/>
      <c r="D442" s="342"/>
      <c r="E442" s="195"/>
      <c r="F442" s="342" t="str">
        <f>$F$8</f>
        <v>PRODUCTION</v>
      </c>
      <c r="G442" s="342" t="s">
        <v>417</v>
      </c>
      <c r="H442" s="352" t="s">
        <v>857</v>
      </c>
      <c r="I442" s="352" t="s">
        <v>858</v>
      </c>
      <c r="J442" s="352" t="s">
        <v>546</v>
      </c>
      <c r="K442" s="342" t="s">
        <v>229</v>
      </c>
      <c r="L442" s="342" t="s">
        <v>342</v>
      </c>
    </row>
    <row r="443" spans="1:12" ht="13">
      <c r="A443" s="344" t="s">
        <v>908</v>
      </c>
      <c r="B443" s="343" t="s">
        <v>55</v>
      </c>
      <c r="C443" s="343"/>
      <c r="D443" s="344" t="s">
        <v>337</v>
      </c>
      <c r="E443" s="343"/>
      <c r="F443" s="342" t="str">
        <f>$F$9</f>
        <v>COMMODITY</v>
      </c>
      <c r="G443" s="344" t="s">
        <v>338</v>
      </c>
      <c r="H443" s="353" t="s">
        <v>404</v>
      </c>
      <c r="I443" s="353" t="s">
        <v>404</v>
      </c>
      <c r="J443" s="353" t="s">
        <v>547</v>
      </c>
      <c r="K443" s="344" t="s">
        <v>341</v>
      </c>
      <c r="L443" s="344" t="s">
        <v>340</v>
      </c>
    </row>
    <row r="444" spans="1:12" ht="13">
      <c r="C444" s="572" t="s">
        <v>349</v>
      </c>
      <c r="D444" s="342"/>
      <c r="E444" s="195"/>
      <c r="F444" s="756"/>
      <c r="G444" s="627">
        <f>$G$10</f>
        <v>3</v>
      </c>
      <c r="H444" s="627">
        <f>$H$10</f>
        <v>4</v>
      </c>
      <c r="I444" s="627">
        <f>$I$10</f>
        <v>5</v>
      </c>
      <c r="J444" s="627">
        <f>$J$10</f>
        <v>6</v>
      </c>
      <c r="K444" s="504"/>
      <c r="L444" s="504"/>
    </row>
    <row r="445" spans="1:12" ht="13">
      <c r="A445" s="331">
        <v>1</v>
      </c>
      <c r="B445" s="351" t="s">
        <v>56</v>
      </c>
      <c r="C445" s="351"/>
      <c r="D445" s="342"/>
      <c r="E445" s="195"/>
      <c r="H445" s="351"/>
      <c r="J445" s="351"/>
    </row>
    <row r="446" spans="1:12" ht="13">
      <c r="A446" s="331">
        <v>2</v>
      </c>
      <c r="B446" s="351"/>
      <c r="C446" s="505" t="str">
        <f>'FR-16(7)(v)-1 Functional'!C446</f>
        <v>PRODUCTION DEPRECIATION</v>
      </c>
      <c r="D446" s="342" t="str">
        <f>'FR-16(7)(v)-1 Functional'!D446</f>
        <v>P229</v>
      </c>
      <c r="E446" s="195"/>
      <c r="F446" s="473">
        <f>'FR-16(7)(v)-2 PROD Classified'!H446</f>
        <v>333766</v>
      </c>
      <c r="G446" s="347">
        <f>F446-SUM(H446:J446)</f>
        <v>178304</v>
      </c>
      <c r="H446" s="347">
        <f>ROUND($F$446*VLOOKUP($D$446,ALLOCTABLE_Prod_Commodity,$H$10,FALSE),0)</f>
        <v>108334</v>
      </c>
      <c r="I446" s="347">
        <f>ROUND(F446*VLOOKUP(D446,ALLOCTABLE_Prod_Commodity,$I$10,FALSE),0)</f>
        <v>47128</v>
      </c>
      <c r="J446" s="347">
        <f>ROUND(F446*VLOOKUP(D446,ALLOCTABLE_Prod_Commodity,$J$10,FALSE),0)</f>
        <v>0</v>
      </c>
      <c r="K446" s="345">
        <f>SUM(G446:J446)</f>
        <v>333766</v>
      </c>
      <c r="L446" s="345">
        <f>F446-K446</f>
        <v>0</v>
      </c>
    </row>
    <row r="447" spans="1:12" ht="13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L447" si="152">SUM(F446:F446)</f>
        <v>333766</v>
      </c>
      <c r="G447" s="346">
        <f>SUM(G446:G446)</f>
        <v>178304</v>
      </c>
      <c r="H447" s="346">
        <f t="shared" si="152"/>
        <v>108334</v>
      </c>
      <c r="I447" s="346">
        <f t="shared" si="152"/>
        <v>47128</v>
      </c>
      <c r="J447" s="346">
        <f t="shared" si="152"/>
        <v>0</v>
      </c>
      <c r="K447" s="346">
        <f t="shared" si="152"/>
        <v>333766</v>
      </c>
      <c r="L447" s="346">
        <f t="shared" si="152"/>
        <v>0</v>
      </c>
    </row>
    <row r="448" spans="1:12" ht="13">
      <c r="A448" s="331">
        <v>4</v>
      </c>
      <c r="B448" s="351"/>
      <c r="C448" s="351"/>
      <c r="D448" s="342"/>
      <c r="E448" s="195"/>
      <c r="F448" s="351"/>
      <c r="G448" s="351"/>
      <c r="H448" s="351"/>
      <c r="J448" s="351"/>
    </row>
    <row r="449" spans="1:12" ht="13">
      <c r="A449" s="331">
        <v>5</v>
      </c>
      <c r="B449" s="505" t="s">
        <v>57</v>
      </c>
      <c r="C449" s="505"/>
      <c r="D449" s="342"/>
      <c r="E449" s="195"/>
      <c r="F449" s="347"/>
      <c r="G449" s="351"/>
      <c r="H449" s="351"/>
      <c r="J449" s="347"/>
      <c r="K449" s="345"/>
      <c r="L449" s="345"/>
    </row>
    <row r="450" spans="1:12" ht="13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L450" si="153">SUM(F449)</f>
        <v>0</v>
      </c>
      <c r="G450" s="756">
        <f t="shared" si="153"/>
        <v>0</v>
      </c>
      <c r="H450" s="756">
        <f t="shared" si="153"/>
        <v>0</v>
      </c>
      <c r="I450" s="346">
        <f t="shared" si="153"/>
        <v>0</v>
      </c>
      <c r="J450" s="346">
        <f t="shared" si="153"/>
        <v>0</v>
      </c>
      <c r="K450" s="346">
        <f t="shared" si="153"/>
        <v>0</v>
      </c>
      <c r="L450" s="346">
        <f t="shared" si="153"/>
        <v>0</v>
      </c>
    </row>
    <row r="451" spans="1:12" ht="13">
      <c r="A451" s="331">
        <v>7</v>
      </c>
      <c r="B451" s="351"/>
      <c r="C451" s="351"/>
      <c r="D451" s="342"/>
      <c r="E451" s="195"/>
      <c r="F451" s="351"/>
      <c r="G451" s="351"/>
      <c r="H451" s="351"/>
      <c r="J451" s="351"/>
    </row>
    <row r="452" spans="1:12" ht="13">
      <c r="A452" s="331">
        <v>8</v>
      </c>
      <c r="B452" s="351" t="s">
        <v>58</v>
      </c>
      <c r="C452" s="351"/>
      <c r="D452" s="342"/>
      <c r="E452" s="195"/>
      <c r="F452" s="351"/>
      <c r="G452" s="351"/>
      <c r="H452" s="351"/>
      <c r="J452" s="351"/>
    </row>
    <row r="453" spans="1:12" ht="13">
      <c r="A453" s="331">
        <v>9</v>
      </c>
      <c r="B453" s="351"/>
      <c r="C453" s="505" t="str">
        <f>'FR-16(7)(v)-1 Functional'!C453</f>
        <v>DISTRIBUTION DEPRECIATION</v>
      </c>
      <c r="D453" s="342" t="str">
        <f>'FR-16(7)(v)-1 Functional'!D453</f>
        <v>D249</v>
      </c>
      <c r="E453" s="195"/>
      <c r="F453" s="473">
        <f>'FR-16(7)(v)-2 PROD Classified'!H453</f>
        <v>0</v>
      </c>
      <c r="G453" s="347">
        <f>F453-SUM(H453:J453)</f>
        <v>0</v>
      </c>
      <c r="H453" s="347">
        <f>ROUND($F$453*VLOOKUP($D$453,ALLOCTABLE_Prod_Commodity,$H$10,FALSE),0)</f>
        <v>0</v>
      </c>
      <c r="I453" s="347">
        <f>ROUND(F453*VLOOKUP(D453,ALLOCTABLE_Prod_Commodity,$I$10,FALSE),0)</f>
        <v>0</v>
      </c>
      <c r="J453" s="347">
        <f>ROUND(F453*VLOOKUP(D453,ALLOCTABLE_Prod_Commodity,$J$10,FALSE),0)</f>
        <v>0</v>
      </c>
      <c r="K453" s="345">
        <f>SUM(G453:J453)</f>
        <v>0</v>
      </c>
      <c r="L453" s="345">
        <f>F453-K453</f>
        <v>0</v>
      </c>
    </row>
    <row r="454" spans="1:12" ht="13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L454" si="154">SUM(F453:F453)</f>
        <v>0</v>
      </c>
      <c r="G454" s="346">
        <f>SUM(G453:G453)</f>
        <v>0</v>
      </c>
      <c r="H454" s="346">
        <f t="shared" si="154"/>
        <v>0</v>
      </c>
      <c r="I454" s="346">
        <f t="shared" si="154"/>
        <v>0</v>
      </c>
      <c r="J454" s="346">
        <f t="shared" si="154"/>
        <v>0</v>
      </c>
      <c r="K454" s="346">
        <f t="shared" si="154"/>
        <v>0</v>
      </c>
      <c r="L454" s="346">
        <f t="shared" si="154"/>
        <v>0</v>
      </c>
    </row>
    <row r="455" spans="1:12" ht="13">
      <c r="A455" s="331">
        <v>11</v>
      </c>
      <c r="B455" s="351"/>
      <c r="C455" s="351"/>
      <c r="D455" s="342"/>
      <c r="E455" s="195"/>
      <c r="F455" s="351" t="s">
        <v>343</v>
      </c>
      <c r="G455" s="351"/>
      <c r="H455" s="351"/>
      <c r="J455" s="351"/>
    </row>
    <row r="456" spans="1:12" ht="13">
      <c r="A456" s="331">
        <v>12</v>
      </c>
      <c r="B456" s="351" t="s">
        <v>59</v>
      </c>
      <c r="C456" s="351"/>
      <c r="D456" s="342"/>
      <c r="E456" s="195"/>
      <c r="F456" s="351"/>
      <c r="G456" s="351"/>
      <c r="H456" s="351"/>
      <c r="J456" s="351"/>
    </row>
    <row r="457" spans="1:12" ht="13">
      <c r="A457" s="331">
        <v>13</v>
      </c>
      <c r="B457" s="351"/>
      <c r="C457" s="505" t="str">
        <f>'FR-16(7)(v)-1 Functional'!C457</f>
        <v>GENERAL DEPRECIATION</v>
      </c>
      <c r="D457" s="342" t="str">
        <f>'FR-16(7)(v)-1 Functional'!D457</f>
        <v>G229</v>
      </c>
      <c r="E457" s="195"/>
      <c r="F457" s="473">
        <f>'FR-16(7)(v)-2 PROD Classified'!H457</f>
        <v>547480</v>
      </c>
      <c r="G457" s="347">
        <f>F457-SUM(H457:J457)</f>
        <v>302773</v>
      </c>
      <c r="H457" s="347">
        <f>ROUND($F$457*VLOOKUP($D$457,ALLOCTABLE_Prod_Commodity,$H$10,FALSE),0)</f>
        <v>177613</v>
      </c>
      <c r="I457" s="347">
        <f>ROUND(F457*VLOOKUP(D457,ALLOCTABLE_Prod_Commodity,$I$10,FALSE),0)</f>
        <v>66218</v>
      </c>
      <c r="J457" s="347">
        <f>ROUND(F457*VLOOKUP(D457,ALLOCTABLE_Prod_Commodity,$J$10,FALSE),0)</f>
        <v>876</v>
      </c>
      <c r="K457" s="345">
        <f>SUM(G457:J457)</f>
        <v>547480</v>
      </c>
      <c r="L457" s="345">
        <f>F457-K457</f>
        <v>0</v>
      </c>
    </row>
    <row r="458" spans="1:12" ht="13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L458" si="155">SUM(F457:F457)</f>
        <v>547480</v>
      </c>
      <c r="G458" s="346">
        <f>SUM(G457:G457)</f>
        <v>302773</v>
      </c>
      <c r="H458" s="346">
        <f t="shared" si="155"/>
        <v>177613</v>
      </c>
      <c r="I458" s="346">
        <f t="shared" si="155"/>
        <v>66218</v>
      </c>
      <c r="J458" s="346">
        <f t="shared" si="155"/>
        <v>876</v>
      </c>
      <c r="K458" s="346">
        <f t="shared" si="155"/>
        <v>547480</v>
      </c>
      <c r="L458" s="346">
        <f t="shared" si="155"/>
        <v>0</v>
      </c>
    </row>
    <row r="459" spans="1:12" ht="13">
      <c r="A459" s="331">
        <v>15</v>
      </c>
      <c r="B459" s="351"/>
      <c r="C459" s="351"/>
      <c r="D459" s="342"/>
      <c r="E459" s="195"/>
      <c r="F459" s="351"/>
      <c r="G459" s="351"/>
      <c r="H459" s="351"/>
      <c r="J459" s="351"/>
    </row>
    <row r="460" spans="1:12" ht="13">
      <c r="A460" s="331">
        <v>16</v>
      </c>
      <c r="B460" s="351" t="s">
        <v>60</v>
      </c>
      <c r="C460" s="351"/>
      <c r="D460" s="342"/>
      <c r="E460" s="195"/>
      <c r="F460" s="470"/>
      <c r="G460" s="347"/>
      <c r="H460" s="347"/>
      <c r="I460" s="347"/>
      <c r="J460" s="347"/>
      <c r="K460" s="345"/>
      <c r="L460" s="345"/>
    </row>
    <row r="461" spans="1:12" ht="13">
      <c r="A461" s="331">
        <v>17</v>
      </c>
      <c r="B461" s="351"/>
      <c r="C461" s="505" t="str">
        <f>'FR-16(7)(v)-1 Functional'!C461</f>
        <v>COMMON DEPRECIATION</v>
      </c>
      <c r="D461" s="342" t="str">
        <f>'FR-16(7)(v)-1 Functional'!D461</f>
        <v>C229</v>
      </c>
      <c r="E461" s="195"/>
      <c r="F461" s="473">
        <f>'FR-16(7)(v)-2 PROD Classified'!H461</f>
        <v>-7293</v>
      </c>
      <c r="G461" s="347">
        <f>F461-SUM(H461:J461)</f>
        <v>-4033</v>
      </c>
      <c r="H461" s="347">
        <f>ROUND($F$461*VLOOKUP($D$461,ALLOCTABLE_Prod_Commodity,$H$10,FALSE),0)</f>
        <v>-2366</v>
      </c>
      <c r="I461" s="347">
        <f>ROUND(F461*VLOOKUP(D461,ALLOCTABLE_Prod_Commodity,$I$10,FALSE),0)</f>
        <v>-882</v>
      </c>
      <c r="J461" s="347">
        <f>ROUND(F461*VLOOKUP(D461,ALLOCTABLE_Prod_Commodity,$J$10,FALSE),0)</f>
        <v>-12</v>
      </c>
      <c r="K461" s="345">
        <f>SUM(G461:J461)</f>
        <v>-7293</v>
      </c>
      <c r="L461" s="345">
        <f>F461-K461</f>
        <v>0</v>
      </c>
    </row>
    <row r="462" spans="1:12" ht="13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L462" si="156">SUM(F461:F461)</f>
        <v>-7293</v>
      </c>
      <c r="G462" s="346">
        <f>SUM(G461:G461)</f>
        <v>-4033</v>
      </c>
      <c r="H462" s="346">
        <f t="shared" si="156"/>
        <v>-2366</v>
      </c>
      <c r="I462" s="346">
        <f t="shared" si="156"/>
        <v>-882</v>
      </c>
      <c r="J462" s="346">
        <f t="shared" si="156"/>
        <v>-12</v>
      </c>
      <c r="K462" s="346">
        <f t="shared" si="156"/>
        <v>-7293</v>
      </c>
      <c r="L462" s="346">
        <f t="shared" si="156"/>
        <v>0</v>
      </c>
    </row>
    <row r="463" spans="1:12" ht="13">
      <c r="A463" s="331">
        <v>19</v>
      </c>
      <c r="B463" s="351"/>
      <c r="C463" s="351"/>
      <c r="D463" s="342"/>
      <c r="E463" s="195"/>
      <c r="G463" s="351"/>
      <c r="H463" s="351"/>
      <c r="J463" s="351"/>
    </row>
    <row r="464" spans="1:12" ht="13">
      <c r="A464" s="331">
        <v>20</v>
      </c>
      <c r="B464" s="351"/>
      <c r="C464" s="351"/>
      <c r="D464" s="342"/>
      <c r="E464" s="195"/>
      <c r="G464" s="351"/>
      <c r="H464" s="351"/>
      <c r="J464" s="351"/>
    </row>
    <row r="465" spans="1:13" ht="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L465" si="157">F462+F458+F454+F450+F447</f>
        <v>873953</v>
      </c>
      <c r="G465" s="347">
        <f>G462+G458+G454+G450+G447</f>
        <v>477044</v>
      </c>
      <c r="H465" s="347">
        <f t="shared" si="157"/>
        <v>283581</v>
      </c>
      <c r="I465" s="347">
        <f t="shared" si="157"/>
        <v>112464</v>
      </c>
      <c r="J465" s="347">
        <f t="shared" si="157"/>
        <v>864</v>
      </c>
      <c r="K465" s="345">
        <f t="shared" si="157"/>
        <v>873953</v>
      </c>
      <c r="L465" s="345">
        <f t="shared" si="157"/>
        <v>0</v>
      </c>
    </row>
    <row r="466" spans="1:13" ht="13">
      <c r="B466" s="341"/>
      <c r="C466" s="195"/>
      <c r="D466" s="342"/>
      <c r="E466" s="195"/>
      <c r="G466" s="195"/>
      <c r="H466" s="195"/>
      <c r="I466" s="195"/>
      <c r="J466" s="342"/>
      <c r="K466" s="195"/>
      <c r="L466" s="195"/>
    </row>
    <row r="467" spans="1:13" ht="13">
      <c r="A467" s="341" t="str">
        <f>co_name</f>
        <v>DUKE ENERGY KENTUCKY, INC.</v>
      </c>
      <c r="C467" s="195"/>
      <c r="D467" s="342"/>
      <c r="E467" s="195"/>
      <c r="F467" s="342"/>
      <c r="G467" s="340"/>
      <c r="H467" s="340"/>
      <c r="I467" s="195"/>
      <c r="K467" s="359" t="str">
        <f>$K$1</f>
        <v>FR-16(7)(v)-3</v>
      </c>
      <c r="L467" s="195"/>
    </row>
    <row r="468" spans="1:13" ht="13">
      <c r="A468" s="341" t="str">
        <f>$A$2</f>
        <v>PRODUCTION COMMODITY ALLOCATED - GAS COST OF SERVICE</v>
      </c>
      <c r="C468" s="195"/>
      <c r="D468" s="342"/>
      <c r="E468" s="195"/>
      <c r="F468" s="342"/>
      <c r="G468" s="340"/>
      <c r="H468" s="340"/>
      <c r="I468" s="195"/>
      <c r="K468" s="359" t="str">
        <f>$K$2</f>
        <v>WITNESS RESPONSIBLE:</v>
      </c>
      <c r="L468" s="195"/>
    </row>
    <row r="469" spans="1:13" ht="13">
      <c r="A469" s="341" t="str">
        <f>case_name</f>
        <v>CASE NO: 2021-00190</v>
      </c>
      <c r="C469" s="195"/>
      <c r="D469" s="342"/>
      <c r="E469" s="195"/>
      <c r="F469" s="342"/>
      <c r="G469" s="340"/>
      <c r="H469" s="340"/>
      <c r="I469" s="195"/>
      <c r="K469" s="359" t="str">
        <f>Witness</f>
        <v>JAMES E. ZIOLKOWSKI</v>
      </c>
      <c r="L469" s="195"/>
    </row>
    <row r="470" spans="1:13" ht="13">
      <c r="A470" s="341" t="str">
        <f>data_filing</f>
        <v>DATA: 12 MONTH FORECASTED PERIOD</v>
      </c>
      <c r="C470" s="195"/>
      <c r="D470" s="342"/>
      <c r="E470" s="195"/>
      <c r="F470" s="342"/>
      <c r="G470" s="340"/>
      <c r="H470" s="340"/>
      <c r="I470" s="195"/>
      <c r="K470" s="359" t="str">
        <f>"PAGE "&amp;Pages-7&amp;" OF "&amp;Pages</f>
        <v>PAGE 11 OF 18</v>
      </c>
      <c r="L470" s="195"/>
    </row>
    <row r="471" spans="1:13" ht="13">
      <c r="A471" s="341" t="str">
        <f>type</f>
        <v xml:space="preserve">TYPE OF FILING: "X" ORIGINAL   UPDATED    REVISED  </v>
      </c>
      <c r="C471" s="195"/>
      <c r="D471" s="342"/>
      <c r="E471" s="195"/>
      <c r="F471" s="342"/>
      <c r="G471" s="340"/>
      <c r="H471" s="340"/>
      <c r="I471" s="195"/>
      <c r="J471" s="342"/>
      <c r="K471" s="195"/>
      <c r="L471" s="195"/>
    </row>
    <row r="472" spans="1:13" ht="13">
      <c r="B472" s="341"/>
      <c r="C472" s="195"/>
      <c r="D472" s="342"/>
      <c r="E472" s="195"/>
      <c r="F472" s="342"/>
      <c r="G472" s="195"/>
      <c r="H472" s="195"/>
      <c r="I472" s="195"/>
      <c r="J472" s="342"/>
      <c r="K472" s="195"/>
      <c r="L472" s="195"/>
    </row>
    <row r="473" spans="1:13" ht="13">
      <c r="B473" s="341"/>
      <c r="C473" s="195"/>
      <c r="D473" s="342"/>
      <c r="E473" s="195"/>
      <c r="F473" s="342" t="str">
        <f>$F$7</f>
        <v>TOTAL</v>
      </c>
      <c r="G473" s="195"/>
      <c r="H473" s="195"/>
      <c r="I473" s="195"/>
      <c r="J473" s="342"/>
      <c r="K473" s="195"/>
      <c r="L473" s="195"/>
    </row>
    <row r="474" spans="1:13" ht="13">
      <c r="A474" s="342" t="s">
        <v>907</v>
      </c>
      <c r="B474" s="195"/>
      <c r="C474" s="195"/>
      <c r="D474" s="342"/>
      <c r="E474" s="195"/>
      <c r="F474" s="342" t="str">
        <f>$F$8</f>
        <v>PRODUCTION</v>
      </c>
      <c r="G474" s="342" t="s">
        <v>417</v>
      </c>
      <c r="H474" s="342" t="s">
        <v>857</v>
      </c>
      <c r="I474" s="342" t="s">
        <v>858</v>
      </c>
      <c r="J474" s="342" t="s">
        <v>546</v>
      </c>
      <c r="K474" s="342" t="s">
        <v>229</v>
      </c>
      <c r="L474" s="342" t="s">
        <v>342</v>
      </c>
    </row>
    <row r="475" spans="1:13" ht="13">
      <c r="A475" s="344" t="s">
        <v>908</v>
      </c>
      <c r="B475" s="343" t="s">
        <v>62</v>
      </c>
      <c r="C475" s="343"/>
      <c r="D475" s="344" t="s">
        <v>337</v>
      </c>
      <c r="E475" s="343"/>
      <c r="F475" s="342" t="str">
        <f>$F$9</f>
        <v>COMMODITY</v>
      </c>
      <c r="G475" s="344" t="s">
        <v>338</v>
      </c>
      <c r="H475" s="344" t="s">
        <v>404</v>
      </c>
      <c r="I475" s="344" t="s">
        <v>404</v>
      </c>
      <c r="J475" s="344" t="s">
        <v>547</v>
      </c>
      <c r="K475" s="344" t="s">
        <v>341</v>
      </c>
      <c r="L475" s="344" t="s">
        <v>340</v>
      </c>
      <c r="M475" s="363"/>
    </row>
    <row r="476" spans="1:13" ht="13">
      <c r="C476" s="572" t="s">
        <v>350</v>
      </c>
      <c r="D476" s="342"/>
      <c r="E476" s="195"/>
      <c r="F476" s="756"/>
      <c r="G476" s="627">
        <f>$G$10</f>
        <v>3</v>
      </c>
      <c r="H476" s="627">
        <f>$H$10</f>
        <v>4</v>
      </c>
      <c r="I476" s="627">
        <f>$I$10</f>
        <v>5</v>
      </c>
      <c r="J476" s="627">
        <f>$J$10</f>
        <v>6</v>
      </c>
      <c r="K476" s="504"/>
      <c r="L476" s="504"/>
    </row>
    <row r="477" spans="1:13" ht="13">
      <c r="A477" s="331">
        <v>1</v>
      </c>
      <c r="B477" s="330" t="s">
        <v>63</v>
      </c>
      <c r="D477" s="342"/>
      <c r="E477" s="195"/>
      <c r="I477" s="330"/>
    </row>
    <row r="478" spans="1:13" ht="13">
      <c r="A478" s="331">
        <v>2</v>
      </c>
      <c r="B478" s="330" t="s">
        <v>64</v>
      </c>
      <c r="D478" s="342"/>
      <c r="E478" s="195"/>
      <c r="I478" s="330"/>
    </row>
    <row r="479" spans="1:13" ht="13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3">
        <f>'FR-16(7)(v)-2 PROD Classified'!H479</f>
        <v>36513</v>
      </c>
      <c r="G479" s="347">
        <f>F479-SUM(H479:J479)</f>
        <v>19912</v>
      </c>
      <c r="H479" s="345">
        <f>ROUND($F$479*VLOOKUP($D$479,ALLOCTABLE_Prod_Commodity,$H$10,FALSE),0)</f>
        <v>11848</v>
      </c>
      <c r="I479" s="345">
        <f>ROUND(F479*VLOOKUP(D479,ALLOCTABLE_Prod_Commodity,$I$10,FALSE),0)</f>
        <v>4718</v>
      </c>
      <c r="J479" s="345">
        <f>ROUND(F479*VLOOKUP(D479,ALLOCTABLE_Prod_Commodity,$J$10,FALSE),0)</f>
        <v>35</v>
      </c>
      <c r="K479" s="345">
        <f>SUM($G$479:$J$479)</f>
        <v>36513</v>
      </c>
      <c r="L479" s="345">
        <f>F479-$K$479</f>
        <v>0</v>
      </c>
    </row>
    <row r="480" spans="1:13" ht="13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3">
        <f>'FR-16(7)(v)-2 PROD Classified'!H480</f>
        <v>0</v>
      </c>
      <c r="G480" s="347">
        <f>F480-SUM(H480:J480)</f>
        <v>0</v>
      </c>
      <c r="H480" s="345">
        <f>ROUND($F$480*VLOOKUP($D$480,ALLOCTABLE_Prod_Commodity,$H$10,FALSE),0)</f>
        <v>0</v>
      </c>
      <c r="I480" s="345">
        <f>ROUND(F480*VLOOKUP(D480,ALLOCTABLE_Prod_Commodity,$I$10,FALSE),0)</f>
        <v>0</v>
      </c>
      <c r="J480" s="345">
        <f>ROUND(F480*VLOOKUP(D480,ALLOCTABLE_Prod_Commodity,$J$10,FALSE),0)</f>
        <v>0</v>
      </c>
      <c r="K480" s="345">
        <f>SUM($G$480:$J$480)</f>
        <v>0</v>
      </c>
      <c r="L480" s="345">
        <f>F480-$K$480</f>
        <v>0</v>
      </c>
    </row>
    <row r="481" spans="1:12" ht="13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36513</v>
      </c>
      <c r="G481" s="346">
        <f>SUM($G$479:$G$480)</f>
        <v>19912</v>
      </c>
      <c r="H481" s="346">
        <f>SUM($H$479:$H$480)</f>
        <v>11848</v>
      </c>
      <c r="I481" s="346">
        <f>SUM($I$479:$I$480)</f>
        <v>4718</v>
      </c>
      <c r="J481" s="346">
        <f>SUM($J$479:$J$480)</f>
        <v>35</v>
      </c>
      <c r="K481" s="346">
        <f>SUM($K$479:$K$480)</f>
        <v>36513</v>
      </c>
      <c r="L481" s="346">
        <f>SUM($L$479:$L$480)</f>
        <v>0</v>
      </c>
    </row>
    <row r="482" spans="1:12" ht="13">
      <c r="A482" s="331">
        <v>6</v>
      </c>
      <c r="D482" s="342"/>
      <c r="E482" s="195"/>
      <c r="F482" s="351"/>
      <c r="I482" s="330"/>
    </row>
    <row r="483" spans="1:12" ht="13">
      <c r="A483" s="331">
        <v>7</v>
      </c>
      <c r="B483" s="330" t="s">
        <v>65</v>
      </c>
      <c r="D483" s="342"/>
      <c r="E483" s="195"/>
      <c r="F483" s="351"/>
      <c r="I483" s="330"/>
    </row>
    <row r="484" spans="1:12" ht="13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3">
        <f>'FR-16(7)(v)-2 PROD Classified'!H484</f>
        <v>96339</v>
      </c>
      <c r="G484" s="347">
        <f>F484-SUM(H484:J484)</f>
        <v>60401</v>
      </c>
      <c r="H484" s="345">
        <f>ROUND($F$484*VLOOKUP($D$484,ALLOCTABLE_Prod_Commodity,$H$10,FALSE),0)</f>
        <v>35434</v>
      </c>
      <c r="I484" s="345">
        <f>ROUND(F484*VLOOKUP(D484,ALLOCTABLE_Prod_Commodity,$I$10,FALSE),0)</f>
        <v>294</v>
      </c>
      <c r="J484" s="345">
        <f>ROUND(F484*VLOOKUP(D484,ALLOCTABLE_Prod_Commodity,$J$10,FALSE),0)</f>
        <v>210</v>
      </c>
      <c r="K484" s="345">
        <f>SUM($G$484:$J$484)</f>
        <v>96339</v>
      </c>
      <c r="L484" s="345">
        <f>F484-$K$484</f>
        <v>0</v>
      </c>
    </row>
    <row r="485" spans="1:12" ht="13">
      <c r="A485" s="331">
        <v>9</v>
      </c>
      <c r="C485" s="330" t="str">
        <f>'FR-16(7)(v)-1 Functional'!C485</f>
        <v>UNEMPLOYMENT COMPENSATION</v>
      </c>
      <c r="D485" s="342" t="str">
        <f>'FR-16(7)(v)-1 Functional'!D485</f>
        <v>AG39</v>
      </c>
      <c r="E485" s="195"/>
      <c r="F485" s="473">
        <f>'FR-16(7)(v)-2 PROD Classified'!H485</f>
        <v>0</v>
      </c>
      <c r="G485" s="347">
        <f>F485-SUM(H485:J485)</f>
        <v>0</v>
      </c>
      <c r="H485" s="345">
        <f>ROUND($F$485*VLOOKUP($D$485,ALLOCTABLE_Prod_Commodity,$H$10,FALSE),0)</f>
        <v>0</v>
      </c>
      <c r="I485" s="345">
        <f>ROUND(F485*VLOOKUP(D485,ALLOCTABLE_Prod_Commodity,$I$10,FALSE),0)</f>
        <v>0</v>
      </c>
      <c r="J485" s="345">
        <f>ROUND(F485*VLOOKUP(D485,ALLOCTABLE_Prod_Commodity,$J$10,FALSE),0)</f>
        <v>0</v>
      </c>
      <c r="K485" s="345">
        <f>SUM($G$485:$J$485)</f>
        <v>0</v>
      </c>
      <c r="L485" s="345">
        <f>F485-$K$485</f>
        <v>0</v>
      </c>
    </row>
    <row r="486" spans="1:12" ht="13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3">
        <f>'FR-16(7)(v)-2 PROD Classified'!H486</f>
        <v>0</v>
      </c>
      <c r="G486" s="347">
        <f>F486-SUM(H486:J486)</f>
        <v>0</v>
      </c>
      <c r="H486" s="345">
        <f>ROUND($F$486*VLOOKUP($D$486,ALLOCTABLE_Prod_Commodity,$H$10,FALSE),0)</f>
        <v>0</v>
      </c>
      <c r="I486" s="345">
        <f>ROUND(F486*VLOOKUP(D486,ALLOCTABLE_Prod_Commodity,$I$10,FALSE),0)</f>
        <v>0</v>
      </c>
      <c r="J486" s="345">
        <f>ROUND(F486*VLOOKUP(D486,ALLOCTABLE_Prod_Commodity,$J$10,FALSE),0)</f>
        <v>0</v>
      </c>
      <c r="K486" s="345">
        <f>SUM($G$486:$J$486)</f>
        <v>0</v>
      </c>
      <c r="L486" s="345">
        <f>F486-$K$486</f>
        <v>0</v>
      </c>
    </row>
    <row r="487" spans="1:12" ht="13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3">
        <f>'FR-16(7)(v)-2 PROD Classified'!H487</f>
        <v>0</v>
      </c>
      <c r="G487" s="347">
        <f>F487-SUM(H487:J487)</f>
        <v>0</v>
      </c>
      <c r="H487" s="345">
        <f>ROUND($F$487*VLOOKUP($D$487,ALLOCTABLE_Prod_Commodity,$H$10,FALSE),0)</f>
        <v>0</v>
      </c>
      <c r="I487" s="345">
        <f>ROUND(F487*VLOOKUP(D487,ALLOCTABLE_Prod_Commodity,$I$10,FALSE),0)</f>
        <v>0</v>
      </c>
      <c r="J487" s="345">
        <f>ROUND(F487*VLOOKUP(D487,ALLOCTABLE_Prod_Commodity,$J$10,FALSE),0)</f>
        <v>0</v>
      </c>
      <c r="K487" s="345">
        <f>SUM($G$487:$J$487)</f>
        <v>0</v>
      </c>
      <c r="L487" s="345">
        <f>F487-$K$487</f>
        <v>0</v>
      </c>
    </row>
    <row r="488" spans="1:12" ht="13">
      <c r="A488" s="331">
        <v>12</v>
      </c>
      <c r="C488" s="330" t="str">
        <f>'FR-16(7)(v)-1 Functional'!C488</f>
        <v xml:space="preserve">  TOTAL MISCELLANEOUS TAXES</v>
      </c>
      <c r="D488" s="342"/>
      <c r="E488" s="195"/>
      <c r="F488" s="346">
        <f>SUM(F484:F487)</f>
        <v>96339</v>
      </c>
      <c r="G488" s="346">
        <f>SUM($G$484:$G$487)</f>
        <v>60401</v>
      </c>
      <c r="H488" s="346">
        <f>SUM($H$484:$H$487)</f>
        <v>35434</v>
      </c>
      <c r="I488" s="346">
        <f>SUM($I$484:$I$487)</f>
        <v>294</v>
      </c>
      <c r="J488" s="346">
        <f>SUM($J$484:$J$487)</f>
        <v>210</v>
      </c>
      <c r="K488" s="346">
        <f>SUM($K$484:$K$487)</f>
        <v>96339</v>
      </c>
      <c r="L488" s="346">
        <f>SUM($L$484:$L$487)</f>
        <v>0</v>
      </c>
    </row>
    <row r="489" spans="1:12" ht="13">
      <c r="A489" s="331">
        <v>13</v>
      </c>
      <c r="D489" s="342"/>
      <c r="E489" s="195"/>
      <c r="F489" s="351"/>
      <c r="I489" s="330"/>
    </row>
    <row r="490" spans="1:12" ht="13">
      <c r="A490" s="331">
        <v>14</v>
      </c>
      <c r="B490" s="330" t="s">
        <v>66</v>
      </c>
      <c r="D490" s="342"/>
      <c r="E490" s="195"/>
      <c r="F490" s="351"/>
      <c r="I490" s="330"/>
    </row>
    <row r="491" spans="1:12" ht="13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3">
        <f>'FR-16(7)(v)-2 PROD Classified'!H491</f>
        <v>4730</v>
      </c>
      <c r="G491" s="347">
        <f>F491-SUM(H491:J491)</f>
        <v>2966</v>
      </c>
      <c r="H491" s="345">
        <f>ROUND($F$491*VLOOKUP($D$491,ALLOCTABLE_Prod_Commodity,$H$10,FALSE),0)</f>
        <v>1740</v>
      </c>
      <c r="I491" s="345">
        <f>ROUND(F491*VLOOKUP(D491,ALLOCTABLE_Prod_Commodity,$I$10,FALSE),0)</f>
        <v>14</v>
      </c>
      <c r="J491" s="345">
        <f>ROUND(F491*VLOOKUP(D491,ALLOCTABLE_Prod_Commodity,$J$10,FALSE),0)</f>
        <v>10</v>
      </c>
      <c r="K491" s="345">
        <f>SUM($G$491:$J$491)</f>
        <v>4730</v>
      </c>
      <c r="L491" s="345">
        <f>F491-$K$491</f>
        <v>0</v>
      </c>
    </row>
    <row r="492" spans="1:12" ht="13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3">
        <f>'FR-16(7)(v)-2 PROD Classified'!H492</f>
        <v>0</v>
      </c>
      <c r="G492" s="347">
        <f>F492-SUM(H492:J492)</f>
        <v>0</v>
      </c>
      <c r="H492" s="345">
        <f>ROUND($F$492*VLOOKUP($D$492,ALLOCTABLE_Prod_Commodity,$H$10,FALSE),0)</f>
        <v>0</v>
      </c>
      <c r="I492" s="345">
        <f>ROUND(F492*VLOOKUP(D492,ALLOCTABLE_Prod_Commodity,$I$10,FALSE),0)</f>
        <v>0</v>
      </c>
      <c r="J492" s="345">
        <f>ROUND(F492*VLOOKUP(D492,ALLOCTABLE_Prod_Commodity,$J$10,FALSE),0)</f>
        <v>0</v>
      </c>
      <c r="K492" s="345">
        <f>SUM($G$492:$J$492)</f>
        <v>0</v>
      </c>
      <c r="L492" s="345">
        <f>F492-$K$492</f>
        <v>0</v>
      </c>
    </row>
    <row r="493" spans="1:12" ht="13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4">
        <f>SUM(F491:F492)</f>
        <v>4730</v>
      </c>
      <c r="G493" s="346">
        <f>SUM($G$491:$G$492)</f>
        <v>2966</v>
      </c>
      <c r="H493" s="346">
        <f>SUM($H$491:$H$492)</f>
        <v>1740</v>
      </c>
      <c r="I493" s="346">
        <f>SUM($I$491:$I$492)</f>
        <v>14</v>
      </c>
      <c r="J493" s="346">
        <f>SUM($J$491:$J$492)</f>
        <v>10</v>
      </c>
      <c r="K493" s="346">
        <f>SUM($K$491:$K$492)</f>
        <v>4730</v>
      </c>
      <c r="L493" s="346">
        <f>SUM($L$491:$L$492)</f>
        <v>0</v>
      </c>
    </row>
    <row r="494" spans="1:12" ht="13">
      <c r="A494" s="331">
        <v>18</v>
      </c>
      <c r="D494" s="342"/>
      <c r="E494" s="195"/>
      <c r="I494" s="330"/>
    </row>
    <row r="495" spans="1:12" ht="13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137582</v>
      </c>
      <c r="G495" s="345">
        <f>$G$488+$G$481+$G$493</f>
        <v>83279</v>
      </c>
      <c r="H495" s="345">
        <f>$H$488+$H$481+$H$493</f>
        <v>49022</v>
      </c>
      <c r="I495" s="345">
        <f>$I$488+$I$481+$I$493</f>
        <v>5026</v>
      </c>
      <c r="J495" s="345">
        <f>$J$488+$J$481+$J$493</f>
        <v>255</v>
      </c>
      <c r="K495" s="345">
        <f>$K$488+$K$481+$K$493</f>
        <v>137582</v>
      </c>
      <c r="L495" s="345">
        <f>$L$488+$L$481+$L$493</f>
        <v>0</v>
      </c>
    </row>
    <row r="496" spans="1:12" ht="13">
      <c r="A496" s="331">
        <v>20</v>
      </c>
      <c r="D496" s="342"/>
      <c r="E496" s="195"/>
      <c r="I496" s="330"/>
    </row>
    <row r="497" spans="1:12" ht="13">
      <c r="A497" s="331">
        <v>21</v>
      </c>
      <c r="B497" s="330" t="s">
        <v>40</v>
      </c>
      <c r="D497" s="342"/>
      <c r="E497" s="195"/>
      <c r="I497" s="330"/>
    </row>
    <row r="498" spans="1:12" ht="13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L498" si="158">F433</f>
        <v>43377286</v>
      </c>
      <c r="G498" s="345">
        <f>G433</f>
        <v>27093565</v>
      </c>
      <c r="H498" s="345">
        <f t="shared" si="158"/>
        <v>15894340</v>
      </c>
      <c r="I498" s="345">
        <f t="shared" si="158"/>
        <v>226978</v>
      </c>
      <c r="J498" s="345">
        <f t="shared" si="158"/>
        <v>162403</v>
      </c>
      <c r="K498" s="345">
        <f t="shared" si="158"/>
        <v>43377286</v>
      </c>
      <c r="L498" s="345">
        <f t="shared" si="158"/>
        <v>0</v>
      </c>
    </row>
    <row r="499" spans="1:12" ht="13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L499" si="159">F465</f>
        <v>873953</v>
      </c>
      <c r="G499" s="345">
        <f>G465</f>
        <v>477044</v>
      </c>
      <c r="H499" s="345">
        <f t="shared" si="159"/>
        <v>283581</v>
      </c>
      <c r="I499" s="345">
        <f t="shared" si="159"/>
        <v>112464</v>
      </c>
      <c r="J499" s="345">
        <f t="shared" si="159"/>
        <v>864</v>
      </c>
      <c r="K499" s="345">
        <f t="shared" si="159"/>
        <v>873953</v>
      </c>
      <c r="L499" s="345">
        <f t="shared" si="159"/>
        <v>0</v>
      </c>
    </row>
    <row r="500" spans="1:12" ht="13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137582</v>
      </c>
      <c r="G500" s="345">
        <f>$G$495</f>
        <v>83279</v>
      </c>
      <c r="H500" s="345">
        <f>$H$495</f>
        <v>49022</v>
      </c>
      <c r="I500" s="345">
        <f>$I$495</f>
        <v>5026</v>
      </c>
      <c r="J500" s="345">
        <f>$J$495</f>
        <v>255</v>
      </c>
      <c r="K500" s="345">
        <f>$K$495</f>
        <v>137582</v>
      </c>
      <c r="L500" s="345">
        <f>$L$495</f>
        <v>0</v>
      </c>
    </row>
    <row r="501" spans="1:12" ht="13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44388821</v>
      </c>
      <c r="G501" s="346">
        <f>SUM($G$498:$G$500)</f>
        <v>27653888</v>
      </c>
      <c r="H501" s="346">
        <f>SUM($H$498:$H$500)</f>
        <v>16226943</v>
      </c>
      <c r="I501" s="346">
        <f>SUM($I$498:$I$500)</f>
        <v>344468</v>
      </c>
      <c r="J501" s="346">
        <f>SUM($J$498:$J$500)</f>
        <v>163522</v>
      </c>
      <c r="K501" s="346">
        <f>SUM($K$498:$K$500)</f>
        <v>44388821</v>
      </c>
      <c r="L501" s="346">
        <f>SUM($L$498:$L$500)</f>
        <v>0</v>
      </c>
    </row>
    <row r="502" spans="1:12" ht="13">
      <c r="B502" s="341"/>
      <c r="C502" s="195"/>
      <c r="D502" s="342"/>
      <c r="E502" s="195"/>
      <c r="G502" s="195"/>
      <c r="H502" s="195"/>
      <c r="I502" s="195"/>
      <c r="J502" s="342"/>
      <c r="K502" s="195"/>
      <c r="L502" s="195"/>
    </row>
    <row r="503" spans="1:12" ht="13">
      <c r="A503" s="341" t="str">
        <f>co_name</f>
        <v>DUKE ENERGY KENTUCKY, INC.</v>
      </c>
      <c r="C503" s="195"/>
      <c r="D503" s="342"/>
      <c r="E503" s="195"/>
      <c r="F503" s="342"/>
      <c r="G503" s="340"/>
      <c r="H503" s="340"/>
      <c r="I503" s="195"/>
      <c r="K503" s="359" t="str">
        <f>$K$1</f>
        <v>FR-16(7)(v)-3</v>
      </c>
      <c r="L503" s="195"/>
    </row>
    <row r="504" spans="1:12" ht="13">
      <c r="A504" s="341" t="str">
        <f>$A$2</f>
        <v>PRODUCTION COMMODITY ALLOCATED - GAS COST OF SERVICE</v>
      </c>
      <c r="C504" s="195"/>
      <c r="D504" s="342"/>
      <c r="E504" s="195"/>
      <c r="F504" s="342"/>
      <c r="G504" s="340"/>
      <c r="H504" s="340"/>
      <c r="I504" s="195"/>
      <c r="K504" s="359" t="str">
        <f>$K$2</f>
        <v>WITNESS RESPONSIBLE:</v>
      </c>
      <c r="L504" s="195"/>
    </row>
    <row r="505" spans="1:12" ht="13">
      <c r="A505" s="341" t="str">
        <f>case_name</f>
        <v>CASE NO: 2021-00190</v>
      </c>
      <c r="C505" s="195"/>
      <c r="D505" s="342"/>
      <c r="E505" s="195"/>
      <c r="F505" s="342"/>
      <c r="G505" s="340"/>
      <c r="H505" s="340"/>
      <c r="I505" s="195"/>
      <c r="K505" s="359" t="str">
        <f>Witness</f>
        <v>JAMES E. ZIOLKOWSKI</v>
      </c>
      <c r="L505" s="195"/>
    </row>
    <row r="506" spans="1:12" ht="13">
      <c r="A506" s="341" t="str">
        <f>data_filing</f>
        <v>DATA: 12 MONTH FORECASTED PERIOD</v>
      </c>
      <c r="C506" s="195"/>
      <c r="D506" s="342"/>
      <c r="E506" s="195"/>
      <c r="F506" s="342"/>
      <c r="G506" s="340"/>
      <c r="H506" s="340"/>
      <c r="I506" s="195"/>
      <c r="K506" s="359" t="str">
        <f>"PAGE "&amp;Pages-6&amp;" OF "&amp;Pages</f>
        <v>PAGE 12 OF 18</v>
      </c>
      <c r="L506" s="195"/>
    </row>
    <row r="507" spans="1:12" ht="13">
      <c r="A507" s="341" t="str">
        <f>type</f>
        <v xml:space="preserve">TYPE OF FILING: "X" ORIGINAL   UPDATED    REVISED  </v>
      </c>
      <c r="C507" s="195"/>
      <c r="D507" s="342"/>
      <c r="E507" s="195"/>
      <c r="F507" s="342"/>
      <c r="G507" s="340"/>
      <c r="H507" s="340"/>
      <c r="I507" s="195"/>
      <c r="J507" s="342"/>
      <c r="K507" s="195"/>
      <c r="L507" s="195"/>
    </row>
    <row r="508" spans="1:12" ht="13">
      <c r="B508" s="341"/>
      <c r="C508" s="195"/>
      <c r="D508" s="342"/>
      <c r="E508" s="195"/>
      <c r="F508" s="342"/>
      <c r="G508" s="195"/>
      <c r="H508" s="195"/>
      <c r="I508" s="195"/>
      <c r="J508" s="342"/>
      <c r="K508" s="195"/>
      <c r="L508" s="195"/>
    </row>
    <row r="509" spans="1:12" ht="13">
      <c r="B509" s="341"/>
      <c r="C509" s="195"/>
      <c r="D509" s="342"/>
      <c r="E509" s="195"/>
      <c r="F509" s="342" t="str">
        <f>$F$7</f>
        <v>TOTAL</v>
      </c>
      <c r="G509" s="195"/>
      <c r="H509" s="195"/>
      <c r="I509" s="195"/>
      <c r="J509" s="342"/>
      <c r="K509" s="195"/>
      <c r="L509" s="195"/>
    </row>
    <row r="510" spans="1:12" ht="13">
      <c r="A510" s="342" t="s">
        <v>907</v>
      </c>
      <c r="B510" s="195"/>
      <c r="C510" s="195"/>
      <c r="D510" s="342"/>
      <c r="E510" s="195"/>
      <c r="F510" s="342" t="str">
        <f>$F$8</f>
        <v>PRODUCTION</v>
      </c>
      <c r="G510" s="342" t="s">
        <v>417</v>
      </c>
      <c r="H510" s="342" t="s">
        <v>857</v>
      </c>
      <c r="I510" s="342" t="s">
        <v>858</v>
      </c>
      <c r="J510" s="342" t="s">
        <v>546</v>
      </c>
      <c r="K510" s="342" t="s">
        <v>229</v>
      </c>
      <c r="L510" s="342" t="s">
        <v>342</v>
      </c>
    </row>
    <row r="511" spans="1:12" ht="13">
      <c r="A511" s="344" t="s">
        <v>908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2" t="str">
        <f>$F$9</f>
        <v>COMMODITY</v>
      </c>
      <c r="G511" s="344" t="s">
        <v>338</v>
      </c>
      <c r="H511" s="344" t="s">
        <v>404</v>
      </c>
      <c r="I511" s="344" t="s">
        <v>404</v>
      </c>
      <c r="J511" s="344" t="s">
        <v>547</v>
      </c>
      <c r="K511" s="344" t="s">
        <v>341</v>
      </c>
      <c r="L511" s="344" t="s">
        <v>340</v>
      </c>
    </row>
    <row r="512" spans="1:12" ht="13">
      <c r="C512" s="572" t="s">
        <v>351</v>
      </c>
      <c r="D512" s="342"/>
      <c r="E512" s="195"/>
      <c r="F512" s="755"/>
      <c r="G512" s="627">
        <f>$G$10</f>
        <v>3</v>
      </c>
      <c r="H512" s="627">
        <f>$H$10</f>
        <v>4</v>
      </c>
      <c r="I512" s="627">
        <f>$I$10</f>
        <v>5</v>
      </c>
      <c r="J512" s="627">
        <f>$J$10</f>
        <v>6</v>
      </c>
    </row>
    <row r="513" spans="1:12" ht="13">
      <c r="A513" s="331">
        <v>1</v>
      </c>
      <c r="B513" s="330" t="s">
        <v>69</v>
      </c>
      <c r="D513" s="342"/>
      <c r="E513" s="195"/>
      <c r="I513" s="330"/>
    </row>
    <row r="514" spans="1:12" ht="13">
      <c r="A514" s="331">
        <v>2</v>
      </c>
      <c r="B514" s="330" t="s">
        <v>70</v>
      </c>
      <c r="D514" s="342"/>
      <c r="E514" s="195"/>
      <c r="F514" s="330" t="s">
        <v>343</v>
      </c>
      <c r="I514" s="330"/>
    </row>
    <row r="515" spans="1:12" ht="13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3">
        <f>'FR-16(7)(v)-2 PROD Classified'!H515</f>
        <v>145085</v>
      </c>
      <c r="G515" s="347">
        <f>F515-SUM(H515:J515)</f>
        <v>84918</v>
      </c>
      <c r="H515" s="345">
        <f>ROUND($F$515*VLOOKUP($D$515,ALLOCTABLE_Prod_Commodity,$H$10,FALSE),0)</f>
        <v>50166</v>
      </c>
      <c r="I515" s="345">
        <f>ROUND(F515*VLOOKUP(D515,ALLOCTABLE_Prod_Commodity,$I$10,FALSE),0)</f>
        <v>9917</v>
      </c>
      <c r="J515" s="345">
        <f>ROUND(F515*VLOOKUP(D515,ALLOCTABLE_Prod_Commodity,$J$10,FALSE),0)</f>
        <v>84</v>
      </c>
      <c r="K515" s="345">
        <f>SUM($G$515:$J$515)</f>
        <v>145085</v>
      </c>
      <c r="L515" s="345">
        <f>F515-$K$515</f>
        <v>0</v>
      </c>
    </row>
    <row r="516" spans="1:12" ht="13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145085</v>
      </c>
      <c r="G516" s="346">
        <f>$G$515</f>
        <v>84918</v>
      </c>
      <c r="H516" s="346">
        <f>$H$515</f>
        <v>50166</v>
      </c>
      <c r="I516" s="346">
        <f>$I$515</f>
        <v>9917</v>
      </c>
      <c r="J516" s="346">
        <f>$J$515</f>
        <v>84</v>
      </c>
      <c r="K516" s="346">
        <f>$K$515</f>
        <v>145085</v>
      </c>
      <c r="L516" s="346">
        <f>$L$515</f>
        <v>0</v>
      </c>
    </row>
    <row r="517" spans="1:12" ht="13">
      <c r="A517" s="331">
        <v>5</v>
      </c>
      <c r="D517" s="342"/>
      <c r="E517" s="195"/>
      <c r="F517" s="351"/>
      <c r="I517" s="330"/>
    </row>
    <row r="518" spans="1:12" ht="13">
      <c r="A518" s="331">
        <v>6</v>
      </c>
      <c r="B518" s="330" t="s">
        <v>71</v>
      </c>
      <c r="D518" s="342"/>
      <c r="E518" s="195"/>
      <c r="F518" s="351"/>
      <c r="I518" s="330"/>
    </row>
    <row r="519" spans="1:12" ht="13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3">
        <f>'FR-16(7)(v)-2 PROD Classified'!H519</f>
        <v>437079</v>
      </c>
      <c r="G519" s="347">
        <f>F519-SUM(H519:J519)</f>
        <v>238580</v>
      </c>
      <c r="H519" s="345">
        <f>ROUND($F$519*VLOOKUP($D$519,ALLOCTABLE_Prod_Commodity,$H$10,FALSE),0)</f>
        <v>141823</v>
      </c>
      <c r="I519" s="345">
        <f>ROUND(F519*VLOOKUP(D519,ALLOCTABLE_Prod_Commodity,$I$10,FALSE),0)</f>
        <v>56243</v>
      </c>
      <c r="J519" s="345">
        <f>ROUND(F519*VLOOKUP(D519,ALLOCTABLE_Prod_Commodity,$J$10,FALSE),0)</f>
        <v>433</v>
      </c>
      <c r="K519" s="345">
        <f>SUM($G$519:$J$519)</f>
        <v>437079</v>
      </c>
      <c r="L519" s="345">
        <f>F519-$K$519</f>
        <v>0</v>
      </c>
    </row>
    <row r="520" spans="1:12" ht="13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3">
        <f>'FR-16(7)(v)-2 PROD Classified'!H520</f>
        <v>-36436</v>
      </c>
      <c r="G520" s="347">
        <f>F520-SUM(H520:J520)</f>
        <v>-22844</v>
      </c>
      <c r="H520" s="345">
        <f>ROUND($F$520*VLOOKUP($D$520,ALLOCTABLE_Prod_Commodity,$H$10,FALSE),0)</f>
        <v>-13402</v>
      </c>
      <c r="I520" s="345">
        <f>ROUND(F520*VLOOKUP(D520,ALLOCTABLE_Prod_Commodity,$I$10,FALSE),0)</f>
        <v>-111</v>
      </c>
      <c r="J520" s="345">
        <f>ROUND(F520*VLOOKUP(D520,ALLOCTABLE_Prod_Commodity,$J$10,FALSE),0)</f>
        <v>-79</v>
      </c>
      <c r="K520" s="345">
        <f>SUM($G$520:$J$520)</f>
        <v>-36436</v>
      </c>
      <c r="L520" s="345">
        <f>F520-$K$520</f>
        <v>0</v>
      </c>
    </row>
    <row r="521" spans="1:12" ht="13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3">
        <f>'FR-16(7)(v)-2 PROD Classified'!H521</f>
        <v>-94080</v>
      </c>
      <c r="G521" s="347">
        <f>F521-SUM(H521:J521)</f>
        <v>-51354</v>
      </c>
      <c r="H521" s="345">
        <f>ROUND($F$521*VLOOKUP($D$521,ALLOCTABLE_Prod_Commodity,$H$10,FALSE),0)</f>
        <v>-30527</v>
      </c>
      <c r="I521" s="345">
        <f>ROUND(F521*VLOOKUP(D521,ALLOCTABLE_Prod_Commodity,$I$10,FALSE),0)</f>
        <v>-12106</v>
      </c>
      <c r="J521" s="345">
        <f>ROUND(F521*VLOOKUP(D521,ALLOCTABLE_Prod_Commodity,$J$10,FALSE),0)</f>
        <v>-93</v>
      </c>
      <c r="K521" s="345">
        <f>SUM($G$521:$J$521)</f>
        <v>-94080</v>
      </c>
      <c r="L521" s="345">
        <f>F521-$K$521</f>
        <v>0</v>
      </c>
    </row>
    <row r="522" spans="1:12" ht="13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306563</v>
      </c>
      <c r="G522" s="346">
        <f>SUM($G$519:$G$521)</f>
        <v>164382</v>
      </c>
      <c r="H522" s="346">
        <f>SUM($H$519:$H$521)</f>
        <v>97894</v>
      </c>
      <c r="I522" s="346">
        <f>SUM($I$519:$I$521)</f>
        <v>44026</v>
      </c>
      <c r="J522" s="346">
        <f>SUM($J$519:$J$521)</f>
        <v>261</v>
      </c>
      <c r="K522" s="346">
        <f>SUM($K$519:$K$521)</f>
        <v>306563</v>
      </c>
      <c r="L522" s="474">
        <f>SUM($L$519:$L$521)</f>
        <v>0</v>
      </c>
    </row>
    <row r="523" spans="1:12" ht="13">
      <c r="A523" s="331">
        <v>11</v>
      </c>
      <c r="D523" s="342"/>
      <c r="E523" s="195"/>
      <c r="F523" s="351"/>
      <c r="I523" s="330"/>
    </row>
    <row r="524" spans="1:12" ht="13">
      <c r="A524" s="331">
        <v>12</v>
      </c>
      <c r="B524" s="330" t="s">
        <v>72</v>
      </c>
      <c r="D524" s="342"/>
      <c r="E524" s="195"/>
      <c r="F524" s="347">
        <f>F522+F516</f>
        <v>451648</v>
      </c>
      <c r="G524" s="345">
        <f>$G$522+$G$516</f>
        <v>249300</v>
      </c>
      <c r="H524" s="345">
        <f>$H$522+$H$516</f>
        <v>148060</v>
      </c>
      <c r="I524" s="345">
        <f>$I$522+$I$516</f>
        <v>53943</v>
      </c>
      <c r="J524" s="345">
        <f>$J$522+$J$516</f>
        <v>345</v>
      </c>
      <c r="K524" s="345">
        <f>$K$522+$K$516</f>
        <v>451648</v>
      </c>
      <c r="L524" s="345">
        <f>$L$522+$L$516</f>
        <v>0</v>
      </c>
    </row>
    <row r="525" spans="1:12" ht="13">
      <c r="A525" s="331">
        <v>13</v>
      </c>
      <c r="D525" s="342"/>
      <c r="E525" s="195"/>
      <c r="F525" s="351"/>
      <c r="I525" s="330"/>
    </row>
    <row r="526" spans="1:12" ht="13">
      <c r="A526" s="331">
        <v>14</v>
      </c>
      <c r="B526" s="338" t="s">
        <v>541</v>
      </c>
      <c r="D526" s="342"/>
      <c r="E526" s="195"/>
      <c r="F526" s="351"/>
      <c r="I526" s="330"/>
    </row>
    <row r="527" spans="1:12" ht="13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3">
        <f>'FR-16(7)(v)-2 PROD Classified'!H527</f>
        <v>979355</v>
      </c>
      <c r="G527" s="347">
        <f>F527-SUM(H527:J527)</f>
        <v>611715</v>
      </c>
      <c r="H527" s="345">
        <f>ROUND($F$527*VLOOKUP($D$527,ALLOCTABLE_Prod_Commodity,$H$10,FALSE),0)</f>
        <v>358855</v>
      </c>
      <c r="I527" s="345">
        <f>ROUND(F527*VLOOKUP(D527,ALLOCTABLE_Prod_Commodity,$I$10,FALSE),0)</f>
        <v>5122</v>
      </c>
      <c r="J527" s="345">
        <f>ROUND(F527*VLOOKUP(D527,ALLOCTABLE_Prod_Commodity,$J$10,FALSE),0)</f>
        <v>3663</v>
      </c>
      <c r="K527" s="345">
        <f>SUM($G$527:$J$527)</f>
        <v>979355</v>
      </c>
      <c r="L527" s="345">
        <f>F527-$K$527</f>
        <v>0</v>
      </c>
    </row>
    <row r="528" spans="1:12" ht="13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3">
        <f>'FR-16(7)(v)-2 PROD Classified'!H528</f>
        <v>2433</v>
      </c>
      <c r="G528" s="347">
        <f>F528-SUM(H528:J528)</f>
        <v>1526</v>
      </c>
      <c r="H528" s="345">
        <f>ROUND($F$528*VLOOKUP($D$528,ALLOCTABLE_Prod_Commodity,$H$10,FALSE),0)</f>
        <v>895</v>
      </c>
      <c r="I528" s="345">
        <f>ROUND(F528*VLOOKUP(D528,ALLOCTABLE_Prod_Commodity,$I$10,FALSE),0)</f>
        <v>7</v>
      </c>
      <c r="J528" s="345">
        <f>ROUND(F528*VLOOKUP(D528,ALLOCTABLE_Prod_Commodity,$J$10,FALSE),0)</f>
        <v>5</v>
      </c>
      <c r="K528" s="345">
        <f>SUM($G$528:$J$528)</f>
        <v>2433</v>
      </c>
      <c r="L528" s="345">
        <f>F528-$K$528</f>
        <v>0</v>
      </c>
    </row>
    <row r="529" spans="1:12" ht="13">
      <c r="A529" s="331">
        <v>17</v>
      </c>
      <c r="C529" s="612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3">
        <f>'FR-16(7)(v)-2 PROD Classified'!H529</f>
        <v>0</v>
      </c>
      <c r="G529" s="347">
        <f>F529-SUM(H529:J529)</f>
        <v>0</v>
      </c>
      <c r="H529" s="345">
        <f>ROUND($F$529*VLOOKUP($D$529,ALLOCTABLE_Prod_Commodity,$H$10,FALSE),0)</f>
        <v>0</v>
      </c>
      <c r="I529" s="345">
        <f>ROUND(F529*VLOOKUP(D529,ALLOCTABLE_Prod_Commodity,$I$10,FALSE),0)</f>
        <v>0</v>
      </c>
      <c r="J529" s="345">
        <f>ROUND(F529*VLOOKUP(D529,ALLOCTABLE_Prod_Commodity,$J$10,FALSE),0)</f>
        <v>0</v>
      </c>
      <c r="K529" s="345">
        <f>SUM($G$529:$J$529)</f>
        <v>0</v>
      </c>
      <c r="L529" s="345">
        <f>F529-$K$529</f>
        <v>0</v>
      </c>
    </row>
    <row r="530" spans="1:12" ht="13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3">
        <f>'FR-16(7)(v)-2 PROD Classified'!H530</f>
        <v>-72079</v>
      </c>
      <c r="G530" s="347">
        <f>F530-SUM(H530:J530)</f>
        <v>-36063</v>
      </c>
      <c r="H530" s="345">
        <f>ROUND($F$530*VLOOKUP($D$530,ALLOCTABLE_Prod_Commodity,$H$10,FALSE),0)</f>
        <v>-21156</v>
      </c>
      <c r="I530" s="345">
        <f>ROUND(F530*VLOOKUP(D530,ALLOCTABLE_Prod_Commodity,$I$10,FALSE),0)</f>
        <v>-14860</v>
      </c>
      <c r="J530" s="345">
        <f>ROUND(F530*VLOOKUP(D530,ALLOCTABLE_Prod_Commodity,$J$10,FALSE),0)</f>
        <v>0</v>
      </c>
      <c r="K530" s="345">
        <f>SUM($G$530:$J$530)</f>
        <v>-72079</v>
      </c>
      <c r="L530" s="345">
        <f>F530-K530</f>
        <v>0</v>
      </c>
    </row>
    <row r="531" spans="1:12" ht="13">
      <c r="A531" s="331">
        <v>19</v>
      </c>
      <c r="C531" s="357" t="s">
        <v>1418</v>
      </c>
      <c r="D531" s="342" t="str">
        <f>'FR-16(7)(v)-1 Functional'!D531</f>
        <v>AG39</v>
      </c>
      <c r="E531" s="195"/>
      <c r="F531" s="473">
        <f>'FR-16(7)(v)-2 PROD Classified'!H531</f>
        <v>-97913</v>
      </c>
      <c r="G531" s="347">
        <f>F531-SUM(H531:J531)</f>
        <v>-61388</v>
      </c>
      <c r="H531" s="345">
        <f>ROUND($F$531*VLOOKUP($D$531,ALLOCTABLE_Prod_Commodity,$H$10,FALSE),0)</f>
        <v>-36013</v>
      </c>
      <c r="I531" s="345">
        <f>ROUND(F531*VLOOKUP(D531,ALLOCTABLE_Prod_Commodity,$I$10,FALSE),0)</f>
        <v>-299</v>
      </c>
      <c r="J531" s="345">
        <f>ROUND(F531*VLOOKUP(D531,ALLOCTABLE_Prod_Commodity,$J$10,FALSE),0)</f>
        <v>-213</v>
      </c>
      <c r="K531" s="345">
        <f>SUM($G$531:$J$531)</f>
        <v>-97913</v>
      </c>
      <c r="L531" s="345">
        <f>F531-$K$531</f>
        <v>0</v>
      </c>
    </row>
    <row r="532" spans="1:12" ht="13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811796</v>
      </c>
      <c r="G532" s="346">
        <f>SUM($G$527:$G$531)</f>
        <v>515790</v>
      </c>
      <c r="H532" s="346">
        <f>SUM($H$527:$H$531)</f>
        <v>302581</v>
      </c>
      <c r="I532" s="346">
        <f>SUM($I$527:$I$531)</f>
        <v>-10030</v>
      </c>
      <c r="J532" s="346">
        <f>SUM($J$527:$J$531)</f>
        <v>3455</v>
      </c>
      <c r="K532" s="346">
        <f>SUM($K$527:$K$531)</f>
        <v>811796</v>
      </c>
      <c r="L532" s="474">
        <f>SUM($L$527:$L$531)</f>
        <v>0</v>
      </c>
    </row>
    <row r="533" spans="1:12" ht="13">
      <c r="A533" s="331">
        <v>21</v>
      </c>
      <c r="D533" s="342"/>
      <c r="E533" s="195"/>
      <c r="F533" s="351"/>
      <c r="I533" s="330"/>
    </row>
    <row r="534" spans="1:12" ht="13">
      <c r="A534" s="331">
        <v>22</v>
      </c>
      <c r="B534" s="330" t="s">
        <v>418</v>
      </c>
      <c r="D534" s="342"/>
      <c r="E534" s="195"/>
      <c r="F534" s="351"/>
      <c r="I534" s="330"/>
    </row>
    <row r="535" spans="1:12" ht="13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3">
        <f>'FR-16(7)(v)-2 PROD Classified'!H535</f>
        <v>546</v>
      </c>
      <c r="G535" s="347">
        <f>F535-SUM(H535:J535)</f>
        <v>297</v>
      </c>
      <c r="H535" s="506">
        <f>ROUND($F$535*VLOOKUP($D$535,ALLOCTABLE_Prod_Commodity,$H$10,FALSE),0)</f>
        <v>177</v>
      </c>
      <c r="I535" s="506">
        <f>ROUND(F535*VLOOKUP(D535,ALLOCTABLE_Prod_Commodity,$I$10,FALSE),0)</f>
        <v>71</v>
      </c>
      <c r="J535" s="506">
        <f>ROUND(F535*VLOOKUP(D535,ALLOCTABLE_Prod_Commodity,$J$10,FALSE),0)</f>
        <v>1</v>
      </c>
      <c r="K535" s="506">
        <f>SUM($G$535:$J$535)</f>
        <v>546</v>
      </c>
      <c r="L535" s="506">
        <f>F535-$K$535</f>
        <v>0</v>
      </c>
    </row>
    <row r="536" spans="1:12" ht="13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546</v>
      </c>
      <c r="G536" s="346">
        <f>SUM($G$535:$G$535)</f>
        <v>297</v>
      </c>
      <c r="H536" s="346">
        <f>SUM($H$535:$H$535)</f>
        <v>177</v>
      </c>
      <c r="I536" s="346">
        <f>SUM($I$535:$I$535)</f>
        <v>71</v>
      </c>
      <c r="J536" s="346">
        <f>SUM($J$535:$J$535)</f>
        <v>1</v>
      </c>
      <c r="K536" s="346">
        <f>SUM($K$535:$K$535)</f>
        <v>546</v>
      </c>
      <c r="L536" s="474">
        <f>SUM($L$535:$L$535)</f>
        <v>0</v>
      </c>
    </row>
    <row r="537" spans="1:12" ht="13">
      <c r="A537" s="331">
        <v>25</v>
      </c>
      <c r="D537" s="342"/>
      <c r="E537" s="195"/>
      <c r="F537" s="504"/>
      <c r="G537" s="504"/>
      <c r="H537" s="504"/>
      <c r="I537" s="504"/>
      <c r="J537" s="504"/>
      <c r="K537" s="504"/>
      <c r="L537" s="664"/>
    </row>
    <row r="538" spans="1:12" ht="15.5">
      <c r="A538" s="331">
        <v>26</v>
      </c>
      <c r="B538" s="330" t="s">
        <v>73</v>
      </c>
      <c r="D538" s="729"/>
      <c r="E538" s="1"/>
      <c r="F538" s="504"/>
      <c r="G538" s="504"/>
      <c r="H538" s="504"/>
      <c r="I538" s="504"/>
      <c r="J538" s="504"/>
      <c r="K538" s="504"/>
      <c r="L538" s="664"/>
    </row>
    <row r="539" spans="1:12" ht="13">
      <c r="A539" s="331">
        <v>27</v>
      </c>
      <c r="C539" s="330" t="str">
        <f>'FR-16(7)(v)-1 Functional'!C539</f>
        <v>PROV INVEST TAX CREDIT</v>
      </c>
      <c r="D539" s="342" t="s">
        <v>315</v>
      </c>
      <c r="F539" s="473">
        <v>0</v>
      </c>
      <c r="G539" s="347">
        <f>F539-SUM(H539:J539)</f>
        <v>0</v>
      </c>
      <c r="H539" s="506">
        <f>ROUND($F$539*VLOOKUP($D$539,ALLOCTABLE_Prod_Commodity,$H$10,FALSE),0)</f>
        <v>0</v>
      </c>
      <c r="I539" s="506">
        <f>ROUND(F539*VLOOKUP(D539,ALLOCTABLE_Prod_Commodity,$I$10,FALSE),0)</f>
        <v>0</v>
      </c>
      <c r="J539" s="506">
        <f>ROUND(F539*VLOOKUP(D539,ALLOCTABLE_Prod_Commodity,$J$10,FALSE),0)</f>
        <v>0</v>
      </c>
      <c r="K539" s="506">
        <f>SUM($G$539:$J$539)</f>
        <v>0</v>
      </c>
      <c r="L539" s="506">
        <f>F539-$K$539</f>
        <v>0</v>
      </c>
    </row>
    <row r="540" spans="1:12" ht="15.5">
      <c r="A540" s="331">
        <v>28</v>
      </c>
      <c r="C540" s="337" t="str">
        <f>'FR-16(7)(v)-1 Functional'!C540</f>
        <v xml:space="preserve">  TEST YEAR INV TAX CREDIT</v>
      </c>
      <c r="D540" s="729"/>
      <c r="E540" s="1"/>
      <c r="F540" s="346">
        <f>SUM(F539:F539)</f>
        <v>0</v>
      </c>
      <c r="G540" s="474">
        <f>SUM($G$539:$G$539)</f>
        <v>0</v>
      </c>
      <c r="H540" s="474">
        <f>SUM($H$539:$H$539)</f>
        <v>0</v>
      </c>
      <c r="I540" s="474">
        <f>SUM($I$539:$I$539)</f>
        <v>0</v>
      </c>
      <c r="J540" s="474">
        <f>SUM($J$539:$J$539)</f>
        <v>0</v>
      </c>
      <c r="K540" s="474">
        <f>SUM($K$539:$K$539)</f>
        <v>0</v>
      </c>
      <c r="L540" s="474">
        <f>SUM($L$539:$L$539)</f>
        <v>0</v>
      </c>
    </row>
    <row r="541" spans="1:12" ht="15.5">
      <c r="A541" s="331">
        <v>29</v>
      </c>
      <c r="B541" s="192"/>
      <c r="C541" s="192"/>
      <c r="D541" s="729"/>
      <c r="E541" s="1"/>
      <c r="F541" s="504"/>
      <c r="G541" s="504"/>
      <c r="H541" s="504"/>
      <c r="I541" s="504"/>
      <c r="J541" s="504"/>
      <c r="K541" s="504"/>
      <c r="L541" s="504"/>
    </row>
    <row r="542" spans="1:12" ht="15.5">
      <c r="A542" s="331">
        <v>30</v>
      </c>
      <c r="B542" s="330" t="s">
        <v>40</v>
      </c>
      <c r="C542" s="192"/>
      <c r="D542" s="729"/>
      <c r="E542" s="1"/>
      <c r="F542" s="504"/>
      <c r="G542" s="504"/>
      <c r="H542" s="504"/>
      <c r="I542" s="504"/>
      <c r="J542" s="504"/>
      <c r="K542" s="504"/>
      <c r="L542" s="504"/>
    </row>
    <row r="543" spans="1:12" ht="13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811796</v>
      </c>
      <c r="G543" s="345">
        <f>$G$532</f>
        <v>515790</v>
      </c>
      <c r="H543" s="345">
        <f>$H$532</f>
        <v>302581</v>
      </c>
      <c r="I543" s="345">
        <f>$I$532</f>
        <v>-10030</v>
      </c>
      <c r="J543" s="345">
        <f>$J$532</f>
        <v>3455</v>
      </c>
      <c r="K543" s="345">
        <f>$K$532</f>
        <v>811796</v>
      </c>
      <c r="L543" s="345">
        <f>$L$532</f>
        <v>0</v>
      </c>
    </row>
    <row r="544" spans="1:12" ht="13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-546</v>
      </c>
      <c r="G544" s="345">
        <f>-$G$536</f>
        <v>-297</v>
      </c>
      <c r="H544" s="345">
        <f>-$H$536</f>
        <v>-177</v>
      </c>
      <c r="I544" s="345">
        <f>-$I$536</f>
        <v>-71</v>
      </c>
      <c r="J544" s="345">
        <f>-$J$536</f>
        <v>-1</v>
      </c>
      <c r="K544" s="345">
        <f>-$K$536</f>
        <v>-546</v>
      </c>
      <c r="L544" s="345">
        <f>-$L$536</f>
        <v>0</v>
      </c>
    </row>
    <row r="545" spans="1:14" ht="13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811250</v>
      </c>
      <c r="G545" s="346">
        <f>SUM($G$543:$G$544)</f>
        <v>515493</v>
      </c>
      <c r="H545" s="346">
        <f>SUM($H$543:$H$544)</f>
        <v>302404</v>
      </c>
      <c r="I545" s="346">
        <f>SUM($I$543:$I$544)</f>
        <v>-10101</v>
      </c>
      <c r="J545" s="346">
        <f>SUM($J$543:$J$544)</f>
        <v>3454</v>
      </c>
      <c r="K545" s="346">
        <f>SUM($K$543:$K$544)</f>
        <v>811250</v>
      </c>
      <c r="L545" s="346">
        <f>SUM($L$543:$L$544)</f>
        <v>0</v>
      </c>
    </row>
    <row r="546" spans="1:14" ht="13">
      <c r="A546" s="331">
        <v>34</v>
      </c>
      <c r="D546" s="342"/>
      <c r="E546" s="195"/>
      <c r="F546" s="351"/>
      <c r="I546" s="330"/>
    </row>
    <row r="547" spans="1:14" ht="13">
      <c r="A547" s="331">
        <v>35</v>
      </c>
      <c r="B547" s="330" t="s">
        <v>74</v>
      </c>
      <c r="D547" s="342"/>
      <c r="E547" s="195"/>
      <c r="F547" s="351"/>
      <c r="I547" s="330"/>
    </row>
    <row r="548" spans="1:14" ht="13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L548" si="160">F334</f>
        <v>557022</v>
      </c>
      <c r="G548" s="345">
        <f>G334</f>
        <v>326026</v>
      </c>
      <c r="H548" s="345">
        <f t="shared" si="160"/>
        <v>192602</v>
      </c>
      <c r="I548" s="345">
        <f t="shared" si="160"/>
        <v>38070</v>
      </c>
      <c r="J548" s="345">
        <f t="shared" si="160"/>
        <v>324</v>
      </c>
      <c r="K548" s="345">
        <f t="shared" si="160"/>
        <v>557022</v>
      </c>
      <c r="L548" s="345">
        <f t="shared" si="160"/>
        <v>0</v>
      </c>
      <c r="N548" s="333"/>
    </row>
    <row r="549" spans="1:14" ht="13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-451648</v>
      </c>
      <c r="G549" s="345">
        <f>-$G$524</f>
        <v>-249300</v>
      </c>
      <c r="H549" s="345">
        <f>-H524</f>
        <v>-148060</v>
      </c>
      <c r="I549" s="345">
        <f t="shared" ref="I549:L549" si="161">-I524</f>
        <v>-53943</v>
      </c>
      <c r="J549" s="345">
        <f t="shared" si="161"/>
        <v>-345</v>
      </c>
      <c r="K549" s="345">
        <f t="shared" si="161"/>
        <v>-451648</v>
      </c>
      <c r="L549" s="345">
        <f t="shared" si="161"/>
        <v>0</v>
      </c>
    </row>
    <row r="550" spans="1:14" ht="13">
      <c r="A550" s="331">
        <v>38</v>
      </c>
      <c r="C550" s="330" t="s">
        <v>1419</v>
      </c>
      <c r="D550" s="342"/>
      <c r="E550" s="195"/>
      <c r="F550" s="347">
        <f>F591</f>
        <v>5682</v>
      </c>
      <c r="G550" s="347">
        <f t="shared" ref="G550:L550" ca="1" si="162">G591</f>
        <v>2446</v>
      </c>
      <c r="H550" s="347">
        <f t="shared" si="162"/>
        <v>1844</v>
      </c>
      <c r="I550" s="347">
        <f t="shared" ca="1" si="162"/>
        <v>794</v>
      </c>
      <c r="J550" s="347">
        <f t="shared" si="162"/>
        <v>598</v>
      </c>
      <c r="K550" s="347">
        <f t="shared" ca="1" si="162"/>
        <v>5682</v>
      </c>
      <c r="L550" s="347">
        <f t="shared" ca="1" si="162"/>
        <v>0</v>
      </c>
    </row>
    <row r="551" spans="1:14" ht="13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811250</v>
      </c>
      <c r="G551" s="345">
        <f>$G$545</f>
        <v>515493</v>
      </c>
      <c r="H551" s="345">
        <f>H545</f>
        <v>302404</v>
      </c>
      <c r="I551" s="345">
        <f t="shared" ref="I551:L551" si="163">I545</f>
        <v>-10101</v>
      </c>
      <c r="J551" s="345">
        <f t="shared" si="163"/>
        <v>3454</v>
      </c>
      <c r="K551" s="345">
        <f t="shared" si="163"/>
        <v>811250</v>
      </c>
      <c r="L551" s="345">
        <f t="shared" si="163"/>
        <v>0</v>
      </c>
    </row>
    <row r="552" spans="1:14" ht="13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>SUM(F548:F551)</f>
        <v>922306</v>
      </c>
      <c r="G552" s="346">
        <f ca="1">SUM($G$548:$G$551)</f>
        <v>594665</v>
      </c>
      <c r="H552" s="346">
        <f>SUM(H$548:H$551)</f>
        <v>348790</v>
      </c>
      <c r="I552" s="346">
        <f ca="1">SUM($I$548:$I$551)</f>
        <v>-25180</v>
      </c>
      <c r="J552" s="346">
        <f>SUM($J$548:$J$551)</f>
        <v>4031</v>
      </c>
      <c r="K552" s="346">
        <f ca="1">SUM($K$548:$K$551)</f>
        <v>922306</v>
      </c>
      <c r="L552" s="346">
        <f ca="1">SUM($L$548:$L$551)</f>
        <v>0</v>
      </c>
    </row>
    <row r="553" spans="1:14" ht="13">
      <c r="A553" s="331">
        <v>41</v>
      </c>
      <c r="D553" s="342"/>
      <c r="E553" s="195"/>
      <c r="F553" s="351"/>
      <c r="I553" s="330"/>
    </row>
    <row r="554" spans="1:14" ht="13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348">
        <f>ROUND(G692/(1-G692),9)</f>
        <v>0.26582278500000001</v>
      </c>
      <c r="H554" s="348">
        <f>ROUND(H692/(1-H692),9)</f>
        <v>0.26582278500000001</v>
      </c>
      <c r="I554" s="348">
        <f>ROUND(I692/(1-I692),9)</f>
        <v>0.26582278500000001</v>
      </c>
      <c r="J554" s="348">
        <f>ROUND(J692/(1-J692),9)</f>
        <v>0.26582278500000001</v>
      </c>
      <c r="K554" s="348"/>
      <c r="L554" s="348">
        <f>ROUND(K692/(1-K692),9)</f>
        <v>0.26582278500000001</v>
      </c>
    </row>
    <row r="555" spans="1:14" ht="13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>ROUND(F554*F552,0)</f>
        <v>245170</v>
      </c>
      <c r="G555" s="347">
        <f ca="1">F555-SUM(H555:J555)</f>
        <v>158075</v>
      </c>
      <c r="H555" s="345">
        <f>ROUND($H$552*$H$554,0)</f>
        <v>92716</v>
      </c>
      <c r="I555" s="345">
        <f ca="1">ROUND($I$552*$I$554,0)</f>
        <v>-6693</v>
      </c>
      <c r="J555" s="345">
        <f>ROUND($J$552*$J$554,0)</f>
        <v>1072</v>
      </c>
      <c r="K555" s="345">
        <f ca="1">SUM($G$555:$J$555)</f>
        <v>245170</v>
      </c>
      <c r="L555" s="345">
        <f ca="1">F555-K555</f>
        <v>0</v>
      </c>
    </row>
    <row r="556" spans="1:14" ht="13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811250</v>
      </c>
      <c r="G556" s="345">
        <f>$G$545</f>
        <v>515493</v>
      </c>
      <c r="H556" s="345">
        <f>$H$545</f>
        <v>302404</v>
      </c>
      <c r="I556" s="345">
        <f>$I$545</f>
        <v>-10101</v>
      </c>
      <c r="J556" s="345">
        <f>$J$545</f>
        <v>3454</v>
      </c>
      <c r="K556" s="345">
        <f>$K$545</f>
        <v>811250</v>
      </c>
      <c r="L556" s="345">
        <f>F556-K556</f>
        <v>0</v>
      </c>
    </row>
    <row r="557" spans="1:14" ht="13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>SUM(F555:F556)</f>
        <v>1056420</v>
      </c>
      <c r="G557" s="346">
        <f ca="1">SUM($G$555:$G$556)</f>
        <v>673568</v>
      </c>
      <c r="H557" s="346">
        <f>SUM($H$555:$H$556)</f>
        <v>395120</v>
      </c>
      <c r="I557" s="346">
        <f ca="1">SUM($I$555:$I$556)</f>
        <v>-16794</v>
      </c>
      <c r="J557" s="346">
        <f>SUM($J$555:$J$556)</f>
        <v>4526</v>
      </c>
      <c r="K557" s="346">
        <f ca="1">SUM($K$555:$K$556)</f>
        <v>1056420</v>
      </c>
      <c r="L557" s="346">
        <f ca="1">SUM($L$555:$L$556)</f>
        <v>0</v>
      </c>
    </row>
    <row r="558" spans="1:14" ht="13">
      <c r="A558" s="331">
        <v>46</v>
      </c>
      <c r="D558" s="342"/>
      <c r="E558" s="195"/>
      <c r="F558" s="351"/>
      <c r="I558" s="330"/>
    </row>
    <row r="559" spans="1:14" ht="13">
      <c r="A559" s="331">
        <v>47</v>
      </c>
      <c r="B559" s="330" t="s">
        <v>68</v>
      </c>
      <c r="D559" s="342"/>
      <c r="E559" s="195"/>
      <c r="F559" s="351"/>
      <c r="I559" s="330"/>
    </row>
    <row r="560" spans="1:14" ht="13">
      <c r="A560" s="331">
        <v>48</v>
      </c>
      <c r="B560" s="330" t="s">
        <v>75</v>
      </c>
      <c r="D560" s="342"/>
      <c r="E560" s="195"/>
      <c r="F560" s="351"/>
      <c r="I560" s="330"/>
    </row>
    <row r="561" spans="1:12" ht="13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>F555</f>
        <v>245170</v>
      </c>
      <c r="G561" s="345">
        <f ca="1">$G$555</f>
        <v>158075</v>
      </c>
      <c r="H561" s="345">
        <f>$H$555</f>
        <v>92716</v>
      </c>
      <c r="I561" s="345">
        <f ca="1">$I$555</f>
        <v>-6693</v>
      </c>
      <c r="J561" s="345">
        <f>$J$555</f>
        <v>1072</v>
      </c>
      <c r="K561" s="345">
        <f ca="1">$K$555</f>
        <v>245170</v>
      </c>
      <c r="L561" s="345">
        <f ca="1">$L$555</f>
        <v>0</v>
      </c>
    </row>
    <row r="562" spans="1:12" ht="13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620">
        <f>-$G$540</f>
        <v>0</v>
      </c>
      <c r="H562" s="620">
        <f>-$H$540</f>
        <v>0</v>
      </c>
      <c r="I562" s="345">
        <f>-$I$540</f>
        <v>0</v>
      </c>
      <c r="J562" s="345">
        <f>-$J$540</f>
        <v>0</v>
      </c>
      <c r="K562" s="345">
        <f>-$K$540</f>
        <v>0</v>
      </c>
      <c r="L562" s="345">
        <f>-$L$540</f>
        <v>0</v>
      </c>
    </row>
    <row r="563" spans="1:12" ht="13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>SUM(F560:F562)</f>
        <v>245170</v>
      </c>
      <c r="G563" s="346">
        <f ca="1">SUM($G$560:$G$562)</f>
        <v>158075</v>
      </c>
      <c r="H563" s="346">
        <f>SUM($H$560:$H$562)</f>
        <v>92716</v>
      </c>
      <c r="I563" s="346">
        <f ca="1">SUM($I$560:$I$562)</f>
        <v>-6693</v>
      </c>
      <c r="J563" s="346">
        <f>SUM($J$560:$J$562)</f>
        <v>1072</v>
      </c>
      <c r="K563" s="346">
        <f ca="1">SUM($K$560:$K$562)</f>
        <v>245170</v>
      </c>
      <c r="L563" s="346">
        <f ca="1">SUM($L$560:$L$562)</f>
        <v>0</v>
      </c>
    </row>
    <row r="564" spans="1:12" ht="13">
      <c r="A564" s="331">
        <v>52</v>
      </c>
      <c r="D564" s="342"/>
      <c r="E564" s="195"/>
      <c r="I564" s="330"/>
    </row>
    <row r="565" spans="1:12" ht="13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330">
        <f>ROUND((G693*(1-G692))+((1-G693)*(1-G692)*G694)+G692,5)</f>
        <v>0.24925</v>
      </c>
      <c r="H565" s="330">
        <f>ROUND((H693*(1-H692))+((1-H693)*(1-H692)*H694)+H692,5)</f>
        <v>0.24925</v>
      </c>
      <c r="I565" s="330">
        <f>ROUND((I693*(1-I692))+((1-I693)*(1-I692)*I694)+I692,7)</f>
        <v>0.24925120000000001</v>
      </c>
      <c r="J565" s="330">
        <f>ROUND((J693*(1-J692))+((1-J693)*(1-J692)*J694)+J692,5)</f>
        <v>0.24925</v>
      </c>
      <c r="L565" s="330">
        <f>ROUND((K693*(1-K692))+((1-K693)*(1-K692)*K694)+K692,5)</f>
        <v>0.24925</v>
      </c>
    </row>
    <row r="566" spans="1:12" ht="13">
      <c r="B566" s="341"/>
      <c r="C566" s="195"/>
      <c r="D566" s="342"/>
      <c r="E566" s="195"/>
      <c r="G566" s="195"/>
      <c r="H566" s="195"/>
      <c r="I566" s="195"/>
      <c r="J566" s="342"/>
      <c r="K566" s="195"/>
      <c r="L566" s="195"/>
    </row>
    <row r="567" spans="1:12" ht="13">
      <c r="A567" s="341" t="str">
        <f>co_name</f>
        <v>DUKE ENERGY KENTUCKY, INC.</v>
      </c>
      <c r="C567" s="195"/>
      <c r="D567" s="342"/>
      <c r="E567" s="195"/>
      <c r="F567" s="342"/>
      <c r="G567" s="340"/>
      <c r="H567" s="340"/>
      <c r="I567" s="195"/>
      <c r="K567" s="359" t="str">
        <f>$K$1</f>
        <v>FR-16(7)(v)-3</v>
      </c>
      <c r="L567" s="195"/>
    </row>
    <row r="568" spans="1:12" ht="13">
      <c r="A568" s="341" t="str">
        <f>$A$2</f>
        <v>PRODUCTION COMMODITY ALLOCATED - GAS COST OF SERVICE</v>
      </c>
      <c r="C568" s="195"/>
      <c r="D568" s="342"/>
      <c r="E568" s="195"/>
      <c r="F568" s="342"/>
      <c r="G568" s="340"/>
      <c r="H568" s="340"/>
      <c r="I568" s="195"/>
      <c r="K568" s="359" t="str">
        <f>$K$2</f>
        <v>WITNESS RESPONSIBLE:</v>
      </c>
      <c r="L568" s="195"/>
    </row>
    <row r="569" spans="1:12" ht="13">
      <c r="A569" s="341" t="str">
        <f>case_name</f>
        <v>CASE NO: 2021-00190</v>
      </c>
      <c r="C569" s="195"/>
      <c r="D569" s="342"/>
      <c r="E569" s="195"/>
      <c r="F569" s="342"/>
      <c r="G569" s="340"/>
      <c r="H569" s="340"/>
      <c r="I569" s="195"/>
      <c r="K569" s="359" t="str">
        <f>Witness</f>
        <v>JAMES E. ZIOLKOWSKI</v>
      </c>
      <c r="L569" s="195"/>
    </row>
    <row r="570" spans="1:12" ht="13">
      <c r="A570" s="341" t="str">
        <f>data_filing</f>
        <v>DATA: 12 MONTH FORECASTED PERIOD</v>
      </c>
      <c r="C570" s="195"/>
      <c r="D570" s="342"/>
      <c r="E570" s="195"/>
      <c r="F570" s="342"/>
      <c r="G570" s="340"/>
      <c r="H570" s="340"/>
      <c r="I570" s="195"/>
      <c r="K570" s="359" t="str">
        <f>"PAGE "&amp;Pages-5&amp;" OF "&amp;Pages</f>
        <v>PAGE 13 OF 18</v>
      </c>
      <c r="L570" s="195"/>
    </row>
    <row r="571" spans="1:12" ht="13">
      <c r="A571" s="341" t="str">
        <f>type</f>
        <v xml:space="preserve">TYPE OF FILING: "X" ORIGINAL   UPDATED    REVISED  </v>
      </c>
      <c r="C571" s="195"/>
      <c r="D571" s="342"/>
      <c r="E571" s="195"/>
      <c r="F571" s="342"/>
      <c r="G571" s="340"/>
      <c r="H571" s="340"/>
      <c r="I571" s="195"/>
      <c r="J571" s="342"/>
      <c r="K571" s="195"/>
      <c r="L571" s="195"/>
    </row>
    <row r="573" spans="1:12" ht="13">
      <c r="F573" s="342" t="str">
        <f>$F$7</f>
        <v>TOTAL</v>
      </c>
      <c r="G573" s="195"/>
      <c r="H573" s="195"/>
      <c r="I573" s="195"/>
      <c r="J573" s="342"/>
      <c r="K573" s="195"/>
      <c r="L573" s="195"/>
    </row>
    <row r="574" spans="1:12" ht="13">
      <c r="A574" s="342" t="s">
        <v>907</v>
      </c>
      <c r="B574" s="1352"/>
      <c r="C574" s="1083"/>
      <c r="D574" s="1083"/>
      <c r="E574" s="340"/>
      <c r="F574" s="342" t="str">
        <f>$F$8</f>
        <v>PRODUCTION</v>
      </c>
      <c r="G574" s="342" t="s">
        <v>417</v>
      </c>
      <c r="H574" s="342" t="s">
        <v>857</v>
      </c>
      <c r="I574" s="342" t="s">
        <v>858</v>
      </c>
      <c r="J574" s="342" t="s">
        <v>546</v>
      </c>
      <c r="K574" s="342" t="s">
        <v>229</v>
      </c>
      <c r="L574" s="342" t="s">
        <v>342</v>
      </c>
    </row>
    <row r="575" spans="1:12" ht="13">
      <c r="A575" s="344" t="s">
        <v>908</v>
      </c>
      <c r="B575" s="1354" t="s">
        <v>1376</v>
      </c>
      <c r="C575" s="1355"/>
      <c r="D575" s="1356" t="s">
        <v>1377</v>
      </c>
      <c r="E575" s="1357"/>
      <c r="F575" s="342" t="str">
        <f>$F$9</f>
        <v>COMMODITY</v>
      </c>
      <c r="G575" s="344" t="s">
        <v>338</v>
      </c>
      <c r="H575" s="344" t="s">
        <v>404</v>
      </c>
      <c r="I575" s="344" t="s">
        <v>404</v>
      </c>
      <c r="J575" s="344" t="s">
        <v>547</v>
      </c>
      <c r="K575" s="344" t="s">
        <v>341</v>
      </c>
      <c r="L575" s="344" t="s">
        <v>340</v>
      </c>
    </row>
    <row r="576" spans="1:12" ht="15.5">
      <c r="A576" s="1358"/>
      <c r="B576" s="1359"/>
      <c r="C576" s="1360" t="s">
        <v>1378</v>
      </c>
      <c r="D576" s="1361"/>
      <c r="E576" s="340"/>
      <c r="F576" s="755"/>
      <c r="G576" s="627">
        <f>$G$10</f>
        <v>3</v>
      </c>
      <c r="H576" s="627">
        <f>$H$10</f>
        <v>4</v>
      </c>
      <c r="I576" s="627">
        <f>$I$10</f>
        <v>5</v>
      </c>
      <c r="J576" s="627">
        <f>$J$10</f>
        <v>6</v>
      </c>
    </row>
    <row r="577" spans="1:12" ht="13">
      <c r="A577" s="961">
        <v>1</v>
      </c>
      <c r="B577" s="1365" t="s">
        <v>1379</v>
      </c>
      <c r="C577" s="1352"/>
      <c r="D577" s="1352"/>
      <c r="E577" s="340"/>
    </row>
    <row r="578" spans="1:12" ht="13">
      <c r="A578" s="961">
        <v>2</v>
      </c>
      <c r="B578" s="1369" t="s">
        <v>1380</v>
      </c>
      <c r="C578" s="1352"/>
      <c r="D578" s="1370" t="s">
        <v>315</v>
      </c>
      <c r="E578" s="340"/>
      <c r="F578" s="473">
        <f>'FR-16(7)(v)-2 PROD Classified'!H578</f>
        <v>60857</v>
      </c>
      <c r="G578" s="347">
        <f ca="1">F578-SUM(H578:J578)</f>
        <v>26200</v>
      </c>
      <c r="H578" s="345">
        <f>ROUND(F578*VLOOKUP($D578,ALLOCTABLE_Prod_Commodity,$H$10,FALSE),0)</f>
        <v>19747</v>
      </c>
      <c r="I578" s="345">
        <f ca="1">ROUND(G578*VLOOKUP($D578,ALLOCTABLE_Prod_Commodity,$H$10,FALSE),0)</f>
        <v>8502</v>
      </c>
      <c r="J578" s="345">
        <f>ROUND(H578*VLOOKUP($D578,ALLOCTABLE_Prod_Commodity,$H$10,FALSE),0)</f>
        <v>6408</v>
      </c>
      <c r="K578" s="345">
        <f ca="1">SUM($G578:$J578)</f>
        <v>60857</v>
      </c>
      <c r="L578" s="345">
        <f ca="1">F578-$K578</f>
        <v>0</v>
      </c>
    </row>
    <row r="579" spans="1:12" ht="13">
      <c r="A579" s="961">
        <v>3</v>
      </c>
      <c r="B579" s="1369" t="s">
        <v>1152</v>
      </c>
      <c r="C579" s="1371"/>
      <c r="D579" s="1370" t="s">
        <v>315</v>
      </c>
      <c r="E579" s="340"/>
      <c r="F579" s="1451"/>
      <c r="G579" s="1451"/>
      <c r="H579" s="1451"/>
      <c r="I579" s="1452"/>
      <c r="J579" s="1451"/>
      <c r="K579" s="1451"/>
      <c r="L579" s="1451"/>
    </row>
    <row r="580" spans="1:12" ht="13">
      <c r="A580" s="961">
        <v>4</v>
      </c>
      <c r="B580" s="1373" t="s">
        <v>1381</v>
      </c>
      <c r="C580" s="1352"/>
      <c r="D580" s="1374"/>
      <c r="E580" s="340"/>
      <c r="F580" s="333">
        <f>SUM(F578:F579)</f>
        <v>60857</v>
      </c>
      <c r="G580" s="333">
        <f t="shared" ref="G580:L580" ca="1" si="164">SUM(G578:G579)</f>
        <v>26200</v>
      </c>
      <c r="H580" s="333">
        <f t="shared" si="164"/>
        <v>19747</v>
      </c>
      <c r="I580" s="333">
        <f t="shared" ca="1" si="164"/>
        <v>8502</v>
      </c>
      <c r="J580" s="333">
        <f t="shared" si="164"/>
        <v>6408</v>
      </c>
      <c r="K580" s="333">
        <f t="shared" ca="1" si="164"/>
        <v>60857</v>
      </c>
      <c r="L580" s="333">
        <f t="shared" ca="1" si="164"/>
        <v>0</v>
      </c>
    </row>
    <row r="581" spans="1:12" ht="15.5">
      <c r="A581" s="961">
        <v>5</v>
      </c>
      <c r="B581" s="1358"/>
      <c r="C581" s="1361"/>
      <c r="D581" s="1375"/>
      <c r="E581" s="340"/>
    </row>
    <row r="582" spans="1:12" ht="13">
      <c r="A582" s="961">
        <v>6</v>
      </c>
      <c r="B582" s="1376" t="s">
        <v>1382</v>
      </c>
      <c r="C582" s="1352"/>
      <c r="D582" s="1374"/>
      <c r="E582" s="340"/>
    </row>
    <row r="583" spans="1:12" ht="13">
      <c r="A583" s="961">
        <v>7</v>
      </c>
      <c r="B583" s="1377" t="s">
        <v>1383</v>
      </c>
      <c r="C583" s="1352"/>
      <c r="D583" s="1374"/>
      <c r="E583" s="340"/>
    </row>
    <row r="584" spans="1:12" ht="13">
      <c r="A584" s="961">
        <v>8</v>
      </c>
      <c r="B584" s="1378" t="s">
        <v>1384</v>
      </c>
      <c r="C584" s="1371"/>
      <c r="D584" s="1370" t="s">
        <v>315</v>
      </c>
      <c r="E584" s="340"/>
      <c r="F584" s="1453">
        <f>'FR-16(7)(v)-2 PROD Classified'!H584</f>
        <v>5682</v>
      </c>
      <c r="G584" s="1454">
        <f ca="1">F584-SUM(H584:J584)</f>
        <v>2446</v>
      </c>
      <c r="H584" s="1454">
        <f>ROUND(F584*VLOOKUP($D584,ALLOCTABLE_Prod_Commodity,$H$10,FALSE),0)</f>
        <v>1844</v>
      </c>
      <c r="I584" s="1454">
        <f ca="1">ROUND(G584*VLOOKUP($D584,ALLOCTABLE_Prod_Commodity,$H$10,FALSE),0)</f>
        <v>794</v>
      </c>
      <c r="J584" s="1454">
        <f>ROUND(H584*VLOOKUP($D584,ALLOCTABLE_Prod_Commodity,$H$10,FALSE),0)</f>
        <v>598</v>
      </c>
      <c r="K584" s="1454">
        <f ca="1">SUM($G584:$J584)</f>
        <v>5682</v>
      </c>
      <c r="L584" s="1454">
        <f ca="1">F584-$K584</f>
        <v>0</v>
      </c>
    </row>
    <row r="585" spans="1:12" ht="13">
      <c r="A585" s="961">
        <v>9</v>
      </c>
      <c r="B585" s="1373" t="s">
        <v>1386</v>
      </c>
      <c r="C585" s="1352"/>
      <c r="D585" s="1374"/>
      <c r="E585" s="340"/>
      <c r="F585" s="333">
        <f>SUM(F584)</f>
        <v>5682</v>
      </c>
      <c r="G585" s="333">
        <f t="shared" ref="G585:L585" ca="1" si="165">SUM(G584)</f>
        <v>2446</v>
      </c>
      <c r="H585" s="333">
        <f t="shared" si="165"/>
        <v>1844</v>
      </c>
      <c r="I585" s="333">
        <f t="shared" ca="1" si="165"/>
        <v>794</v>
      </c>
      <c r="J585" s="333">
        <f t="shared" si="165"/>
        <v>598</v>
      </c>
      <c r="K585" s="333">
        <f t="shared" ca="1" si="165"/>
        <v>5682</v>
      </c>
      <c r="L585" s="333">
        <f t="shared" ca="1" si="165"/>
        <v>0</v>
      </c>
    </row>
    <row r="586" spans="1:12" ht="13">
      <c r="A586" s="961">
        <v>10</v>
      </c>
      <c r="B586" s="1082"/>
      <c r="C586" s="1352"/>
      <c r="D586" s="1374"/>
      <c r="E586" s="340"/>
    </row>
    <row r="587" spans="1:12" ht="13">
      <c r="A587" s="961">
        <v>11</v>
      </c>
      <c r="B587" s="1379" t="s">
        <v>1387</v>
      </c>
      <c r="C587" s="1380"/>
      <c r="D587" s="1381"/>
      <c r="E587" s="340"/>
    </row>
    <row r="588" spans="1:12" ht="13">
      <c r="A588" s="961">
        <v>12</v>
      </c>
      <c r="B588" s="1369" t="s">
        <v>1388</v>
      </c>
      <c r="C588" s="1371"/>
      <c r="D588" s="1370" t="s">
        <v>315</v>
      </c>
      <c r="E588" s="340"/>
      <c r="F588" s="1453">
        <f>'FR-16(7)(v)-2 PROD Classified'!H588</f>
        <v>0</v>
      </c>
      <c r="G588" s="1454">
        <f ca="1">F588-SUM(H588:J588)</f>
        <v>0</v>
      </c>
      <c r="H588" s="1454">
        <f>ROUND(F588*VLOOKUP($D588,ALLOCTABLE_Prod_Commodity,$H$10,FALSE),0)</f>
        <v>0</v>
      </c>
      <c r="I588" s="1454">
        <f ca="1">ROUND(G588*VLOOKUP($D588,ALLOCTABLE_Prod_Commodity,$H$10,FALSE),0)</f>
        <v>0</v>
      </c>
      <c r="J588" s="1454">
        <f>ROUND(H588*VLOOKUP($D588,ALLOCTABLE_Prod_Commodity,$H$10,FALSE),0)</f>
        <v>0</v>
      </c>
      <c r="K588" s="1454">
        <f ca="1">SUM($G588:$J588)</f>
        <v>0</v>
      </c>
      <c r="L588" s="1454">
        <f ca="1">F588-$K588</f>
        <v>0</v>
      </c>
    </row>
    <row r="589" spans="1:12" ht="13">
      <c r="A589" s="961">
        <v>13</v>
      </c>
      <c r="B589" s="1373" t="s">
        <v>1389</v>
      </c>
      <c r="C589" s="1352"/>
      <c r="D589" s="1374"/>
      <c r="E589" s="340"/>
      <c r="F589" s="333">
        <f>SUM(F588)</f>
        <v>0</v>
      </c>
      <c r="G589" s="333">
        <f t="shared" ref="G589" ca="1" si="166">SUM(G588)</f>
        <v>0</v>
      </c>
      <c r="H589" s="333">
        <f t="shared" ref="H589" si="167">SUM(H588)</f>
        <v>0</v>
      </c>
      <c r="I589" s="333">
        <f t="shared" ref="I589" ca="1" si="168">SUM(I588)</f>
        <v>0</v>
      </c>
      <c r="J589" s="333">
        <f t="shared" ref="J589" si="169">SUM(J588)</f>
        <v>0</v>
      </c>
      <c r="K589" s="333">
        <f t="shared" ref="K589" ca="1" si="170">SUM(K588)</f>
        <v>0</v>
      </c>
      <c r="L589" s="333">
        <f t="shared" ref="L589" ca="1" si="171">SUM(L588)</f>
        <v>0</v>
      </c>
    </row>
    <row r="590" spans="1:12" ht="13">
      <c r="A590" s="961">
        <v>14</v>
      </c>
      <c r="B590" s="1352"/>
      <c r="C590" s="1352"/>
      <c r="D590" s="1374"/>
      <c r="E590" s="340"/>
    </row>
    <row r="591" spans="1:12" ht="13">
      <c r="A591" s="961">
        <v>15</v>
      </c>
      <c r="B591" s="1352" t="s">
        <v>1390</v>
      </c>
      <c r="C591" s="1352"/>
      <c r="D591" s="1374"/>
      <c r="E591" s="340"/>
      <c r="F591" s="1280">
        <f>F589+F585</f>
        <v>5682</v>
      </c>
      <c r="G591" s="1280">
        <f t="shared" ref="G591:L591" ca="1" si="172">G589+G585</f>
        <v>2446</v>
      </c>
      <c r="H591" s="1280">
        <f t="shared" si="172"/>
        <v>1844</v>
      </c>
      <c r="I591" s="1280">
        <f t="shared" ca="1" si="172"/>
        <v>794</v>
      </c>
      <c r="J591" s="1280">
        <f t="shared" si="172"/>
        <v>598</v>
      </c>
      <c r="K591" s="1280">
        <f t="shared" ca="1" si="172"/>
        <v>5682</v>
      </c>
      <c r="L591" s="1280">
        <f t="shared" ca="1" si="172"/>
        <v>0</v>
      </c>
    </row>
    <row r="592" spans="1:12" ht="13">
      <c r="A592" s="961">
        <v>16</v>
      </c>
      <c r="B592" s="1352"/>
      <c r="C592" s="1352"/>
      <c r="D592" s="1374"/>
      <c r="E592" s="340"/>
    </row>
    <row r="593" spans="1:12" ht="13">
      <c r="A593" s="961">
        <v>17</v>
      </c>
      <c r="B593" s="1382" t="s">
        <v>68</v>
      </c>
      <c r="C593" s="1383"/>
      <c r="D593" s="961"/>
      <c r="E593" s="340"/>
    </row>
    <row r="594" spans="1:12" ht="13">
      <c r="A594" s="961">
        <v>18</v>
      </c>
      <c r="B594" s="1377" t="s">
        <v>1391</v>
      </c>
      <c r="C594" s="1352"/>
      <c r="D594" s="1374"/>
      <c r="E594" s="340"/>
    </row>
    <row r="595" spans="1:12" ht="13">
      <c r="A595" s="961">
        <v>19</v>
      </c>
      <c r="B595" s="1352" t="s">
        <v>43</v>
      </c>
      <c r="C595" s="1352"/>
      <c r="D595" s="1374"/>
      <c r="E595" s="340"/>
      <c r="F595" s="473">
        <f>F334</f>
        <v>557022</v>
      </c>
      <c r="G595" s="473">
        <f t="shared" ref="G595:L595" si="173">G334</f>
        <v>326026</v>
      </c>
      <c r="H595" s="473">
        <f t="shared" si="173"/>
        <v>192602</v>
      </c>
      <c r="I595" s="473">
        <f t="shared" si="173"/>
        <v>38070</v>
      </c>
      <c r="J595" s="473">
        <f t="shared" si="173"/>
        <v>324</v>
      </c>
      <c r="K595" s="473">
        <f t="shared" si="173"/>
        <v>557022</v>
      </c>
      <c r="L595" s="473">
        <f t="shared" si="173"/>
        <v>0</v>
      </c>
    </row>
    <row r="596" spans="1:12" ht="13">
      <c r="A596" s="961">
        <v>20</v>
      </c>
      <c r="B596" s="1352" t="s">
        <v>199</v>
      </c>
      <c r="C596" s="1352"/>
      <c r="D596" s="1374"/>
      <c r="E596" s="340"/>
      <c r="F596" s="473">
        <f>F557</f>
        <v>1056420</v>
      </c>
      <c r="G596" s="473">
        <f t="shared" ref="G596:L596" ca="1" si="174">G557</f>
        <v>673568</v>
      </c>
      <c r="H596" s="473">
        <f t="shared" si="174"/>
        <v>395120</v>
      </c>
      <c r="I596" s="473">
        <f t="shared" ca="1" si="174"/>
        <v>-16794</v>
      </c>
      <c r="J596" s="473">
        <f t="shared" si="174"/>
        <v>4526</v>
      </c>
      <c r="K596" s="473">
        <f t="shared" ca="1" si="174"/>
        <v>1056420</v>
      </c>
      <c r="L596" s="473">
        <f t="shared" ca="1" si="174"/>
        <v>0</v>
      </c>
    </row>
    <row r="597" spans="1:12" ht="13">
      <c r="A597" s="961">
        <v>21</v>
      </c>
      <c r="B597" s="1352" t="s">
        <v>1392</v>
      </c>
      <c r="C597" s="1352"/>
      <c r="D597" s="1374"/>
      <c r="E597" s="340"/>
      <c r="F597" s="473">
        <f>-F524</f>
        <v>-451648</v>
      </c>
      <c r="G597" s="473">
        <f t="shared" ref="G597:L597" si="175">-G524</f>
        <v>-249300</v>
      </c>
      <c r="H597" s="473">
        <f t="shared" si="175"/>
        <v>-148060</v>
      </c>
      <c r="I597" s="473">
        <f t="shared" si="175"/>
        <v>-53943</v>
      </c>
      <c r="J597" s="473">
        <f t="shared" si="175"/>
        <v>-345</v>
      </c>
      <c r="K597" s="473">
        <f t="shared" si="175"/>
        <v>-451648</v>
      </c>
      <c r="L597" s="473">
        <f t="shared" si="175"/>
        <v>0</v>
      </c>
    </row>
    <row r="598" spans="1:12" ht="13">
      <c r="A598" s="961">
        <v>22</v>
      </c>
      <c r="B598" s="1352" t="s">
        <v>1393</v>
      </c>
      <c r="C598" s="1352"/>
      <c r="D598" s="1374"/>
      <c r="E598" s="340"/>
      <c r="F598" s="473">
        <f>-F580</f>
        <v>-60857</v>
      </c>
      <c r="G598" s="473">
        <f t="shared" ref="G598:L598" ca="1" si="176">-G580</f>
        <v>-26200</v>
      </c>
      <c r="H598" s="473">
        <f t="shared" si="176"/>
        <v>-19747</v>
      </c>
      <c r="I598" s="473">
        <f t="shared" ca="1" si="176"/>
        <v>-8502</v>
      </c>
      <c r="J598" s="473">
        <f t="shared" si="176"/>
        <v>-6408</v>
      </c>
      <c r="K598" s="473">
        <f t="shared" ca="1" si="176"/>
        <v>-60857</v>
      </c>
      <c r="L598" s="473">
        <f t="shared" ca="1" si="176"/>
        <v>0</v>
      </c>
    </row>
    <row r="599" spans="1:12" ht="13">
      <c r="A599" s="961">
        <v>23</v>
      </c>
      <c r="B599" s="1371" t="s">
        <v>1394</v>
      </c>
      <c r="C599" s="1371"/>
      <c r="D599" s="1374"/>
      <c r="E599" s="340"/>
      <c r="F599" s="1455">
        <f>F591</f>
        <v>5682</v>
      </c>
      <c r="G599" s="1455">
        <f t="shared" ref="G599:L599" ca="1" si="177">G591</f>
        <v>2446</v>
      </c>
      <c r="H599" s="1455">
        <f t="shared" si="177"/>
        <v>1844</v>
      </c>
      <c r="I599" s="1455">
        <f t="shared" ca="1" si="177"/>
        <v>794</v>
      </c>
      <c r="J599" s="1455">
        <f t="shared" si="177"/>
        <v>598</v>
      </c>
      <c r="K599" s="1455">
        <f t="shared" ca="1" si="177"/>
        <v>5682</v>
      </c>
      <c r="L599" s="1455">
        <f t="shared" ca="1" si="177"/>
        <v>0</v>
      </c>
    </row>
    <row r="600" spans="1:12" ht="13">
      <c r="A600" s="961">
        <v>24</v>
      </c>
      <c r="B600" s="1082" t="s">
        <v>1395</v>
      </c>
      <c r="C600" s="1352"/>
      <c r="D600" s="1374"/>
      <c r="E600" s="340"/>
      <c r="F600" s="1280">
        <f t="shared" ref="F600:L600" si="178">SUM(F595:F599)</f>
        <v>1106619</v>
      </c>
      <c r="G600" s="1280">
        <f t="shared" ca="1" si="178"/>
        <v>726540</v>
      </c>
      <c r="H600" s="1280">
        <f t="shared" si="178"/>
        <v>421759</v>
      </c>
      <c r="I600" s="1280">
        <f t="shared" ca="1" si="178"/>
        <v>-40375</v>
      </c>
      <c r="J600" s="1280">
        <f t="shared" si="178"/>
        <v>-1305</v>
      </c>
      <c r="K600" s="1280">
        <f t="shared" ca="1" si="178"/>
        <v>1106619</v>
      </c>
      <c r="L600" s="1280">
        <f t="shared" ca="1" si="178"/>
        <v>0</v>
      </c>
    </row>
    <row r="601" spans="1:12" ht="13">
      <c r="A601" s="961">
        <v>25</v>
      </c>
      <c r="B601" s="1352"/>
      <c r="C601" s="1352"/>
      <c r="D601" s="1374"/>
      <c r="E601" s="340"/>
    </row>
    <row r="602" spans="1:12" ht="13">
      <c r="A602" s="961">
        <v>26</v>
      </c>
      <c r="B602" s="1352" t="s">
        <v>1396</v>
      </c>
      <c r="C602" s="1352"/>
      <c r="D602" s="1374"/>
      <c r="E602" s="340"/>
      <c r="F602" s="1389">
        <f t="shared" ref="F602:L602" si="179">ROUND(SIT/(1-SIT),8)</f>
        <v>5.2282660000000002E-2</v>
      </c>
      <c r="G602" s="1389">
        <f t="shared" si="179"/>
        <v>5.2282660000000002E-2</v>
      </c>
      <c r="H602" s="1389">
        <f t="shared" si="179"/>
        <v>5.2282660000000002E-2</v>
      </c>
      <c r="I602" s="1389">
        <f t="shared" si="179"/>
        <v>5.2282660000000002E-2</v>
      </c>
      <c r="J602" s="1389">
        <f t="shared" si="179"/>
        <v>5.2282660000000002E-2</v>
      </c>
      <c r="K602" s="1389">
        <f t="shared" si="179"/>
        <v>5.2282660000000002E-2</v>
      </c>
      <c r="L602" s="1389">
        <f t="shared" si="179"/>
        <v>5.2282660000000002E-2</v>
      </c>
    </row>
    <row r="603" spans="1:12" ht="13">
      <c r="A603" s="961">
        <v>27</v>
      </c>
      <c r="B603" s="1352" t="s">
        <v>1397</v>
      </c>
      <c r="C603" s="1352"/>
      <c r="D603" s="1393" t="s">
        <v>1398</v>
      </c>
      <c r="E603" s="340"/>
      <c r="F603" s="1394">
        <f t="shared" ref="F603:L603" si="180">ROUND(F600*F602,0)</f>
        <v>57857</v>
      </c>
      <c r="G603" s="1394">
        <f t="shared" ca="1" si="180"/>
        <v>37985</v>
      </c>
      <c r="H603" s="1394">
        <f t="shared" si="180"/>
        <v>22051</v>
      </c>
      <c r="I603" s="1394">
        <f t="shared" ca="1" si="180"/>
        <v>-2111</v>
      </c>
      <c r="J603" s="1394">
        <f t="shared" si="180"/>
        <v>-68</v>
      </c>
      <c r="K603" s="1394">
        <f t="shared" ca="1" si="180"/>
        <v>57857</v>
      </c>
      <c r="L603" s="1394">
        <f t="shared" ca="1" si="180"/>
        <v>0</v>
      </c>
    </row>
    <row r="604" spans="1:12" ht="13">
      <c r="A604" s="961">
        <v>28</v>
      </c>
      <c r="B604" s="1371" t="s">
        <v>1399</v>
      </c>
      <c r="C604" s="1371"/>
      <c r="D604" s="1374"/>
      <c r="E604" s="1395"/>
      <c r="F604" s="1394">
        <f t="shared" ref="F604:L604" si="181">F591</f>
        <v>5682</v>
      </c>
      <c r="G604" s="1394">
        <f t="shared" ca="1" si="181"/>
        <v>2446</v>
      </c>
      <c r="H604" s="1394">
        <f t="shared" si="181"/>
        <v>1844</v>
      </c>
      <c r="I604" s="1394">
        <f t="shared" ca="1" si="181"/>
        <v>794</v>
      </c>
      <c r="J604" s="1394">
        <f t="shared" si="181"/>
        <v>598</v>
      </c>
      <c r="K604" s="1394">
        <f t="shared" ca="1" si="181"/>
        <v>5682</v>
      </c>
      <c r="L604" s="1394">
        <f t="shared" ca="1" si="181"/>
        <v>0</v>
      </c>
    </row>
    <row r="605" spans="1:12" ht="13">
      <c r="A605" s="961">
        <v>29</v>
      </c>
      <c r="B605" s="1082" t="s">
        <v>1400</v>
      </c>
      <c r="C605" s="1352"/>
      <c r="D605" s="1374"/>
      <c r="E605" s="340"/>
      <c r="F605" s="1399">
        <f t="shared" ref="F605:L605" si="182">F604+F603</f>
        <v>63539</v>
      </c>
      <c r="G605" s="1399">
        <f t="shared" ca="1" si="182"/>
        <v>40431</v>
      </c>
      <c r="H605" s="1399">
        <f t="shared" si="182"/>
        <v>23895</v>
      </c>
      <c r="I605" s="1399">
        <f t="shared" ca="1" si="182"/>
        <v>-1317</v>
      </c>
      <c r="J605" s="1399">
        <f t="shared" si="182"/>
        <v>530</v>
      </c>
      <c r="K605" s="1399">
        <f t="shared" ca="1" si="182"/>
        <v>63539</v>
      </c>
      <c r="L605" s="1399">
        <f t="shared" ca="1" si="182"/>
        <v>0</v>
      </c>
    </row>
    <row r="606" spans="1:12" ht="13">
      <c r="A606" s="961">
        <v>30</v>
      </c>
      <c r="B606" s="1352"/>
      <c r="C606" s="1352"/>
      <c r="D606" s="1374"/>
      <c r="E606" s="340"/>
    </row>
    <row r="607" spans="1:12" ht="13">
      <c r="A607" s="961">
        <v>31</v>
      </c>
      <c r="B607" s="1352" t="s">
        <v>1401</v>
      </c>
      <c r="C607" s="1352"/>
      <c r="D607" s="1374"/>
      <c r="E607" s="340"/>
    </row>
    <row r="608" spans="1:12" ht="13">
      <c r="A608" s="961">
        <v>32</v>
      </c>
      <c r="B608" s="1352" t="s">
        <v>1397</v>
      </c>
      <c r="C608" s="1352"/>
      <c r="D608" s="1374"/>
      <c r="E608" s="340"/>
      <c r="F608" s="1394">
        <f t="shared" ref="F608:L608" si="183">F603</f>
        <v>57857</v>
      </c>
      <c r="G608" s="1394">
        <f t="shared" ca="1" si="183"/>
        <v>37985</v>
      </c>
      <c r="H608" s="1394">
        <f t="shared" si="183"/>
        <v>22051</v>
      </c>
      <c r="I608" s="1394">
        <f t="shared" ca="1" si="183"/>
        <v>-2111</v>
      </c>
      <c r="J608" s="1394">
        <f t="shared" si="183"/>
        <v>-68</v>
      </c>
      <c r="K608" s="1394">
        <f t="shared" ca="1" si="183"/>
        <v>57857</v>
      </c>
      <c r="L608" s="1394">
        <f t="shared" ca="1" si="183"/>
        <v>0</v>
      </c>
    </row>
    <row r="609" spans="1:12" ht="13">
      <c r="A609" s="961">
        <v>33</v>
      </c>
      <c r="B609" s="1371" t="s">
        <v>1387</v>
      </c>
      <c r="C609" s="1371"/>
      <c r="D609" s="1374"/>
      <c r="E609" s="340"/>
      <c r="F609" s="1394">
        <f t="shared" ref="F609:L609" si="184">F589</f>
        <v>0</v>
      </c>
      <c r="G609" s="1394">
        <f t="shared" ca="1" si="184"/>
        <v>0</v>
      </c>
      <c r="H609" s="1394">
        <f t="shared" si="184"/>
        <v>0</v>
      </c>
      <c r="I609" s="1394">
        <f t="shared" ca="1" si="184"/>
        <v>0</v>
      </c>
      <c r="J609" s="1394">
        <f t="shared" si="184"/>
        <v>0</v>
      </c>
      <c r="K609" s="1394">
        <f t="shared" ca="1" si="184"/>
        <v>0</v>
      </c>
      <c r="L609" s="1394">
        <f t="shared" ca="1" si="184"/>
        <v>0</v>
      </c>
    </row>
    <row r="610" spans="1:12" ht="13">
      <c r="A610" s="961">
        <v>34</v>
      </c>
      <c r="B610" s="1082" t="s">
        <v>1402</v>
      </c>
      <c r="C610" s="1352"/>
      <c r="D610" s="1374"/>
      <c r="E610" s="340"/>
      <c r="F610" s="1399">
        <f t="shared" ref="F610:L610" si="185">F608+F609</f>
        <v>57857</v>
      </c>
      <c r="G610" s="1399">
        <f t="shared" ca="1" si="185"/>
        <v>37985</v>
      </c>
      <c r="H610" s="1399">
        <f t="shared" si="185"/>
        <v>22051</v>
      </c>
      <c r="I610" s="1399">
        <f t="shared" ca="1" si="185"/>
        <v>-2111</v>
      </c>
      <c r="J610" s="1399">
        <f t="shared" si="185"/>
        <v>-68</v>
      </c>
      <c r="K610" s="1399">
        <f t="shared" ca="1" si="185"/>
        <v>57857</v>
      </c>
      <c r="L610" s="1399">
        <f t="shared" ca="1" si="185"/>
        <v>0</v>
      </c>
    </row>
    <row r="611" spans="1:12" ht="13">
      <c r="A611" s="961">
        <v>35</v>
      </c>
      <c r="B611" s="1352"/>
      <c r="C611" s="1352"/>
      <c r="D611" s="1352"/>
      <c r="E611" s="340"/>
    </row>
    <row r="612" spans="1:12" ht="13">
      <c r="A612" s="961">
        <v>36</v>
      </c>
      <c r="B612" s="1352" t="s">
        <v>76</v>
      </c>
      <c r="C612" s="1352"/>
      <c r="D612" s="1352"/>
      <c r="E612" s="340"/>
      <c r="F612" s="1403">
        <f t="shared" ref="F612:L612" si="186">(SIT*(1-FIT))+((1-SIT)*(1-FIT)*RevTax)+FIT</f>
        <v>0.24925115</v>
      </c>
      <c r="G612" s="1403">
        <f t="shared" si="186"/>
        <v>0.24925115</v>
      </c>
      <c r="H612" s="1403">
        <f t="shared" si="186"/>
        <v>0.24925115</v>
      </c>
      <c r="I612" s="1403">
        <f t="shared" si="186"/>
        <v>0.24925115</v>
      </c>
      <c r="J612" s="1403">
        <f t="shared" si="186"/>
        <v>0.24925115</v>
      </c>
      <c r="K612" s="1403">
        <f t="shared" si="186"/>
        <v>0.24925115</v>
      </c>
      <c r="L612" s="1403">
        <f t="shared" si="186"/>
        <v>0.24925115</v>
      </c>
    </row>
    <row r="614" spans="1:12" ht="13">
      <c r="A614" s="341" t="str">
        <f>co_name</f>
        <v>DUKE ENERGY KENTUCKY, INC.</v>
      </c>
      <c r="C614" s="195"/>
      <c r="D614" s="342"/>
      <c r="E614" s="195"/>
      <c r="F614" s="342"/>
      <c r="G614" s="340"/>
      <c r="H614" s="340"/>
      <c r="I614" s="195"/>
      <c r="K614" s="359" t="str">
        <f>$K$1</f>
        <v>FR-16(7)(v)-3</v>
      </c>
      <c r="L614" s="195"/>
    </row>
    <row r="615" spans="1:12" ht="13">
      <c r="A615" s="341" t="str">
        <f>$A$2</f>
        <v>PRODUCTION COMMODITY ALLOCATED - GAS COST OF SERVICE</v>
      </c>
      <c r="C615" s="195"/>
      <c r="D615" s="342"/>
      <c r="E615" s="195"/>
      <c r="F615" s="342"/>
      <c r="G615" s="340"/>
      <c r="H615" s="340"/>
      <c r="I615" s="195"/>
      <c r="K615" s="359" t="str">
        <f>$K$2</f>
        <v>WITNESS RESPONSIBLE:</v>
      </c>
      <c r="L615" s="195"/>
    </row>
    <row r="616" spans="1:12" ht="13">
      <c r="A616" s="341" t="str">
        <f>case_name</f>
        <v>CASE NO: 2021-00190</v>
      </c>
      <c r="C616" s="195"/>
      <c r="D616" s="342"/>
      <c r="E616" s="195"/>
      <c r="F616" s="342"/>
      <c r="G616" s="340"/>
      <c r="H616" s="340"/>
      <c r="I616" s="195"/>
      <c r="K616" s="359" t="str">
        <f>Witness</f>
        <v>JAMES E. ZIOLKOWSKI</v>
      </c>
      <c r="L616" s="195"/>
    </row>
    <row r="617" spans="1:12" ht="13">
      <c r="A617" s="341" t="str">
        <f>data_filing</f>
        <v>DATA: 12 MONTH FORECASTED PERIOD</v>
      </c>
      <c r="C617" s="195"/>
      <c r="D617" s="342"/>
      <c r="E617" s="195"/>
      <c r="F617" s="342"/>
      <c r="G617" s="340"/>
      <c r="H617" s="340"/>
      <c r="I617" s="195"/>
      <c r="K617" s="359" t="str">
        <f>"PAGE "&amp;Pages-4&amp;" OF "&amp;Pages</f>
        <v>PAGE 14 OF 18</v>
      </c>
      <c r="L617" s="195"/>
    </row>
    <row r="618" spans="1:12" ht="13">
      <c r="A618" s="341" t="str">
        <f>type</f>
        <v xml:space="preserve">TYPE OF FILING: "X" ORIGINAL   UPDATED    REVISED  </v>
      </c>
      <c r="C618" s="195"/>
      <c r="D618" s="342"/>
      <c r="E618" s="195"/>
      <c r="F618" s="342"/>
      <c r="G618" s="340"/>
      <c r="H618" s="340"/>
      <c r="I618" s="195"/>
      <c r="J618" s="342"/>
      <c r="K618" s="195"/>
      <c r="L618" s="195"/>
    </row>
    <row r="619" spans="1:12" ht="13">
      <c r="B619" s="341"/>
      <c r="C619" s="195"/>
      <c r="D619" s="342"/>
      <c r="E619" s="195"/>
      <c r="F619" s="342"/>
      <c r="G619" s="195"/>
      <c r="H619" s="195"/>
      <c r="I619" s="195"/>
      <c r="J619" s="342"/>
      <c r="K619" s="195"/>
      <c r="L619" s="195"/>
    </row>
    <row r="620" spans="1:12" ht="13">
      <c r="B620" s="341"/>
      <c r="C620" s="195"/>
      <c r="D620" s="342"/>
      <c r="E620" s="195"/>
      <c r="F620" s="342" t="str">
        <f>$F$7</f>
        <v>TOTAL</v>
      </c>
      <c r="G620" s="195"/>
      <c r="H620" s="195"/>
      <c r="I620" s="195"/>
      <c r="J620" s="342"/>
      <c r="K620" s="195"/>
      <c r="L620" s="195"/>
    </row>
    <row r="621" spans="1:12" ht="13">
      <c r="A621" s="342" t="s">
        <v>907</v>
      </c>
      <c r="B621" s="195"/>
      <c r="C621" s="195"/>
      <c r="D621" s="342"/>
      <c r="E621" s="195"/>
      <c r="F621" s="342" t="str">
        <f>$F$8</f>
        <v>PRODUCTION</v>
      </c>
      <c r="G621" s="342" t="s">
        <v>417</v>
      </c>
      <c r="H621" s="342" t="s">
        <v>857</v>
      </c>
      <c r="I621" s="342" t="s">
        <v>858</v>
      </c>
      <c r="J621" s="342" t="s">
        <v>546</v>
      </c>
      <c r="K621" s="342" t="s">
        <v>229</v>
      </c>
      <c r="L621" s="342" t="s">
        <v>342</v>
      </c>
    </row>
    <row r="622" spans="1:12" ht="13">
      <c r="A622" s="344" t="s">
        <v>908</v>
      </c>
      <c r="B622" s="343" t="s">
        <v>77</v>
      </c>
      <c r="C622" s="343"/>
      <c r="D622" s="344" t="s">
        <v>337</v>
      </c>
      <c r="E622" s="343"/>
      <c r="F622" s="342" t="str">
        <f>$F$9</f>
        <v>COMMODITY</v>
      </c>
      <c r="G622" s="344" t="s">
        <v>338</v>
      </c>
      <c r="H622" s="344" t="s">
        <v>404</v>
      </c>
      <c r="I622" s="344" t="s">
        <v>404</v>
      </c>
      <c r="J622" s="344" t="s">
        <v>547</v>
      </c>
      <c r="K622" s="344" t="s">
        <v>341</v>
      </c>
      <c r="L622" s="344" t="s">
        <v>340</v>
      </c>
    </row>
    <row r="623" spans="1:12" ht="13">
      <c r="C623" s="572" t="s">
        <v>352</v>
      </c>
      <c r="D623" s="342"/>
      <c r="E623" s="195"/>
      <c r="F623" s="755"/>
      <c r="G623" s="627">
        <f>$G$10</f>
        <v>3</v>
      </c>
      <c r="H623" s="627">
        <f>$H$10</f>
        <v>4</v>
      </c>
      <c r="I623" s="627">
        <f>$I$10</f>
        <v>5</v>
      </c>
      <c r="J623" s="627">
        <f>$J$10</f>
        <v>6</v>
      </c>
    </row>
    <row r="624" spans="1:12" ht="13">
      <c r="A624" s="331">
        <v>1</v>
      </c>
      <c r="B624" s="330" t="s">
        <v>78</v>
      </c>
      <c r="D624" s="342"/>
      <c r="E624" s="195"/>
      <c r="I624" s="330"/>
    </row>
    <row r="625" spans="1:12" ht="13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3">
        <f>'FR-16(7)(v)-2 PROD Classified'!H625</f>
        <v>0</v>
      </c>
      <c r="G625" s="347">
        <f>F625-SUM(H625:J625)</f>
        <v>0</v>
      </c>
      <c r="H625" s="345">
        <f>ROUND($F$625*VLOOKUP($D$625,ALLOCTABLE_Prod_Commodity,$H$10,FALSE),0)</f>
        <v>0</v>
      </c>
      <c r="I625" s="345">
        <f>ROUND(F625*VLOOKUP(D625,ALLOCTABLE_Prod_Commodity,$I$10,FALSE),0)</f>
        <v>0</v>
      </c>
      <c r="J625" s="345">
        <f>ROUND(F625*VLOOKUP(D625,ALLOCTABLE_Prod_Commodity,$J$10,FALSE),0)</f>
        <v>0</v>
      </c>
      <c r="K625" s="345">
        <f>SUM($G$625:$J$625)</f>
        <v>0</v>
      </c>
      <c r="L625" s="345">
        <f>F625-$K$625</f>
        <v>0</v>
      </c>
    </row>
    <row r="626" spans="1:12" ht="13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3">
        <f>'FR-16(7)(v)-2 PROD Classified'!H626</f>
        <v>0</v>
      </c>
      <c r="G626" s="347">
        <f>F626-SUM(H626:J626)</f>
        <v>0</v>
      </c>
      <c r="H626" s="345">
        <f>ROUND($F$626*VLOOKUP($D$626,ALLOCTABLE_Prod_Commodity,$H$10,FALSE),0)</f>
        <v>0</v>
      </c>
      <c r="I626" s="345">
        <f>ROUND(F626*VLOOKUP(D626,ALLOCTABLE_Prod_Commodity,$I$10,FALSE),0)</f>
        <v>0</v>
      </c>
      <c r="J626" s="345">
        <f>ROUND(F626*VLOOKUP(D626,ALLOCTABLE_Prod_Commodity,$J$10,FALSE),0)</f>
        <v>0</v>
      </c>
      <c r="K626" s="345">
        <f>SUM($G$626:$J$626)</f>
        <v>0</v>
      </c>
      <c r="L626" s="345">
        <f>F626-$K$626</f>
        <v>0</v>
      </c>
    </row>
    <row r="627" spans="1:12" ht="13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3">
        <f>'FR-16(7)(v)-2 PROD Classified'!H627</f>
        <v>0</v>
      </c>
      <c r="G627" s="347">
        <f>F627-SUM(H627:J627)</f>
        <v>0</v>
      </c>
      <c r="H627" s="345">
        <f>ROUND($F$627*VLOOKUP($D$627,ALLOCTABLE_Prod_Commodity,$H$10,FALSE),0)</f>
        <v>0</v>
      </c>
      <c r="I627" s="345">
        <f>ROUND(F627*VLOOKUP(D627,ALLOCTABLE_Prod_Commodity,$I$10,FALSE),0)</f>
        <v>0</v>
      </c>
      <c r="J627" s="345">
        <f>ROUND(F627*VLOOKUP(D627,ALLOCTABLE_Prod_Commodity,$J$10,FALSE),0)</f>
        <v>0</v>
      </c>
      <c r="K627" s="345">
        <f>SUM($G$627:$J$627)</f>
        <v>0</v>
      </c>
      <c r="L627" s="345">
        <f>F627-$K$627</f>
        <v>0</v>
      </c>
    </row>
    <row r="628" spans="1:12" ht="13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3">
        <f>'FR-16(7)(v)-2 PROD Classified'!H628</f>
        <v>0</v>
      </c>
      <c r="G628" s="347">
        <f>F628-SUM(H628:J628)</f>
        <v>0</v>
      </c>
      <c r="H628" s="345">
        <f>ROUND($F$628*VLOOKUP($D$628,ALLOCTABLE_Prod_Commodity,$H$10,FALSE),0)</f>
        <v>0</v>
      </c>
      <c r="I628" s="345">
        <f>ROUND(F628*VLOOKUP(D628,ALLOCTABLE_Prod_Commodity,$I$10,FALSE),0)</f>
        <v>0</v>
      </c>
      <c r="J628" s="345">
        <f>ROUND(F628*VLOOKUP(D628,ALLOCTABLE_Prod_Commodity,$J$10,FALSE),0)</f>
        <v>0</v>
      </c>
      <c r="K628" s="345">
        <f>SUM($G$628:$J$628)</f>
        <v>0</v>
      </c>
      <c r="L628" s="345">
        <f>F628-$K$628</f>
        <v>0</v>
      </c>
    </row>
    <row r="629" spans="1:12" ht="13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3">
        <f>'FR-16(7)(v)-2 PROD Classified'!H629</f>
        <v>40105</v>
      </c>
      <c r="G629" s="347">
        <f>F629-SUM(H629:J629)</f>
        <v>25145</v>
      </c>
      <c r="H629" s="345">
        <f>ROUND($F$629*VLOOKUP($D$629,ALLOCTABLE_Prod_Commodity,$H$10,FALSE),0)</f>
        <v>14751</v>
      </c>
      <c r="I629" s="345">
        <f>ROUND(F629*VLOOKUP(D629,ALLOCTABLE_Prod_Commodity,$I$10,FALSE),0)</f>
        <v>122</v>
      </c>
      <c r="J629" s="345">
        <f>ROUND(F629*VLOOKUP(D629,ALLOCTABLE_Prod_Commodity,$J$10,FALSE),0)</f>
        <v>87</v>
      </c>
      <c r="K629" s="345">
        <f>SUM($G$629:$J$629)</f>
        <v>40105</v>
      </c>
      <c r="L629" s="345">
        <f>F629-$K$629</f>
        <v>0</v>
      </c>
    </row>
    <row r="630" spans="1:12" ht="13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40105</v>
      </c>
      <c r="G630" s="346">
        <f>SUM($G$625:$G$629)</f>
        <v>25145</v>
      </c>
      <c r="H630" s="346">
        <f>SUM($H$625:$H$629)</f>
        <v>14751</v>
      </c>
      <c r="I630" s="346">
        <f>SUM($I$625:$I$629)</f>
        <v>122</v>
      </c>
      <c r="J630" s="346">
        <f>SUM($J$625:$J$629)</f>
        <v>87</v>
      </c>
      <c r="K630" s="346">
        <f>SUM($K$625:$K$629)</f>
        <v>40105</v>
      </c>
      <c r="L630" s="346">
        <f>SUM($L$625:$L$629)</f>
        <v>0</v>
      </c>
    </row>
    <row r="631" spans="1:12" ht="13">
      <c r="A631" s="331">
        <v>8</v>
      </c>
      <c r="D631" s="342"/>
      <c r="E631" s="195"/>
      <c r="I631" s="330"/>
    </row>
    <row r="632" spans="1:12" ht="13">
      <c r="A632" s="331">
        <v>9</v>
      </c>
      <c r="B632" s="330" t="s">
        <v>77</v>
      </c>
      <c r="D632" s="342"/>
      <c r="E632" s="195"/>
      <c r="I632" s="330"/>
    </row>
    <row r="633" spans="1:12" ht="13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44388821</v>
      </c>
      <c r="G633" s="345">
        <f>$G$501</f>
        <v>27653888</v>
      </c>
      <c r="H633" s="345">
        <f>$H$501</f>
        <v>16226943</v>
      </c>
      <c r="I633" s="345">
        <f>$I$501</f>
        <v>344468</v>
      </c>
      <c r="J633" s="345">
        <f>$J$501</f>
        <v>163522</v>
      </c>
      <c r="K633" s="345">
        <f>$K$501</f>
        <v>44388821</v>
      </c>
      <c r="L633" s="345">
        <f>$L$501</f>
        <v>0</v>
      </c>
    </row>
    <row r="634" spans="1:12" ht="13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 t="shared" ref="F634:L634" si="187">F334</f>
        <v>557022</v>
      </c>
      <c r="G634" s="345">
        <f t="shared" si="187"/>
        <v>326026</v>
      </c>
      <c r="H634" s="345">
        <f t="shared" si="187"/>
        <v>192602</v>
      </c>
      <c r="I634" s="345">
        <f t="shared" si="187"/>
        <v>38070</v>
      </c>
      <c r="J634" s="345">
        <f t="shared" si="187"/>
        <v>324</v>
      </c>
      <c r="K634" s="345">
        <f t="shared" si="187"/>
        <v>557022</v>
      </c>
      <c r="L634" s="345">
        <f t="shared" si="187"/>
        <v>0</v>
      </c>
    </row>
    <row r="635" spans="1:12" ht="13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>F557</f>
        <v>1056420</v>
      </c>
      <c r="G635" s="345">
        <f ca="1">$G$557</f>
        <v>673568</v>
      </c>
      <c r="H635" s="345">
        <f>$H$557</f>
        <v>395120</v>
      </c>
      <c r="I635" s="345">
        <f ca="1">$I$557</f>
        <v>-16794</v>
      </c>
      <c r="J635" s="345">
        <f>$J$557</f>
        <v>4526</v>
      </c>
      <c r="K635" s="345">
        <f ca="1">$K$557</f>
        <v>1056420</v>
      </c>
      <c r="L635" s="345">
        <f ca="1">$L$557</f>
        <v>0</v>
      </c>
    </row>
    <row r="636" spans="1:12" ht="13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-40105</v>
      </c>
      <c r="G636" s="345">
        <f>-$G$630</f>
        <v>-25145</v>
      </c>
      <c r="H636" s="345">
        <f>-$H$630</f>
        <v>-14751</v>
      </c>
      <c r="I636" s="345">
        <f>-$I$630</f>
        <v>-122</v>
      </c>
      <c r="J636" s="345">
        <f>-$J$630</f>
        <v>-87</v>
      </c>
      <c r="K636" s="345">
        <f>-$K$630</f>
        <v>-40105</v>
      </c>
      <c r="L636" s="345">
        <f>-$L$630</f>
        <v>0</v>
      </c>
    </row>
    <row r="637" spans="1:12" ht="13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>SUM(F632:F636)</f>
        <v>45962158</v>
      </c>
      <c r="G637" s="346">
        <f ca="1">SUM($G$632:$G$636)</f>
        <v>28628337</v>
      </c>
      <c r="H637" s="346">
        <f>SUM($H$632:$H$636)</f>
        <v>16799914</v>
      </c>
      <c r="I637" s="346">
        <f ca="1">SUM($I$632:$I$636)</f>
        <v>365622</v>
      </c>
      <c r="J637" s="346">
        <f>SUM($J$632:$J$636)</f>
        <v>168285</v>
      </c>
      <c r="K637" s="346">
        <f ca="1">SUM($K$632:$K$636)</f>
        <v>45962158</v>
      </c>
      <c r="L637" s="346">
        <f ca="1">$K$637-F637</f>
        <v>0</v>
      </c>
    </row>
    <row r="638" spans="1:12" ht="13">
      <c r="A638" s="331">
        <v>15</v>
      </c>
      <c r="D638" s="342"/>
      <c r="E638" s="195"/>
      <c r="I638" s="330"/>
    </row>
    <row r="639" spans="1:12" ht="13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40105</v>
      </c>
      <c r="G639" s="345">
        <f>-$G$636</f>
        <v>25145</v>
      </c>
      <c r="H639" s="345">
        <f>-$H$636</f>
        <v>14751</v>
      </c>
      <c r="I639" s="345">
        <f>-$I$636</f>
        <v>122</v>
      </c>
      <c r="J639" s="345">
        <f>-$J$636</f>
        <v>87</v>
      </c>
      <c r="K639" s="345">
        <f>-$K$636</f>
        <v>40105</v>
      </c>
      <c r="L639" s="345">
        <f>-$L$636</f>
        <v>0</v>
      </c>
    </row>
    <row r="640" spans="1:12" ht="13">
      <c r="A640" s="331">
        <v>17</v>
      </c>
      <c r="C640" s="357" t="str">
        <f>'FR-16(7)(v)-1 Functional'!C640</f>
        <v>LESS: REVS EXCL FROM REV TAX CALC</v>
      </c>
      <c r="D640" s="342"/>
      <c r="E640" s="195"/>
      <c r="F640" s="347">
        <f t="shared" ref="F640:L640" si="188">F855</f>
        <v>0</v>
      </c>
      <c r="G640" s="345">
        <f>G855</f>
        <v>0</v>
      </c>
      <c r="H640" s="345">
        <f t="shared" si="188"/>
        <v>0</v>
      </c>
      <c r="I640" s="345">
        <f t="shared" si="188"/>
        <v>0</v>
      </c>
      <c r="J640" s="345">
        <f t="shared" si="188"/>
        <v>0</v>
      </c>
      <c r="K640" s="345">
        <f t="shared" si="188"/>
        <v>0</v>
      </c>
      <c r="L640" s="345">
        <f t="shared" si="188"/>
        <v>0</v>
      </c>
    </row>
    <row r="641" spans="1:12" ht="13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40105</v>
      </c>
      <c r="G641" s="346">
        <f>G639-G640</f>
        <v>25145</v>
      </c>
      <c r="H641" s="346">
        <f>H639-H640</f>
        <v>14751</v>
      </c>
      <c r="I641" s="346">
        <f>$I$639-I640</f>
        <v>122</v>
      </c>
      <c r="J641" s="346">
        <f>$J$639-J640</f>
        <v>87</v>
      </c>
      <c r="K641" s="346">
        <f>$K$639-K640</f>
        <v>40105</v>
      </c>
      <c r="L641" s="346">
        <f>$L$639-L640</f>
        <v>0</v>
      </c>
    </row>
    <row r="642" spans="1:12" ht="13">
      <c r="A642" s="331">
        <v>19</v>
      </c>
      <c r="D642" s="342"/>
      <c r="E642" s="195"/>
      <c r="I642" s="330"/>
    </row>
    <row r="643" spans="1:12" ht="13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L643" si="189">ROUND(F694/(1-F694),8)</f>
        <v>0</v>
      </c>
      <c r="G643" s="348">
        <f t="shared" si="189"/>
        <v>0</v>
      </c>
      <c r="H643" s="348">
        <f t="shared" si="189"/>
        <v>0</v>
      </c>
      <c r="I643" s="348">
        <f t="shared" si="189"/>
        <v>0</v>
      </c>
      <c r="J643" s="348">
        <f t="shared" si="189"/>
        <v>0</v>
      </c>
      <c r="K643" s="348">
        <f t="shared" si="189"/>
        <v>0</v>
      </c>
      <c r="L643" s="348">
        <f t="shared" si="189"/>
        <v>0</v>
      </c>
    </row>
    <row r="644" spans="1:12" ht="13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345">
        <f>ROUND(G643*G641,0)</f>
        <v>0</v>
      </c>
      <c r="H644" s="345">
        <f>ROUND(H643*H641,0)</f>
        <v>0</v>
      </c>
      <c r="I644" s="345">
        <f>ROUND(I643*I641,0)</f>
        <v>0</v>
      </c>
      <c r="J644" s="345">
        <f>ROUND(J643*J641,0)</f>
        <v>0</v>
      </c>
      <c r="K644" s="345">
        <f>SUM(G644:J644)</f>
        <v>0</v>
      </c>
      <c r="L644" s="345">
        <f>ROUND(L643*L641,0)</f>
        <v>0</v>
      </c>
    </row>
    <row r="645" spans="1:12" ht="13">
      <c r="A645" s="331">
        <v>22</v>
      </c>
      <c r="C645" s="330" t="str">
        <f>'FR-16(7)(v)-1 Functional'!C645</f>
        <v>REVENUE TAX ON COST OF SERVICE</v>
      </c>
      <c r="D645" s="342"/>
      <c r="E645" s="195"/>
      <c r="F645" s="506">
        <f>ROUND(F643*F637,0)</f>
        <v>0</v>
      </c>
      <c r="G645" s="506">
        <f ca="1">ROUND(G643*$G$637,0)</f>
        <v>0</v>
      </c>
      <c r="H645" s="506">
        <f>ROUND(H643*$H$637,0)</f>
        <v>0</v>
      </c>
      <c r="I645" s="506">
        <f ca="1">ROUND(I643*$I$637,0)</f>
        <v>0</v>
      </c>
      <c r="J645" s="506">
        <f>ROUND(J643*$J$637,0)</f>
        <v>0</v>
      </c>
      <c r="K645" s="345">
        <f ca="1">SUM(G645:J645)</f>
        <v>0</v>
      </c>
      <c r="L645" s="506">
        <f ca="1">ROUND(L643*$L$637,0)</f>
        <v>0</v>
      </c>
    </row>
    <row r="646" spans="1:12" ht="13">
      <c r="A646" s="331">
        <v>23</v>
      </c>
      <c r="C646" s="357" t="str">
        <f>'FR-16(7)(v)-1 Functional'!C646</f>
        <v>TOTAL REVENUE TAX</v>
      </c>
      <c r="D646" s="342"/>
      <c r="E646" s="195"/>
      <c r="F646" s="504">
        <f>F645+F644</f>
        <v>0</v>
      </c>
      <c r="G646" s="504">
        <f ca="1">G645+G644</f>
        <v>0</v>
      </c>
      <c r="H646" s="504">
        <f>H645+H644</f>
        <v>0</v>
      </c>
      <c r="I646" s="504">
        <f ca="1">I645+I644</f>
        <v>0</v>
      </c>
      <c r="J646" s="504">
        <f>J645+J644</f>
        <v>0</v>
      </c>
      <c r="K646" s="345">
        <f ca="1">SUM(G646:J646)</f>
        <v>0</v>
      </c>
      <c r="L646" s="504">
        <f ca="1">L645+L644</f>
        <v>0</v>
      </c>
    </row>
    <row r="647" spans="1:12" ht="13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>F646+F637</f>
        <v>45962158</v>
      </c>
      <c r="G647" s="346">
        <f ca="1">G646+$G$637</f>
        <v>28628337</v>
      </c>
      <c r="H647" s="346">
        <f>H646+$H$637</f>
        <v>16799914</v>
      </c>
      <c r="I647" s="346">
        <f ca="1">I646+$I$637</f>
        <v>365622</v>
      </c>
      <c r="J647" s="346">
        <f>J646+$J$637</f>
        <v>168285</v>
      </c>
      <c r="K647" s="346">
        <f ca="1">K646+$K$637</f>
        <v>45962158</v>
      </c>
      <c r="L647" s="346">
        <f ca="1">L646+$L$637</f>
        <v>0</v>
      </c>
    </row>
    <row r="648" spans="1:12" ht="13">
      <c r="A648" s="331">
        <v>25</v>
      </c>
      <c r="D648" s="342"/>
      <c r="E648" s="195"/>
      <c r="I648" s="330"/>
    </row>
    <row r="649" spans="1:12" ht="13">
      <c r="A649" s="331">
        <v>26</v>
      </c>
      <c r="B649" s="330" t="s">
        <v>843</v>
      </c>
      <c r="D649" s="342"/>
      <c r="E649" s="195"/>
      <c r="F649" s="347">
        <f t="shared" ref="F649:L649" si="190">F745</f>
        <v>46539308</v>
      </c>
      <c r="G649" s="345">
        <f>G745</f>
        <v>31413307</v>
      </c>
      <c r="H649" s="345">
        <f t="shared" si="190"/>
        <v>12049852</v>
      </c>
      <c r="I649" s="345">
        <f t="shared" si="190"/>
        <v>2322022</v>
      </c>
      <c r="J649" s="345">
        <f t="shared" si="190"/>
        <v>754127</v>
      </c>
      <c r="K649" s="345">
        <f t="shared" si="190"/>
        <v>46539308</v>
      </c>
      <c r="L649" s="345">
        <f t="shared" si="190"/>
        <v>0</v>
      </c>
    </row>
    <row r="650" spans="1:12" ht="13">
      <c r="A650" s="331">
        <v>27</v>
      </c>
      <c r="B650" s="330" t="s">
        <v>79</v>
      </c>
      <c r="D650" s="342"/>
      <c r="E650" s="195"/>
      <c r="F650" s="345">
        <f t="shared" ref="F650:L650" si="191">-F647</f>
        <v>-45962158</v>
      </c>
      <c r="G650" s="345">
        <f ca="1">-G647</f>
        <v>-28628337</v>
      </c>
      <c r="H650" s="345">
        <f t="shared" si="191"/>
        <v>-16799914</v>
      </c>
      <c r="I650" s="345">
        <f t="shared" ca="1" si="191"/>
        <v>-365622</v>
      </c>
      <c r="J650" s="345">
        <f t="shared" si="191"/>
        <v>-168285</v>
      </c>
      <c r="K650" s="345">
        <f t="shared" ca="1" si="191"/>
        <v>-45962158</v>
      </c>
      <c r="L650" s="345">
        <f t="shared" ca="1" si="191"/>
        <v>0</v>
      </c>
    </row>
    <row r="651" spans="1:12" ht="13">
      <c r="A651" s="331">
        <v>28</v>
      </c>
      <c r="B651" s="330" t="s">
        <v>80</v>
      </c>
      <c r="D651" s="342"/>
      <c r="E651" s="195"/>
      <c r="F651" s="345">
        <f>F650+F649</f>
        <v>577150</v>
      </c>
      <c r="G651" s="345">
        <f ca="1">G650+G649</f>
        <v>2784970</v>
      </c>
      <c r="H651" s="345">
        <f>H650+H649</f>
        <v>-4750062</v>
      </c>
      <c r="I651" s="345">
        <f ca="1">I650+I649</f>
        <v>1956400</v>
      </c>
      <c r="J651" s="345">
        <f>J650+J649</f>
        <v>585842</v>
      </c>
      <c r="K651" s="345">
        <f ca="1">SUM(G651:J651)</f>
        <v>577150</v>
      </c>
      <c r="L651" s="345">
        <f ca="1">L650+L649</f>
        <v>0</v>
      </c>
    </row>
    <row r="652" spans="1:12" ht="13">
      <c r="A652" s="331">
        <v>29</v>
      </c>
      <c r="B652" s="330" t="s">
        <v>76</v>
      </c>
      <c r="D652" s="342"/>
      <c r="E652" s="195"/>
      <c r="F652" s="348">
        <f>F565</f>
        <v>0.24925</v>
      </c>
      <c r="G652" s="348">
        <f>$G$565</f>
        <v>0.24925</v>
      </c>
      <c r="H652" s="348">
        <f>$H$565</f>
        <v>0.24925</v>
      </c>
      <c r="I652" s="348">
        <f>$I$565</f>
        <v>0.24925120000000001</v>
      </c>
      <c r="J652" s="348">
        <f>$J$565</f>
        <v>0.24925</v>
      </c>
      <c r="K652" s="348">
        <f>$L$565</f>
        <v>0.24925</v>
      </c>
      <c r="L652" s="348">
        <f>$L$565</f>
        <v>0.24925</v>
      </c>
    </row>
    <row r="653" spans="1:12" ht="13">
      <c r="A653" s="331">
        <v>30</v>
      </c>
      <c r="B653" s="330" t="s">
        <v>81</v>
      </c>
      <c r="D653" s="342"/>
      <c r="E653" s="195"/>
      <c r="F653" s="345">
        <f>ROUND(F652*F651,0)</f>
        <v>143855</v>
      </c>
      <c r="G653" s="345">
        <f ca="1">ROUND(G652*G651,0)</f>
        <v>694154</v>
      </c>
      <c r="H653" s="345">
        <f>ROUND(H652*H651,0)</f>
        <v>-1183953</v>
      </c>
      <c r="I653" s="345">
        <f ca="1">ROUND(I652*I651,0)</f>
        <v>487635</v>
      </c>
      <c r="J653" s="345">
        <f>ROUND(J652*J651,0)</f>
        <v>146021</v>
      </c>
      <c r="K653" s="345">
        <f ca="1">SUM(G653:J653)</f>
        <v>143857</v>
      </c>
      <c r="L653" s="345">
        <f ca="1">ROUND(L652*L651,0)</f>
        <v>0</v>
      </c>
    </row>
    <row r="654" spans="1:12" ht="13">
      <c r="A654" s="331">
        <v>31</v>
      </c>
      <c r="B654" s="330" t="s">
        <v>82</v>
      </c>
      <c r="D654" s="342"/>
      <c r="E654" s="195"/>
      <c r="F654" s="345">
        <f>F651-F653</f>
        <v>433295</v>
      </c>
      <c r="G654" s="345">
        <f ca="1">G651-G653</f>
        <v>2090816</v>
      </c>
      <c r="H654" s="345">
        <f>H651-H653</f>
        <v>-3566109</v>
      </c>
      <c r="I654" s="345">
        <f ca="1">I651-I653</f>
        <v>1468765</v>
      </c>
      <c r="J654" s="345">
        <f>J651-J653</f>
        <v>439821</v>
      </c>
      <c r="K654" s="345">
        <f ca="1">SUM(G654:J654)</f>
        <v>433293</v>
      </c>
      <c r="L654" s="345">
        <f ca="1">L651-L653</f>
        <v>0</v>
      </c>
    </row>
    <row r="655" spans="1:12" ht="13">
      <c r="A655" s="526"/>
      <c r="B655" s="578"/>
      <c r="C655" s="578"/>
      <c r="D655" s="730"/>
      <c r="E655" s="578"/>
      <c r="F655" s="526"/>
      <c r="G655" s="526"/>
      <c r="H655" s="526"/>
      <c r="I655" s="526"/>
      <c r="J655" s="526"/>
      <c r="K655" s="526"/>
      <c r="L655" s="526"/>
    </row>
    <row r="656" spans="1:12" ht="13">
      <c r="A656" s="341" t="str">
        <f>co_name</f>
        <v>DUKE ENERGY KENTUCKY, INC.</v>
      </c>
      <c r="C656" s="195"/>
      <c r="D656" s="342"/>
      <c r="E656" s="195"/>
      <c r="F656" s="342"/>
      <c r="G656" s="340"/>
      <c r="H656" s="340"/>
      <c r="I656" s="195"/>
      <c r="K656" s="359" t="str">
        <f>$K$1</f>
        <v>FR-16(7)(v)-3</v>
      </c>
      <c r="L656" s="195"/>
    </row>
    <row r="657" spans="1:12" ht="13">
      <c r="A657" s="341" t="str">
        <f>$A$2</f>
        <v>PRODUCTION COMMODITY ALLOCATED - GAS COST OF SERVICE</v>
      </c>
      <c r="C657" s="195"/>
      <c r="D657" s="342"/>
      <c r="E657" s="195"/>
      <c r="F657" s="342"/>
      <c r="G657" s="340"/>
      <c r="H657" s="340"/>
      <c r="I657" s="195"/>
      <c r="K657" s="359" t="str">
        <f>$K$2</f>
        <v>WITNESS RESPONSIBLE:</v>
      </c>
      <c r="L657" s="195"/>
    </row>
    <row r="658" spans="1:12" ht="13">
      <c r="A658" s="341" t="str">
        <f>case_name</f>
        <v>CASE NO: 2021-00190</v>
      </c>
      <c r="C658" s="195"/>
      <c r="D658" s="342"/>
      <c r="E658" s="195"/>
      <c r="F658" s="342"/>
      <c r="G658" s="340"/>
      <c r="H658" s="340"/>
      <c r="I658" s="195"/>
      <c r="K658" s="359" t="str">
        <f>Witness</f>
        <v>JAMES E. ZIOLKOWSKI</v>
      </c>
      <c r="L658" s="195"/>
    </row>
    <row r="659" spans="1:12" ht="13">
      <c r="A659" s="341" t="str">
        <f>data_filing</f>
        <v>DATA: 12 MONTH FORECASTED PERIOD</v>
      </c>
      <c r="C659" s="195"/>
      <c r="D659" s="342"/>
      <c r="E659" s="195"/>
      <c r="F659" s="342"/>
      <c r="G659" s="340"/>
      <c r="H659" s="340"/>
      <c r="I659" s="195"/>
      <c r="K659" s="359" t="str">
        <f>"PAGE "&amp;Pages-3&amp;" OF "&amp;Pages</f>
        <v>PAGE 15 OF 18</v>
      </c>
      <c r="L659" s="195"/>
    </row>
    <row r="660" spans="1:12" ht="13">
      <c r="A660" s="341" t="str">
        <f>type</f>
        <v xml:space="preserve">TYPE OF FILING: "X" ORIGINAL   UPDATED    REVISED  </v>
      </c>
      <c r="C660" s="195"/>
      <c r="D660" s="342"/>
      <c r="E660" s="195"/>
      <c r="F660" s="342"/>
      <c r="G660" s="340"/>
      <c r="H660" s="340"/>
      <c r="I660" s="195"/>
      <c r="J660" s="342"/>
      <c r="K660" s="195"/>
      <c r="L660" s="195"/>
    </row>
    <row r="661" spans="1:12" ht="13">
      <c r="B661" s="341"/>
      <c r="C661" s="195"/>
      <c r="D661" s="342"/>
      <c r="E661" s="195"/>
      <c r="F661" s="342"/>
      <c r="G661" s="195"/>
      <c r="H661" s="195"/>
      <c r="I661" s="195"/>
      <c r="J661" s="342"/>
      <c r="K661" s="195"/>
      <c r="L661" s="195"/>
    </row>
    <row r="662" spans="1:12" ht="13">
      <c r="B662" s="341"/>
      <c r="C662" s="195"/>
      <c r="D662" s="342"/>
      <c r="E662" s="195"/>
      <c r="F662" s="342" t="str">
        <f>$F$7</f>
        <v>TOTAL</v>
      </c>
      <c r="G662" s="195"/>
      <c r="H662" s="195"/>
      <c r="I662" s="195"/>
      <c r="J662" s="342"/>
      <c r="K662" s="195"/>
      <c r="L662" s="195"/>
    </row>
    <row r="663" spans="1:12" ht="13">
      <c r="A663" s="342" t="s">
        <v>907</v>
      </c>
      <c r="B663" s="195"/>
      <c r="C663" s="195"/>
      <c r="D663" s="342"/>
      <c r="E663" s="195"/>
      <c r="F663" s="342" t="str">
        <f>$F$8</f>
        <v>PRODUCTION</v>
      </c>
      <c r="G663" s="342" t="s">
        <v>417</v>
      </c>
      <c r="H663" s="342" t="s">
        <v>857</v>
      </c>
      <c r="I663" s="342" t="s">
        <v>858</v>
      </c>
      <c r="J663" s="342" t="s">
        <v>546</v>
      </c>
      <c r="K663" s="342" t="s">
        <v>229</v>
      </c>
      <c r="L663" s="342" t="s">
        <v>342</v>
      </c>
    </row>
    <row r="664" spans="1:12" ht="13">
      <c r="A664" s="344" t="s">
        <v>908</v>
      </c>
      <c r="B664" s="343" t="s">
        <v>83</v>
      </c>
      <c r="C664" s="343"/>
      <c r="D664" s="344" t="s">
        <v>337</v>
      </c>
      <c r="E664" s="343"/>
      <c r="F664" s="342" t="str">
        <f>$F$9</f>
        <v>COMMODITY</v>
      </c>
      <c r="G664" s="344" t="s">
        <v>338</v>
      </c>
      <c r="H664" s="344" t="s">
        <v>404</v>
      </c>
      <c r="I664" s="344" t="s">
        <v>404</v>
      </c>
      <c r="J664" s="344" t="s">
        <v>547</v>
      </c>
      <c r="K664" s="344" t="s">
        <v>341</v>
      </c>
      <c r="L664" s="344" t="s">
        <v>340</v>
      </c>
    </row>
    <row r="665" spans="1:12" ht="13">
      <c r="C665" s="572" t="s">
        <v>353</v>
      </c>
      <c r="D665" s="342"/>
      <c r="E665" s="195"/>
      <c r="F665" s="755"/>
      <c r="G665" s="627">
        <f>$G$10</f>
        <v>3</v>
      </c>
      <c r="H665" s="627">
        <f>$H$10</f>
        <v>4</v>
      </c>
      <c r="I665" s="627">
        <f>$I$10</f>
        <v>5</v>
      </c>
      <c r="J665" s="627">
        <f>$J$10</f>
        <v>6</v>
      </c>
    </row>
    <row r="666" spans="1:12" ht="13">
      <c r="A666" s="331">
        <v>1</v>
      </c>
      <c r="B666" s="330" t="s">
        <v>84</v>
      </c>
      <c r="D666" s="342"/>
      <c r="E666" s="195"/>
      <c r="I666" s="330"/>
    </row>
    <row r="667" spans="1:12" ht="13">
      <c r="A667" s="331">
        <v>2</v>
      </c>
      <c r="B667" s="330" t="s">
        <v>85</v>
      </c>
      <c r="D667" s="342"/>
      <c r="E667" s="195"/>
      <c r="G667" s="513" t="s">
        <v>339</v>
      </c>
      <c r="I667" s="330"/>
    </row>
    <row r="668" spans="1:12" ht="13">
      <c r="A668" s="331">
        <v>3</v>
      </c>
      <c r="C668" s="330" t="str">
        <f>'FR-16(7)(v)-1 Functional'!C668</f>
        <v>LONG TERM DEBT</v>
      </c>
      <c r="D668" s="342"/>
      <c r="E668" s="195"/>
      <c r="F668" s="473">
        <f>'FR-16(7)(v)-2 PROD Classified'!$F$668</f>
        <v>794320510</v>
      </c>
      <c r="G668" s="348">
        <f>IF($F$673=0,0,ROUND(F668/$F$673,5))</f>
        <v>0.46721000000000001</v>
      </c>
      <c r="I668" s="330"/>
    </row>
    <row r="669" spans="1:12" ht="13">
      <c r="A669" s="331">
        <v>4</v>
      </c>
      <c r="C669" s="330" t="str">
        <f>'FR-16(7)(v)-1 Functional'!C669</f>
        <v>PREFERRED STOCK</v>
      </c>
      <c r="D669" s="342"/>
      <c r="E669" s="195"/>
      <c r="F669" s="473">
        <f>'FR-16(7)(v)-2 PROD Classified'!$F$669</f>
        <v>0</v>
      </c>
      <c r="G669" s="348">
        <f>IF($F$673=0,0,ROUND(F669/$F$673,5))</f>
        <v>0</v>
      </c>
      <c r="I669" s="330"/>
    </row>
    <row r="670" spans="1:12" ht="13">
      <c r="A670" s="331">
        <v>5</v>
      </c>
      <c r="C670" s="330" t="str">
        <f>'FR-16(7)(v)-1 Functional'!C670</f>
        <v>COMMON STOCK</v>
      </c>
      <c r="D670" s="342"/>
      <c r="E670" s="195"/>
      <c r="F670" s="473">
        <f>'FR-16(7)(v)-2 PROD Classified'!$F$670</f>
        <v>861861344</v>
      </c>
      <c r="G670" s="348">
        <f>1-G668-G669-G671-G672</f>
        <v>0.50695000000000001</v>
      </c>
      <c r="I670" s="330"/>
    </row>
    <row r="671" spans="1:12" ht="13">
      <c r="A671" s="331">
        <v>6</v>
      </c>
      <c r="C671" s="330" t="str">
        <f>'FR-16(7)(v)-1 Functional'!C671</f>
        <v>SHORT TERM DEBT</v>
      </c>
      <c r="D671" s="342"/>
      <c r="E671" s="195"/>
      <c r="F671" s="473">
        <f>'FR-16(7)(v)-2 PROD Classified'!$F$671</f>
        <v>43936209</v>
      </c>
      <c r="G671" s="348">
        <f>IF($F$673=0,0,ROUND(F671/$F$673,5))</f>
        <v>2.5839999999999998E-2</v>
      </c>
      <c r="I671" s="330"/>
    </row>
    <row r="672" spans="1:12" ht="13">
      <c r="A672" s="331">
        <v>7</v>
      </c>
      <c r="C672" s="330" t="str">
        <f>'FR-16(7)(v)-1 Functional'!C672</f>
        <v>UNAMORTIZED DISCOUNT</v>
      </c>
      <c r="D672" s="342"/>
      <c r="E672" s="195"/>
      <c r="F672" s="473">
        <f>'FR-16(7)(v)-2 PROD Classified'!$F$672</f>
        <v>0</v>
      </c>
      <c r="G672" s="348">
        <f>IF($F$673=0,0,ROUND(F672/$F$673,5))</f>
        <v>0</v>
      </c>
      <c r="I672" s="330"/>
    </row>
    <row r="673" spans="1:9" ht="13">
      <c r="A673" s="331">
        <v>8</v>
      </c>
      <c r="C673" s="330" t="str">
        <f>'FR-16(7)(v)-1 Functional'!C673</f>
        <v xml:space="preserve">  TOTAL</v>
      </c>
      <c r="D673" s="342"/>
      <c r="E673" s="195"/>
      <c r="F673" s="474">
        <f>SUM(F667:F672)</f>
        <v>1700118063</v>
      </c>
      <c r="G673" s="515">
        <f>SUM(G668:G672)</f>
        <v>1</v>
      </c>
      <c r="I673" s="330"/>
    </row>
    <row r="674" spans="1:9" ht="13">
      <c r="A674" s="331">
        <v>9</v>
      </c>
      <c r="D674" s="342"/>
      <c r="E674" s="195"/>
      <c r="I674" s="330"/>
    </row>
    <row r="675" spans="1:9" ht="13">
      <c r="A675" s="331">
        <v>10</v>
      </c>
      <c r="B675" s="330" t="s">
        <v>86</v>
      </c>
      <c r="D675" s="342"/>
      <c r="E675" s="195"/>
      <c r="I675" s="330"/>
    </row>
    <row r="676" spans="1:9" ht="13">
      <c r="A676" s="331">
        <v>11</v>
      </c>
      <c r="C676" s="330" t="str">
        <f>'FR-16(7)(v)-1 Functional'!C676</f>
        <v>LONG TERM DEBT</v>
      </c>
      <c r="D676" s="342"/>
      <c r="E676" s="195"/>
      <c r="F676" s="580">
        <f>'FR-16(7)(v)-2 PROD Classified'!$F$676</f>
        <v>3.8429999999999999E-2</v>
      </c>
      <c r="I676" s="330"/>
    </row>
    <row r="677" spans="1:9" ht="13">
      <c r="A677" s="331">
        <v>12</v>
      </c>
      <c r="C677" s="330" t="str">
        <f>'FR-16(7)(v)-1 Functional'!C677</f>
        <v>PREFERRED STOCK</v>
      </c>
      <c r="D677" s="342"/>
      <c r="E677" s="195"/>
      <c r="F677" s="580">
        <f>'FR-16(7)(v)-2 PROD Classified'!$F$677</f>
        <v>0</v>
      </c>
      <c r="I677" s="330"/>
    </row>
    <row r="678" spans="1:9" ht="13">
      <c r="A678" s="331">
        <v>13</v>
      </c>
      <c r="C678" s="330" t="str">
        <f>'FR-16(7)(v)-1 Functional'!C678</f>
        <v>COMMON STOCK</v>
      </c>
      <c r="D678" s="342"/>
      <c r="E678" s="195"/>
      <c r="F678" s="580">
        <f>'FR-16(7)(v)-2 PROD Classified'!$F$678</f>
        <v>0.10299999999999999</v>
      </c>
      <c r="I678" s="330"/>
    </row>
    <row r="679" spans="1:9" ht="13">
      <c r="A679" s="331">
        <v>14</v>
      </c>
      <c r="C679" s="330" t="str">
        <f>'FR-16(7)(v)-1 Functional'!C679</f>
        <v>SHORT TERM DEBT</v>
      </c>
      <c r="D679" s="342"/>
      <c r="E679" s="195"/>
      <c r="F679" s="580">
        <f>'FR-16(7)(v)-2 PROD Classified'!$F$679</f>
        <v>1.6670000000000001E-2</v>
      </c>
      <c r="I679" s="330"/>
    </row>
    <row r="680" spans="1:9" ht="13">
      <c r="A680" s="331">
        <v>15</v>
      </c>
      <c r="C680" s="330" t="str">
        <f>'FR-16(7)(v)-1 Functional'!C680</f>
        <v>UNAMORTIZED DISCOUNT</v>
      </c>
      <c r="D680" s="342"/>
      <c r="E680" s="195"/>
      <c r="F680" s="580">
        <f>'FR-16(7)(v)-2 PROD Classified'!$F$680</f>
        <v>0</v>
      </c>
      <c r="I680" s="330"/>
    </row>
    <row r="681" spans="1:9" ht="13">
      <c r="A681" s="331">
        <v>16</v>
      </c>
      <c r="D681" s="342"/>
      <c r="E681" s="195"/>
      <c r="I681" s="330"/>
    </row>
    <row r="682" spans="1:9" ht="13">
      <c r="A682" s="331">
        <v>17</v>
      </c>
      <c r="B682" s="330" t="s">
        <v>87</v>
      </c>
      <c r="D682" s="342"/>
      <c r="E682" s="195"/>
      <c r="I682" s="330"/>
    </row>
    <row r="683" spans="1:9" ht="13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I683" s="330"/>
    </row>
    <row r="684" spans="1:9" ht="13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I684" s="330"/>
    </row>
    <row r="685" spans="1:9" ht="13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I685" s="330"/>
    </row>
    <row r="686" spans="1:9" ht="13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I686" s="330"/>
    </row>
    <row r="687" spans="1:9" ht="13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H687" s="351"/>
      <c r="I687" s="330"/>
    </row>
    <row r="688" spans="1:9" ht="13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7">
        <f>SUM(F683:F687)</f>
        <v>7.060000000000001E-2</v>
      </c>
      <c r="H688" s="351"/>
      <c r="I688" s="330"/>
    </row>
    <row r="689" spans="1:17" ht="13">
      <c r="A689" s="331">
        <v>24</v>
      </c>
      <c r="D689" s="342"/>
      <c r="E689" s="195"/>
      <c r="H689" s="351"/>
      <c r="I689" s="330"/>
    </row>
    <row r="690" spans="1:17" ht="13">
      <c r="A690" s="331">
        <v>25</v>
      </c>
      <c r="B690" s="330" t="s">
        <v>88</v>
      </c>
      <c r="D690" s="342"/>
      <c r="E690" s="195"/>
      <c r="H690" s="351"/>
      <c r="I690" s="330"/>
    </row>
    <row r="691" spans="1:17" ht="13">
      <c r="A691" s="331">
        <v>26</v>
      </c>
      <c r="C691" s="330" t="str">
        <f>'FR-16(7)(v)-1 Functional'!C691</f>
        <v>SHORT TERM DEBT COST</v>
      </c>
      <c r="D691" s="342"/>
      <c r="E691" s="195"/>
      <c r="F691" s="760">
        <v>0</v>
      </c>
      <c r="G691" s="519">
        <f t="shared" ref="G691:L691" si="192">$F$691</f>
        <v>0</v>
      </c>
      <c r="H691" s="519">
        <f t="shared" si="192"/>
        <v>0</v>
      </c>
      <c r="I691" s="519">
        <f t="shared" si="192"/>
        <v>0</v>
      </c>
      <c r="J691" s="519">
        <f t="shared" si="192"/>
        <v>0</v>
      </c>
      <c r="K691" s="519">
        <f t="shared" si="192"/>
        <v>0</v>
      </c>
      <c r="L691" s="519">
        <f t="shared" si="192"/>
        <v>0</v>
      </c>
    </row>
    <row r="692" spans="1:17" ht="13">
      <c r="A692" s="331">
        <v>27</v>
      </c>
      <c r="C692" s="330" t="str">
        <f>'FR-16(7)(v)-1 Functional'!C692</f>
        <v>FEDERAL INCOME TAX RATE</v>
      </c>
      <c r="D692" s="342"/>
      <c r="E692" s="195"/>
      <c r="F692" s="516">
        <v>0.21</v>
      </c>
      <c r="G692" s="519">
        <f t="shared" ref="G692:L692" si="193">FIT</f>
        <v>0.21</v>
      </c>
      <c r="H692" s="519">
        <f t="shared" si="193"/>
        <v>0.21</v>
      </c>
      <c r="I692" s="519">
        <f t="shared" si="193"/>
        <v>0.21</v>
      </c>
      <c r="J692" s="519">
        <f t="shared" si="193"/>
        <v>0.21</v>
      </c>
      <c r="K692" s="519">
        <f t="shared" si="193"/>
        <v>0.21</v>
      </c>
      <c r="L692" s="519">
        <f t="shared" si="193"/>
        <v>0.21</v>
      </c>
    </row>
    <row r="693" spans="1:17" ht="13">
      <c r="A693" s="331">
        <v>28</v>
      </c>
      <c r="C693" s="330" t="str">
        <f>'FR-16(7)(v)-1 Functional'!C693</f>
        <v>STATE INCOME TAX RATE</v>
      </c>
      <c r="D693" s="342"/>
      <c r="E693" s="195"/>
      <c r="F693" s="519">
        <f t="shared" ref="F693:L693" si="194">SIT</f>
        <v>4.9685000000000007E-2</v>
      </c>
      <c r="G693" s="519">
        <f t="shared" si="194"/>
        <v>4.9685000000000007E-2</v>
      </c>
      <c r="H693" s="519">
        <f t="shared" si="194"/>
        <v>4.9685000000000007E-2</v>
      </c>
      <c r="I693" s="519">
        <f t="shared" si="194"/>
        <v>4.9685000000000007E-2</v>
      </c>
      <c r="J693" s="519">
        <f t="shared" si="194"/>
        <v>4.9685000000000007E-2</v>
      </c>
      <c r="K693" s="519">
        <f t="shared" si="194"/>
        <v>4.9685000000000007E-2</v>
      </c>
      <c r="L693" s="519">
        <f t="shared" si="194"/>
        <v>4.9685000000000007E-2</v>
      </c>
    </row>
    <row r="694" spans="1:17" ht="13">
      <c r="A694" s="331">
        <v>29</v>
      </c>
      <c r="C694" s="330" t="str">
        <f>'FR-16(7)(v)-1 Functional'!C694</f>
        <v>REVENUE TAX RATE</v>
      </c>
      <c r="D694" s="342"/>
      <c r="E694" s="195"/>
      <c r="F694" s="516">
        <v>0</v>
      </c>
      <c r="G694" s="519">
        <f t="shared" ref="G694:L694" si="195">RevTax</f>
        <v>0</v>
      </c>
      <c r="H694" s="519">
        <f t="shared" si="195"/>
        <v>0</v>
      </c>
      <c r="I694" s="519">
        <f t="shared" si="195"/>
        <v>0</v>
      </c>
      <c r="J694" s="519">
        <f t="shared" si="195"/>
        <v>0</v>
      </c>
      <c r="K694" s="519">
        <f t="shared" si="195"/>
        <v>0</v>
      </c>
      <c r="L694" s="519">
        <f t="shared" si="195"/>
        <v>0</v>
      </c>
    </row>
    <row r="695" spans="1:17" ht="13">
      <c r="A695" s="195"/>
      <c r="B695" s="195"/>
      <c r="C695" s="195"/>
      <c r="D695" s="342"/>
      <c r="E695" s="342"/>
      <c r="H695" s="351"/>
      <c r="J695" s="582"/>
      <c r="K695" s="351"/>
      <c r="M695" s="195"/>
      <c r="N695" s="195"/>
      <c r="O695" s="195"/>
      <c r="P695" s="195"/>
      <c r="Q695" s="195"/>
    </row>
    <row r="696" spans="1:17" ht="13">
      <c r="A696" s="341" t="str">
        <f>co_name</f>
        <v>DUKE ENERGY KENTUCKY, INC.</v>
      </c>
      <c r="C696" s="195"/>
      <c r="D696" s="342"/>
      <c r="E696" s="195"/>
      <c r="F696" s="342"/>
      <c r="G696" s="340"/>
      <c r="H696" s="340"/>
      <c r="I696" s="195"/>
      <c r="K696" s="359" t="str">
        <f>$K$1</f>
        <v>FR-16(7)(v)-3</v>
      </c>
      <c r="M696" s="195"/>
      <c r="N696" s="195"/>
      <c r="O696" s="195"/>
      <c r="P696" s="195"/>
      <c r="Q696" s="195"/>
    </row>
    <row r="697" spans="1:17" ht="13">
      <c r="A697" s="341" t="str">
        <f>$A$2</f>
        <v>PRODUCTION COMMODITY ALLOCATED - GAS COST OF SERVICE</v>
      </c>
      <c r="C697" s="195"/>
      <c r="D697" s="342"/>
      <c r="E697" s="195"/>
      <c r="F697" s="342"/>
      <c r="G697" s="340"/>
      <c r="H697" s="340"/>
      <c r="I697" s="195"/>
      <c r="K697" s="359" t="str">
        <f>$K$2</f>
        <v>WITNESS RESPONSIBLE:</v>
      </c>
      <c r="M697" s="195"/>
      <c r="N697" s="195"/>
      <c r="O697" s="195"/>
      <c r="P697" s="195"/>
      <c r="Q697" s="195"/>
    </row>
    <row r="698" spans="1:17" ht="13">
      <c r="A698" s="341" t="str">
        <f>case_name</f>
        <v>CASE NO: 2021-00190</v>
      </c>
      <c r="C698" s="195"/>
      <c r="D698" s="342"/>
      <c r="E698" s="195"/>
      <c r="F698" s="342"/>
      <c r="G698" s="340"/>
      <c r="H698" s="340"/>
      <c r="I698" s="195"/>
      <c r="K698" s="359" t="str">
        <f>Witness</f>
        <v>JAMES E. ZIOLKOWSKI</v>
      </c>
      <c r="M698" s="195"/>
      <c r="N698" s="195"/>
      <c r="O698" s="195"/>
      <c r="P698" s="195"/>
      <c r="Q698" s="195"/>
    </row>
    <row r="699" spans="1:17" ht="13">
      <c r="A699" s="341" t="str">
        <f>data_filing</f>
        <v>DATA: 12 MONTH FORECASTED PERIOD</v>
      </c>
      <c r="C699" s="195"/>
      <c r="D699" s="342"/>
      <c r="E699" s="195"/>
      <c r="F699" s="342"/>
      <c r="G699" s="340"/>
      <c r="H699" s="340"/>
      <c r="I699" s="195"/>
      <c r="K699" s="359" t="str">
        <f>"PAGE "&amp;Pages-2&amp;" OF "&amp;Pages</f>
        <v>PAGE 16 OF 18</v>
      </c>
      <c r="M699" s="195"/>
      <c r="N699" s="195"/>
      <c r="O699" s="195"/>
      <c r="P699" s="195"/>
      <c r="Q699" s="195"/>
    </row>
    <row r="700" spans="1:17" ht="13">
      <c r="A700" s="341" t="str">
        <f>type</f>
        <v xml:space="preserve">TYPE OF FILING: "X" ORIGINAL   UPDATED    REVISED  </v>
      </c>
      <c r="C700" s="195"/>
      <c r="D700" s="342"/>
      <c r="E700" s="195"/>
      <c r="F700" s="342"/>
      <c r="G700" s="340"/>
      <c r="H700" s="340"/>
      <c r="I700" s="195"/>
      <c r="J700" s="342"/>
      <c r="K700" s="195"/>
      <c r="M700" s="195"/>
      <c r="N700" s="195"/>
      <c r="O700" s="195"/>
      <c r="P700" s="195"/>
      <c r="Q700" s="195"/>
    </row>
    <row r="701" spans="1:17" ht="13">
      <c r="A701" s="195"/>
      <c r="B701" s="195"/>
      <c r="C701" s="195"/>
      <c r="D701" s="342"/>
      <c r="E701" s="342"/>
      <c r="F701" s="342"/>
      <c r="H701" s="351"/>
      <c r="J701" s="582"/>
      <c r="K701" s="351"/>
      <c r="M701" s="195"/>
      <c r="N701" s="195"/>
      <c r="O701" s="195"/>
      <c r="P701" s="195"/>
      <c r="Q701" s="195"/>
    </row>
    <row r="702" spans="1:17" ht="13.5" thickBot="1">
      <c r="A702" s="195"/>
      <c r="B702" s="195"/>
      <c r="C702" s="195"/>
      <c r="D702" s="342"/>
      <c r="E702" s="342"/>
      <c r="F702" s="342" t="str">
        <f>$F$7</f>
        <v>TOTAL</v>
      </c>
      <c r="H702" s="351"/>
      <c r="J702" s="582"/>
      <c r="K702" s="351"/>
      <c r="M702" s="195"/>
      <c r="N702" s="195"/>
      <c r="O702" s="195"/>
      <c r="P702" s="195"/>
      <c r="Q702" s="195"/>
    </row>
    <row r="703" spans="1:17" ht="13">
      <c r="A703" s="342" t="s">
        <v>907</v>
      </c>
      <c r="B703" s="195"/>
      <c r="C703" s="195"/>
      <c r="D703" s="342"/>
      <c r="E703" s="342"/>
      <c r="F703" s="342" t="str">
        <f>$F$8</f>
        <v>PRODUCTION</v>
      </c>
      <c r="G703" s="583" t="str">
        <f>$G$8</f>
        <v>RS</v>
      </c>
      <c r="H703" s="582" t="s">
        <v>857</v>
      </c>
      <c r="I703" s="582" t="s">
        <v>858</v>
      </c>
      <c r="J703" s="582" t="str">
        <f>$J$8</f>
        <v>INTERUPT</v>
      </c>
      <c r="K703" s="582" t="s">
        <v>229</v>
      </c>
      <c r="L703" s="583" t="s">
        <v>342</v>
      </c>
      <c r="M703" s="195"/>
      <c r="N703" s="195"/>
      <c r="P703" s="655" t="s">
        <v>999</v>
      </c>
      <c r="Q703" s="195"/>
    </row>
    <row r="704" spans="1:17" ht="13">
      <c r="A704" s="344" t="s">
        <v>908</v>
      </c>
      <c r="B704" s="584" t="s">
        <v>89</v>
      </c>
      <c r="C704" s="343"/>
      <c r="D704" s="585" t="s">
        <v>1001</v>
      </c>
      <c r="E704" s="585" t="s">
        <v>337</v>
      </c>
      <c r="F704" s="342" t="str">
        <f>$F$9</f>
        <v>COMMODITY</v>
      </c>
      <c r="G704" s="586" t="str">
        <f>$G$9</f>
        <v>RESIDENTIAL</v>
      </c>
      <c r="H704" s="587" t="str">
        <f>$H$9</f>
        <v>GEN SERV</v>
      </c>
      <c r="I704" s="587" t="str">
        <f>H9</f>
        <v>GEN SERV</v>
      </c>
      <c r="J704" s="587" t="str">
        <f>$J$9</f>
        <v>TRANS</v>
      </c>
      <c r="K704" s="587" t="s">
        <v>341</v>
      </c>
      <c r="L704" s="586" t="s">
        <v>340</v>
      </c>
      <c r="M704" s="195"/>
      <c r="N704" s="195"/>
      <c r="P704" s="656" t="s">
        <v>998</v>
      </c>
      <c r="Q704" s="195"/>
    </row>
    <row r="705" spans="1:17" ht="13">
      <c r="A705" s="195"/>
      <c r="B705" s="588"/>
      <c r="C705" s="838" t="s">
        <v>558</v>
      </c>
      <c r="D705" s="712"/>
      <c r="E705" s="814">
        <v>1</v>
      </c>
      <c r="F705" s="815">
        <v>2</v>
      </c>
      <c r="G705" s="627">
        <v>3</v>
      </c>
      <c r="H705" s="627">
        <v>4</v>
      </c>
      <c r="I705" s="627">
        <v>5</v>
      </c>
      <c r="J705" s="627">
        <v>6</v>
      </c>
      <c r="K705" s="589"/>
      <c r="L705" s="590"/>
      <c r="M705" s="366"/>
      <c r="N705" s="195"/>
      <c r="P705" s="657"/>
      <c r="Q705" s="366"/>
    </row>
    <row r="706" spans="1:17" ht="13">
      <c r="A706" s="342">
        <v>1</v>
      </c>
      <c r="B706" s="591" t="s">
        <v>90</v>
      </c>
      <c r="C706" s="484"/>
      <c r="D706" s="706"/>
      <c r="E706" s="706"/>
      <c r="F706" s="504"/>
      <c r="G706" s="504"/>
      <c r="H706" s="484"/>
      <c r="I706" s="504"/>
      <c r="J706" s="504"/>
      <c r="K706" s="504"/>
      <c r="L706" s="504"/>
      <c r="N706" s="195"/>
      <c r="P706" s="658"/>
    </row>
    <row r="707" spans="1:17" ht="13">
      <c r="A707" s="342">
        <v>2</v>
      </c>
      <c r="C707" s="592" t="s">
        <v>221</v>
      </c>
      <c r="D707" s="717" t="s">
        <v>1002</v>
      </c>
      <c r="E707" s="707"/>
      <c r="F707" s="473">
        <f>'Alloc Factors Summary'!$D$16</f>
        <v>11107573</v>
      </c>
      <c r="G707" s="473">
        <f>'Alloc Factors Summary'!$D12</f>
        <v>5557382</v>
      </c>
      <c r="H707" s="473">
        <f>'Alloc Factors Summary'!$D13</f>
        <v>3260228</v>
      </c>
      <c r="I707" s="473">
        <f>'Alloc Factors Summary'!D14</f>
        <v>2289963</v>
      </c>
      <c r="J707" s="473">
        <f>'Alloc Factors Summary'!D15</f>
        <v>0</v>
      </c>
      <c r="K707" s="347">
        <f t="shared" ref="K707:K742" si="196">SUM(G707:J707)</f>
        <v>11107573</v>
      </c>
      <c r="L707" s="347">
        <f t="shared" ref="L707:L742" si="197">F707-K707</f>
        <v>0</v>
      </c>
      <c r="M707" s="195"/>
      <c r="N707" s="195"/>
      <c r="P707" s="657"/>
      <c r="Q707" s="195"/>
    </row>
    <row r="708" spans="1:17" ht="13">
      <c r="A708" s="342">
        <v>3</v>
      </c>
      <c r="B708" s="195"/>
      <c r="C708" s="491" t="s">
        <v>355</v>
      </c>
      <c r="D708" s="583"/>
      <c r="E708" s="708" t="str">
        <f>'FR-16(7)(v)-1 Functional'!$E$708</f>
        <v>K201</v>
      </c>
      <c r="F708" s="354">
        <f>IF($F707=0,0,ROUND(F707/$F707,5))</f>
        <v>1</v>
      </c>
      <c r="G708" s="354">
        <f>IF($L707=0,F708-SUM(H708:J708),ROUND(G707/$F707,5))</f>
        <v>0.50032999999999994</v>
      </c>
      <c r="H708" s="354">
        <f>IF($F707=0,0,ROUND(H707/$F707,5))</f>
        <v>0.29350999999999999</v>
      </c>
      <c r="I708" s="354">
        <f>IF(F707=0,0,ROUND(I707/F707,5))</f>
        <v>0.20616000000000001</v>
      </c>
      <c r="J708" s="354">
        <f>IF(G707=0,0,ROUND(J707/F707,5))</f>
        <v>0</v>
      </c>
      <c r="K708" s="354">
        <f t="shared" si="196"/>
        <v>0.99999999999999989</v>
      </c>
      <c r="L708" s="354">
        <f t="shared" si="197"/>
        <v>0</v>
      </c>
      <c r="M708" s="195"/>
      <c r="N708" s="195"/>
      <c r="P708" s="659">
        <f>K708</f>
        <v>0.99999999999999989</v>
      </c>
      <c r="Q708" s="195"/>
    </row>
    <row r="709" spans="1:17" ht="13">
      <c r="A709" s="342">
        <v>4</v>
      </c>
      <c r="C709" s="592" t="s">
        <v>855</v>
      </c>
      <c r="D709" s="717" t="s">
        <v>1002</v>
      </c>
      <c r="E709" s="723"/>
      <c r="F709" s="598">
        <v>100</v>
      </c>
      <c r="G709" s="580">
        <f>ROUND('Alloc Factors Summary'!$D$21*100,3)</f>
        <v>51.036000000000001</v>
      </c>
      <c r="H709" s="580">
        <f>ROUND('Alloc Factors Summary'!$D$22*100,3)</f>
        <v>30.99</v>
      </c>
      <c r="I709" s="580">
        <f>ROUND('Alloc Factors Summary'!D23*100,3)</f>
        <v>13.624000000000001</v>
      </c>
      <c r="J709" s="580">
        <f>ROUND('Alloc Factors Summary'!D24*100,3)</f>
        <v>4.3499999999999996</v>
      </c>
      <c r="K709" s="354">
        <f t="shared" si="196"/>
        <v>99.999999999999986</v>
      </c>
      <c r="L709" s="354">
        <f t="shared" si="197"/>
        <v>0</v>
      </c>
      <c r="N709" s="195"/>
      <c r="P709" s="658"/>
    </row>
    <row r="710" spans="1:17" ht="13">
      <c r="A710" s="342">
        <v>5</v>
      </c>
      <c r="B710" s="195"/>
      <c r="C710" s="491" t="s">
        <v>355</v>
      </c>
      <c r="D710" s="583"/>
      <c r="E710" s="708" t="str">
        <f>'FR-16(7)(v)-1 Functional'!$E$710</f>
        <v>K203</v>
      </c>
      <c r="F710" s="354">
        <f>IF($F709=0,0,ROUND(F709/$F709,5))</f>
        <v>1</v>
      </c>
      <c r="G710" s="354">
        <f>IF($L709=0,F710-SUM(H710:J710),ROUND(G709/$F709,5))</f>
        <v>0.51036000000000004</v>
      </c>
      <c r="H710" s="354">
        <f>IF($F709=0,0,ROUND(H709/$F709,5))</f>
        <v>0.30990000000000001</v>
      </c>
      <c r="I710" s="354">
        <f>IF(F709=0,0,ROUND(I709/F709,5))</f>
        <v>0.13624</v>
      </c>
      <c r="J710" s="354">
        <f>IF(G709=0,0,ROUND(J709/F709,5))</f>
        <v>4.3499999999999997E-2</v>
      </c>
      <c r="K710" s="354">
        <f t="shared" si="196"/>
        <v>1</v>
      </c>
      <c r="L710" s="354">
        <f t="shared" si="197"/>
        <v>0</v>
      </c>
      <c r="M710" s="195"/>
      <c r="N710" s="195"/>
      <c r="P710" s="659">
        <f>K710</f>
        <v>1</v>
      </c>
      <c r="Q710" s="195"/>
    </row>
    <row r="711" spans="1:17" ht="13">
      <c r="A711" s="342">
        <v>6</v>
      </c>
      <c r="C711" s="592" t="s">
        <v>856</v>
      </c>
      <c r="D711" s="717" t="s">
        <v>1002</v>
      </c>
      <c r="E711" s="723"/>
      <c r="F711" s="598">
        <v>100</v>
      </c>
      <c r="G711" s="580">
        <f>ROUND('Alloc Factors Summary'!$E21*100,3)</f>
        <v>53.421999999999997</v>
      </c>
      <c r="H711" s="580">
        <f>ROUND('Alloc Factors Summary'!$E22*100,3)</f>
        <v>32.457999999999998</v>
      </c>
      <c r="I711" s="580">
        <f>ROUND('Alloc Factors Summary'!E23*100,3)</f>
        <v>14.12</v>
      </c>
      <c r="J711" s="580">
        <f>ROUND('Alloc Factors Summary'!E24*100,3)</f>
        <v>0</v>
      </c>
      <c r="K711" s="354">
        <f t="shared" si="196"/>
        <v>100</v>
      </c>
      <c r="L711" s="354">
        <f t="shared" si="197"/>
        <v>0</v>
      </c>
      <c r="N711" s="195"/>
      <c r="P711" s="658"/>
    </row>
    <row r="712" spans="1:17" ht="13">
      <c r="A712" s="342">
        <v>7</v>
      </c>
      <c r="B712" s="195"/>
      <c r="C712" s="491" t="s">
        <v>355</v>
      </c>
      <c r="D712" s="583"/>
      <c r="E712" s="708" t="str">
        <f>'FR-16(7)(v)-1 Functional'!$E$712</f>
        <v>K205</v>
      </c>
      <c r="F712" s="354">
        <f>IF($F711=0,0,ROUND(F711/$F711,5))</f>
        <v>1</v>
      </c>
      <c r="G712" s="354">
        <f>IF($L711=0,F712-SUM(H712:J712),ROUND(G711/$F711,5))</f>
        <v>0.53422000000000003</v>
      </c>
      <c r="H712" s="354">
        <f>IF($F711=0,0,ROUND(H711/$F711,5))</f>
        <v>0.32457999999999998</v>
      </c>
      <c r="I712" s="354">
        <f>IF(F711=0,0,ROUND(I711/F711,5))</f>
        <v>0.14119999999999999</v>
      </c>
      <c r="J712" s="354">
        <f>IF(G711=0,0,ROUND(J711/F711,5))</f>
        <v>0</v>
      </c>
      <c r="K712" s="354">
        <f t="shared" si="196"/>
        <v>1</v>
      </c>
      <c r="L712" s="354">
        <f t="shared" si="197"/>
        <v>0</v>
      </c>
      <c r="M712" s="195"/>
      <c r="N712" s="195"/>
      <c r="P712" s="659">
        <f>K712</f>
        <v>1</v>
      </c>
      <c r="Q712" s="195"/>
    </row>
    <row r="713" spans="1:17" ht="13">
      <c r="A713" s="342">
        <v>8</v>
      </c>
      <c r="B713" s="195"/>
      <c r="C713" s="592" t="s">
        <v>405</v>
      </c>
      <c r="D713" s="717" t="s">
        <v>1002</v>
      </c>
      <c r="E713" s="723"/>
      <c r="F713" s="473">
        <f>'Alloc Factors Summary'!$D$34</f>
        <v>12746023</v>
      </c>
      <c r="G713" s="473">
        <f>'Alloc Factors Summary'!$D30</f>
        <v>5557382</v>
      </c>
      <c r="H713" s="473">
        <f>'Alloc Factors Summary'!$D31</f>
        <v>3260228</v>
      </c>
      <c r="I713" s="473">
        <f>'Alloc Factors Summary'!D32</f>
        <v>2289963</v>
      </c>
      <c r="J713" s="473">
        <f>'Alloc Factors Summary'!D33</f>
        <v>1638450</v>
      </c>
      <c r="K713" s="347">
        <f t="shared" si="196"/>
        <v>12746023</v>
      </c>
      <c r="L713" s="347">
        <f t="shared" si="197"/>
        <v>0</v>
      </c>
      <c r="M713" s="195"/>
      <c r="N713" s="195"/>
      <c r="P713" s="657"/>
      <c r="Q713" s="195"/>
    </row>
    <row r="714" spans="1:17" ht="13">
      <c r="A714" s="342">
        <v>9</v>
      </c>
      <c r="B714" s="195"/>
      <c r="C714" s="491" t="s">
        <v>355</v>
      </c>
      <c r="D714" s="583"/>
      <c r="E714" s="708" t="str">
        <f>'FR-16(7)(v)-1 Functional'!$E$714</f>
        <v>K300</v>
      </c>
      <c r="F714" s="354">
        <f>IF($F713=0,0,ROUND(F713/$F713,5))</f>
        <v>1</v>
      </c>
      <c r="G714" s="354">
        <f>IF($L713=0,F714-SUM(H714:J714),ROUND(G713/$F713,5))</f>
        <v>0.43601000000000001</v>
      </c>
      <c r="H714" s="354">
        <f>IF($F713=0,0,ROUND(H713/$F713,5))</f>
        <v>0.25578000000000001</v>
      </c>
      <c r="I714" s="354">
        <f>IF(F713=0,0,ROUND(I713/F713,5))</f>
        <v>0.17965999999999999</v>
      </c>
      <c r="J714" s="354">
        <f>IF(G713=0,0,ROUND(J713/F713,5))</f>
        <v>0.12855</v>
      </c>
      <c r="K714" s="354">
        <f t="shared" si="196"/>
        <v>1</v>
      </c>
      <c r="L714" s="354">
        <f t="shared" si="197"/>
        <v>0</v>
      </c>
      <c r="M714" s="195"/>
      <c r="N714" s="195"/>
      <c r="P714" s="659">
        <f>K714</f>
        <v>1</v>
      </c>
      <c r="Q714" s="195"/>
    </row>
    <row r="715" spans="1:17" ht="13">
      <c r="A715" s="342">
        <v>10</v>
      </c>
      <c r="C715" s="592" t="s">
        <v>375</v>
      </c>
      <c r="D715" s="717" t="s">
        <v>1002</v>
      </c>
      <c r="E715" s="723"/>
      <c r="F715" s="473">
        <f>'Alloc Factors Summary'!$D$43</f>
        <v>8817610</v>
      </c>
      <c r="G715" s="473">
        <f>'Alloc Factors Summary'!D39</f>
        <v>5557382</v>
      </c>
      <c r="H715" s="473">
        <f>'Alloc Factors Summary'!D40</f>
        <v>3260228</v>
      </c>
      <c r="I715" s="473">
        <f>'Alloc Factors Summary'!D41</f>
        <v>0</v>
      </c>
      <c r="J715" s="473">
        <f>'Alloc Factors Summary'!D42</f>
        <v>0</v>
      </c>
      <c r="K715" s="347">
        <f t="shared" si="196"/>
        <v>8817610</v>
      </c>
      <c r="L715" s="347">
        <f t="shared" si="197"/>
        <v>0</v>
      </c>
      <c r="N715" s="195"/>
      <c r="P715" s="658"/>
    </row>
    <row r="716" spans="1:17" ht="13">
      <c r="A716" s="342">
        <v>11</v>
      </c>
      <c r="B716" s="195"/>
      <c r="C716" s="491" t="s">
        <v>355</v>
      </c>
      <c r="D716" s="583"/>
      <c r="E716" s="708" t="str">
        <f>'FR-16(7)(v)-1 Functional'!$E$716</f>
        <v>K301</v>
      </c>
      <c r="F716" s="354">
        <f>IF($F715=0,0,ROUND(F715/$F715,5))</f>
        <v>1</v>
      </c>
      <c r="G716" s="354">
        <f>IF($L715=0,F716-SUM(H716:J716),ROUND(G715/$F715,5))</f>
        <v>0.63026000000000004</v>
      </c>
      <c r="H716" s="354">
        <f>IF($F715=0,0,ROUND(H715/$F715,5))</f>
        <v>0.36974000000000001</v>
      </c>
      <c r="I716" s="354">
        <f>IF(F715=0,0,ROUND(I715/F715,5))</f>
        <v>0</v>
      </c>
      <c r="J716" s="354">
        <f>IF(G715=0,0,ROUND(J715/F715,5))</f>
        <v>0</v>
      </c>
      <c r="K716" s="354">
        <f t="shared" si="196"/>
        <v>1</v>
      </c>
      <c r="L716" s="354">
        <f t="shared" si="197"/>
        <v>0</v>
      </c>
      <c r="M716" s="195"/>
      <c r="N716" s="195"/>
      <c r="P716" s="659">
        <f>K716</f>
        <v>1</v>
      </c>
      <c r="Q716" s="195"/>
    </row>
    <row r="717" spans="1:17" ht="13">
      <c r="A717" s="342">
        <v>12</v>
      </c>
      <c r="C717" s="592" t="s">
        <v>222</v>
      </c>
      <c r="D717" s="717" t="s">
        <v>1002</v>
      </c>
      <c r="E717" s="723"/>
      <c r="F717" s="473">
        <f>'Alloc Factors Summary'!$D$64</f>
        <v>101373</v>
      </c>
      <c r="G717" s="473">
        <f>'Alloc Factors Summary'!D60</f>
        <v>93602</v>
      </c>
      <c r="H717" s="473">
        <f>'Alloc Factors Summary'!D61</f>
        <v>7643</v>
      </c>
      <c r="I717" s="473">
        <f>'Alloc Factors Summary'!D62</f>
        <v>106</v>
      </c>
      <c r="J717" s="473">
        <f>'Alloc Factors Summary'!D63</f>
        <v>22</v>
      </c>
      <c r="K717" s="347">
        <f t="shared" si="196"/>
        <v>101373</v>
      </c>
      <c r="L717" s="347">
        <f t="shared" si="197"/>
        <v>0</v>
      </c>
      <c r="N717" s="195"/>
      <c r="P717" s="658"/>
    </row>
    <row r="718" spans="1:17" ht="13">
      <c r="A718" s="342">
        <v>13</v>
      </c>
      <c r="B718" s="195"/>
      <c r="C718" s="491" t="s">
        <v>355</v>
      </c>
      <c r="D718" s="583"/>
      <c r="E718" s="708" t="str">
        <f>'FR-16(7)(v)-1 Functional'!$E$718</f>
        <v>K401</v>
      </c>
      <c r="F718" s="354">
        <f>IF($F717=0,0,ROUND(F717/$F717,5))</f>
        <v>1</v>
      </c>
      <c r="G718" s="354">
        <f>IF($L717=0,F718-SUM(H718:J718),ROUND(G717/$F717,5))</f>
        <v>0.92334000000000005</v>
      </c>
      <c r="H718" s="354">
        <f>IF($F717=0,0,ROUND(H717/$F717,5))</f>
        <v>7.5389999999999999E-2</v>
      </c>
      <c r="I718" s="354">
        <f>IF(F717=0,0,ROUND(I717/F717,5))</f>
        <v>1.0499999999999999E-3</v>
      </c>
      <c r="J718" s="354">
        <f>IF(G717=0,0,ROUND(J717/F717,5))</f>
        <v>2.2000000000000001E-4</v>
      </c>
      <c r="K718" s="354">
        <f t="shared" si="196"/>
        <v>1</v>
      </c>
      <c r="L718" s="354">
        <f t="shared" si="197"/>
        <v>0</v>
      </c>
      <c r="M718" s="195"/>
      <c r="N718" s="195"/>
      <c r="P718" s="659">
        <f>K718</f>
        <v>1</v>
      </c>
      <c r="Q718" s="195"/>
    </row>
    <row r="719" spans="1:17" ht="13">
      <c r="A719" s="342">
        <v>14</v>
      </c>
      <c r="C719" s="592" t="s">
        <v>223</v>
      </c>
      <c r="D719" s="717" t="s">
        <v>1002</v>
      </c>
      <c r="E719" s="723"/>
      <c r="F719" s="473">
        <f>'Alloc Factors Summary'!$F$76</f>
        <v>106848</v>
      </c>
      <c r="G719" s="473">
        <f>'Alloc Factors Summary'!F72</f>
        <v>93602</v>
      </c>
      <c r="H719" s="473">
        <f>'Alloc Factors Summary'!F73</f>
        <v>12869</v>
      </c>
      <c r="I719" s="473">
        <f>'Alloc Factors Summary'!F74</f>
        <v>204</v>
      </c>
      <c r="J719" s="473">
        <f>'Alloc Factors Summary'!F75</f>
        <v>173</v>
      </c>
      <c r="K719" s="347">
        <f t="shared" si="196"/>
        <v>106848</v>
      </c>
      <c r="L719" s="347">
        <f t="shared" si="197"/>
        <v>0</v>
      </c>
      <c r="M719" s="593"/>
      <c r="N719" s="195"/>
      <c r="P719" s="658"/>
    </row>
    <row r="720" spans="1:17" ht="13">
      <c r="A720" s="342">
        <v>15</v>
      </c>
      <c r="B720" s="195"/>
      <c r="C720" s="491" t="s">
        <v>355</v>
      </c>
      <c r="D720" s="583"/>
      <c r="E720" s="708" t="str">
        <f>'FR-16(7)(v)-1 Functional'!$E$720</f>
        <v>K403</v>
      </c>
      <c r="F720" s="354">
        <f>IF($F719=0,0,ROUND(F719/$F719,5))</f>
        <v>1</v>
      </c>
      <c r="G720" s="354">
        <f>IF($L719=0,F720-SUM(H720:J720),ROUND(G719/$F719,5))</f>
        <v>0.87602999999999998</v>
      </c>
      <c r="H720" s="354">
        <f>IF($F719=0,0,ROUND(H719/$F719,5))</f>
        <v>0.12044000000000001</v>
      </c>
      <c r="I720" s="354">
        <f>IF(F719=0,0,ROUND(I719/F719,5))</f>
        <v>1.91E-3</v>
      </c>
      <c r="J720" s="354">
        <f>IF(G719=0,0,ROUND(J719/F719,5))</f>
        <v>1.6199999999999999E-3</v>
      </c>
      <c r="K720" s="354">
        <f t="shared" si="196"/>
        <v>0.99999999999999989</v>
      </c>
      <c r="L720" s="354">
        <f t="shared" si="197"/>
        <v>0</v>
      </c>
      <c r="M720" s="195"/>
      <c r="N720" s="195"/>
      <c r="P720" s="659">
        <f>K720</f>
        <v>0.99999999999999989</v>
      </c>
      <c r="Q720" s="195"/>
    </row>
    <row r="721" spans="1:17" ht="13">
      <c r="A721" s="342">
        <v>16</v>
      </c>
      <c r="C721" s="592" t="s">
        <v>385</v>
      </c>
      <c r="D721" s="717" t="s">
        <v>1002</v>
      </c>
      <c r="E721" s="723"/>
      <c r="F721" s="473">
        <f>'Alloc Factors Summary'!$G$88</f>
        <v>2925179.9999999995</v>
      </c>
      <c r="G721" s="473">
        <f>'Alloc Factors Summary'!G84</f>
        <v>2700943.0357195702</v>
      </c>
      <c r="H721" s="473">
        <f>'Alloc Factors Summary'!G85</f>
        <v>220543.44588795831</v>
      </c>
      <c r="I721" s="473">
        <f>'Alloc Factors Summary'!G86</f>
        <v>3058.6949187653518</v>
      </c>
      <c r="J721" s="473">
        <f>'Alloc Factors Summary'!G87</f>
        <v>634.82347370601633</v>
      </c>
      <c r="K721" s="347">
        <f t="shared" si="196"/>
        <v>2925179.9999999995</v>
      </c>
      <c r="L721" s="347">
        <f t="shared" si="197"/>
        <v>0</v>
      </c>
      <c r="M721" s="593"/>
      <c r="N721" s="195"/>
      <c r="P721" s="658"/>
    </row>
    <row r="722" spans="1:17" ht="13">
      <c r="A722" s="342">
        <v>17</v>
      </c>
      <c r="B722" s="195"/>
      <c r="C722" s="491" t="s">
        <v>355</v>
      </c>
      <c r="D722" s="583"/>
      <c r="E722" s="708" t="str">
        <f>'FR-16(7)(v)-1 Functional'!$E$722</f>
        <v>K405</v>
      </c>
      <c r="F722" s="354">
        <f>IF($F721=0,0,ROUND(F721/$F721,5))</f>
        <v>1</v>
      </c>
      <c r="G722" s="354">
        <f>IF($L721=0,F722-SUM(H722:J722),ROUND(G721/$F721,5))</f>
        <v>0.92334000000000005</v>
      </c>
      <c r="H722" s="354">
        <f>IF($F721=0,0,ROUND(H721/$F721,5))</f>
        <v>7.5389999999999999E-2</v>
      </c>
      <c r="I722" s="354">
        <f>IF(F721=0,0,ROUND(I721/F721,5))</f>
        <v>1.0499999999999999E-3</v>
      </c>
      <c r="J722" s="354">
        <f>IF(G721=0,0,ROUND(J721/F721,5))</f>
        <v>2.2000000000000001E-4</v>
      </c>
      <c r="K722" s="354">
        <f t="shared" si="196"/>
        <v>1</v>
      </c>
      <c r="L722" s="354">
        <f t="shared" si="197"/>
        <v>0</v>
      </c>
      <c r="M722" s="195"/>
      <c r="N722" s="195"/>
      <c r="P722" s="659">
        <f>K722</f>
        <v>1</v>
      </c>
      <c r="Q722" s="195"/>
    </row>
    <row r="723" spans="1:17" ht="13">
      <c r="A723" s="342">
        <v>18</v>
      </c>
      <c r="C723" s="592" t="s">
        <v>373</v>
      </c>
      <c r="D723" s="717" t="s">
        <v>1002</v>
      </c>
      <c r="E723" s="723"/>
      <c r="F723" s="473">
        <f>'Alloc Factors Summary'!$D$98</f>
        <v>6856</v>
      </c>
      <c r="G723" s="473">
        <f>'Alloc Factors Summary'!D94</f>
        <v>6330.4362305544873</v>
      </c>
      <c r="H723" s="473">
        <f>'Alloc Factors Summary'!D95</f>
        <v>516.90694760932399</v>
      </c>
      <c r="I723" s="473">
        <f>'Alloc Factors Summary'!D96</f>
        <v>7.1689305830941175</v>
      </c>
      <c r="J723" s="473">
        <f>'Alloc Factors Summary'!D97</f>
        <v>1.4878912530950055</v>
      </c>
      <c r="K723" s="347">
        <f t="shared" si="196"/>
        <v>6856</v>
      </c>
      <c r="L723" s="347">
        <f t="shared" si="197"/>
        <v>0</v>
      </c>
      <c r="M723" s="593"/>
      <c r="N723" s="195"/>
      <c r="P723" s="658"/>
    </row>
    <row r="724" spans="1:17" ht="13">
      <c r="A724" s="342">
        <v>19</v>
      </c>
      <c r="B724" s="195"/>
      <c r="C724" s="491" t="s">
        <v>355</v>
      </c>
      <c r="D724" s="583"/>
      <c r="E724" s="708" t="str">
        <f>'FR-16(7)(v)-1 Functional'!$E$724</f>
        <v>K406</v>
      </c>
      <c r="F724" s="354">
        <f>IF($F723=0,0,ROUND(F723/$F723,5))</f>
        <v>1</v>
      </c>
      <c r="G724" s="354">
        <f>IF($L723=0,F724-SUM(H724:J724),ROUND(G723/$F723,5))</f>
        <v>0.92334000000000005</v>
      </c>
      <c r="H724" s="354">
        <f>IF($F723=0,0,ROUND(H723/$F723,5))</f>
        <v>7.5389999999999999E-2</v>
      </c>
      <c r="I724" s="354">
        <f>IF(F723=0,0,ROUND(I723/F723,5))</f>
        <v>1.0499999999999999E-3</v>
      </c>
      <c r="J724" s="354">
        <f>IF(G723=0,0,ROUND(J723/F723,5))</f>
        <v>2.2000000000000001E-4</v>
      </c>
      <c r="K724" s="354">
        <f t="shared" si="196"/>
        <v>1</v>
      </c>
      <c r="L724" s="354">
        <f t="shared" si="197"/>
        <v>0</v>
      </c>
      <c r="M724" s="195"/>
      <c r="N724" s="195"/>
      <c r="P724" s="659">
        <f>K724</f>
        <v>1</v>
      </c>
      <c r="Q724" s="195"/>
    </row>
    <row r="725" spans="1:17" ht="13">
      <c r="A725" s="342">
        <v>20</v>
      </c>
      <c r="C725" s="592" t="s">
        <v>1025</v>
      </c>
      <c r="D725" s="717" t="s">
        <v>1002</v>
      </c>
      <c r="E725" s="723"/>
      <c r="F725" s="473">
        <f>'Alloc Factors Summary'!$G$108</f>
        <v>108184.00000000001</v>
      </c>
      <c r="G725" s="473">
        <f>'Alloc Factors Summary'!G104</f>
        <v>99890.885817722679</v>
      </c>
      <c r="H725" s="473">
        <f>'Alloc Factors Summary'!G105</f>
        <v>8156.5141803044198</v>
      </c>
      <c r="I725" s="473">
        <f>'Alloc Factors Summary'!G106</f>
        <v>113.12187663381768</v>
      </c>
      <c r="J725" s="473">
        <f>'Alloc Factors Summary'!G107</f>
        <v>23.478125339094234</v>
      </c>
      <c r="K725" s="347">
        <f t="shared" si="196"/>
        <v>108184.00000000001</v>
      </c>
      <c r="L725" s="347">
        <f t="shared" si="197"/>
        <v>0</v>
      </c>
      <c r="M725" s="593"/>
      <c r="N725" s="195"/>
      <c r="P725" s="658"/>
    </row>
    <row r="726" spans="1:17" ht="13">
      <c r="A726" s="342">
        <v>21</v>
      </c>
      <c r="B726" s="195"/>
      <c r="C726" s="491" t="s">
        <v>355</v>
      </c>
      <c r="D726" s="583"/>
      <c r="E726" s="708" t="str">
        <f>'FR-16(7)(v)-1 Functional'!$E$726</f>
        <v>K407</v>
      </c>
      <c r="F726" s="354">
        <f>IF($F725=0,0,ROUND(F725/$F725,5))</f>
        <v>1</v>
      </c>
      <c r="G726" s="354">
        <f>IF($L725=0,F726-SUM(H726:J726),ROUND(G725/$F725,5))</f>
        <v>0.92334000000000005</v>
      </c>
      <c r="H726" s="354">
        <f>IF($F725=0,0,ROUND(H725/$F725,5))</f>
        <v>7.5389999999999999E-2</v>
      </c>
      <c r="I726" s="354">
        <f>IF(F725=0,0,ROUND(I725/F725,5))</f>
        <v>1.0499999999999999E-3</v>
      </c>
      <c r="J726" s="354">
        <f>IF(G725=0,0,ROUND(J725/F725,5))</f>
        <v>2.2000000000000001E-4</v>
      </c>
      <c r="K726" s="354">
        <f t="shared" si="196"/>
        <v>1</v>
      </c>
      <c r="L726" s="354">
        <f t="shared" si="197"/>
        <v>0</v>
      </c>
      <c r="M726" s="195"/>
      <c r="N726" s="195"/>
      <c r="P726" s="659">
        <f>K726</f>
        <v>1</v>
      </c>
      <c r="Q726" s="195"/>
    </row>
    <row r="727" spans="1:17" ht="13">
      <c r="A727" s="342">
        <v>22</v>
      </c>
      <c r="C727" s="592" t="s">
        <v>1026</v>
      </c>
      <c r="D727" s="717" t="s">
        <v>1002</v>
      </c>
      <c r="E727" s="723"/>
      <c r="F727" s="473">
        <f>'Alloc Factors Summary'!$F$118</f>
        <v>2602</v>
      </c>
      <c r="G727" s="473">
        <f>'Alloc Factors Summary'!F114</f>
        <v>2402</v>
      </c>
      <c r="H727" s="473">
        <f>'Alloc Factors Summary'!F115</f>
        <v>196</v>
      </c>
      <c r="I727" s="473">
        <f>'Alloc Factors Summary'!F116</f>
        <v>3</v>
      </c>
      <c r="J727" s="473">
        <f>'Alloc Factors Summary'!F117</f>
        <v>1</v>
      </c>
      <c r="K727" s="347">
        <f t="shared" si="196"/>
        <v>2602</v>
      </c>
      <c r="L727" s="347">
        <f t="shared" si="197"/>
        <v>0</v>
      </c>
      <c r="M727" s="593"/>
      <c r="N727" s="195"/>
      <c r="P727" s="658"/>
    </row>
    <row r="728" spans="1:17" ht="13">
      <c r="A728" s="342">
        <v>23</v>
      </c>
      <c r="B728" s="195"/>
      <c r="C728" s="491" t="s">
        <v>355</v>
      </c>
      <c r="D728" s="583"/>
      <c r="E728" s="708" t="str">
        <f>'FR-16(7)(v)-1 Functional'!$E$728</f>
        <v>K408</v>
      </c>
      <c r="F728" s="354">
        <f>IF($F727=0,0,ROUND(F727/$F727,5))</f>
        <v>1</v>
      </c>
      <c r="G728" s="354">
        <f>IF($L727=0,F728-SUM(H728:J728),ROUND(G727/$F727,5))</f>
        <v>0.92313999999999996</v>
      </c>
      <c r="H728" s="354">
        <f>IF($F727=0,0,ROUND(H727/$F727,5))</f>
        <v>7.5329999999999994E-2</v>
      </c>
      <c r="I728" s="354">
        <f>IF(F727=0,0,ROUND(I727/F727,5))</f>
        <v>1.15E-3</v>
      </c>
      <c r="J728" s="354">
        <f>IF(G727=0,0,ROUND(J727/F727,5))</f>
        <v>3.8000000000000002E-4</v>
      </c>
      <c r="K728" s="354">
        <f t="shared" si="196"/>
        <v>1</v>
      </c>
      <c r="L728" s="354">
        <f t="shared" si="197"/>
        <v>0</v>
      </c>
      <c r="M728" s="195"/>
      <c r="N728" s="195"/>
      <c r="P728" s="659">
        <f>K728</f>
        <v>1</v>
      </c>
      <c r="Q728" s="195"/>
    </row>
    <row r="729" spans="1:17" ht="13">
      <c r="A729" s="342">
        <v>24</v>
      </c>
      <c r="C729" s="592" t="s">
        <v>224</v>
      </c>
      <c r="D729" s="717" t="s">
        <v>1002</v>
      </c>
      <c r="E729" s="723"/>
      <c r="F729" s="473">
        <f>'Alloc Factors Summary'!$D$141</f>
        <v>8662854</v>
      </c>
      <c r="G729" s="473">
        <f>'Alloc Factors Summary'!D137</f>
        <v>6936503</v>
      </c>
      <c r="H729" s="473">
        <f>'Alloc Factors Summary'!D138</f>
        <v>1462990</v>
      </c>
      <c r="I729" s="473">
        <f>'Alloc Factors Summary'!D139</f>
        <v>159983</v>
      </c>
      <c r="J729" s="473">
        <f>'Alloc Factors Summary'!D140</f>
        <v>103378</v>
      </c>
      <c r="K729" s="601">
        <f t="shared" si="196"/>
        <v>8662854</v>
      </c>
      <c r="L729" s="347">
        <f t="shared" si="197"/>
        <v>0</v>
      </c>
      <c r="N729" s="195"/>
      <c r="P729" s="658"/>
    </row>
    <row r="730" spans="1:17" ht="13">
      <c r="A730" s="342">
        <v>25</v>
      </c>
      <c r="B730" s="195"/>
      <c r="C730" s="491" t="s">
        <v>355</v>
      </c>
      <c r="D730" s="583"/>
      <c r="E730" s="708" t="str">
        <f>'FR-16(7)(v)-1 Functional'!$E$730</f>
        <v>K413</v>
      </c>
      <c r="F730" s="354">
        <f>IF($F729=0,0,ROUND(F729/$F729,5))</f>
        <v>1</v>
      </c>
      <c r="G730" s="354">
        <f>IF($L729=0,F730-SUM(H730:J730),ROUND(G729/$F729,5))</f>
        <v>0.80071999999999999</v>
      </c>
      <c r="H730" s="354">
        <f>IF($F729=0,0,ROUND(H729/$F729,5))</f>
        <v>0.16888</v>
      </c>
      <c r="I730" s="354">
        <f>IF(F729=0,0,ROUND(I729/F729,5))</f>
        <v>1.847E-2</v>
      </c>
      <c r="J730" s="354">
        <f>IF(G729=0,0,ROUND(J729/F729,5))</f>
        <v>1.193E-2</v>
      </c>
      <c r="K730" s="354">
        <f t="shared" si="196"/>
        <v>1</v>
      </c>
      <c r="L730" s="354">
        <f t="shared" si="197"/>
        <v>0</v>
      </c>
      <c r="M730" s="195"/>
      <c r="N730" s="195"/>
      <c r="P730" s="659">
        <f>K730</f>
        <v>1</v>
      </c>
      <c r="Q730" s="195"/>
    </row>
    <row r="731" spans="1:17" ht="13">
      <c r="A731" s="342">
        <v>26</v>
      </c>
      <c r="C731" s="663" t="s">
        <v>1004</v>
      </c>
      <c r="D731" s="717" t="s">
        <v>1002</v>
      </c>
      <c r="E731" s="723"/>
      <c r="F731" s="603">
        <f>ROUND('Alloc Factors Summary'!H171*100,0)</f>
        <v>100</v>
      </c>
      <c r="G731" s="603">
        <f>'Alloc Factors Summary'!H167*100</f>
        <v>51.036000000000001</v>
      </c>
      <c r="H731" s="603">
        <f>'Alloc Factors Summary'!H168*100</f>
        <v>30.990000000000002</v>
      </c>
      <c r="I731" s="603">
        <f>'Alloc Factors Summary'!H169*100</f>
        <v>13.624000000000001</v>
      </c>
      <c r="J731" s="603">
        <f>'Alloc Factors Summary'!H170*100</f>
        <v>4.3499999999999996</v>
      </c>
      <c r="K731" s="604">
        <f t="shared" si="196"/>
        <v>100</v>
      </c>
      <c r="L731" s="604">
        <f t="shared" si="197"/>
        <v>0</v>
      </c>
      <c r="N731" s="195"/>
      <c r="P731" s="658"/>
    </row>
    <row r="732" spans="1:17" ht="13">
      <c r="A732" s="342">
        <v>27</v>
      </c>
      <c r="B732" s="195"/>
      <c r="C732" s="491" t="s">
        <v>355</v>
      </c>
      <c r="D732" s="583"/>
      <c r="E732" s="708" t="str">
        <f>'FR-16(7)(v)-1 Functional'!$E$732</f>
        <v>K415</v>
      </c>
      <c r="F732" s="354">
        <f>IF($F731=0,0,ROUND(F731/$F731,5))</f>
        <v>1</v>
      </c>
      <c r="G732" s="354">
        <f>IF($L731=0,F732-SUM(H732:J732),ROUND(G731/$F731,5))</f>
        <v>0.51036000000000004</v>
      </c>
      <c r="H732" s="354">
        <f>IF($F731=0,0,ROUND(H731/$F731,5))</f>
        <v>0.30990000000000001</v>
      </c>
      <c r="I732" s="354">
        <f>IF(F731=0,0,ROUND(I731/F731,5))</f>
        <v>0.13624</v>
      </c>
      <c r="J732" s="354">
        <f>IF(G731=0,0,ROUND(J731/F731,5))</f>
        <v>4.3499999999999997E-2</v>
      </c>
      <c r="K732" s="354">
        <f t="shared" si="196"/>
        <v>1</v>
      </c>
      <c r="L732" s="354">
        <f t="shared" si="197"/>
        <v>0</v>
      </c>
      <c r="M732" s="195"/>
      <c r="N732" s="195"/>
      <c r="P732" s="659">
        <f>K732</f>
        <v>1</v>
      </c>
      <c r="Q732" s="195"/>
    </row>
    <row r="733" spans="1:17" ht="13">
      <c r="A733" s="342">
        <v>28</v>
      </c>
      <c r="C733" s="592" t="s">
        <v>376</v>
      </c>
      <c r="D733" s="717" t="s">
        <v>1002</v>
      </c>
      <c r="E733" s="723"/>
      <c r="F733" s="473">
        <f>'Alloc Factors Summary'!$D$151</f>
        <v>151324</v>
      </c>
      <c r="G733" s="473">
        <f>'Alloc Factors Summary'!D147</f>
        <v>93602</v>
      </c>
      <c r="H733" s="473">
        <f>'Alloc Factors Summary'!D148</f>
        <v>56319</v>
      </c>
      <c r="I733" s="473">
        <f>'Alloc Factors Summary'!D149</f>
        <v>1162</v>
      </c>
      <c r="J733" s="473">
        <f>'Alloc Factors Summary'!D150</f>
        <v>241</v>
      </c>
      <c r="K733" s="347">
        <f t="shared" si="196"/>
        <v>151324</v>
      </c>
      <c r="L733" s="347">
        <f t="shared" si="197"/>
        <v>0</v>
      </c>
      <c r="N733" s="195"/>
      <c r="P733" s="658"/>
    </row>
    <row r="734" spans="1:17" ht="13">
      <c r="A734" s="342">
        <v>29</v>
      </c>
      <c r="B734" s="195"/>
      <c r="C734" s="491" t="s">
        <v>355</v>
      </c>
      <c r="D734" s="583"/>
      <c r="E734" s="708" t="str">
        <f>'FR-16(7)(v)-1 Functional'!$E$734</f>
        <v>K417</v>
      </c>
      <c r="F734" s="354">
        <f>IF($F733=0,0,ROUND(F733/$F733,5))</f>
        <v>1</v>
      </c>
      <c r="G734" s="354">
        <f>IF($L733=0,F734-SUM(H734:J734),ROUND(G733/$F733,5))</f>
        <v>0.61856</v>
      </c>
      <c r="H734" s="354">
        <f>IF($F733=0,0,ROUND(H733/$F733,5))</f>
        <v>0.37217</v>
      </c>
      <c r="I734" s="354">
        <f>IF(F733=0,0,ROUND(I733/F733,5))</f>
        <v>7.6800000000000002E-3</v>
      </c>
      <c r="J734" s="354">
        <f>IF(G733=0,0,ROUND(J733/F733,5))</f>
        <v>1.5900000000000001E-3</v>
      </c>
      <c r="K734" s="354">
        <f t="shared" si="196"/>
        <v>1</v>
      </c>
      <c r="L734" s="354">
        <f t="shared" si="197"/>
        <v>0</v>
      </c>
      <c r="M734" s="195"/>
      <c r="N734" s="195"/>
      <c r="P734" s="659">
        <f>K734</f>
        <v>1</v>
      </c>
      <c r="Q734" s="195"/>
    </row>
    <row r="735" spans="1:17" ht="13">
      <c r="A735" s="342">
        <v>30</v>
      </c>
      <c r="B735" s="485"/>
      <c r="C735" s="592" t="s">
        <v>226</v>
      </c>
      <c r="D735" s="717" t="s">
        <v>1002</v>
      </c>
      <c r="E735" s="739"/>
      <c r="F735" s="347">
        <f>'Alloc Factors Summary'!$D$62+'Alloc Factors Summary'!$D$63</f>
        <v>128</v>
      </c>
      <c r="G735" s="608">
        <v>0</v>
      </c>
      <c r="H735" s="608">
        <v>0</v>
      </c>
      <c r="I735" s="347">
        <f>'Alloc Factors Summary'!D62</f>
        <v>106</v>
      </c>
      <c r="J735" s="347">
        <f>'Alloc Factors Summary'!D63</f>
        <v>22</v>
      </c>
      <c r="K735" s="347">
        <f t="shared" si="196"/>
        <v>128</v>
      </c>
      <c r="L735" s="347">
        <f t="shared" si="197"/>
        <v>0</v>
      </c>
      <c r="M735" s="600"/>
      <c r="N735" s="195"/>
      <c r="P735" s="660"/>
      <c r="Q735" s="600"/>
    </row>
    <row r="736" spans="1:17" ht="13">
      <c r="A736" s="342">
        <v>31</v>
      </c>
      <c r="B736" s="195"/>
      <c r="C736" s="491" t="str">
        <f>C734</f>
        <v>RATIO TO TOTAL GAS</v>
      </c>
      <c r="D736" s="583"/>
      <c r="E736" s="708" t="str">
        <f>'FR-16(7)(v)-1 Functional'!$E$736</f>
        <v>K431</v>
      </c>
      <c r="F736" s="354">
        <f>IF($F735=0,0,ROUND(F735/$F735,5))</f>
        <v>1</v>
      </c>
      <c r="G736" s="354">
        <f>IF($L735=0,F736-SUM(H736:J736),ROUND(G735/$F735,5))</f>
        <v>-1.0000000000065512E-5</v>
      </c>
      <c r="H736" s="354">
        <f>IF($F735=0,0,ROUND(H735/$F735,5))</f>
        <v>0</v>
      </c>
      <c r="I736" s="354">
        <f>IF(F735=0,0,ROUND(I735/F735,5))</f>
        <v>0.82813000000000003</v>
      </c>
      <c r="J736" s="354">
        <f>IF(F735=0,0,ROUND(J735/F735,5))</f>
        <v>0.17188000000000001</v>
      </c>
      <c r="K736" s="354">
        <f t="shared" si="196"/>
        <v>1</v>
      </c>
      <c r="L736" s="348">
        <f t="shared" si="197"/>
        <v>0</v>
      </c>
      <c r="M736" s="195"/>
      <c r="N736" s="195"/>
      <c r="P736" s="659">
        <f>K736</f>
        <v>1</v>
      </c>
      <c r="Q736" s="195"/>
    </row>
    <row r="737" spans="1:17" ht="13">
      <c r="A737" s="342">
        <v>32</v>
      </c>
      <c r="C737" s="663" t="s">
        <v>406</v>
      </c>
      <c r="D737" s="717" t="s">
        <v>1002</v>
      </c>
      <c r="E737" s="723"/>
      <c r="F737" s="473">
        <f>'Alloc Factors Summary'!$D$159</f>
        <v>3928413</v>
      </c>
      <c r="G737" s="486">
        <v>0</v>
      </c>
      <c r="H737" s="486">
        <v>0</v>
      </c>
      <c r="I737" s="473">
        <f>'Alloc Factors Summary'!D157</f>
        <v>2289963</v>
      </c>
      <c r="J737" s="473">
        <f>'Alloc Factors Summary'!D158</f>
        <v>1638450</v>
      </c>
      <c r="K737" s="347">
        <f t="shared" si="196"/>
        <v>3928413</v>
      </c>
      <c r="L737" s="347">
        <f t="shared" si="197"/>
        <v>0</v>
      </c>
      <c r="N737" s="195"/>
      <c r="P737" s="658"/>
    </row>
    <row r="738" spans="1:17" ht="13">
      <c r="A738" s="342">
        <v>33</v>
      </c>
      <c r="B738" s="195"/>
      <c r="C738" s="491" t="s">
        <v>355</v>
      </c>
      <c r="D738" s="583"/>
      <c r="E738" s="708" t="str">
        <f>'FR-16(7)(v)-1 Functional'!$E$738</f>
        <v>K595</v>
      </c>
      <c r="F738" s="354">
        <f>IF($F737=0,0,ROUND(F737/$F737,5))</f>
        <v>1</v>
      </c>
      <c r="G738" s="354">
        <f>IF($L737=0,F738-SUM(H738:J738),ROUND(G737/$F737,5))</f>
        <v>0</v>
      </c>
      <c r="H738" s="354">
        <f>IF($F737=0,0,ROUND(H737/$F737,5))</f>
        <v>0</v>
      </c>
      <c r="I738" s="354">
        <f>IF(F737=0,0,ROUND(I737/F737,5))</f>
        <v>0.58291999999999999</v>
      </c>
      <c r="J738" s="354">
        <f>IF(F737=0,0,ROUND(J737/F737,5))</f>
        <v>0.41708000000000001</v>
      </c>
      <c r="K738" s="354">
        <f t="shared" si="196"/>
        <v>1</v>
      </c>
      <c r="L738" s="348">
        <f t="shared" si="197"/>
        <v>0</v>
      </c>
      <c r="M738" s="195"/>
      <c r="N738" s="195"/>
      <c r="P738" s="659">
        <f>K738</f>
        <v>1</v>
      </c>
      <c r="Q738" s="195"/>
    </row>
    <row r="739" spans="1:17" ht="13">
      <c r="A739" s="342">
        <v>34</v>
      </c>
      <c r="B739" s="593"/>
      <c r="C739" s="592" t="s">
        <v>225</v>
      </c>
      <c r="D739" s="717" t="s">
        <v>1002</v>
      </c>
      <c r="E739" s="723"/>
      <c r="F739" s="470">
        <v>1</v>
      </c>
      <c r="G739" s="470">
        <v>0</v>
      </c>
      <c r="H739" s="470">
        <v>1</v>
      </c>
      <c r="I739" s="470">
        <v>0</v>
      </c>
      <c r="J739" s="470">
        <v>0</v>
      </c>
      <c r="K739" s="347">
        <f t="shared" si="196"/>
        <v>1</v>
      </c>
      <c r="L739" s="347">
        <f t="shared" si="197"/>
        <v>0</v>
      </c>
      <c r="M739" s="593"/>
      <c r="N739" s="195"/>
      <c r="P739" s="662"/>
      <c r="Q739" s="593"/>
    </row>
    <row r="740" spans="1:17" ht="13">
      <c r="A740" s="342">
        <v>35</v>
      </c>
      <c r="B740" s="195"/>
      <c r="C740" s="491" t="s">
        <v>355</v>
      </c>
      <c r="D740" s="583"/>
      <c r="E740" s="708" t="str">
        <f>'FR-16(7)(v)-1 Functional'!$E$740</f>
        <v>K597</v>
      </c>
      <c r="F740" s="354">
        <f>IF($F739=0,0,ROUND(F739/$F739,5))</f>
        <v>1</v>
      </c>
      <c r="G740" s="354">
        <f>IF($L739=0,F740-SUM(H740:J740),ROUND(G739/$F739,5))</f>
        <v>0</v>
      </c>
      <c r="H740" s="354">
        <f>IF($F739=0,0,ROUND(H739/$F739,5))</f>
        <v>1</v>
      </c>
      <c r="I740" s="354">
        <f>IF(F739=0,0,ROUND(I739/F739,5))</f>
        <v>0</v>
      </c>
      <c r="J740" s="354">
        <f>IF(G739=0,0,ROUND(J739/F739,5))</f>
        <v>0</v>
      </c>
      <c r="K740" s="354">
        <f t="shared" si="196"/>
        <v>1</v>
      </c>
      <c r="L740" s="354">
        <f t="shared" si="197"/>
        <v>0</v>
      </c>
      <c r="M740" s="195"/>
      <c r="N740" s="195"/>
      <c r="P740" s="659">
        <f>K740</f>
        <v>1</v>
      </c>
      <c r="Q740" s="195"/>
    </row>
    <row r="741" spans="1:17" ht="13">
      <c r="A741" s="342">
        <v>36</v>
      </c>
      <c r="C741" s="592" t="s">
        <v>431</v>
      </c>
      <c r="D741" s="621"/>
      <c r="E741" s="740"/>
      <c r="F741" s="488">
        <v>1</v>
      </c>
      <c r="G741" s="471">
        <v>1</v>
      </c>
      <c r="H741" s="470">
        <v>0</v>
      </c>
      <c r="I741" s="470">
        <v>0</v>
      </c>
      <c r="J741" s="470">
        <v>0</v>
      </c>
      <c r="K741" s="347">
        <f t="shared" si="196"/>
        <v>1</v>
      </c>
      <c r="L741" s="345">
        <f t="shared" si="197"/>
        <v>0</v>
      </c>
      <c r="N741" s="195"/>
      <c r="P741" s="658"/>
    </row>
    <row r="742" spans="1:17" ht="13">
      <c r="A742" s="342">
        <v>37</v>
      </c>
      <c r="C742" s="491" t="s">
        <v>355</v>
      </c>
      <c r="D742" s="583"/>
      <c r="E742" s="708" t="str">
        <f>'FR-16(7)(v)-1 Functional'!$E$742</f>
        <v>K903</v>
      </c>
      <c r="F742" s="354">
        <f>IF($F741=0,0,ROUND(F741/$F741,5))</f>
        <v>1</v>
      </c>
      <c r="G742" s="354">
        <f>IF($L741=0,F742-SUM(H742:J742),ROUND(G741/$F741,5))</f>
        <v>1</v>
      </c>
      <c r="H742" s="354">
        <f>IF($F741=0,0,ROUND(H741/$F741,5))</f>
        <v>0</v>
      </c>
      <c r="I742" s="354">
        <f>IF(F741=0,0,ROUND(I741/F741,5))</f>
        <v>0</v>
      </c>
      <c r="J742" s="354">
        <f>IF(G741=0,0,ROUND(J741/F741,5))</f>
        <v>0</v>
      </c>
      <c r="K742" s="354">
        <f t="shared" si="196"/>
        <v>1</v>
      </c>
      <c r="L742" s="348">
        <f t="shared" si="197"/>
        <v>0</v>
      </c>
      <c r="N742" s="195"/>
      <c r="P742" s="659">
        <f>K742</f>
        <v>1</v>
      </c>
    </row>
    <row r="743" spans="1:17" ht="13">
      <c r="A743" s="342">
        <v>38</v>
      </c>
      <c r="B743" s="363"/>
      <c r="C743" s="363"/>
      <c r="D743" s="718"/>
      <c r="E743" s="331"/>
      <c r="H743" s="351"/>
      <c r="J743" s="351"/>
      <c r="K743" s="351"/>
      <c r="N743" s="195"/>
    </row>
    <row r="744" spans="1:17" ht="13">
      <c r="A744" s="342">
        <v>39</v>
      </c>
      <c r="C744" s="592" t="s">
        <v>108</v>
      </c>
      <c r="D744" s="821" t="s">
        <v>300</v>
      </c>
      <c r="E744" s="708" t="str">
        <f>'FR-16(7)(v)-1 Functional'!$E$744</f>
        <v>R600</v>
      </c>
      <c r="F744" s="473">
        <f>'FR-16(7)(v)-2 PROD Classified'!H744</f>
        <v>40910824</v>
      </c>
      <c r="G744" s="345">
        <f>F744-SUM(H744:J744)</f>
        <v>27747713</v>
      </c>
      <c r="H744" s="345">
        <f>ROUND($F$744*VLOOKUP($D$744,ALLOCTABLE_Prod_Commodity,$H$10,FALSE),0)</f>
        <v>10500032</v>
      </c>
      <c r="I744" s="345">
        <f>ROUND(F744*VLOOKUP(D744,ALLOCTABLE_Prod_Commodity,$I$10,FALSE),0)</f>
        <v>2006881</v>
      </c>
      <c r="J744" s="345">
        <f>ROUND(F744*VLOOKUP(D744,ALLOCTABLE_Prod_Commodity,$J$10,FALSE),0)</f>
        <v>656198</v>
      </c>
      <c r="K744" s="347">
        <f>SUM(G744:J744)</f>
        <v>40910824</v>
      </c>
      <c r="L744" s="347">
        <f>F744-K744</f>
        <v>0</v>
      </c>
      <c r="N744" s="195"/>
      <c r="P744" s="658"/>
    </row>
    <row r="745" spans="1:17" ht="13">
      <c r="A745" s="342">
        <v>40</v>
      </c>
      <c r="C745" s="592" t="s">
        <v>843</v>
      </c>
      <c r="D745" s="821" t="s">
        <v>1179</v>
      </c>
      <c r="E745" s="708" t="str">
        <f>'FR-16(7)(v)-1 Functional'!$E$745</f>
        <v>R602</v>
      </c>
      <c r="F745" s="473">
        <f>'FR-16(7)(v)-2 PROD Classified'!H745</f>
        <v>46539308</v>
      </c>
      <c r="G745" s="345">
        <f>F745-SUM(H745:J745)</f>
        <v>31413307</v>
      </c>
      <c r="H745" s="345">
        <f>ROUND($F$745*VLOOKUP($D$745,ALLOCTABLE_Prod_Commodity,$H$10,FALSE),0)</f>
        <v>12049852</v>
      </c>
      <c r="I745" s="345">
        <f>ROUND(F745*VLOOKUP(D745,ALLOCTABLE_Prod_Commodity,$I$10,FALSE),0)</f>
        <v>2322022</v>
      </c>
      <c r="J745" s="345">
        <f>ROUND(F745*VLOOKUP(D745,ALLOCTABLE_Prod_Commodity,$J$10,FALSE),0)</f>
        <v>754127</v>
      </c>
      <c r="K745" s="347">
        <f>SUM(G745:J745)</f>
        <v>46539308</v>
      </c>
      <c r="L745" s="347">
        <f>F745-K745</f>
        <v>0</v>
      </c>
      <c r="N745" s="195"/>
      <c r="P745" s="658"/>
    </row>
    <row r="746" spans="1:17" ht="13">
      <c r="E746" s="331"/>
      <c r="H746" s="351"/>
      <c r="J746" s="351"/>
      <c r="K746" s="351"/>
      <c r="N746" s="195"/>
      <c r="P746" s="658"/>
    </row>
    <row r="747" spans="1:17" ht="13">
      <c r="A747" s="341" t="str">
        <f>co_name</f>
        <v>DUKE ENERGY KENTUCKY, INC.</v>
      </c>
      <c r="C747" s="195"/>
      <c r="D747" s="342"/>
      <c r="E747" s="195"/>
      <c r="F747" s="342"/>
      <c r="G747" s="340"/>
      <c r="H747" s="340"/>
      <c r="I747" s="195"/>
      <c r="K747" s="359" t="str">
        <f>$K$1</f>
        <v>FR-16(7)(v)-3</v>
      </c>
      <c r="N747" s="195"/>
      <c r="P747" s="658"/>
    </row>
    <row r="748" spans="1:17" ht="13">
      <c r="A748" s="341" t="str">
        <f>$A$2</f>
        <v>PRODUCTION COMMODITY ALLOCATED - GAS COST OF SERVICE</v>
      </c>
      <c r="C748" s="195"/>
      <c r="D748" s="342"/>
      <c r="E748" s="195"/>
      <c r="F748" s="342"/>
      <c r="G748" s="340"/>
      <c r="H748" s="340"/>
      <c r="I748" s="195"/>
      <c r="K748" s="359" t="str">
        <f>$K$2</f>
        <v>WITNESS RESPONSIBLE:</v>
      </c>
      <c r="N748" s="195"/>
      <c r="P748" s="658"/>
    </row>
    <row r="749" spans="1:17" ht="13">
      <c r="A749" s="341" t="str">
        <f>case_name</f>
        <v>CASE NO: 2021-00190</v>
      </c>
      <c r="C749" s="195"/>
      <c r="D749" s="342"/>
      <c r="E749" s="195"/>
      <c r="F749" s="342"/>
      <c r="G749" s="340"/>
      <c r="H749" s="340"/>
      <c r="I749" s="195"/>
      <c r="K749" s="359" t="str">
        <f>Witness</f>
        <v>JAMES E. ZIOLKOWSKI</v>
      </c>
      <c r="N749" s="195"/>
      <c r="P749" s="658"/>
    </row>
    <row r="750" spans="1:17" ht="13">
      <c r="A750" s="341" t="str">
        <f>data_filing</f>
        <v>DATA: 12 MONTH FORECASTED PERIOD</v>
      </c>
      <c r="C750" s="195"/>
      <c r="D750" s="342"/>
      <c r="E750" s="195"/>
      <c r="F750" s="342"/>
      <c r="G750" s="340"/>
      <c r="H750" s="340"/>
      <c r="I750" s="195"/>
      <c r="K750" s="359" t="str">
        <f>"PAGE "&amp;Pages-1&amp;" OF "&amp;Pages</f>
        <v>PAGE 17 OF 18</v>
      </c>
      <c r="N750" s="195"/>
      <c r="P750" s="658"/>
    </row>
    <row r="751" spans="1:17" ht="13">
      <c r="A751" s="341" t="str">
        <f>type</f>
        <v xml:space="preserve">TYPE OF FILING: "X" ORIGINAL   UPDATED    REVISED  </v>
      </c>
      <c r="C751" s="195"/>
      <c r="D751" s="342"/>
      <c r="E751" s="195"/>
      <c r="F751" s="342"/>
      <c r="G751" s="340"/>
      <c r="H751" s="340"/>
      <c r="I751" s="195"/>
      <c r="J751" s="342"/>
      <c r="K751" s="195"/>
      <c r="N751" s="195"/>
      <c r="P751" s="658"/>
    </row>
    <row r="752" spans="1:17" ht="13">
      <c r="B752" s="195"/>
      <c r="E752" s="331"/>
      <c r="F752" s="342"/>
      <c r="H752" s="351"/>
      <c r="J752" s="582"/>
      <c r="K752" s="351"/>
      <c r="N752" s="195"/>
      <c r="P752" s="658"/>
    </row>
    <row r="753" spans="1:17" ht="13">
      <c r="B753" s="195"/>
      <c r="E753" s="331"/>
      <c r="F753" s="342" t="s">
        <v>229</v>
      </c>
      <c r="H753" s="351"/>
      <c r="J753" s="582"/>
      <c r="K753" s="351"/>
      <c r="N753" s="195"/>
      <c r="P753" s="658"/>
    </row>
    <row r="754" spans="1:17" ht="13">
      <c r="A754" s="342" t="s">
        <v>907</v>
      </c>
      <c r="B754" s="195"/>
      <c r="C754" s="195"/>
      <c r="D754" s="342"/>
      <c r="E754" s="342"/>
      <c r="F754" s="342" t="str">
        <f>$F$8</f>
        <v>PRODUCTION</v>
      </c>
      <c r="G754" s="583" t="str">
        <f>$G$8</f>
        <v>RS</v>
      </c>
      <c r="H754" s="582" t="str">
        <f>$H$8</f>
        <v>GS</v>
      </c>
      <c r="I754" s="582" t="str">
        <f>$I$8</f>
        <v>FT-L</v>
      </c>
      <c r="J754" s="582" t="str">
        <f>$J$8</f>
        <v>INTERUPT</v>
      </c>
      <c r="K754" s="582" t="s">
        <v>229</v>
      </c>
      <c r="L754" s="583" t="s">
        <v>342</v>
      </c>
      <c r="M754" s="195"/>
      <c r="N754" s="195"/>
      <c r="P754" s="657"/>
      <c r="Q754" s="195"/>
    </row>
    <row r="755" spans="1:17" ht="13">
      <c r="A755" s="344" t="s">
        <v>908</v>
      </c>
      <c r="B755" s="584" t="s">
        <v>89</v>
      </c>
      <c r="C755" s="343"/>
      <c r="D755" s="585" t="s">
        <v>1001</v>
      </c>
      <c r="E755" s="585" t="s">
        <v>337</v>
      </c>
      <c r="F755" s="342" t="str">
        <f>$F$9</f>
        <v>COMMODITY</v>
      </c>
      <c r="G755" s="586" t="str">
        <f>$G$9</f>
        <v>RESIDENTIAL</v>
      </c>
      <c r="H755" s="587" t="str">
        <f>$H$9</f>
        <v>GEN SERV</v>
      </c>
      <c r="I755" s="587" t="str">
        <f>$I$9</f>
        <v>FIRM TRANS</v>
      </c>
      <c r="J755" s="587" t="str">
        <f>$J$9</f>
        <v>TRANS</v>
      </c>
      <c r="K755" s="587" t="s">
        <v>341</v>
      </c>
      <c r="L755" s="586" t="s">
        <v>340</v>
      </c>
      <c r="M755" s="195"/>
      <c r="N755" s="195"/>
      <c r="P755" s="657"/>
      <c r="Q755" s="195"/>
    </row>
    <row r="756" spans="1:17" ht="13">
      <c r="C756" s="839" t="s">
        <v>559</v>
      </c>
      <c r="E756" s="627">
        <v>1</v>
      </c>
      <c r="F756" s="813">
        <v>2</v>
      </c>
      <c r="G756" s="627">
        <v>3</v>
      </c>
      <c r="H756" s="627">
        <v>4</v>
      </c>
      <c r="I756" s="627">
        <v>5</v>
      </c>
      <c r="J756" s="627">
        <v>6</v>
      </c>
      <c r="K756" s="351"/>
      <c r="M756" s="195"/>
      <c r="N756" s="195"/>
      <c r="P756" s="658"/>
    </row>
    <row r="757" spans="1:17" ht="13">
      <c r="A757" s="342">
        <v>1</v>
      </c>
      <c r="B757" s="599"/>
      <c r="C757" s="654" t="s">
        <v>1012</v>
      </c>
      <c r="D757" s="719" t="s">
        <v>1003</v>
      </c>
      <c r="E757" s="710"/>
      <c r="F757" s="347">
        <f t="shared" ref="F757:K757" si="198">F771</f>
        <v>0</v>
      </c>
      <c r="G757" s="347">
        <f t="shared" si="198"/>
        <v>0</v>
      </c>
      <c r="H757" s="347">
        <f t="shared" si="198"/>
        <v>0</v>
      </c>
      <c r="I757" s="347">
        <f t="shared" si="198"/>
        <v>0</v>
      </c>
      <c r="J757" s="347">
        <f t="shared" si="198"/>
        <v>0</v>
      </c>
      <c r="K757" s="347">
        <f t="shared" si="198"/>
        <v>0</v>
      </c>
      <c r="L757" s="347">
        <f t="shared" ref="L757:L764" si="199">F757-K757</f>
        <v>0</v>
      </c>
      <c r="M757" s="195"/>
      <c r="N757" s="195"/>
      <c r="P757" s="661"/>
      <c r="Q757" s="599"/>
    </row>
    <row r="758" spans="1:17" ht="13">
      <c r="A758" s="342">
        <v>2</v>
      </c>
      <c r="B758" s="195"/>
      <c r="C758" s="491" t="s">
        <v>355</v>
      </c>
      <c r="D758" s="583"/>
      <c r="E758" s="708" t="str">
        <f>'FR-16(7)(v)-1 Functional'!$E$758</f>
        <v>K667</v>
      </c>
      <c r="F758" s="354">
        <f>IF($F757=0,0,ROUND(F757/$F757,5))</f>
        <v>0</v>
      </c>
      <c r="G758" s="354">
        <f>IF($L757=0,F758-SUM(H758:J758),ROUND(G757/$F757,5))</f>
        <v>0</v>
      </c>
      <c r="H758" s="354">
        <f>IF($F757=0,0,ROUND(H757/$F757,5))</f>
        <v>0</v>
      </c>
      <c r="I758" s="354">
        <f>IF($F757=0,0,ROUND(I757/$F757,5))</f>
        <v>0</v>
      </c>
      <c r="J758" s="354">
        <f>IF($F757=0,0,ROUND(J757/$F757,5))</f>
        <v>0</v>
      </c>
      <c r="K758" s="354">
        <f>SUM(G758:J758)</f>
        <v>0</v>
      </c>
      <c r="L758" s="354">
        <f t="shared" si="199"/>
        <v>0</v>
      </c>
      <c r="M758" s="195"/>
      <c r="N758" s="195"/>
      <c r="P758" s="659">
        <f>K758</f>
        <v>0</v>
      </c>
      <c r="Q758" s="195"/>
    </row>
    <row r="759" spans="1:17" ht="13">
      <c r="A759" s="342">
        <v>3</v>
      </c>
      <c r="B759" s="599"/>
      <c r="C759" s="654" t="s">
        <v>1021</v>
      </c>
      <c r="D759" s="719" t="s">
        <v>1003</v>
      </c>
      <c r="E759" s="723"/>
      <c r="F759" s="347">
        <f t="shared" ref="F759:K759" si="200">F778</f>
        <v>0</v>
      </c>
      <c r="G759" s="347">
        <f t="shared" si="200"/>
        <v>0</v>
      </c>
      <c r="H759" s="347">
        <f t="shared" si="200"/>
        <v>0</v>
      </c>
      <c r="I759" s="347">
        <f t="shared" si="200"/>
        <v>0</v>
      </c>
      <c r="J759" s="347">
        <f t="shared" si="200"/>
        <v>0</v>
      </c>
      <c r="K759" s="347">
        <f t="shared" si="200"/>
        <v>0</v>
      </c>
      <c r="L759" s="347">
        <f t="shared" si="199"/>
        <v>0</v>
      </c>
      <c r="M759" s="195"/>
      <c r="N759" s="195"/>
      <c r="P759" s="661"/>
      <c r="Q759" s="599"/>
    </row>
    <row r="760" spans="1:17" ht="13">
      <c r="A760" s="342">
        <v>4</v>
      </c>
      <c r="B760" s="195"/>
      <c r="C760" s="491" t="s">
        <v>355</v>
      </c>
      <c r="D760" s="583"/>
      <c r="E760" s="708" t="str">
        <f>'FR-16(7)(v)-1 Functional'!$E$760</f>
        <v>K697</v>
      </c>
      <c r="F760" s="354">
        <f>IF($F759=0,0,ROUND(F759/$F759,5))</f>
        <v>0</v>
      </c>
      <c r="G760" s="354">
        <f>IF($L759=0,F760-SUM(H760:J760),ROUND(G759/$F759,5))</f>
        <v>0</v>
      </c>
      <c r="H760" s="354">
        <f>IF($F759=0,0,ROUND(H759/$F759,5))</f>
        <v>0</v>
      </c>
      <c r="I760" s="354">
        <f>IF($F759=0,0,ROUND(I759/$F759,5))</f>
        <v>0</v>
      </c>
      <c r="J760" s="354">
        <f>IF($F759=0,0,ROUND(J759/$F759,5))</f>
        <v>0</v>
      </c>
      <c r="K760" s="354">
        <f>SUM(G760:J760)</f>
        <v>0</v>
      </c>
      <c r="L760" s="354">
        <f t="shared" si="199"/>
        <v>0</v>
      </c>
      <c r="M760" s="195"/>
      <c r="N760" s="195"/>
      <c r="P760" s="659">
        <f>K760</f>
        <v>0</v>
      </c>
      <c r="Q760" s="195"/>
    </row>
    <row r="761" spans="1:17" ht="13">
      <c r="A761" s="342">
        <v>5</v>
      </c>
      <c r="B761" s="600"/>
      <c r="C761" s="654" t="s">
        <v>108</v>
      </c>
      <c r="D761" s="719" t="s">
        <v>1003</v>
      </c>
      <c r="E761" s="723"/>
      <c r="F761" s="776">
        <v>111143535</v>
      </c>
      <c r="G761" s="776">
        <v>75382959</v>
      </c>
      <c r="H761" s="776">
        <v>28525719</v>
      </c>
      <c r="I761" s="776">
        <v>5452147</v>
      </c>
      <c r="J761" s="776">
        <v>1782710</v>
      </c>
      <c r="K761" s="347">
        <f>SUM(G761:J761)</f>
        <v>111143535</v>
      </c>
      <c r="L761" s="347">
        <f t="shared" si="199"/>
        <v>0</v>
      </c>
      <c r="M761" s="195"/>
      <c r="N761" s="195"/>
      <c r="P761" s="660"/>
      <c r="Q761" s="600"/>
    </row>
    <row r="762" spans="1:17" ht="13">
      <c r="A762" s="342">
        <v>6</v>
      </c>
      <c r="B762" s="195"/>
      <c r="C762" s="491" t="s">
        <v>355</v>
      </c>
      <c r="D762" s="583"/>
      <c r="E762" s="708" t="str">
        <f>'FR-16(7)(v)-1 Functional'!$E$762</f>
        <v>K901</v>
      </c>
      <c r="F762" s="354">
        <f>IF($F761=0,0,ROUND(F761/$F761,9))</f>
        <v>1</v>
      </c>
      <c r="G762" s="354">
        <f>IF($L761=0,F762-SUM(H762:J762),ROUND(G761/$F761,5))</f>
        <v>0.67824870799999992</v>
      </c>
      <c r="H762" s="354">
        <f>IF($F761=0,0,ROUND(H761/$F761,9))</f>
        <v>0.256656575</v>
      </c>
      <c r="I762" s="354">
        <f>IF($F761=0,0,ROUND(I761/$F761,9))</f>
        <v>4.9055007999999997E-2</v>
      </c>
      <c r="J762" s="354">
        <f>IF($F761=0,0,ROUND(J761/$F761,9))</f>
        <v>1.6039708999999999E-2</v>
      </c>
      <c r="K762" s="354">
        <f>SUM(G762:J762)</f>
        <v>0.99999999999999989</v>
      </c>
      <c r="L762" s="354">
        <f t="shared" si="199"/>
        <v>0</v>
      </c>
      <c r="M762" s="195"/>
      <c r="N762" s="195"/>
      <c r="P762" s="659">
        <f>K762</f>
        <v>0.99999999999999989</v>
      </c>
      <c r="Q762" s="195"/>
    </row>
    <row r="763" spans="1:17" ht="13">
      <c r="A763" s="342">
        <v>7</v>
      </c>
      <c r="C763" s="654" t="s">
        <v>843</v>
      </c>
      <c r="D763" s="719" t="s">
        <v>1003</v>
      </c>
      <c r="E763" s="723"/>
      <c r="F763" s="776">
        <v>126434590</v>
      </c>
      <c r="G763" s="776">
        <v>85341378</v>
      </c>
      <c r="H763" s="776">
        <f>32704262+31894</f>
        <v>32736156</v>
      </c>
      <c r="I763" s="776">
        <v>6308299</v>
      </c>
      <c r="J763" s="776">
        <v>2048757</v>
      </c>
      <c r="K763" s="347">
        <f>SUM(G763:J763)</f>
        <v>126434590</v>
      </c>
      <c r="L763" s="347">
        <f t="shared" ref="L763" si="201">F763-K763</f>
        <v>0</v>
      </c>
      <c r="M763" s="195"/>
      <c r="N763" s="195"/>
    </row>
    <row r="764" spans="1:17" ht="13">
      <c r="A764" s="342">
        <v>8</v>
      </c>
      <c r="C764" s="491" t="s">
        <v>355</v>
      </c>
      <c r="D764" s="583"/>
      <c r="E764" s="708" t="s">
        <v>1179</v>
      </c>
      <c r="F764" s="354">
        <f>IF($F763=0,0,ROUND(F763/$F763,9))</f>
        <v>1</v>
      </c>
      <c r="G764" s="354">
        <f>IF($L763=0,F764-SUM(H764:J764),ROUND(G763/$F763,5))</f>
        <v>0.674984417</v>
      </c>
      <c r="H764" s="354">
        <f>IF($F763=0,0,ROUND(H763/$F763,9))</f>
        <v>0.25891772200000002</v>
      </c>
      <c r="I764" s="354">
        <f>IF($F763=0,0,ROUND(I763/$F763,9))</f>
        <v>4.9893775000000001E-2</v>
      </c>
      <c r="J764" s="354">
        <f>IF($F763=0,0,ROUND(J763/$F763,9))</f>
        <v>1.6204085999999999E-2</v>
      </c>
      <c r="K764" s="354">
        <f>SUM(G764:J764)</f>
        <v>1</v>
      </c>
      <c r="L764" s="354">
        <f t="shared" si="199"/>
        <v>0</v>
      </c>
      <c r="M764" s="195"/>
      <c r="N764" s="195"/>
    </row>
    <row r="765" spans="1:17" ht="13">
      <c r="A765" s="342">
        <v>9</v>
      </c>
      <c r="E765" s="740"/>
      <c r="F765" s="351"/>
      <c r="G765" s="351"/>
      <c r="H765" s="351"/>
      <c r="J765" s="351"/>
      <c r="K765" s="351"/>
      <c r="L765" s="351"/>
      <c r="N765" s="195"/>
    </row>
    <row r="766" spans="1:17" ht="13">
      <c r="A766" s="342">
        <v>10</v>
      </c>
      <c r="B766" s="702" t="s">
        <v>92</v>
      </c>
      <c r="C766" s="703"/>
      <c r="D766" s="720"/>
      <c r="E766" s="723"/>
      <c r="F766" s="619"/>
      <c r="G766" s="619"/>
      <c r="H766" s="619"/>
      <c r="I766" s="619"/>
      <c r="J766" s="619"/>
      <c r="K766" s="619"/>
      <c r="L766" s="619"/>
      <c r="M766" s="593"/>
      <c r="N766" s="195"/>
      <c r="P766" s="662"/>
      <c r="Q766" s="593"/>
    </row>
    <row r="767" spans="1:17" ht="13">
      <c r="A767" s="342">
        <v>11</v>
      </c>
      <c r="B767" s="653"/>
      <c r="C767" s="654" t="s">
        <v>1015</v>
      </c>
      <c r="D767" s="719"/>
      <c r="E767" s="723"/>
      <c r="F767" s="347">
        <f>'FR-16(7)(v)-1 Functional'!$G$71</f>
        <v>0</v>
      </c>
      <c r="G767" s="347">
        <f t="shared" ref="G767:K768" si="202">G71</f>
        <v>0</v>
      </c>
      <c r="H767" s="347">
        <f t="shared" si="202"/>
        <v>0</v>
      </c>
      <c r="I767" s="347">
        <f t="shared" si="202"/>
        <v>0</v>
      </c>
      <c r="J767" s="347">
        <f t="shared" si="202"/>
        <v>0</v>
      </c>
      <c r="K767" s="347">
        <f t="shared" si="202"/>
        <v>0</v>
      </c>
      <c r="L767" s="347">
        <f>F767-K767</f>
        <v>0</v>
      </c>
      <c r="M767" s="593"/>
      <c r="N767" s="195"/>
      <c r="P767" s="662"/>
      <c r="Q767" s="593"/>
    </row>
    <row r="768" spans="1:17" ht="13">
      <c r="A768" s="342">
        <v>12</v>
      </c>
      <c r="B768" s="653"/>
      <c r="C768" s="654" t="s">
        <v>1016</v>
      </c>
      <c r="D768" s="719"/>
      <c r="E768" s="707"/>
      <c r="F768" s="347">
        <f>'FR-16(7)(v)-1 Functional'!$G$72</f>
        <v>0</v>
      </c>
      <c r="G768" s="347">
        <f t="shared" si="202"/>
        <v>0</v>
      </c>
      <c r="H768" s="347">
        <f t="shared" si="202"/>
        <v>0</v>
      </c>
      <c r="I768" s="347">
        <f t="shared" si="202"/>
        <v>0</v>
      </c>
      <c r="J768" s="347">
        <f t="shared" si="202"/>
        <v>0</v>
      </c>
      <c r="K768" s="347">
        <f t="shared" si="202"/>
        <v>0</v>
      </c>
      <c r="L768" s="347">
        <f>F768-K768</f>
        <v>0</v>
      </c>
      <c r="M768" s="593"/>
      <c r="N768" s="195"/>
      <c r="P768" s="662"/>
      <c r="Q768" s="593"/>
    </row>
    <row r="769" spans="1:17" ht="13">
      <c r="A769" s="342">
        <v>13</v>
      </c>
      <c r="B769" s="653"/>
      <c r="C769" s="654" t="s">
        <v>1013</v>
      </c>
      <c r="D769" s="719"/>
      <c r="E769" s="707"/>
      <c r="F769" s="347">
        <f>-'FR-16(7)(v)-1 Functional'!$G$125</f>
        <v>0</v>
      </c>
      <c r="G769" s="347">
        <f t="shared" ref="G769:K770" si="203">-G125</f>
        <v>0</v>
      </c>
      <c r="H769" s="347">
        <f t="shared" si="203"/>
        <v>0</v>
      </c>
      <c r="I769" s="347">
        <f t="shared" si="203"/>
        <v>0</v>
      </c>
      <c r="J769" s="347">
        <f t="shared" si="203"/>
        <v>0</v>
      </c>
      <c r="K769" s="347">
        <f t="shared" si="203"/>
        <v>0</v>
      </c>
      <c r="L769" s="347">
        <f>F769-K769</f>
        <v>0</v>
      </c>
      <c r="M769" s="593"/>
      <c r="N769" s="195"/>
      <c r="P769" s="662"/>
      <c r="Q769" s="593"/>
    </row>
    <row r="770" spans="1:17" ht="13">
      <c r="A770" s="342">
        <v>14</v>
      </c>
      <c r="B770" s="653"/>
      <c r="C770" s="654" t="s">
        <v>1014</v>
      </c>
      <c r="D770" s="719"/>
      <c r="E770" s="711"/>
      <c r="F770" s="620">
        <f>-'FR-16(7)(v)-1 Functional'!$G$126</f>
        <v>0</v>
      </c>
      <c r="G770" s="620">
        <f t="shared" si="203"/>
        <v>0</v>
      </c>
      <c r="H770" s="620">
        <f t="shared" si="203"/>
        <v>0</v>
      </c>
      <c r="I770" s="620">
        <f t="shared" si="203"/>
        <v>0</v>
      </c>
      <c r="J770" s="620">
        <f t="shared" si="203"/>
        <v>0</v>
      </c>
      <c r="K770" s="620">
        <f t="shared" si="203"/>
        <v>0</v>
      </c>
      <c r="L770" s="347">
        <f>F770-K770</f>
        <v>0</v>
      </c>
      <c r="M770" s="593"/>
      <c r="N770" s="195"/>
      <c r="P770" s="662"/>
      <c r="Q770" s="593"/>
    </row>
    <row r="771" spans="1:17" ht="13">
      <c r="A771" s="342">
        <v>15</v>
      </c>
      <c r="B771" s="653"/>
      <c r="C771" s="704" t="s">
        <v>1023</v>
      </c>
      <c r="D771" s="719"/>
      <c r="E771" s="707"/>
      <c r="F771" s="347">
        <f t="shared" ref="F771:L771" si="204">SUM(F767:F770)</f>
        <v>0</v>
      </c>
      <c r="G771" s="347">
        <f t="shared" si="204"/>
        <v>0</v>
      </c>
      <c r="H771" s="347">
        <f t="shared" si="204"/>
        <v>0</v>
      </c>
      <c r="I771" s="347">
        <f t="shared" si="204"/>
        <v>0</v>
      </c>
      <c r="J771" s="347">
        <f t="shared" si="204"/>
        <v>0</v>
      </c>
      <c r="K771" s="347">
        <f t="shared" si="204"/>
        <v>0</v>
      </c>
      <c r="L771" s="759">
        <f t="shared" si="204"/>
        <v>0</v>
      </c>
      <c r="M771" s="593"/>
      <c r="N771" s="195"/>
      <c r="P771" s="662"/>
      <c r="Q771" s="593"/>
    </row>
    <row r="772" spans="1:17" ht="13">
      <c r="A772" s="342">
        <v>16</v>
      </c>
      <c r="B772" s="653"/>
      <c r="C772" s="653"/>
      <c r="D772" s="707"/>
      <c r="E772" s="707"/>
      <c r="F772" s="351"/>
      <c r="G772" s="351"/>
      <c r="H772" s="351"/>
      <c r="J772" s="351"/>
      <c r="K772" s="351"/>
      <c r="L772" s="351"/>
      <c r="M772" s="593"/>
      <c r="N772" s="195"/>
      <c r="P772" s="662"/>
      <c r="Q772" s="593"/>
    </row>
    <row r="773" spans="1:17" ht="13">
      <c r="A773" s="342">
        <v>17</v>
      </c>
      <c r="B773" s="705" t="s">
        <v>93</v>
      </c>
      <c r="C773" s="610"/>
      <c r="D773" s="707"/>
      <c r="E773" s="707"/>
      <c r="F773" s="351"/>
      <c r="G773" s="351"/>
      <c r="H773" s="351"/>
      <c r="J773" s="351"/>
      <c r="K773" s="351"/>
      <c r="L773" s="351"/>
      <c r="M773" s="593"/>
      <c r="N773" s="195"/>
      <c r="P773" s="662"/>
      <c r="Q773" s="593"/>
    </row>
    <row r="774" spans="1:17" ht="13">
      <c r="A774" s="342">
        <v>18</v>
      </c>
      <c r="B774" s="653"/>
      <c r="C774" s="654" t="s">
        <v>1017</v>
      </c>
      <c r="D774" s="707"/>
      <c r="E774" s="707"/>
      <c r="F774" s="347">
        <f>'FR-16(7)(v)-1 Functional'!$G$73</f>
        <v>0</v>
      </c>
      <c r="G774" s="347">
        <f>G73</f>
        <v>0</v>
      </c>
      <c r="H774" s="347">
        <f>H73</f>
        <v>0</v>
      </c>
      <c r="I774" s="347">
        <f>I73</f>
        <v>0</v>
      </c>
      <c r="J774" s="347">
        <f>J73</f>
        <v>0</v>
      </c>
      <c r="K774" s="347">
        <f>K73</f>
        <v>0</v>
      </c>
      <c r="L774" s="347">
        <f>F774-K774</f>
        <v>0</v>
      </c>
      <c r="M774" s="593"/>
      <c r="N774" s="195"/>
      <c r="P774" s="662"/>
      <c r="Q774" s="593"/>
    </row>
    <row r="775" spans="1:17" ht="13">
      <c r="A775" s="342">
        <v>19</v>
      </c>
      <c r="B775" s="653"/>
      <c r="C775" s="654" t="s">
        <v>1018</v>
      </c>
      <c r="D775" s="707"/>
      <c r="E775" s="707"/>
      <c r="F775" s="347">
        <f>'FR-16(7)(v)-1 Functional'!$G$75</f>
        <v>0</v>
      </c>
      <c r="G775" s="347">
        <f>G75</f>
        <v>0</v>
      </c>
      <c r="H775" s="347">
        <f>H75</f>
        <v>0</v>
      </c>
      <c r="I775" s="347">
        <f>I75</f>
        <v>0</v>
      </c>
      <c r="J775" s="347">
        <f>J75</f>
        <v>0</v>
      </c>
      <c r="K775" s="347">
        <f>K75</f>
        <v>0</v>
      </c>
      <c r="L775" s="347">
        <f>F775-K775</f>
        <v>0</v>
      </c>
      <c r="M775" s="593"/>
      <c r="N775" s="195"/>
      <c r="P775" s="662"/>
      <c r="Q775" s="593"/>
    </row>
    <row r="776" spans="1:17" ht="13">
      <c r="A776" s="342">
        <v>20</v>
      </c>
      <c r="B776" s="653"/>
      <c r="C776" s="654" t="s">
        <v>1019</v>
      </c>
      <c r="D776" s="707"/>
      <c r="E776" s="707"/>
      <c r="F776" s="347">
        <f>-'FR-16(7)(v)-1 Functional'!$G$127</f>
        <v>0</v>
      </c>
      <c r="G776" s="347">
        <f>-G127</f>
        <v>0</v>
      </c>
      <c r="H776" s="347">
        <f>-H127</f>
        <v>0</v>
      </c>
      <c r="I776" s="347">
        <f>-I127</f>
        <v>0</v>
      </c>
      <c r="J776" s="347">
        <f>-J127</f>
        <v>0</v>
      </c>
      <c r="K776" s="347">
        <f>-K127</f>
        <v>0</v>
      </c>
      <c r="L776" s="347">
        <f>F776-K776</f>
        <v>0</v>
      </c>
      <c r="M776" s="593"/>
      <c r="N776" s="195"/>
      <c r="P776" s="662"/>
      <c r="Q776" s="593"/>
    </row>
    <row r="777" spans="1:17" ht="13">
      <c r="A777" s="342">
        <v>21</v>
      </c>
      <c r="B777" s="653"/>
      <c r="C777" s="654" t="s">
        <v>1020</v>
      </c>
      <c r="D777" s="707"/>
      <c r="E777" s="707"/>
      <c r="F777" s="620">
        <f>-'FR-16(7)(v)-1 Functional'!$G$129</f>
        <v>0</v>
      </c>
      <c r="G777" s="620">
        <f>-G129</f>
        <v>0</v>
      </c>
      <c r="H777" s="620">
        <f>-H129</f>
        <v>0</v>
      </c>
      <c r="I777" s="620">
        <f>-I129</f>
        <v>0</v>
      </c>
      <c r="J777" s="620">
        <f>-J129</f>
        <v>0</v>
      </c>
      <c r="K777" s="620">
        <f>-K129</f>
        <v>0</v>
      </c>
      <c r="L777" s="347">
        <f>F777-K777</f>
        <v>0</v>
      </c>
      <c r="M777" s="593"/>
      <c r="N777" s="195"/>
      <c r="P777" s="662"/>
      <c r="Q777" s="593"/>
    </row>
    <row r="778" spans="1:17" ht="13">
      <c r="A778" s="342">
        <v>22</v>
      </c>
      <c r="B778" s="653"/>
      <c r="C778" s="704" t="s">
        <v>1024</v>
      </c>
      <c r="D778" s="707"/>
      <c r="E778" s="707"/>
      <c r="F778" s="345">
        <f t="shared" ref="F778:L778" si="205">SUM(F774:F777)</f>
        <v>0</v>
      </c>
      <c r="G778" s="345">
        <f t="shared" si="205"/>
        <v>0</v>
      </c>
      <c r="H778" s="347">
        <f t="shared" si="205"/>
        <v>0</v>
      </c>
      <c r="I778" s="347">
        <f t="shared" si="205"/>
        <v>0</v>
      </c>
      <c r="J778" s="347">
        <f t="shared" si="205"/>
        <v>0</v>
      </c>
      <c r="K778" s="347">
        <f t="shared" si="205"/>
        <v>0</v>
      </c>
      <c r="L778" s="758">
        <f t="shared" si="205"/>
        <v>0</v>
      </c>
      <c r="M778" s="593"/>
      <c r="N778" s="195"/>
      <c r="P778" s="662"/>
      <c r="Q778" s="593"/>
    </row>
    <row r="779" spans="1:17" ht="13">
      <c r="A779" s="342">
        <v>23</v>
      </c>
      <c r="E779" s="331"/>
      <c r="H779" s="351"/>
      <c r="J779" s="351"/>
      <c r="K779" s="351"/>
      <c r="N779" s="195"/>
    </row>
    <row r="780" spans="1:17" ht="13">
      <c r="A780" s="342">
        <v>24</v>
      </c>
      <c r="B780" s="625" t="s">
        <v>94</v>
      </c>
      <c r="C780" s="195"/>
      <c r="D780" s="712"/>
      <c r="E780" s="712"/>
      <c r="F780" s="626"/>
      <c r="G780" s="626"/>
      <c r="H780" s="627"/>
      <c r="I780" s="627"/>
      <c r="J780" s="627"/>
      <c r="K780" s="627"/>
      <c r="L780" s="626"/>
      <c r="M780" s="195"/>
      <c r="N780" s="195"/>
      <c r="P780" s="657"/>
      <c r="Q780" s="195"/>
    </row>
    <row r="781" spans="1:17" ht="13">
      <c r="A781" s="342">
        <v>25</v>
      </c>
      <c r="B781" s="591" t="s">
        <v>95</v>
      </c>
      <c r="C781" s="628"/>
      <c r="D781" s="713"/>
      <c r="E781" s="713"/>
      <c r="F781" s="504"/>
      <c r="G781" s="504"/>
      <c r="H781" s="484"/>
      <c r="I781" s="484"/>
      <c r="J781" s="504"/>
      <c r="K781" s="504"/>
      <c r="L781" s="504"/>
      <c r="M781" s="195"/>
      <c r="N781" s="195"/>
      <c r="P781" s="657"/>
      <c r="Q781" s="195"/>
    </row>
    <row r="782" spans="1:17" ht="13">
      <c r="A782" s="342">
        <v>26</v>
      </c>
      <c r="B782" s="195"/>
      <c r="C782" s="581" t="s">
        <v>230</v>
      </c>
      <c r="D782" s="719" t="s">
        <v>1003</v>
      </c>
      <c r="E782" s="708" t="str">
        <f>'FR-16(7)(v)-1 Functional'!$E$782</f>
        <v>P129</v>
      </c>
      <c r="F782" s="642">
        <v>1</v>
      </c>
      <c r="G782" s="354">
        <f t="shared" ref="G782:G789" si="206">F782-SUM(H782:J782)</f>
        <v>0.53422000000000003</v>
      </c>
      <c r="H782" s="354">
        <f>ROUND(IF($F$59=0,0,$H$59/$F$59),5)</f>
        <v>0.32457999999999998</v>
      </c>
      <c r="I782" s="354">
        <f>ROUND(IF($F$59=0,0,$I$59/$F$59),5)</f>
        <v>0.14119999999999999</v>
      </c>
      <c r="J782" s="354">
        <f>ROUND(IF($F$59=0,0,$J$59/$F$59),5)</f>
        <v>0</v>
      </c>
      <c r="K782" s="354">
        <f t="shared" ref="K782:K789" si="207">SUM(G782:J782)</f>
        <v>1</v>
      </c>
      <c r="L782" s="348">
        <f t="shared" ref="L782:L789" si="208">F782-K782</f>
        <v>0</v>
      </c>
      <c r="M782" s="195"/>
      <c r="N782" s="195"/>
      <c r="P782" s="659">
        <f t="shared" ref="P782:P789" si="209">K782</f>
        <v>1</v>
      </c>
      <c r="Q782" s="195"/>
    </row>
    <row r="783" spans="1:17" ht="13">
      <c r="A783" s="342">
        <v>27</v>
      </c>
      <c r="B783" s="195"/>
      <c r="C783" s="581" t="s">
        <v>231</v>
      </c>
      <c r="D783" s="719" t="s">
        <v>1003</v>
      </c>
      <c r="E783" s="708" t="str">
        <f>'FR-16(7)(v)-1 Functional'!$E$783</f>
        <v>D149</v>
      </c>
      <c r="F783" s="1075">
        <v>0</v>
      </c>
      <c r="G783" s="1074">
        <f t="shared" si="206"/>
        <v>0</v>
      </c>
      <c r="H783" s="1074">
        <f>ROUND(IF($F$78=0,0,H78/$F$78),5)</f>
        <v>0</v>
      </c>
      <c r="I783" s="1074">
        <f>ROUND(IF($F$78=0,0,I78/$F$78),5)</f>
        <v>0</v>
      </c>
      <c r="J783" s="1074">
        <f>ROUND(IF($F$78=0,0,J78/$F$78),5)</f>
        <v>0</v>
      </c>
      <c r="K783" s="1074">
        <f t="shared" si="207"/>
        <v>0</v>
      </c>
      <c r="L783" s="1074">
        <f t="shared" si="208"/>
        <v>0</v>
      </c>
      <c r="M783" s="195"/>
      <c r="N783" s="195"/>
      <c r="P783" s="659">
        <f t="shared" si="209"/>
        <v>0</v>
      </c>
      <c r="Q783" s="195"/>
    </row>
    <row r="784" spans="1:17" ht="13">
      <c r="A784" s="342">
        <v>28</v>
      </c>
      <c r="B784" s="195"/>
      <c r="C784" s="581" t="s">
        <v>232</v>
      </c>
      <c r="D784" s="719" t="s">
        <v>1003</v>
      </c>
      <c r="E784" s="708" t="str">
        <f>'FR-16(7)(v)-1 Functional'!$E$784</f>
        <v>PD29</v>
      </c>
      <c r="F784" s="642">
        <v>1</v>
      </c>
      <c r="G784" s="354">
        <f t="shared" si="206"/>
        <v>0.53422000000000003</v>
      </c>
      <c r="H784" s="354">
        <f>ROUND(IF($F$81=0,0,H81/$F$81),5)</f>
        <v>0.32457999999999998</v>
      </c>
      <c r="I784" s="354">
        <f>ROUND(IF($F$81=0,0,I81/$F$81),5)</f>
        <v>0.14119999999999999</v>
      </c>
      <c r="J784" s="354">
        <f>ROUND(IF($F$81=0,0,J81/$F$81),5)</f>
        <v>0</v>
      </c>
      <c r="K784" s="354">
        <f t="shared" si="207"/>
        <v>1</v>
      </c>
      <c r="L784" s="348">
        <f t="shared" si="208"/>
        <v>0</v>
      </c>
      <c r="M784" s="195"/>
      <c r="N784" s="195"/>
      <c r="P784" s="659">
        <f t="shared" si="209"/>
        <v>1</v>
      </c>
      <c r="Q784" s="195"/>
    </row>
    <row r="785" spans="1:17" ht="13">
      <c r="A785" s="342">
        <v>29</v>
      </c>
      <c r="B785" s="195"/>
      <c r="C785" s="581" t="s">
        <v>233</v>
      </c>
      <c r="D785" s="719" t="s">
        <v>1003</v>
      </c>
      <c r="E785" s="708" t="str">
        <f>'FR-16(7)(v)-1 Functional'!$E$785</f>
        <v>G129</v>
      </c>
      <c r="F785" s="642">
        <v>1</v>
      </c>
      <c r="G785" s="354">
        <f t="shared" si="206"/>
        <v>0.55303000000000002</v>
      </c>
      <c r="H785" s="354">
        <f>ROUND(IF($F$90=0,0,H90/$F$90),5)</f>
        <v>0.32441999999999999</v>
      </c>
      <c r="I785" s="354">
        <f>ROUND(IF($F$90=0,0,I90/$F$90),5)</f>
        <v>0.12095</v>
      </c>
      <c r="J785" s="354">
        <f>ROUND(IF($F$90=0,0,J90/$F$90),5)</f>
        <v>1.6000000000000001E-3</v>
      </c>
      <c r="K785" s="354">
        <f t="shared" si="207"/>
        <v>1</v>
      </c>
      <c r="L785" s="348">
        <f t="shared" si="208"/>
        <v>0</v>
      </c>
      <c r="M785" s="195"/>
      <c r="N785" s="195"/>
      <c r="P785" s="659">
        <f t="shared" si="209"/>
        <v>1</v>
      </c>
      <c r="Q785" s="195"/>
    </row>
    <row r="786" spans="1:17" ht="13">
      <c r="A786" s="342">
        <v>30</v>
      </c>
      <c r="B786" s="195"/>
      <c r="C786" s="581" t="s">
        <v>234</v>
      </c>
      <c r="D786" s="719" t="s">
        <v>1003</v>
      </c>
      <c r="E786" s="708" t="str">
        <f>'FR-16(7)(v)-1 Functional'!$E$786</f>
        <v>C129</v>
      </c>
      <c r="F786" s="642">
        <v>1</v>
      </c>
      <c r="G786" s="354">
        <f t="shared" si="206"/>
        <v>0.55303000000000002</v>
      </c>
      <c r="H786" s="354">
        <f>ROUND(IF($F$99=0,0,H99/$F$99),5)</f>
        <v>0.32441999999999999</v>
      </c>
      <c r="I786" s="354">
        <f>ROUND(IF($F$99=0,0,I99/$F$99),5)</f>
        <v>0.12095</v>
      </c>
      <c r="J786" s="354">
        <f>ROUND(IF($F$99=0,0,J99/$F$99),5)</f>
        <v>1.6000000000000001E-3</v>
      </c>
      <c r="K786" s="354">
        <f t="shared" si="207"/>
        <v>1</v>
      </c>
      <c r="L786" s="348">
        <f t="shared" si="208"/>
        <v>0</v>
      </c>
      <c r="M786" s="195"/>
      <c r="N786" s="195"/>
      <c r="P786" s="659">
        <f t="shared" si="209"/>
        <v>1</v>
      </c>
      <c r="Q786" s="195"/>
    </row>
    <row r="787" spans="1:17" ht="13">
      <c r="A787" s="342">
        <v>31</v>
      </c>
      <c r="B787" s="195"/>
      <c r="C787" s="581" t="s">
        <v>235</v>
      </c>
      <c r="D787" s="719" t="s">
        <v>1003</v>
      </c>
      <c r="E787" s="708" t="str">
        <f>'FR-16(7)(v)-1 Functional'!$E$787</f>
        <v>GP19</v>
      </c>
      <c r="F787" s="642">
        <v>1</v>
      </c>
      <c r="G787" s="354">
        <f t="shared" si="206"/>
        <v>0.54525000000000001</v>
      </c>
      <c r="H787" s="354">
        <f>ROUND(IF($F$101=0,0,H101/$F$101),5)</f>
        <v>0.32449</v>
      </c>
      <c r="I787" s="354">
        <f>ROUND(IF($F$101=0,0,I101/$F$101),5)</f>
        <v>0.12931999999999999</v>
      </c>
      <c r="J787" s="354">
        <f>ROUND(IF($F$101=0,0,J101/$F$101),5)</f>
        <v>9.3999999999999997E-4</v>
      </c>
      <c r="K787" s="354">
        <f t="shared" si="207"/>
        <v>1</v>
      </c>
      <c r="L787" s="348">
        <f t="shared" si="208"/>
        <v>0</v>
      </c>
      <c r="M787" s="195"/>
      <c r="N787" s="195"/>
      <c r="P787" s="659">
        <f t="shared" si="209"/>
        <v>1</v>
      </c>
      <c r="Q787" s="195"/>
    </row>
    <row r="788" spans="1:17" ht="13">
      <c r="A788" s="342">
        <v>32</v>
      </c>
      <c r="B788" s="195"/>
      <c r="C788" s="581" t="s">
        <v>236</v>
      </c>
      <c r="D788" s="719" t="s">
        <v>1003</v>
      </c>
      <c r="E788" s="708" t="str">
        <f>'FR-16(7)(v)-1 Functional'!$E$788</f>
        <v>D199</v>
      </c>
      <c r="F788" s="1075">
        <v>0</v>
      </c>
      <c r="G788" s="1074">
        <f t="shared" si="206"/>
        <v>0</v>
      </c>
      <c r="H788" s="1074">
        <f>ROUND(IF($F$131=0,0,H131/$F$131),5)</f>
        <v>0</v>
      </c>
      <c r="I788" s="1074">
        <f>ROUND(IF($F$131=0,0,I131/$F$131),5)</f>
        <v>0</v>
      </c>
      <c r="J788" s="1074">
        <f>ROUND(IF($F$131=0,0,J131/$F$131),5)</f>
        <v>0</v>
      </c>
      <c r="K788" s="1074">
        <f t="shared" si="207"/>
        <v>0</v>
      </c>
      <c r="L788" s="1074">
        <f t="shared" si="208"/>
        <v>0</v>
      </c>
      <c r="M788" s="195"/>
      <c r="N788" s="195"/>
      <c r="P788" s="659">
        <f t="shared" si="209"/>
        <v>0</v>
      </c>
      <c r="Q788" s="195"/>
    </row>
    <row r="789" spans="1:17" ht="13">
      <c r="A789" s="342">
        <v>33</v>
      </c>
      <c r="B789" s="195"/>
      <c r="C789" s="581" t="s">
        <v>237</v>
      </c>
      <c r="D789" s="719" t="s">
        <v>1003</v>
      </c>
      <c r="E789" s="708" t="str">
        <f>'FR-16(7)(v)-1 Functional'!$E$789</f>
        <v>DR19</v>
      </c>
      <c r="F789" s="642">
        <v>1</v>
      </c>
      <c r="G789" s="354">
        <f t="shared" si="206"/>
        <v>0.54518</v>
      </c>
      <c r="H789" s="354">
        <f>ROUND(IF($F$151=0,0,H151/$F$151),5)</f>
        <v>0.32449</v>
      </c>
      <c r="I789" s="354">
        <f>ROUND(IF($F$151=0,0,I151/$F$151),5)</f>
        <v>0.12939999999999999</v>
      </c>
      <c r="J789" s="354">
        <f>ROUND(IF($F$151=0,0,J151/$F$151),5)</f>
        <v>9.3000000000000005E-4</v>
      </c>
      <c r="K789" s="354">
        <f t="shared" si="207"/>
        <v>0.99999999999999989</v>
      </c>
      <c r="L789" s="348">
        <f t="shared" si="208"/>
        <v>0</v>
      </c>
      <c r="M789" s="195"/>
      <c r="N789" s="195"/>
      <c r="P789" s="659">
        <f t="shared" si="209"/>
        <v>0.99999999999999989</v>
      </c>
      <c r="Q789" s="195"/>
    </row>
    <row r="790" spans="1:17" ht="13">
      <c r="A790" s="342">
        <v>34</v>
      </c>
      <c r="B790" s="195"/>
      <c r="C790" s="195"/>
      <c r="D790" s="342"/>
      <c r="E790" s="723"/>
      <c r="F790" s="642"/>
      <c r="G790" s="354"/>
      <c r="H790" s="354"/>
      <c r="I790" s="354"/>
      <c r="J790" s="354"/>
      <c r="K790" s="354"/>
      <c r="M790" s="195"/>
      <c r="N790" s="195"/>
      <c r="P790" s="657"/>
      <c r="Q790" s="195"/>
    </row>
    <row r="791" spans="1:17" ht="13">
      <c r="A791" s="342">
        <v>35</v>
      </c>
      <c r="B791" s="581" t="s">
        <v>96</v>
      </c>
      <c r="C791" s="195"/>
      <c r="D791" s="342"/>
      <c r="E791" s="723"/>
      <c r="F791" s="642"/>
      <c r="G791" s="354"/>
      <c r="H791" s="354"/>
      <c r="I791" s="354"/>
      <c r="J791" s="354"/>
      <c r="K791" s="354"/>
      <c r="M791" s="195"/>
      <c r="N791" s="195"/>
      <c r="P791" s="657"/>
      <c r="Q791" s="195"/>
    </row>
    <row r="792" spans="1:17" ht="13">
      <c r="A792" s="342">
        <v>36</v>
      </c>
      <c r="B792" s="195"/>
      <c r="C792" s="581" t="s">
        <v>238</v>
      </c>
      <c r="D792" s="719" t="s">
        <v>1003</v>
      </c>
      <c r="E792" s="708" t="str">
        <f>'FR-16(7)(v)-1 Functional'!$E$792</f>
        <v>P229</v>
      </c>
      <c r="F792" s="642">
        <v>1</v>
      </c>
      <c r="G792" s="354">
        <f>F792-SUM(H792:J792)</f>
        <v>0.53422000000000003</v>
      </c>
      <c r="H792" s="354">
        <f>ROUND(IF($F$166=0,0,H166/$F$166),5)</f>
        <v>0.32457999999999998</v>
      </c>
      <c r="I792" s="354">
        <f>ROUND(IF($F$166=0,0,I166/$F$166),5)</f>
        <v>0.14119999999999999</v>
      </c>
      <c r="J792" s="354">
        <f>ROUND(IF($F$166=0,0,J166/$F$166),5)</f>
        <v>0</v>
      </c>
      <c r="K792" s="354">
        <f>SUM(G792:J792)</f>
        <v>1</v>
      </c>
      <c r="L792" s="348">
        <f>F792-K792</f>
        <v>0</v>
      </c>
      <c r="M792" s="195"/>
      <c r="N792" s="195"/>
      <c r="P792" s="659">
        <f>K792</f>
        <v>1</v>
      </c>
      <c r="Q792" s="195"/>
    </row>
    <row r="793" spans="1:17" ht="13">
      <c r="A793" s="342">
        <v>37</v>
      </c>
      <c r="B793" s="195"/>
      <c r="C793" s="581" t="s">
        <v>239</v>
      </c>
      <c r="D793" s="719" t="s">
        <v>1003</v>
      </c>
      <c r="E793" s="708" t="str">
        <f>'FR-16(7)(v)-1 Functional'!$E$793</f>
        <v>D249</v>
      </c>
      <c r="F793" s="1075">
        <v>0</v>
      </c>
      <c r="G793" s="1074">
        <f>F793-SUM(H793:J793)</f>
        <v>0</v>
      </c>
      <c r="H793" s="1074">
        <f>ROUND(IF($F$176=0,0,H176/$F$176),5)</f>
        <v>0</v>
      </c>
      <c r="I793" s="1074">
        <f>ROUND(IF($F$176=0,0,I176/$F$176),5)</f>
        <v>0</v>
      </c>
      <c r="J793" s="1074">
        <f>ROUND(IF($F$176=0,0,J176/$F$176),5)</f>
        <v>0</v>
      </c>
      <c r="K793" s="1074">
        <f>SUM(G793:J793)</f>
        <v>0</v>
      </c>
      <c r="L793" s="1074">
        <f>F793-K793</f>
        <v>0</v>
      </c>
      <c r="M793" s="195"/>
      <c r="N793" s="195"/>
      <c r="P793" s="659">
        <f>K793</f>
        <v>0</v>
      </c>
      <c r="Q793" s="195"/>
    </row>
    <row r="794" spans="1:17" ht="13">
      <c r="A794" s="342">
        <v>38</v>
      </c>
      <c r="B794" s="195"/>
      <c r="C794" s="581" t="s">
        <v>240</v>
      </c>
      <c r="D794" s="719" t="s">
        <v>1003</v>
      </c>
      <c r="E794" s="708" t="str">
        <f>'FR-16(7)(v)-1 Functional'!$E$794</f>
        <v>G229</v>
      </c>
      <c r="F794" s="642">
        <v>1</v>
      </c>
      <c r="G794" s="354">
        <f>F794-SUM(H794:J794)</f>
        <v>0.55303000000000002</v>
      </c>
      <c r="H794" s="354">
        <f>ROUND(IF($F$184=0,0,H184/$F$184),5)</f>
        <v>0.32441999999999999</v>
      </c>
      <c r="I794" s="354">
        <f>ROUND(IF($F$184=0,0,I184/$F$184),5)</f>
        <v>0.12095</v>
      </c>
      <c r="J794" s="354">
        <f>ROUND(IF($F$184=0,0,J184/$F$184),5)</f>
        <v>1.6000000000000001E-3</v>
      </c>
      <c r="K794" s="354">
        <f>SUM(G794:J794)</f>
        <v>1</v>
      </c>
      <c r="L794" s="348">
        <f>F794-K794</f>
        <v>0</v>
      </c>
      <c r="M794" s="195"/>
      <c r="N794" s="195"/>
      <c r="P794" s="659">
        <f>K794</f>
        <v>1</v>
      </c>
      <c r="Q794" s="195"/>
    </row>
    <row r="795" spans="1:17" ht="13">
      <c r="A795" s="342">
        <v>39</v>
      </c>
      <c r="B795" s="195"/>
      <c r="C795" s="581" t="s">
        <v>241</v>
      </c>
      <c r="D795" s="719" t="s">
        <v>1003</v>
      </c>
      <c r="E795" s="708" t="str">
        <f>'FR-16(7)(v)-1 Functional'!$E$795</f>
        <v>C229</v>
      </c>
      <c r="F795" s="642">
        <v>1</v>
      </c>
      <c r="G795" s="354">
        <f>F795-SUM(H795:J795)</f>
        <v>0.55303000000000002</v>
      </c>
      <c r="H795" s="354">
        <f>ROUND(IF($F$189=0,0,H189/$F$189),5)</f>
        <v>0.32441999999999999</v>
      </c>
      <c r="I795" s="354">
        <f>ROUND(IF($F$189=0,0,I189/$F$189),5)</f>
        <v>0.12095</v>
      </c>
      <c r="J795" s="354">
        <f>ROUND(IF($F$189=0,0,J189/$F$189),5)</f>
        <v>1.6000000000000001E-3</v>
      </c>
      <c r="K795" s="354">
        <f>SUM(G795:J795)</f>
        <v>1</v>
      </c>
      <c r="L795" s="348">
        <f>F795-K795</f>
        <v>0</v>
      </c>
      <c r="M795" s="195"/>
      <c r="N795" s="195"/>
      <c r="P795" s="659">
        <f>K795</f>
        <v>1</v>
      </c>
      <c r="Q795" s="195"/>
    </row>
    <row r="796" spans="1:17" ht="13">
      <c r="A796" s="342">
        <v>40</v>
      </c>
      <c r="B796" s="195"/>
      <c r="C796" s="581" t="s">
        <v>242</v>
      </c>
      <c r="D796" s="719" t="s">
        <v>1003</v>
      </c>
      <c r="E796" s="708" t="str">
        <f>'FR-16(7)(v)-1 Functional'!$E$796</f>
        <v>NP29</v>
      </c>
      <c r="F796" s="642">
        <v>1</v>
      </c>
      <c r="G796" s="354">
        <f>F796-SUM(H796:J796)</f>
        <v>0.54533999999999994</v>
      </c>
      <c r="H796" s="354">
        <f>ROUND(IF($F$191=0,0,H191/$F$191),5)</f>
        <v>0.32449</v>
      </c>
      <c r="I796" s="354">
        <f>ROUND(IF($F$191=0,0,I191/$F$191),5)</f>
        <v>0.12922</v>
      </c>
      <c r="J796" s="354">
        <f>ROUND(IF($F$191=0,0,J191/$F$191),5)</f>
        <v>9.5E-4</v>
      </c>
      <c r="K796" s="354">
        <f>SUM(G796:J796)</f>
        <v>0.99999999999999989</v>
      </c>
      <c r="L796" s="348">
        <f>F796-K796</f>
        <v>0</v>
      </c>
      <c r="M796" s="195"/>
      <c r="N796" s="195"/>
      <c r="P796" s="657"/>
      <c r="Q796" s="195"/>
    </row>
    <row r="797" spans="1:17" ht="13">
      <c r="A797" s="342">
        <v>41</v>
      </c>
      <c r="B797" s="195"/>
      <c r="C797" s="581"/>
      <c r="D797" s="708"/>
      <c r="E797" s="728"/>
      <c r="F797" s="348"/>
      <c r="G797" s="354"/>
      <c r="H797" s="354"/>
      <c r="I797" s="354"/>
      <c r="J797" s="354"/>
      <c r="K797" s="354"/>
      <c r="L797" s="348"/>
      <c r="M797" s="195"/>
      <c r="N797" s="195"/>
      <c r="P797" s="657"/>
      <c r="Q797" s="195"/>
    </row>
    <row r="798" spans="1:17" ht="13">
      <c r="A798" s="342">
        <v>42</v>
      </c>
      <c r="B798" s="581" t="s">
        <v>32</v>
      </c>
      <c r="C798" s="195"/>
      <c r="D798" s="342"/>
      <c r="E798" s="723"/>
      <c r="F798" s="348"/>
      <c r="G798" s="354"/>
      <c r="H798" s="354"/>
      <c r="I798" s="354"/>
      <c r="J798" s="354"/>
      <c r="K798" s="354"/>
      <c r="M798" s="195"/>
      <c r="N798" s="195"/>
      <c r="P798" s="657"/>
      <c r="Q798" s="195"/>
    </row>
    <row r="799" spans="1:17" ht="13">
      <c r="A799" s="342">
        <v>43</v>
      </c>
      <c r="B799" s="195"/>
      <c r="C799" s="581" t="s">
        <v>243</v>
      </c>
      <c r="D799" s="719" t="s">
        <v>1003</v>
      </c>
      <c r="E799" s="708" t="str">
        <f>'FR-16(7)(v)-1 Functional'!$E$799</f>
        <v>W669</v>
      </c>
      <c r="F799" s="642">
        <v>1</v>
      </c>
      <c r="G799" s="354">
        <f>F799-SUM(H799:J799)</f>
        <v>0.63009000000000004</v>
      </c>
      <c r="H799" s="354">
        <f>ROUND(IF($F$304=0,0,H304/$F$304),5)</f>
        <v>0.36964000000000002</v>
      </c>
      <c r="I799" s="354">
        <f>ROUND(IF($F$304=0,0,I304/$F$304),5)</f>
        <v>2.7E-4</v>
      </c>
      <c r="J799" s="354">
        <f>ROUND(IF($F$304=0,0,J304/$F$304),5)</f>
        <v>0</v>
      </c>
      <c r="K799" s="354">
        <f>SUM(G799:J799)</f>
        <v>1</v>
      </c>
      <c r="L799" s="348">
        <f>F799-K799</f>
        <v>0</v>
      </c>
      <c r="M799" s="195"/>
      <c r="N799" s="195"/>
      <c r="P799" s="659">
        <f>K799</f>
        <v>1</v>
      </c>
      <c r="Q799" s="195"/>
    </row>
    <row r="800" spans="1:17" ht="13">
      <c r="A800" s="342">
        <v>44</v>
      </c>
      <c r="B800" s="195"/>
      <c r="C800" s="581" t="s">
        <v>244</v>
      </c>
      <c r="D800" s="719" t="s">
        <v>1003</v>
      </c>
      <c r="E800" s="708" t="str">
        <f>'FR-16(7)(v)-1 Functional'!$E$800</f>
        <v>W689</v>
      </c>
      <c r="F800" s="1075">
        <v>0</v>
      </c>
      <c r="G800" s="1074">
        <f>F800-SUM(H800:J800)</f>
        <v>-0.37539000000000006</v>
      </c>
      <c r="H800" s="1074">
        <f>ROUND(IF($F$310=0,0,H310/$F$310),5)</f>
        <v>0.36642000000000002</v>
      </c>
      <c r="I800" s="1074">
        <f>ROUND(IF($F$310=0,0,I310/$F$310),5)</f>
        <v>5.2300000000000003E-3</v>
      </c>
      <c r="J800" s="1074">
        <f>ROUND(IF($F$310=0,0,J310/$F$310),5)</f>
        <v>3.7399999999999998E-3</v>
      </c>
      <c r="K800" s="1074">
        <f>SUM(G800:J800)</f>
        <v>-3.3393426912553537E-17</v>
      </c>
      <c r="L800" s="1074">
        <f>F800-K800</f>
        <v>3.3393426912553537E-17</v>
      </c>
      <c r="M800" s="195"/>
      <c r="N800" s="195"/>
      <c r="P800" s="659">
        <f>K800</f>
        <v>-3.3393426912553537E-17</v>
      </c>
      <c r="Q800" s="195"/>
    </row>
    <row r="801" spans="1:17" ht="13">
      <c r="A801" s="342">
        <v>45</v>
      </c>
      <c r="B801" s="195"/>
      <c r="C801" s="581" t="s">
        <v>245</v>
      </c>
      <c r="D801" s="719" t="s">
        <v>1003</v>
      </c>
      <c r="E801" s="708" t="str">
        <f>'FR-16(7)(v)-1 Functional'!$E$801</f>
        <v>W729</v>
      </c>
      <c r="F801" s="1075">
        <v>0</v>
      </c>
      <c r="G801" s="1074">
        <f>F801-SUM(H801:J801)</f>
        <v>0</v>
      </c>
      <c r="H801" s="1074">
        <f>ROUND(IF($F$313=0,0,H313/$F$313),5)</f>
        <v>0</v>
      </c>
      <c r="I801" s="1074">
        <f>ROUND(IF($F$313=0,0,I313/$F$313),5)</f>
        <v>0</v>
      </c>
      <c r="J801" s="1074">
        <f>ROUND(IF($F$313=0,0,J313/$F$313),5)</f>
        <v>0</v>
      </c>
      <c r="K801" s="1074">
        <f>SUM(G801:J801)</f>
        <v>0</v>
      </c>
      <c r="L801" s="1074">
        <f>F801-K801</f>
        <v>0</v>
      </c>
      <c r="M801" s="195"/>
      <c r="N801" s="195"/>
      <c r="P801" s="659">
        <f>K801</f>
        <v>0</v>
      </c>
      <c r="Q801" s="195"/>
    </row>
    <row r="802" spans="1:17" ht="13">
      <c r="A802" s="342">
        <v>46</v>
      </c>
      <c r="B802" s="195"/>
      <c r="C802" s="581" t="s">
        <v>246</v>
      </c>
      <c r="D802" s="719" t="s">
        <v>1003</v>
      </c>
      <c r="E802" s="708" t="str">
        <f>'FR-16(7)(v)-1 Functional'!$E$802</f>
        <v>W749</v>
      </c>
      <c r="F802" s="1075">
        <v>0</v>
      </c>
      <c r="G802" s="1074">
        <f>F802-SUM(H802:J802)</f>
        <v>-0.36974000000000001</v>
      </c>
      <c r="H802" s="1074">
        <f>ROUND(IF($F$319=0,0,H319/$F$319),5)</f>
        <v>0.36974000000000001</v>
      </c>
      <c r="I802" s="1074">
        <f>ROUND(IF($F$319=0,0,I319/$F$319),5)</f>
        <v>0</v>
      </c>
      <c r="J802" s="1074">
        <f>ROUND(IF($F$319=0,0,J319/$F$319),5)</f>
        <v>0</v>
      </c>
      <c r="K802" s="1074">
        <f>SUM(G802:J802)</f>
        <v>0</v>
      </c>
      <c r="L802" s="1074">
        <f>F802-K802</f>
        <v>0</v>
      </c>
      <c r="M802" s="195"/>
      <c r="N802" s="195"/>
      <c r="P802" s="659">
        <f>K802</f>
        <v>0</v>
      </c>
      <c r="Q802" s="195"/>
    </row>
    <row r="803" spans="1:17" ht="13">
      <c r="A803" s="342">
        <v>47</v>
      </c>
      <c r="B803" s="195"/>
      <c r="C803" s="581" t="s">
        <v>247</v>
      </c>
      <c r="D803" s="719" t="s">
        <v>1003</v>
      </c>
      <c r="E803" s="708" t="str">
        <f>'FR-16(7)(v)-1 Functional'!$E$803</f>
        <v>WC79</v>
      </c>
      <c r="F803" s="642">
        <v>1</v>
      </c>
      <c r="G803" s="354">
        <f>F803-SUM(H803:J803)</f>
        <v>0.63005999999999995</v>
      </c>
      <c r="H803" s="354">
        <f>ROUND(IF($F$321=0,0,H321/$F$321),5)</f>
        <v>0.36963000000000001</v>
      </c>
      <c r="I803" s="354">
        <f>ROUND(IF($F$321=0,0,I321/$F$321),5)</f>
        <v>2.4000000000000001E-4</v>
      </c>
      <c r="J803" s="354">
        <f>ROUND(IF($F$321=0,0,J321/$F$321),5)</f>
        <v>6.9999999999999994E-5</v>
      </c>
      <c r="K803" s="354">
        <f>SUM(G803:J803)</f>
        <v>1</v>
      </c>
      <c r="L803" s="348">
        <f>F803-K803</f>
        <v>0</v>
      </c>
      <c r="M803" s="195"/>
      <c r="N803" s="195"/>
      <c r="P803" s="659">
        <f>K803</f>
        <v>1</v>
      </c>
      <c r="Q803" s="195"/>
    </row>
    <row r="804" spans="1:17" ht="13">
      <c r="A804" s="342"/>
      <c r="B804" s="195"/>
      <c r="C804" s="195"/>
      <c r="D804" s="342"/>
      <c r="E804" s="723"/>
      <c r="F804" s="642"/>
      <c r="G804" s="348"/>
      <c r="H804" s="354"/>
      <c r="I804" s="354"/>
      <c r="J804" s="354"/>
      <c r="K804" s="354"/>
      <c r="M804" s="195"/>
      <c r="N804" s="195"/>
      <c r="P804" s="657"/>
      <c r="Q804" s="195"/>
    </row>
    <row r="805" spans="1:17" ht="13">
      <c r="A805" s="341" t="str">
        <f>co_name</f>
        <v>DUKE ENERGY KENTUCKY, INC.</v>
      </c>
      <c r="C805" s="195"/>
      <c r="D805" s="342"/>
      <c r="E805" s="195"/>
      <c r="F805" s="342"/>
      <c r="G805" s="340"/>
      <c r="H805" s="340"/>
      <c r="I805" s="195"/>
      <c r="K805" s="359" t="str">
        <f>$K$1</f>
        <v>FR-16(7)(v)-3</v>
      </c>
      <c r="N805" s="195"/>
      <c r="P805" s="658"/>
    </row>
    <row r="806" spans="1:17" ht="13">
      <c r="A806" s="341" t="str">
        <f>$A$2</f>
        <v>PRODUCTION COMMODITY ALLOCATED - GAS COST OF SERVICE</v>
      </c>
      <c r="C806" s="195"/>
      <c r="D806" s="342"/>
      <c r="E806" s="195"/>
      <c r="F806" s="342"/>
      <c r="G806" s="340"/>
      <c r="H806" s="340"/>
      <c r="I806" s="195"/>
      <c r="K806" s="359" t="str">
        <f>$K$2</f>
        <v>WITNESS RESPONSIBLE:</v>
      </c>
      <c r="N806" s="195"/>
      <c r="P806" s="658"/>
    </row>
    <row r="807" spans="1:17" ht="13">
      <c r="A807" s="341" t="str">
        <f>case_name</f>
        <v>CASE NO: 2021-00190</v>
      </c>
      <c r="C807" s="195"/>
      <c r="D807" s="342"/>
      <c r="E807" s="195"/>
      <c r="F807" s="342"/>
      <c r="G807" s="340"/>
      <c r="H807" s="340"/>
      <c r="I807" s="195"/>
      <c r="K807" s="359" t="str">
        <f>Witness</f>
        <v>JAMES E. ZIOLKOWSKI</v>
      </c>
      <c r="N807" s="195"/>
      <c r="P807" s="658"/>
    </row>
    <row r="808" spans="1:17" ht="13">
      <c r="A808" s="341" t="str">
        <f>data_filing</f>
        <v>DATA: 12 MONTH FORECASTED PERIOD</v>
      </c>
      <c r="C808" s="195"/>
      <c r="D808" s="342"/>
      <c r="E808" s="195"/>
      <c r="F808" s="342"/>
      <c r="G808" s="340"/>
      <c r="H808" s="340"/>
      <c r="I808" s="195"/>
      <c r="K808" s="359" t="str">
        <f>"PAGE "&amp;Pages&amp;" OF "&amp;Pages</f>
        <v>PAGE 18 OF 18</v>
      </c>
      <c r="N808" s="195"/>
      <c r="P808" s="658"/>
    </row>
    <row r="809" spans="1:17" ht="13">
      <c r="A809" s="341" t="str">
        <f>type</f>
        <v xml:space="preserve">TYPE OF FILING: "X" ORIGINAL   UPDATED    REVISED  </v>
      </c>
      <c r="C809" s="195"/>
      <c r="D809" s="342"/>
      <c r="E809" s="195"/>
      <c r="F809" s="342"/>
      <c r="G809" s="340"/>
      <c r="H809" s="340"/>
      <c r="I809" s="195"/>
      <c r="J809" s="342"/>
      <c r="K809" s="195"/>
      <c r="N809" s="195"/>
      <c r="P809" s="658"/>
    </row>
    <row r="810" spans="1:17" ht="13">
      <c r="B810" s="195"/>
      <c r="E810" s="331"/>
      <c r="F810" s="342"/>
      <c r="H810" s="351"/>
      <c r="J810" s="582"/>
      <c r="K810" s="351"/>
      <c r="N810" s="195"/>
      <c r="P810" s="658"/>
    </row>
    <row r="811" spans="1:17" ht="13">
      <c r="B811" s="195"/>
      <c r="E811" s="331"/>
      <c r="F811" s="342" t="s">
        <v>229</v>
      </c>
      <c r="H811" s="351"/>
      <c r="J811" s="582"/>
      <c r="K811" s="351"/>
      <c r="N811" s="195"/>
      <c r="P811" s="658"/>
    </row>
    <row r="812" spans="1:17" ht="13">
      <c r="A812" s="342" t="s">
        <v>907</v>
      </c>
      <c r="B812" s="195"/>
      <c r="C812" s="195"/>
      <c r="D812" s="342"/>
      <c r="E812" s="342"/>
      <c r="F812" s="342" t="str">
        <f>$F$8</f>
        <v>PRODUCTION</v>
      </c>
      <c r="G812" s="583" t="str">
        <f>$G$8</f>
        <v>RS</v>
      </c>
      <c r="H812" s="582" t="str">
        <f>$H$8</f>
        <v>GS</v>
      </c>
      <c r="I812" s="582" t="str">
        <f>$I$8</f>
        <v>FT-L</v>
      </c>
      <c r="J812" s="582" t="str">
        <f>$J$8</f>
        <v>INTERUPT</v>
      </c>
      <c r="K812" s="582" t="s">
        <v>229</v>
      </c>
      <c r="L812" s="583" t="s">
        <v>342</v>
      </c>
      <c r="M812" s="195"/>
      <c r="N812" s="195"/>
      <c r="P812" s="657"/>
      <c r="Q812" s="195"/>
    </row>
    <row r="813" spans="1:17" ht="13">
      <c r="A813" s="344" t="s">
        <v>908</v>
      </c>
      <c r="B813" s="584" t="s">
        <v>89</v>
      </c>
      <c r="C813" s="343"/>
      <c r="D813" s="585" t="s">
        <v>1001</v>
      </c>
      <c r="E813" s="585" t="s">
        <v>337</v>
      </c>
      <c r="F813" s="342" t="str">
        <f>$F$9</f>
        <v>COMMODITY</v>
      </c>
      <c r="G813" s="586" t="str">
        <f>$G$9</f>
        <v>RESIDENTIAL</v>
      </c>
      <c r="H813" s="587" t="str">
        <f>$H$9</f>
        <v>GEN SERV</v>
      </c>
      <c r="I813" s="587" t="str">
        <f>$I$9</f>
        <v>FIRM TRANS</v>
      </c>
      <c r="J813" s="587" t="str">
        <f>$J$9</f>
        <v>TRANS</v>
      </c>
      <c r="K813" s="587" t="s">
        <v>341</v>
      </c>
      <c r="L813" s="586" t="s">
        <v>340</v>
      </c>
      <c r="M813" s="195"/>
      <c r="N813" s="195"/>
      <c r="P813" s="657"/>
      <c r="Q813" s="195"/>
    </row>
    <row r="814" spans="1:17" ht="13">
      <c r="C814" s="839" t="s">
        <v>1036</v>
      </c>
      <c r="E814" s="627">
        <v>1</v>
      </c>
      <c r="F814" s="813">
        <v>2</v>
      </c>
      <c r="G814" s="627">
        <v>3</v>
      </c>
      <c r="H814" s="627">
        <v>4</v>
      </c>
      <c r="I814" s="627">
        <v>5</v>
      </c>
      <c r="J814" s="627">
        <v>6</v>
      </c>
      <c r="K814" s="351"/>
      <c r="N814" s="195"/>
      <c r="P814" s="658"/>
    </row>
    <row r="815" spans="1:17" ht="13">
      <c r="A815" s="342">
        <v>1</v>
      </c>
      <c r="B815" s="581" t="s">
        <v>25</v>
      </c>
      <c r="C815" s="195"/>
      <c r="D815" s="342"/>
      <c r="E815" s="723"/>
      <c r="F815" s="642"/>
      <c r="G815" s="348"/>
      <c r="H815" s="354"/>
      <c r="I815" s="354"/>
      <c r="J815" s="354"/>
      <c r="K815" s="354"/>
      <c r="M815" s="195"/>
      <c r="N815" s="195"/>
      <c r="P815" s="657"/>
      <c r="Q815" s="195"/>
    </row>
    <row r="816" spans="1:17" ht="13">
      <c r="A816" s="342">
        <v>2</v>
      </c>
      <c r="B816" s="195"/>
      <c r="C816" s="581" t="s">
        <v>248</v>
      </c>
      <c r="D816" s="719" t="s">
        <v>1003</v>
      </c>
      <c r="E816" s="708" t="str">
        <f>'FR-16(7)(v)-1 Functional'!$E$816</f>
        <v>RB29</v>
      </c>
      <c r="F816" s="642">
        <v>1</v>
      </c>
      <c r="G816" s="354">
        <f>F816-SUM(H816:J816)</f>
        <v>0.54865000000000008</v>
      </c>
      <c r="H816" s="354">
        <f>ROUND(IF($F$296=0,0,H296/$F$296),5)</f>
        <v>0.32623999999999997</v>
      </c>
      <c r="I816" s="354">
        <f>ROUND(IF($F$296=0,0,I296/$F$296),5)</f>
        <v>0.12411</v>
      </c>
      <c r="J816" s="354">
        <f>ROUND(IF($F$296=0,0,J296/$F$296),5)</f>
        <v>1E-3</v>
      </c>
      <c r="K816" s="354">
        <f>SUM(G816:J816)</f>
        <v>1</v>
      </c>
      <c r="L816" s="348">
        <f>F816-K816</f>
        <v>0</v>
      </c>
      <c r="M816" s="195"/>
      <c r="N816" s="195"/>
      <c r="P816" s="659">
        <f>K816</f>
        <v>1</v>
      </c>
      <c r="Q816" s="195"/>
    </row>
    <row r="817" spans="1:17" ht="13">
      <c r="A817" s="342">
        <v>3</v>
      </c>
      <c r="B817" s="195"/>
      <c r="C817" s="581" t="s">
        <v>249</v>
      </c>
      <c r="D817" s="719" t="s">
        <v>1003</v>
      </c>
      <c r="E817" s="708" t="str">
        <f>'FR-16(7)(v)-1 Functional'!$E$817</f>
        <v>RB99</v>
      </c>
      <c r="F817" s="642">
        <v>1</v>
      </c>
      <c r="G817" s="354">
        <f>F817-SUM(H817:J817)</f>
        <v>0.58529999999999993</v>
      </c>
      <c r="H817" s="354">
        <f>ROUND(IF($F$331=0,0,H331/$F$331),5)</f>
        <v>0.34577000000000002</v>
      </c>
      <c r="I817" s="354">
        <f>ROUND(IF($F$331=0,0,I331/$F$331),5)</f>
        <v>6.8349999999999994E-2</v>
      </c>
      <c r="J817" s="354">
        <f>ROUND(IF($F$331=0,0,J331/$F$331),5)</f>
        <v>5.8E-4</v>
      </c>
      <c r="K817" s="354">
        <f>SUM(G817:J817)</f>
        <v>1</v>
      </c>
      <c r="L817" s="348">
        <f>F817-K817</f>
        <v>0</v>
      </c>
      <c r="M817" s="195"/>
      <c r="N817" s="195"/>
      <c r="P817" s="659">
        <f>K817</f>
        <v>1</v>
      </c>
      <c r="Q817" s="195"/>
    </row>
    <row r="818" spans="1:17" ht="13">
      <c r="A818" s="342">
        <v>4</v>
      </c>
      <c r="B818" s="195"/>
      <c r="C818" s="581" t="s">
        <v>383</v>
      </c>
      <c r="D818" s="719" t="s">
        <v>1003</v>
      </c>
      <c r="E818" s="708" t="str">
        <f>'FR-16(7)(v)-1 Functional'!$E$818</f>
        <v>CW29</v>
      </c>
      <c r="F818" s="642">
        <v>1</v>
      </c>
      <c r="G818" s="643">
        <v>0</v>
      </c>
      <c r="H818" s="643">
        <v>0</v>
      </c>
      <c r="I818" s="643">
        <v>0</v>
      </c>
      <c r="J818" s="643">
        <v>0</v>
      </c>
      <c r="K818" s="643">
        <v>0</v>
      </c>
      <c r="L818" s="348">
        <f>F818-K818</f>
        <v>1</v>
      </c>
      <c r="M818" s="195"/>
      <c r="N818" s="195"/>
      <c r="P818" s="659">
        <f>K818</f>
        <v>0</v>
      </c>
      <c r="Q818" s="195"/>
    </row>
    <row r="819" spans="1:17" ht="13">
      <c r="A819" s="342">
        <v>5</v>
      </c>
      <c r="B819" s="629"/>
      <c r="C819" s="366"/>
      <c r="D819" s="579"/>
      <c r="E819" s="743"/>
      <c r="F819" s="644"/>
      <c r="G819" s="631"/>
      <c r="H819" s="631"/>
      <c r="I819" s="631"/>
      <c r="J819" s="631"/>
      <c r="K819" s="631"/>
      <c r="L819" s="630"/>
      <c r="M819" s="366"/>
      <c r="N819" s="195"/>
      <c r="P819" s="657"/>
      <c r="Q819" s="366"/>
    </row>
    <row r="820" spans="1:17" ht="13">
      <c r="A820" s="342">
        <v>6</v>
      </c>
      <c r="B820" s="591" t="s">
        <v>1011</v>
      </c>
      <c r="C820" s="628"/>
      <c r="D820" s="713"/>
      <c r="E820" s="739"/>
      <c r="F820" s="645"/>
      <c r="G820" s="635"/>
      <c r="H820" s="635"/>
      <c r="I820" s="635"/>
      <c r="J820" s="635"/>
      <c r="K820" s="635"/>
      <c r="L820" s="635"/>
      <c r="M820" s="195"/>
      <c r="N820" s="195"/>
      <c r="P820" s="657"/>
      <c r="Q820" s="195"/>
    </row>
    <row r="821" spans="1:17" ht="13">
      <c r="A821" s="342">
        <v>7</v>
      </c>
      <c r="B821" s="195"/>
      <c r="C821" s="581" t="s">
        <v>1006</v>
      </c>
      <c r="D821" s="719" t="s">
        <v>1003</v>
      </c>
      <c r="E821" s="708" t="str">
        <f>'FR-16(7)(v)-1 Functional'!$E$821</f>
        <v>P349</v>
      </c>
      <c r="F821" s="642">
        <v>1</v>
      </c>
      <c r="G821" s="354">
        <f t="shared" ref="G821:G826" si="210">F821-SUM(H821:J821)</f>
        <v>0.62454999999999994</v>
      </c>
      <c r="H821" s="354">
        <f>ROUND(IF($F$350=0,0,H350/$F$350),5)</f>
        <v>0.36637999999999998</v>
      </c>
      <c r="I821" s="354">
        <f>ROUND(IF($F$350=0,0,I350/$F$350),5)</f>
        <v>5.2900000000000004E-3</v>
      </c>
      <c r="J821" s="354">
        <f>ROUND(IF($F$350=0,0,J350/$F$350),5)</f>
        <v>3.7799999999999999E-3</v>
      </c>
      <c r="K821" s="354">
        <f t="shared" ref="K821:K828" si="211">SUM(G821:J821)</f>
        <v>0.99999999999999989</v>
      </c>
      <c r="L821" s="348">
        <f t="shared" ref="L821:L828" si="212">F821-K821</f>
        <v>0</v>
      </c>
      <c r="M821" s="195"/>
      <c r="N821" s="195"/>
      <c r="P821" s="659">
        <f>K821</f>
        <v>0.99999999999999989</v>
      </c>
      <c r="Q821" s="195"/>
    </row>
    <row r="822" spans="1:17" ht="13">
      <c r="A822" s="342">
        <v>8</v>
      </c>
      <c r="B822" s="195"/>
      <c r="C822" s="581" t="s">
        <v>264</v>
      </c>
      <c r="D822" s="719" t="s">
        <v>1003</v>
      </c>
      <c r="E822" s="708" t="str">
        <f>'FR-16(7)(v)-1 Functional'!$E$822</f>
        <v>P459</v>
      </c>
      <c r="F822" s="642">
        <v>1</v>
      </c>
      <c r="G822" s="354">
        <f t="shared" si="210"/>
        <v>0.62454999999999994</v>
      </c>
      <c r="H822" s="354">
        <f>ROUND(IF($F$360=0,0,H360/$F$360),5)</f>
        <v>0.36637999999999998</v>
      </c>
      <c r="I822" s="354">
        <f>ROUND(IF($F$360=0,0,I360/$F$360),5)</f>
        <v>5.2900000000000004E-3</v>
      </c>
      <c r="J822" s="354">
        <f>ROUND(IF($F$360=0,0,J360/$F$360),5)</f>
        <v>3.7799999999999999E-3</v>
      </c>
      <c r="K822" s="354">
        <f t="shared" si="211"/>
        <v>0.99999999999999989</v>
      </c>
      <c r="L822" s="348">
        <f t="shared" si="212"/>
        <v>0</v>
      </c>
      <c r="M822" s="195"/>
      <c r="N822" s="195"/>
      <c r="P822" s="659">
        <f>K822</f>
        <v>0.99999999999999989</v>
      </c>
      <c r="Q822" s="195"/>
    </row>
    <row r="823" spans="1:17" ht="13">
      <c r="A823" s="342">
        <v>9</v>
      </c>
      <c r="B823" s="195"/>
      <c r="C823" s="581" t="s">
        <v>250</v>
      </c>
      <c r="D823" s="719" t="s">
        <v>1003</v>
      </c>
      <c r="E823" s="708" t="str">
        <f>'FR-16(7)(v)-1 Functional'!$E$823</f>
        <v>D349</v>
      </c>
      <c r="F823" s="1075">
        <v>0</v>
      </c>
      <c r="G823" s="1074">
        <f t="shared" si="210"/>
        <v>0</v>
      </c>
      <c r="H823" s="1074">
        <f>ROUND(IF($F$378=0,0,H378/$F$378),5)</f>
        <v>0</v>
      </c>
      <c r="I823" s="1074">
        <f>ROUND(IF($F$378=0,0,I378/$F$378),5)</f>
        <v>0</v>
      </c>
      <c r="J823" s="1074">
        <f>ROUND(IF($F$378=0,0,J378/$F$378),5)</f>
        <v>0</v>
      </c>
      <c r="K823" s="1074">
        <f t="shared" si="211"/>
        <v>0</v>
      </c>
      <c r="L823" s="1074">
        <f t="shared" si="212"/>
        <v>0</v>
      </c>
      <c r="M823" s="195"/>
      <c r="N823" s="195"/>
      <c r="P823" s="659">
        <f>K823</f>
        <v>0</v>
      </c>
      <c r="Q823" s="195"/>
    </row>
    <row r="824" spans="1:17" ht="13">
      <c r="A824" s="342">
        <v>10</v>
      </c>
      <c r="B824" s="195"/>
      <c r="C824" s="581" t="s">
        <v>251</v>
      </c>
      <c r="D824" s="719" t="s">
        <v>1003</v>
      </c>
      <c r="E824" s="708" t="str">
        <f>'FR-16(7)(v)-1 Functional'!$E$824</f>
        <v>CA19</v>
      </c>
      <c r="F824" s="1075">
        <v>0</v>
      </c>
      <c r="G824" s="1074">
        <f t="shared" si="210"/>
        <v>0</v>
      </c>
      <c r="H824" s="1074">
        <f>ROUND(IF($F$389=0,0,H389/$F$389),5)</f>
        <v>0</v>
      </c>
      <c r="I824" s="1074">
        <f>ROUND(IF($F$389=0,0,I389/$F$389),5)</f>
        <v>0</v>
      </c>
      <c r="J824" s="1074">
        <f>ROUND(IF($F$389=0,0,J389/$F$389),5)</f>
        <v>0</v>
      </c>
      <c r="K824" s="1074">
        <f t="shared" si="211"/>
        <v>0</v>
      </c>
      <c r="L824" s="1074">
        <f t="shared" si="212"/>
        <v>0</v>
      </c>
      <c r="M824" s="195"/>
      <c r="N824" s="195"/>
      <c r="P824" s="659">
        <f>K824</f>
        <v>0</v>
      </c>
      <c r="Q824" s="195"/>
    </row>
    <row r="825" spans="1:17" ht="13">
      <c r="A825" s="342">
        <v>11</v>
      </c>
      <c r="B825" s="195"/>
      <c r="C825" s="581" t="s">
        <v>1009</v>
      </c>
      <c r="D825" s="719" t="s">
        <v>1003</v>
      </c>
      <c r="E825" s="708" t="str">
        <f>'FR-16(7)(v)-1 Functional'!$E$825</f>
        <v>CS19</v>
      </c>
      <c r="F825" s="1075">
        <v>0</v>
      </c>
      <c r="G825" s="1074">
        <f t="shared" si="210"/>
        <v>0</v>
      </c>
      <c r="H825" s="1074">
        <f>ROUND(IF($F$403=0,0,H403/$F$403),5)</f>
        <v>0</v>
      </c>
      <c r="I825" s="1074">
        <f>ROUND(IF($F$403=0,0,I403/$F$403),5)</f>
        <v>0</v>
      </c>
      <c r="J825" s="1074">
        <f>ROUND(IF($F$403=0,0,J403/$F$403),5)</f>
        <v>0</v>
      </c>
      <c r="K825" s="1074">
        <f t="shared" si="211"/>
        <v>0</v>
      </c>
      <c r="L825" s="1074">
        <f t="shared" si="212"/>
        <v>0</v>
      </c>
      <c r="M825" s="195"/>
      <c r="N825" s="195"/>
      <c r="P825" s="659"/>
      <c r="Q825" s="195"/>
    </row>
    <row r="826" spans="1:17" ht="13">
      <c r="A826" s="342">
        <v>12</v>
      </c>
      <c r="B826" s="195"/>
      <c r="C826" s="581" t="s">
        <v>252</v>
      </c>
      <c r="D826" s="719" t="s">
        <v>1003</v>
      </c>
      <c r="E826" s="708" t="str">
        <f>'FR-16(7)(v)-1 Functional'!$E$826</f>
        <v>SE19</v>
      </c>
      <c r="F826" s="1075">
        <v>0</v>
      </c>
      <c r="G826" s="1074">
        <f t="shared" si="210"/>
        <v>0</v>
      </c>
      <c r="H826" s="1074">
        <f>ROUND(IF($F$407=0,0,H407/$F$407),5)</f>
        <v>0</v>
      </c>
      <c r="I826" s="1074">
        <f>ROUND(IF($F$407=0,0,I407/$F$407),5)</f>
        <v>0</v>
      </c>
      <c r="J826" s="1074">
        <f>ROUND(IF($F$407=0,0,J407/$F$407),5)</f>
        <v>0</v>
      </c>
      <c r="K826" s="1074">
        <f t="shared" si="211"/>
        <v>0</v>
      </c>
      <c r="L826" s="1074">
        <f t="shared" si="212"/>
        <v>0</v>
      </c>
      <c r="M826" s="195"/>
      <c r="N826" s="195"/>
      <c r="P826" s="659">
        <f>K826</f>
        <v>0</v>
      </c>
      <c r="Q826" s="195"/>
    </row>
    <row r="827" spans="1:17" ht="13">
      <c r="A827" s="342">
        <v>13</v>
      </c>
      <c r="B827" s="195"/>
      <c r="C827" s="581" t="s">
        <v>253</v>
      </c>
      <c r="D827" s="719" t="s">
        <v>1003</v>
      </c>
      <c r="E827" s="708" t="str">
        <f>'FR-16(7)(v)-1 Functional'!$E$827</f>
        <v>AG39</v>
      </c>
      <c r="F827" s="642">
        <v>1</v>
      </c>
      <c r="G827" s="354">
        <f>F827-SUM(H827:J827)</f>
        <v>0.62695999999999996</v>
      </c>
      <c r="H827" s="354">
        <f>ROUND(IF($F$416=0,0,H416/$F$416),5)</f>
        <v>0.36781000000000003</v>
      </c>
      <c r="I827" s="354">
        <f>ROUND(IF($F$416=0,0,I416/$F$416),5)</f>
        <v>3.0500000000000002E-3</v>
      </c>
      <c r="J827" s="354">
        <f>ROUND(IF($F$416=0,0,J416/$F$416),5)</f>
        <v>2.1800000000000001E-3</v>
      </c>
      <c r="K827" s="354">
        <f t="shared" si="211"/>
        <v>0.99999999999999989</v>
      </c>
      <c r="L827" s="348">
        <f t="shared" si="212"/>
        <v>0</v>
      </c>
      <c r="M827" s="195"/>
      <c r="N827" s="195"/>
      <c r="P827" s="659">
        <f>K827</f>
        <v>0.99999999999999989</v>
      </c>
      <c r="Q827" s="195"/>
    </row>
    <row r="828" spans="1:17" ht="13">
      <c r="A828" s="342">
        <v>14</v>
      </c>
      <c r="B828" s="195"/>
      <c r="C828" s="581" t="s">
        <v>254</v>
      </c>
      <c r="D828" s="719" t="s">
        <v>1003</v>
      </c>
      <c r="E828" s="708" t="str">
        <f>'FR-16(7)(v)-1 Functional'!$E$828</f>
        <v>OM39</v>
      </c>
      <c r="F828" s="642">
        <v>1</v>
      </c>
      <c r="G828" s="354">
        <f>F828-SUM(H828:J828)</f>
        <v>0.62460999999999989</v>
      </c>
      <c r="H828" s="354">
        <f>ROUND(IF($F$433=0,0,H433/$F$433),5)</f>
        <v>0.36642000000000002</v>
      </c>
      <c r="I828" s="354">
        <f>ROUND(IF($F$433=0,0,I433/$F$433),5)</f>
        <v>5.2300000000000003E-3</v>
      </c>
      <c r="J828" s="354">
        <f>ROUND(IF($F$433=0,0,J433/$F$433),5)</f>
        <v>3.7399999999999998E-3</v>
      </c>
      <c r="K828" s="354">
        <f t="shared" si="211"/>
        <v>0.99999999999999978</v>
      </c>
      <c r="L828" s="348">
        <f t="shared" si="212"/>
        <v>0</v>
      </c>
      <c r="M828" s="195"/>
      <c r="N828" s="195"/>
      <c r="P828" s="659">
        <f>K828</f>
        <v>0.99999999999999978</v>
      </c>
      <c r="Q828" s="195"/>
    </row>
    <row r="829" spans="1:17" ht="13">
      <c r="A829" s="342">
        <v>15</v>
      </c>
      <c r="B829" s="195"/>
      <c r="C829" s="195"/>
      <c r="D829" s="342"/>
      <c r="E829" s="723"/>
      <c r="F829" s="642"/>
      <c r="G829" s="354"/>
      <c r="H829" s="354"/>
      <c r="I829" s="354"/>
      <c r="J829" s="354"/>
      <c r="K829" s="354"/>
      <c r="L829" s="348"/>
      <c r="M829" s="195"/>
      <c r="N829" s="195"/>
      <c r="P829" s="657"/>
      <c r="Q829" s="195"/>
    </row>
    <row r="830" spans="1:17" ht="13">
      <c r="A830" s="342">
        <v>16</v>
      </c>
      <c r="B830" s="581" t="s">
        <v>97</v>
      </c>
      <c r="C830" s="195"/>
      <c r="D830" s="342"/>
      <c r="E830" s="723"/>
      <c r="F830" s="642"/>
      <c r="G830" s="354"/>
      <c r="H830" s="354"/>
      <c r="I830" s="354"/>
      <c r="J830" s="354"/>
      <c r="K830" s="354"/>
      <c r="L830" s="348"/>
      <c r="M830" s="195"/>
      <c r="N830" s="195"/>
      <c r="P830" s="657"/>
      <c r="Q830" s="195"/>
    </row>
    <row r="831" spans="1:17" ht="13">
      <c r="A831" s="342">
        <v>17</v>
      </c>
      <c r="B831" s="195"/>
      <c r="C831" s="581" t="s">
        <v>255</v>
      </c>
      <c r="D831" s="719" t="s">
        <v>1003</v>
      </c>
      <c r="E831" s="708" t="str">
        <f>'FR-16(7)(v)-1 Functional'!$E$831</f>
        <v>P489</v>
      </c>
      <c r="F831" s="642">
        <v>1</v>
      </c>
      <c r="G831" s="354">
        <f>F831-SUM(H831:J831)</f>
        <v>0.53422000000000003</v>
      </c>
      <c r="H831" s="354">
        <f>ROUND(IF($F$447=0,0,H447/$F$447),5)</f>
        <v>0.32457999999999998</v>
      </c>
      <c r="I831" s="354">
        <f>ROUND(IF($F$447=0,0,I447/$F$447),5)</f>
        <v>0.14119999999999999</v>
      </c>
      <c r="J831" s="354">
        <f>ROUND(IF($F$447=0,0,J447/$F$447),5)</f>
        <v>0</v>
      </c>
      <c r="K831" s="354">
        <f>SUM(G831:J831)</f>
        <v>1</v>
      </c>
      <c r="L831" s="348">
        <f>F831-K831</f>
        <v>0</v>
      </c>
      <c r="M831" s="195"/>
      <c r="N831" s="195"/>
      <c r="P831" s="659">
        <f>K831</f>
        <v>1</v>
      </c>
      <c r="Q831" s="195"/>
    </row>
    <row r="832" spans="1:17" ht="13">
      <c r="A832" s="342">
        <v>18</v>
      </c>
      <c r="B832" s="195"/>
      <c r="C832" s="581" t="s">
        <v>256</v>
      </c>
      <c r="D832" s="719" t="s">
        <v>1003</v>
      </c>
      <c r="E832" s="708" t="str">
        <f>'FR-16(7)(v)-1 Functional'!$E$832</f>
        <v>D489</v>
      </c>
      <c r="F832" s="1075">
        <v>0</v>
      </c>
      <c r="G832" s="1074">
        <f>F832-SUM(H832:J832)</f>
        <v>0</v>
      </c>
      <c r="H832" s="1074">
        <f>ROUND(IF($F$454=0,0,H454/$F$454),5)</f>
        <v>0</v>
      </c>
      <c r="I832" s="1074">
        <f>ROUND(IF($F$454=0,0,I454/$F$454),5)</f>
        <v>0</v>
      </c>
      <c r="J832" s="1074">
        <f>ROUND(IF($F$454=0,0,J454/$F$454),5)</f>
        <v>0</v>
      </c>
      <c r="K832" s="1074">
        <f>SUM(G832:J832)</f>
        <v>0</v>
      </c>
      <c r="L832" s="1074">
        <f>F832-K832</f>
        <v>0</v>
      </c>
      <c r="M832" s="195"/>
      <c r="N832" s="195"/>
      <c r="P832" s="659">
        <f>K832</f>
        <v>0</v>
      </c>
      <c r="Q832" s="195"/>
    </row>
    <row r="833" spans="1:17" ht="13">
      <c r="A833" s="342">
        <v>19</v>
      </c>
      <c r="B833" s="195"/>
      <c r="C833" s="581" t="s">
        <v>257</v>
      </c>
      <c r="D833" s="719" t="s">
        <v>1003</v>
      </c>
      <c r="E833" s="708" t="str">
        <f>'FR-16(7)(v)-1 Functional'!$E$833</f>
        <v>G489</v>
      </c>
      <c r="F833" s="642">
        <v>1</v>
      </c>
      <c r="G833" s="354">
        <f>F833-SUM(H833:J833)</f>
        <v>0.55303000000000002</v>
      </c>
      <c r="H833" s="354">
        <f>ROUND(IF($F$458=0,0,H458/$F$458),5)</f>
        <v>0.32441999999999999</v>
      </c>
      <c r="I833" s="354">
        <f>ROUND(IF($F$458=0,0,I458/$F$458),5)</f>
        <v>0.12095</v>
      </c>
      <c r="J833" s="354">
        <f>ROUND(IF($F$458=0,0,J458/$F$458),5)</f>
        <v>1.6000000000000001E-3</v>
      </c>
      <c r="K833" s="354">
        <f>SUM(G833:J833)</f>
        <v>1</v>
      </c>
      <c r="L833" s="348">
        <f>F833-K833</f>
        <v>0</v>
      </c>
      <c r="M833" s="195"/>
      <c r="N833" s="195"/>
      <c r="P833" s="659">
        <f>K833</f>
        <v>1</v>
      </c>
      <c r="Q833" s="195"/>
    </row>
    <row r="834" spans="1:17" ht="13">
      <c r="A834" s="342">
        <v>20</v>
      </c>
      <c r="B834" s="195"/>
      <c r="C834" s="581" t="s">
        <v>258</v>
      </c>
      <c r="D834" s="719" t="s">
        <v>1003</v>
      </c>
      <c r="E834" s="708" t="str">
        <f>'FR-16(7)(v)-1 Functional'!$E$834</f>
        <v>C489</v>
      </c>
      <c r="F834" s="642">
        <v>1</v>
      </c>
      <c r="G834" s="354">
        <f>F834-SUM(H834:J834)</f>
        <v>0.55299000000000009</v>
      </c>
      <c r="H834" s="354">
        <f>ROUND(IF($F$462=0,0,H462/$F$462),5)</f>
        <v>0.32441999999999999</v>
      </c>
      <c r="I834" s="354">
        <f>ROUND(IF($F$462=0,0,I462/$F$462),5)</f>
        <v>0.12094000000000001</v>
      </c>
      <c r="J834" s="354">
        <f>ROUND(IF($F$462=0,0,J462/$F$462),5)</f>
        <v>1.65E-3</v>
      </c>
      <c r="K834" s="354">
        <f>SUM(G834:J834)</f>
        <v>1</v>
      </c>
      <c r="L834" s="348">
        <f>F834-K834</f>
        <v>0</v>
      </c>
      <c r="M834" s="195"/>
      <c r="N834" s="195"/>
      <c r="P834" s="659">
        <f>K834</f>
        <v>1</v>
      </c>
      <c r="Q834" s="195"/>
    </row>
    <row r="835" spans="1:17" ht="13">
      <c r="A835" s="342">
        <v>21</v>
      </c>
      <c r="B835" s="195"/>
      <c r="C835" s="581" t="s">
        <v>259</v>
      </c>
      <c r="D835" s="719" t="s">
        <v>1003</v>
      </c>
      <c r="E835" s="708" t="str">
        <f>'FR-16(7)(v)-1 Functional'!$E$835</f>
        <v>DE49</v>
      </c>
      <c r="F835" s="642">
        <v>1</v>
      </c>
      <c r="G835" s="354">
        <f>F835-SUM(H835:J835)</f>
        <v>0.54584999999999995</v>
      </c>
      <c r="H835" s="354">
        <f>ROUND(IF($F$465=0,0,H465/$F$465),5)</f>
        <v>0.32447999999999999</v>
      </c>
      <c r="I835" s="354">
        <f>ROUND(IF($F$465=0,0,I465/$F$465),5)</f>
        <v>0.12867999999999999</v>
      </c>
      <c r="J835" s="354">
        <f>ROUND(IF($F$465=0,0,J465/$F$465),5)</f>
        <v>9.8999999999999999E-4</v>
      </c>
      <c r="K835" s="354">
        <f>SUM(G835:J835)</f>
        <v>1</v>
      </c>
      <c r="L835" s="348">
        <f>F835-K835</f>
        <v>0</v>
      </c>
      <c r="M835" s="195"/>
      <c r="N835" s="195"/>
      <c r="P835" s="659">
        <f>K835</f>
        <v>1</v>
      </c>
      <c r="Q835" s="195"/>
    </row>
    <row r="836" spans="1:17" ht="13">
      <c r="A836" s="342">
        <v>22</v>
      </c>
      <c r="B836" s="195"/>
      <c r="C836" s="195"/>
      <c r="D836" s="342"/>
      <c r="E836" s="723"/>
      <c r="F836" s="646"/>
      <c r="G836" s="351"/>
      <c r="H836" s="351"/>
      <c r="J836" s="351"/>
      <c r="K836" s="351"/>
      <c r="M836" s="195"/>
      <c r="N836" s="195"/>
      <c r="P836" s="657"/>
      <c r="Q836" s="195"/>
    </row>
    <row r="837" spans="1:17" ht="13">
      <c r="A837" s="342">
        <v>23</v>
      </c>
      <c r="B837" s="581" t="s">
        <v>62</v>
      </c>
      <c r="C837" s="195"/>
      <c r="D837" s="342"/>
      <c r="E837" s="723"/>
      <c r="F837" s="487"/>
      <c r="G837" s="351"/>
      <c r="H837" s="351"/>
      <c r="J837" s="351"/>
      <c r="K837" s="347"/>
      <c r="L837" s="345"/>
      <c r="M837" s="195"/>
      <c r="N837" s="195"/>
      <c r="P837" s="657"/>
      <c r="Q837" s="195"/>
    </row>
    <row r="838" spans="1:17" ht="13">
      <c r="A838" s="342">
        <v>24</v>
      </c>
      <c r="B838" s="195"/>
      <c r="C838" s="581" t="s">
        <v>260</v>
      </c>
      <c r="D838" s="719" t="s">
        <v>1003</v>
      </c>
      <c r="E838" s="708" t="str">
        <f>'FR-16(7)(v)-1 Functional'!$E$838</f>
        <v>L529</v>
      </c>
      <c r="F838" s="642">
        <v>1</v>
      </c>
      <c r="G838" s="354">
        <f>F838-SUM(H838:J838)</f>
        <v>0.54533999999999994</v>
      </c>
      <c r="H838" s="354">
        <f>ROUND(IF($F$481=0,0,$H$481/$F$481),5)</f>
        <v>0.32449</v>
      </c>
      <c r="I838" s="354">
        <f>ROUND(IF($F$481=0,0,$I$481/$F$481),5)</f>
        <v>0.12920999999999999</v>
      </c>
      <c r="J838" s="354">
        <f>ROUND(IF($F$481=0,0,$J$481/$F$481),5)</f>
        <v>9.6000000000000002E-4</v>
      </c>
      <c r="K838" s="354">
        <f>SUM(G838:J838)</f>
        <v>0.99999999999999989</v>
      </c>
      <c r="L838" s="348">
        <f>F838-K838</f>
        <v>0</v>
      </c>
      <c r="M838" s="195"/>
      <c r="N838" s="195"/>
      <c r="P838" s="659">
        <f>K838</f>
        <v>0.99999999999999989</v>
      </c>
      <c r="Q838" s="195"/>
    </row>
    <row r="839" spans="1:17" ht="13">
      <c r="A839" s="342">
        <v>25</v>
      </c>
      <c r="B839" s="195"/>
      <c r="C839" s="581" t="s">
        <v>261</v>
      </c>
      <c r="D839" s="719" t="s">
        <v>1003</v>
      </c>
      <c r="E839" s="708" t="str">
        <f>'FR-16(7)(v)-1 Functional'!$E$839</f>
        <v>L589</v>
      </c>
      <c r="F839" s="642">
        <v>1</v>
      </c>
      <c r="G839" s="354">
        <f>F839-SUM(H839:J839)</f>
        <v>0.62695999999999996</v>
      </c>
      <c r="H839" s="354">
        <f>ROUND(IF($F$488=0,0,$H$488/$F$488),5)</f>
        <v>0.36781000000000003</v>
      </c>
      <c r="I839" s="354">
        <f>ROUND(IF($F$488=0,0,$I$488/$F$488),5)</f>
        <v>3.0500000000000002E-3</v>
      </c>
      <c r="J839" s="354">
        <f>ROUND(IF($F$488=0,0,$J$488/$F$488),5)</f>
        <v>2.1800000000000001E-3</v>
      </c>
      <c r="K839" s="354">
        <f>SUM(G839:J839)</f>
        <v>0.99999999999999989</v>
      </c>
      <c r="L839" s="348">
        <f>F839-K839</f>
        <v>0</v>
      </c>
      <c r="M839" s="195"/>
      <c r="N839" s="195"/>
      <c r="P839" s="659">
        <f>K839</f>
        <v>0.99999999999999989</v>
      </c>
      <c r="Q839" s="195"/>
    </row>
    <row r="840" spans="1:17" ht="13">
      <c r="A840" s="342">
        <v>26</v>
      </c>
      <c r="B840" s="195"/>
      <c r="C840" s="581" t="s">
        <v>262</v>
      </c>
      <c r="D840" s="719" t="s">
        <v>1003</v>
      </c>
      <c r="E840" s="708" t="str">
        <f>'FR-16(7)(v)-1 Functional'!$E$840</f>
        <v>L599</v>
      </c>
      <c r="F840" s="642">
        <v>1</v>
      </c>
      <c r="G840" s="354">
        <f>F840-SUM(H840:J840)</f>
        <v>0.60531000000000001</v>
      </c>
      <c r="H840" s="354">
        <f>ROUND(IF($F$500=0,0,$H$500/$F$500),5)</f>
        <v>0.35631000000000002</v>
      </c>
      <c r="I840" s="354">
        <f>ROUND(IF($F$500=0,0,$I$500/$F$500),5)</f>
        <v>3.653E-2</v>
      </c>
      <c r="J840" s="354">
        <f>ROUND(IF($F$500=0,0,$J$500/$F$500),5)</f>
        <v>1.8500000000000001E-3</v>
      </c>
      <c r="K840" s="354">
        <f>SUM(G840:J840)</f>
        <v>1</v>
      </c>
      <c r="L840" s="348">
        <f>F840-K840</f>
        <v>0</v>
      </c>
      <c r="M840" s="195"/>
      <c r="N840" s="195"/>
      <c r="P840" s="659">
        <f>K840</f>
        <v>1</v>
      </c>
      <c r="Q840" s="195"/>
    </row>
    <row r="841" spans="1:17" ht="13">
      <c r="A841" s="342">
        <v>27</v>
      </c>
      <c r="B841" s="195"/>
      <c r="C841" s="581" t="s">
        <v>263</v>
      </c>
      <c r="D841" s="719" t="s">
        <v>1003</v>
      </c>
      <c r="E841" s="708" t="str">
        <f>'FR-16(7)(v)-1 Functional'!$E$841</f>
        <v>OP69</v>
      </c>
      <c r="F841" s="642">
        <v>1</v>
      </c>
      <c r="G841" s="354">
        <f>F841-SUM(H841:J841)</f>
        <v>0.623</v>
      </c>
      <c r="H841" s="354">
        <f>ROUND(IF($F$501=0,0,$H$501/$F$501),5)</f>
        <v>0.36556</v>
      </c>
      <c r="I841" s="354">
        <f>ROUND(IF($F$501=0,0,$I$501/$F$501),5)</f>
        <v>7.7600000000000004E-3</v>
      </c>
      <c r="J841" s="354">
        <f>ROUND(IF($F$501=0,0,$J$501/$F$501),5)</f>
        <v>3.6800000000000001E-3</v>
      </c>
      <c r="K841" s="354">
        <f>SUM(G841:J841)</f>
        <v>1</v>
      </c>
      <c r="L841" s="348">
        <f>F841-K841</f>
        <v>0</v>
      </c>
      <c r="M841" s="195"/>
      <c r="N841" s="195"/>
      <c r="P841" s="659">
        <f>K841</f>
        <v>1</v>
      </c>
      <c r="Q841" s="195"/>
    </row>
    <row r="842" spans="1:17" ht="13">
      <c r="A842" s="342">
        <v>28</v>
      </c>
      <c r="B842" s="195"/>
      <c r="C842" s="195"/>
      <c r="D842" s="342"/>
      <c r="E842" s="723"/>
      <c r="F842" s="642"/>
      <c r="G842" s="354"/>
      <c r="H842" s="354"/>
      <c r="I842" s="354"/>
      <c r="J842" s="354"/>
      <c r="K842" s="354"/>
      <c r="L842" s="348"/>
      <c r="M842" s="195"/>
      <c r="N842" s="195"/>
      <c r="P842" s="657"/>
      <c r="Q842" s="195"/>
    </row>
    <row r="843" spans="1:17" ht="13">
      <c r="A843" s="342">
        <v>29</v>
      </c>
      <c r="B843" s="581" t="s">
        <v>1157</v>
      </c>
      <c r="C843" s="195"/>
      <c r="D843" s="342"/>
      <c r="E843" s="723"/>
      <c r="F843" s="642"/>
      <c r="G843" s="354"/>
      <c r="H843" s="354"/>
      <c r="I843" s="354"/>
      <c r="J843" s="354"/>
      <c r="K843" s="354"/>
      <c r="L843" s="348"/>
      <c r="M843" s="195"/>
      <c r="N843" s="195"/>
      <c r="P843" s="657"/>
      <c r="Q843" s="195"/>
    </row>
    <row r="844" spans="1:17" ht="13">
      <c r="A844" s="342">
        <v>30</v>
      </c>
      <c r="B844" s="195"/>
      <c r="C844" s="581" t="s">
        <v>1031</v>
      </c>
      <c r="D844" s="719" t="s">
        <v>1003</v>
      </c>
      <c r="E844" s="708" t="str">
        <f>'FR-16(7)(v)-1 Functional'!$E$844</f>
        <v>CS09</v>
      </c>
      <c r="F844" s="642">
        <v>1</v>
      </c>
      <c r="G844" s="354">
        <f ca="1">F844-SUM(H844:J844)</f>
        <v>0.62287000000000003</v>
      </c>
      <c r="H844" s="354">
        <f>ROUND(IF($F$647=0,0,H647/$F$647),5)</f>
        <v>0.36552000000000001</v>
      </c>
      <c r="I844" s="354">
        <f ca="1">ROUND(IF($F$647=0,0,I647/$F$647),5)</f>
        <v>7.9500000000000005E-3</v>
      </c>
      <c r="J844" s="354">
        <f>ROUND(IF($F$647=0,0,J647/$F$647),5)</f>
        <v>3.6600000000000001E-3</v>
      </c>
      <c r="K844" s="354">
        <f ca="1">SUM(G844:J844)</f>
        <v>1.0000000000000002</v>
      </c>
      <c r="L844" s="348">
        <f ca="1">F844-K844</f>
        <v>0</v>
      </c>
      <c r="M844" s="195"/>
      <c r="N844" s="195"/>
      <c r="P844" s="659">
        <f ca="1">K844</f>
        <v>1.0000000000000002</v>
      </c>
      <c r="Q844" s="195"/>
    </row>
    <row r="845" spans="1:17" ht="13">
      <c r="H845" s="351"/>
      <c r="J845" s="351"/>
      <c r="K845" s="351"/>
      <c r="N845" s="195"/>
    </row>
    <row r="846" spans="1:17" ht="13">
      <c r="A846" s="195"/>
      <c r="B846" s="195"/>
      <c r="C846" s="195"/>
      <c r="D846" s="342"/>
      <c r="F846" s="636"/>
      <c r="G846" s="636"/>
      <c r="H846" s="637"/>
      <c r="I846" s="637"/>
      <c r="J846" s="637"/>
      <c r="K846" s="637"/>
      <c r="L846" s="636"/>
      <c r="M846" s="195"/>
      <c r="N846" s="195"/>
      <c r="O846" s="195"/>
      <c r="P846" s="195"/>
      <c r="Q846" s="195"/>
    </row>
    <row r="847" spans="1:17">
      <c r="H847" s="351"/>
      <c r="J847" s="351"/>
      <c r="K847" s="351"/>
    </row>
    <row r="848" spans="1:17" ht="13">
      <c r="A848" s="342">
        <v>1</v>
      </c>
      <c r="B848" s="611" t="s">
        <v>91</v>
      </c>
      <c r="C848" s="612"/>
      <c r="D848" s="721"/>
      <c r="E848" s="714"/>
      <c r="F848" s="348"/>
      <c r="G848" s="345"/>
      <c r="H848" s="347"/>
      <c r="I848" s="347"/>
      <c r="J848" s="347"/>
      <c r="K848" s="354"/>
      <c r="L848" s="348"/>
    </row>
    <row r="849" spans="1:12" ht="13">
      <c r="A849" s="342">
        <v>2</v>
      </c>
      <c r="B849" s="613"/>
      <c r="C849" s="614" t="s">
        <v>227</v>
      </c>
      <c r="D849" s="722"/>
      <c r="E849" s="708" t="str">
        <f>'FR-16(7)(v)-1 Functional'!$E$849</f>
        <v>K597</v>
      </c>
      <c r="F849" s="471">
        <f>ROUND(0.06889*0,0)</f>
        <v>0</v>
      </c>
      <c r="G849" s="609">
        <f t="shared" ref="G849:G854" si="213">F849-SUM(H849:J849)</f>
        <v>0</v>
      </c>
      <c r="H849" s="609">
        <f>ROUND($F$849*VLOOKUP($E$849,ALLOCTABLE_Prod_Commodity,$H$10,FALSE),0)</f>
        <v>0</v>
      </c>
      <c r="I849" s="609">
        <f t="shared" ref="I849:I854" si="214">ROUND(F849*VLOOKUP(E849,ALLOCTABLE_Prod_Commodity,$I$10,FALSE),0)</f>
        <v>0</v>
      </c>
      <c r="J849" s="609">
        <f>ROUND($F$849*VLOOKUP($E$849,ALLOCTABLE_Prod_Commodity,$J$10,FALSE),0)</f>
        <v>0</v>
      </c>
      <c r="K849" s="347">
        <f t="shared" ref="K849:K854" si="215">SUM(G849:J849)</f>
        <v>0</v>
      </c>
      <c r="L849" s="345">
        <f t="shared" ref="L849:L854" si="216">F849-K849</f>
        <v>0</v>
      </c>
    </row>
    <row r="850" spans="1:12" ht="13">
      <c r="A850" s="342">
        <v>3</v>
      </c>
      <c r="B850" s="612"/>
      <c r="C850" s="291" t="s">
        <v>228</v>
      </c>
      <c r="D850" s="716"/>
      <c r="E850" s="708" t="str">
        <f>'FR-16(7)(v)-1 Functional'!$E$850</f>
        <v>AG39</v>
      </c>
      <c r="F850" s="488">
        <v>0</v>
      </c>
      <c r="G850" s="609">
        <f t="shared" si="213"/>
        <v>0</v>
      </c>
      <c r="H850" s="609">
        <f>ROUND($F$850*VLOOKUP($E$850,ALLOCTABLE_Prod_Commodity,$H$10,FALSE),0)</f>
        <v>0</v>
      </c>
      <c r="I850" s="609">
        <f t="shared" si="214"/>
        <v>0</v>
      </c>
      <c r="J850" s="609">
        <f>ROUND($F$850*VLOOKUP($E$850,ALLOCTABLE_Prod_Commodity,$J$10,FALSE),0)</f>
        <v>0</v>
      </c>
      <c r="K850" s="347">
        <f t="shared" si="215"/>
        <v>0</v>
      </c>
      <c r="L850" s="345">
        <f t="shared" si="216"/>
        <v>0</v>
      </c>
    </row>
    <row r="851" spans="1:12" ht="13">
      <c r="A851" s="342">
        <v>4</v>
      </c>
      <c r="B851" s="612"/>
      <c r="C851" s="291" t="s">
        <v>427</v>
      </c>
      <c r="D851" s="716"/>
      <c r="E851" s="708" t="str">
        <f>'FR-16(7)(v)-1 Functional'!$E$851</f>
        <v>AG39</v>
      </c>
      <c r="F851" s="488">
        <v>0</v>
      </c>
      <c r="G851" s="609">
        <f t="shared" si="213"/>
        <v>0</v>
      </c>
      <c r="H851" s="609">
        <f>ROUND($F$851*VLOOKUP($E$851,ALLOCTABLE_Prod_Commodity,$H$10,FALSE),0)</f>
        <v>0</v>
      </c>
      <c r="I851" s="609">
        <f t="shared" si="214"/>
        <v>0</v>
      </c>
      <c r="J851" s="609">
        <f>ROUND($F$851*VLOOKUP($E$851,ALLOCTABLE_Prod_Commodity,$J$10,FALSE),0)</f>
        <v>0</v>
      </c>
      <c r="K851" s="347">
        <f t="shared" si="215"/>
        <v>0</v>
      </c>
      <c r="L851" s="345">
        <f t="shared" si="216"/>
        <v>0</v>
      </c>
    </row>
    <row r="852" spans="1:12" ht="13">
      <c r="A852" s="342">
        <v>5</v>
      </c>
      <c r="B852" s="612"/>
      <c r="C852" s="291" t="s">
        <v>422</v>
      </c>
      <c r="D852" s="716" t="s">
        <v>343</v>
      </c>
      <c r="E852" s="708" t="str">
        <f>'FR-16(7)(v)-1 Functional'!$E$852</f>
        <v>K301</v>
      </c>
      <c r="F852" s="488">
        <v>0</v>
      </c>
      <c r="G852" s="609">
        <f t="shared" si="213"/>
        <v>0</v>
      </c>
      <c r="H852" s="609">
        <f>ROUND($F$852*VLOOKUP($E$852,ALLOCTABLE_Prod_Commodity,$H$10,FALSE),0)</f>
        <v>0</v>
      </c>
      <c r="I852" s="609">
        <f t="shared" si="214"/>
        <v>0</v>
      </c>
      <c r="J852" s="609">
        <f>ROUND($F$852*VLOOKUP($E$852,ALLOCTABLE_Prod_Commodity,$J$10,FALSE),0)</f>
        <v>0</v>
      </c>
      <c r="K852" s="347">
        <f t="shared" si="215"/>
        <v>0</v>
      </c>
      <c r="L852" s="345">
        <f t="shared" si="216"/>
        <v>0</v>
      </c>
    </row>
    <row r="853" spans="1:12" ht="13">
      <c r="A853" s="342">
        <v>6</v>
      </c>
      <c r="B853" s="612"/>
      <c r="C853" s="291" t="s">
        <v>408</v>
      </c>
      <c r="D853" s="716"/>
      <c r="E853" s="708" t="str">
        <f>'FR-16(7)(v)-1 Functional'!$E$853</f>
        <v>K415</v>
      </c>
      <c r="F853" s="488">
        <v>0</v>
      </c>
      <c r="G853" s="609">
        <f t="shared" si="213"/>
        <v>0</v>
      </c>
      <c r="H853" s="609">
        <f>ROUND($F$853*VLOOKUP($E$853,ALLOCTABLE_Prod_Commodity,$H$10,FALSE),0)</f>
        <v>0</v>
      </c>
      <c r="I853" s="609">
        <f t="shared" si="214"/>
        <v>0</v>
      </c>
      <c r="J853" s="609">
        <f>ROUND($F$853*VLOOKUP($E$853,ALLOCTABLE_Prod_Commodity,$J$10,FALSE),0)</f>
        <v>0</v>
      </c>
      <c r="K853" s="347">
        <f t="shared" si="215"/>
        <v>0</v>
      </c>
      <c r="L853" s="345">
        <f t="shared" si="216"/>
        <v>0</v>
      </c>
    </row>
    <row r="854" spans="1:12" ht="13">
      <c r="A854" s="342">
        <v>7</v>
      </c>
      <c r="B854" s="612"/>
      <c r="C854" s="291" t="s">
        <v>423</v>
      </c>
      <c r="D854" s="716" t="s">
        <v>343</v>
      </c>
      <c r="E854" s="708" t="str">
        <f>'FR-16(7)(v)-1 Functional'!$E$854</f>
        <v>NP29</v>
      </c>
      <c r="F854" s="488">
        <v>0</v>
      </c>
      <c r="G854" s="609">
        <f t="shared" si="213"/>
        <v>0</v>
      </c>
      <c r="H854" s="609">
        <f>ROUND($F$854*VLOOKUP($E$854,ALLOCTABLE_Prod_Commodity,$H$10,FALSE),0)</f>
        <v>0</v>
      </c>
      <c r="I854" s="609">
        <f t="shared" si="214"/>
        <v>0</v>
      </c>
      <c r="J854" s="609">
        <f>ROUND($F$854*VLOOKUP($E$854,ALLOCTABLE_Prod_Commodity,$J$10,FALSE),0)</f>
        <v>0</v>
      </c>
      <c r="K854" s="347">
        <f t="shared" si="215"/>
        <v>0</v>
      </c>
      <c r="L854" s="345">
        <f t="shared" si="216"/>
        <v>0</v>
      </c>
    </row>
    <row r="855" spans="1:12" ht="13">
      <c r="A855" s="342">
        <v>8</v>
      </c>
      <c r="C855" s="482" t="s">
        <v>229</v>
      </c>
      <c r="D855" s="583" t="s">
        <v>285</v>
      </c>
      <c r="E855" s="331"/>
      <c r="F855" s="346">
        <f t="shared" ref="F855:L855" si="217">SUM(F848:F854)</f>
        <v>0</v>
      </c>
      <c r="G855" s="346">
        <f t="shared" si="217"/>
        <v>0</v>
      </c>
      <c r="H855" s="346">
        <f t="shared" si="217"/>
        <v>0</v>
      </c>
      <c r="I855" s="346">
        <f t="shared" si="217"/>
        <v>0</v>
      </c>
      <c r="J855" s="346">
        <f t="shared" si="217"/>
        <v>0</v>
      </c>
      <c r="K855" s="346">
        <f t="shared" si="217"/>
        <v>0</v>
      </c>
      <c r="L855" s="346">
        <f t="shared" si="217"/>
        <v>0</v>
      </c>
    </row>
    <row r="861" spans="1:12" ht="20">
      <c r="A861" s="1184" t="s">
        <v>1193</v>
      </c>
    </row>
    <row r="863" spans="1:12" ht="13">
      <c r="A863" s="342" t="s">
        <v>907</v>
      </c>
      <c r="B863" s="195"/>
      <c r="C863" s="195"/>
      <c r="D863" s="342"/>
      <c r="E863" s="195"/>
      <c r="F863" s="342" t="str">
        <f>$F$8</f>
        <v>PRODUCTION</v>
      </c>
      <c r="G863" s="342" t="s">
        <v>417</v>
      </c>
      <c r="H863" s="342" t="s">
        <v>857</v>
      </c>
      <c r="I863" s="342" t="s">
        <v>858</v>
      </c>
      <c r="J863" s="342" t="s">
        <v>546</v>
      </c>
      <c r="K863" s="342" t="s">
        <v>229</v>
      </c>
      <c r="L863" s="342" t="s">
        <v>342</v>
      </c>
    </row>
    <row r="864" spans="1:12" ht="13">
      <c r="A864" s="344" t="s">
        <v>908</v>
      </c>
      <c r="B864" s="343" t="s">
        <v>99</v>
      </c>
      <c r="C864" s="343"/>
      <c r="D864" s="344" t="s">
        <v>337</v>
      </c>
      <c r="E864" s="343"/>
      <c r="F864" s="342" t="str">
        <f>$F$9</f>
        <v>COMMODITY</v>
      </c>
      <c r="G864" s="344" t="s">
        <v>338</v>
      </c>
      <c r="H864" s="344" t="s">
        <v>404</v>
      </c>
      <c r="I864" s="344" t="s">
        <v>404</v>
      </c>
      <c r="J864" s="344" t="s">
        <v>547</v>
      </c>
      <c r="K864" s="344" t="s">
        <v>341</v>
      </c>
      <c r="L864" s="344" t="s">
        <v>340</v>
      </c>
    </row>
    <row r="865" spans="1:12" ht="13">
      <c r="B865" s="195"/>
      <c r="C865" s="572" t="s">
        <v>4</v>
      </c>
      <c r="D865" s="342"/>
      <c r="E865" s="195"/>
      <c r="F865" s="755"/>
      <c r="G865" s="627">
        <f>$G$10</f>
        <v>3</v>
      </c>
      <c r="H865" s="627">
        <f>$H$10</f>
        <v>4</v>
      </c>
      <c r="I865" s="627">
        <f>$I$10</f>
        <v>5</v>
      </c>
      <c r="J865" s="627">
        <f>$J$10</f>
        <v>6</v>
      </c>
    </row>
    <row r="866" spans="1:12" ht="13">
      <c r="A866" s="331">
        <v>1</v>
      </c>
      <c r="B866" s="330" t="s">
        <v>100</v>
      </c>
      <c r="D866" s="342"/>
      <c r="E866" s="195"/>
      <c r="I866" s="330"/>
    </row>
    <row r="867" spans="1:12" ht="13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L867" si="218">F647</f>
        <v>45962158</v>
      </c>
      <c r="G867" s="345">
        <f t="shared" ca="1" si="218"/>
        <v>28628337</v>
      </c>
      <c r="H867" s="345">
        <f t="shared" si="218"/>
        <v>16799914</v>
      </c>
      <c r="I867" s="345">
        <f t="shared" ca="1" si="218"/>
        <v>365622</v>
      </c>
      <c r="J867" s="345">
        <f t="shared" si="218"/>
        <v>168285</v>
      </c>
      <c r="K867" s="345">
        <f t="shared" ca="1" si="218"/>
        <v>45962158</v>
      </c>
      <c r="L867" s="345">
        <f t="shared" ca="1" si="218"/>
        <v>0</v>
      </c>
    </row>
    <row r="868" spans="1:12" ht="13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40105</v>
      </c>
      <c r="G868" s="345">
        <f>$G$630</f>
        <v>25145</v>
      </c>
      <c r="H868" s="345">
        <f>$H$630</f>
        <v>14751</v>
      </c>
      <c r="I868" s="345">
        <f>$I$630</f>
        <v>122</v>
      </c>
      <c r="J868" s="345">
        <f>$J$630</f>
        <v>87</v>
      </c>
      <c r="K868" s="345">
        <f>$K$630</f>
        <v>40105</v>
      </c>
      <c r="L868" s="345">
        <f>$L$630</f>
        <v>0</v>
      </c>
    </row>
    <row r="869" spans="1:12" ht="13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L869" si="219">SUM(F866:F868)</f>
        <v>46002263</v>
      </c>
      <c r="G869" s="346">
        <f t="shared" ca="1" si="219"/>
        <v>28653482</v>
      </c>
      <c r="H869" s="346">
        <f t="shared" si="219"/>
        <v>16814665</v>
      </c>
      <c r="I869" s="346">
        <f t="shared" ca="1" si="219"/>
        <v>365744</v>
      </c>
      <c r="J869" s="346">
        <f t="shared" si="219"/>
        <v>168372</v>
      </c>
      <c r="K869" s="346">
        <f t="shared" ca="1" si="219"/>
        <v>46002263</v>
      </c>
      <c r="L869" s="346">
        <f t="shared" ca="1" si="219"/>
        <v>0</v>
      </c>
    </row>
    <row r="870" spans="1:12" ht="13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-44388821</v>
      </c>
      <c r="G870" s="345">
        <f>-$G$501</f>
        <v>-27653888</v>
      </c>
      <c r="H870" s="345">
        <f>-$H$501</f>
        <v>-16226943</v>
      </c>
      <c r="I870" s="345">
        <f>-$I$501</f>
        <v>-344468</v>
      </c>
      <c r="J870" s="345">
        <f>-$J$501</f>
        <v>-163522</v>
      </c>
      <c r="K870" s="506">
        <f>-$K$501</f>
        <v>-44388821</v>
      </c>
      <c r="L870" s="345">
        <f>-$L$501</f>
        <v>0</v>
      </c>
    </row>
    <row r="871" spans="1:12" ht="13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>-ROUND(F694*F867,0)</f>
        <v>0</v>
      </c>
      <c r="G871" s="345">
        <f ca="1">F871-SUM(H871:J871)</f>
        <v>0</v>
      </c>
      <c r="H871" s="345">
        <f>-ROUND(H694*H867,0)</f>
        <v>0</v>
      </c>
      <c r="I871" s="345">
        <f ca="1">-ROUND(I694*I867,0)</f>
        <v>0</v>
      </c>
      <c r="J871" s="345">
        <f>-ROUND(J694*J867,0)</f>
        <v>0</v>
      </c>
      <c r="K871" s="504">
        <f ca="1">SUM(G871:J871)</f>
        <v>0</v>
      </c>
      <c r="L871" s="345">
        <f ca="1">-ROUND('FR-16(7)(v)-1 Functional'!K694*L867,0)</f>
        <v>0</v>
      </c>
    </row>
    <row r="872" spans="1:12" ht="13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>SUM(F869:F871)</f>
        <v>1613442</v>
      </c>
      <c r="G872" s="346">
        <f ca="1">SUM(G869:G871)</f>
        <v>999594</v>
      </c>
      <c r="H872" s="346">
        <f>SUM(H869:H871)</f>
        <v>587722</v>
      </c>
      <c r="I872" s="346">
        <f ca="1">SUM(I869:I871)</f>
        <v>21276</v>
      </c>
      <c r="J872" s="346">
        <f>SUM(J869:J871)</f>
        <v>4850</v>
      </c>
      <c r="K872" s="346">
        <f ca="1">SUM(G872:J872)</f>
        <v>1613442</v>
      </c>
      <c r="L872" s="346">
        <f ca="1">SUM(L869:L871)</f>
        <v>0</v>
      </c>
    </row>
    <row r="873" spans="1:12" ht="13">
      <c r="A873" s="331">
        <v>8</v>
      </c>
      <c r="D873" s="342"/>
      <c r="E873" s="195"/>
      <c r="I873" s="330"/>
    </row>
    <row r="874" spans="1:12" ht="13">
      <c r="A874" s="331">
        <v>9</v>
      </c>
      <c r="B874" s="330" t="s">
        <v>101</v>
      </c>
      <c r="D874" s="342"/>
      <c r="E874" s="195"/>
      <c r="I874" s="330"/>
    </row>
    <row r="875" spans="1:12" ht="13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-145085</v>
      </c>
      <c r="G875" s="345">
        <f>-$G$516</f>
        <v>-84918</v>
      </c>
      <c r="H875" s="345">
        <f>-$H$516</f>
        <v>-50166</v>
      </c>
      <c r="I875" s="345">
        <f>-$I$516</f>
        <v>-9917</v>
      </c>
      <c r="J875" s="345">
        <f>-$J$516</f>
        <v>-84</v>
      </c>
      <c r="K875" s="345">
        <f>-$K$516</f>
        <v>-145085</v>
      </c>
      <c r="L875" s="345">
        <f>-$L$516</f>
        <v>0</v>
      </c>
    </row>
    <row r="876" spans="1:12" ht="13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-306563</v>
      </c>
      <c r="G876" s="345">
        <f>-$G$522</f>
        <v>-164382</v>
      </c>
      <c r="H876" s="345">
        <f>-$H$522</f>
        <v>-97894</v>
      </c>
      <c r="I876" s="345">
        <f>-$I$522</f>
        <v>-44026</v>
      </c>
      <c r="J876" s="345">
        <f>-$J$522</f>
        <v>-261</v>
      </c>
      <c r="K876" s="345">
        <f>-$K$522</f>
        <v>-306563</v>
      </c>
      <c r="L876" s="345">
        <f>-$L$522</f>
        <v>0</v>
      </c>
    </row>
    <row r="877" spans="1:12" ht="13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>SUM(F874:F876)+F872</f>
        <v>1161794</v>
      </c>
      <c r="G877" s="346">
        <f ca="1">SUM(G874:G876)+G872</f>
        <v>750294</v>
      </c>
      <c r="H877" s="346">
        <f>SUM(H874:H876)+H872</f>
        <v>439662</v>
      </c>
      <c r="I877" s="346">
        <f ca="1">SUM(I874:I876)+I872</f>
        <v>-32667</v>
      </c>
      <c r="J877" s="346">
        <f>SUM(J874:J876)+J872</f>
        <v>4505</v>
      </c>
      <c r="K877" s="346">
        <f ca="1">SUM(G877:J877)</f>
        <v>1161794</v>
      </c>
      <c r="L877" s="346">
        <f ca="1">SUM(L874:L876)+L872</f>
        <v>0</v>
      </c>
    </row>
    <row r="878" spans="1:12" ht="13">
      <c r="A878" s="331">
        <v>13</v>
      </c>
      <c r="D878" s="342"/>
      <c r="E878" s="195"/>
      <c r="I878" s="330"/>
    </row>
    <row r="879" spans="1:12" ht="13">
      <c r="A879" s="331">
        <v>14</v>
      </c>
      <c r="B879" s="330" t="s">
        <v>99</v>
      </c>
      <c r="D879" s="342"/>
      <c r="E879" s="195"/>
      <c r="I879" s="330"/>
    </row>
    <row r="880" spans="1:12" ht="13">
      <c r="A880" s="331">
        <v>15</v>
      </c>
      <c r="B880" s="330" t="s">
        <v>74</v>
      </c>
      <c r="D880" s="342"/>
      <c r="E880" s="195"/>
      <c r="I880" s="330"/>
    </row>
    <row r="881" spans="1:12" ht="13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L881" si="220">F877</f>
        <v>1161794</v>
      </c>
      <c r="G881" s="345">
        <f t="shared" ca="1" si="220"/>
        <v>750294</v>
      </c>
      <c r="H881" s="345">
        <f t="shared" si="220"/>
        <v>439662</v>
      </c>
      <c r="I881" s="345">
        <f t="shared" ca="1" si="220"/>
        <v>-32667</v>
      </c>
      <c r="J881" s="345">
        <f t="shared" si="220"/>
        <v>4505</v>
      </c>
      <c r="K881" s="345">
        <f t="shared" ca="1" si="220"/>
        <v>1161794</v>
      </c>
      <c r="L881" s="345">
        <f t="shared" ca="1" si="220"/>
        <v>0</v>
      </c>
    </row>
    <row r="882" spans="1:12" ht="13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L882" si="221">SUM(F881:F881)</f>
        <v>1161794</v>
      </c>
      <c r="G882" s="345">
        <f t="shared" ca="1" si="221"/>
        <v>750294</v>
      </c>
      <c r="H882" s="345">
        <f t="shared" si="221"/>
        <v>439662</v>
      </c>
      <c r="I882" s="345">
        <f t="shared" ca="1" si="221"/>
        <v>-32667</v>
      </c>
      <c r="J882" s="345">
        <f t="shared" si="221"/>
        <v>4505</v>
      </c>
      <c r="K882" s="345">
        <f t="shared" ca="1" si="221"/>
        <v>1161794</v>
      </c>
      <c r="L882" s="345">
        <f t="shared" ca="1" si="221"/>
        <v>0</v>
      </c>
    </row>
    <row r="883" spans="1:12" ht="13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348">
        <f>G692</f>
        <v>0.21</v>
      </c>
      <c r="H883" s="348">
        <f>H692</f>
        <v>0.21</v>
      </c>
      <c r="I883" s="348">
        <f>I692</f>
        <v>0.21</v>
      </c>
      <c r="J883" s="348">
        <f>J692</f>
        <v>0.21</v>
      </c>
      <c r="K883" s="348"/>
      <c r="L883" s="348">
        <f>'FR-16(7)(v)-1 Functional'!K692</f>
        <v>0.21</v>
      </c>
    </row>
    <row r="884" spans="1:12" ht="13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>ROUND(F883*F882,0)</f>
        <v>243977</v>
      </c>
      <c r="G884" s="345">
        <f ca="1">ROUND(G883*G882,0)</f>
        <v>157562</v>
      </c>
      <c r="H884" s="345">
        <f>ROUND(H883*H882,0)</f>
        <v>92329</v>
      </c>
      <c r="I884" s="345">
        <f ca="1">ROUND(I883*I882,0)</f>
        <v>-6860</v>
      </c>
      <c r="J884" s="345">
        <f>ROUND(J883*J882,0)</f>
        <v>946</v>
      </c>
      <c r="K884" s="345">
        <f ca="1">SUM(G884:J884)</f>
        <v>243977</v>
      </c>
      <c r="L884" s="345">
        <f ca="1">ROUND(L883*L882,0)</f>
        <v>0</v>
      </c>
    </row>
    <row r="885" spans="1:12" ht="13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811796</v>
      </c>
      <c r="G885" s="345">
        <f>$G$532</f>
        <v>515790</v>
      </c>
      <c r="H885" s="345">
        <f>$H$532</f>
        <v>302581</v>
      </c>
      <c r="I885" s="345">
        <f>$I$532</f>
        <v>-10030</v>
      </c>
      <c r="J885" s="345">
        <f>$J$532</f>
        <v>3455</v>
      </c>
      <c r="K885" s="345">
        <f>$K$532</f>
        <v>811796</v>
      </c>
      <c r="L885" s="345">
        <f>$L$532</f>
        <v>0</v>
      </c>
    </row>
    <row r="886" spans="1:12" ht="13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-546</v>
      </c>
      <c r="G886" s="345">
        <f>-$G$536</f>
        <v>-297</v>
      </c>
      <c r="H886" s="345">
        <f>-$H$536</f>
        <v>-177</v>
      </c>
      <c r="I886" s="345">
        <f>-$I$536</f>
        <v>-71</v>
      </c>
      <c r="J886" s="345">
        <f>-$J$536</f>
        <v>-1</v>
      </c>
      <c r="K886" s="345">
        <f>-$K$536</f>
        <v>-546</v>
      </c>
      <c r="L886" s="345">
        <f>-$L$536</f>
        <v>0</v>
      </c>
    </row>
    <row r="887" spans="1:12" ht="13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L887" si="222">SUM(F884:F886)</f>
        <v>1055227</v>
      </c>
      <c r="G887" s="346">
        <f t="shared" ca="1" si="222"/>
        <v>673055</v>
      </c>
      <c r="H887" s="346">
        <f t="shared" si="222"/>
        <v>394733</v>
      </c>
      <c r="I887" s="346">
        <f t="shared" ca="1" si="222"/>
        <v>-16961</v>
      </c>
      <c r="J887" s="346">
        <f t="shared" si="222"/>
        <v>4400</v>
      </c>
      <c r="K887" s="346">
        <f t="shared" ca="1" si="222"/>
        <v>1055227</v>
      </c>
      <c r="L887" s="346">
        <f t="shared" ca="1" si="222"/>
        <v>0</v>
      </c>
    </row>
    <row r="888" spans="1:12" ht="13">
      <c r="A888" s="331">
        <v>23</v>
      </c>
      <c r="D888" s="342"/>
      <c r="E888" s="195"/>
      <c r="I888" s="330"/>
    </row>
    <row r="889" spans="1:12" ht="13">
      <c r="A889" s="331">
        <v>24</v>
      </c>
      <c r="B889" s="330" t="s">
        <v>75</v>
      </c>
      <c r="D889" s="342"/>
      <c r="E889" s="195"/>
      <c r="I889" s="330"/>
    </row>
    <row r="890" spans="1:12" ht="13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L890" si="223">F884</f>
        <v>243977</v>
      </c>
      <c r="G890" s="345">
        <f t="shared" ca="1" si="223"/>
        <v>157562</v>
      </c>
      <c r="H890" s="345">
        <f t="shared" si="223"/>
        <v>92329</v>
      </c>
      <c r="I890" s="345">
        <f t="shared" ca="1" si="223"/>
        <v>-6860</v>
      </c>
      <c r="J890" s="345">
        <f t="shared" si="223"/>
        <v>946</v>
      </c>
      <c r="K890" s="345">
        <f t="shared" ca="1" si="223"/>
        <v>243977</v>
      </c>
      <c r="L890" s="345">
        <f t="shared" ca="1" si="223"/>
        <v>0</v>
      </c>
    </row>
    <row r="891" spans="1:12" ht="13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620">
        <f>-$G$540</f>
        <v>0</v>
      </c>
      <c r="H891" s="620">
        <f>-$H$540</f>
        <v>0</v>
      </c>
      <c r="I891" s="345">
        <f>-$I$540</f>
        <v>0</v>
      </c>
      <c r="J891" s="345">
        <f>-$J$540</f>
        <v>0</v>
      </c>
      <c r="K891" s="345">
        <f>-$K$540</f>
        <v>0</v>
      </c>
      <c r="L891" s="345">
        <f>-$L$540</f>
        <v>0</v>
      </c>
    </row>
    <row r="892" spans="1:12" ht="13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L892" si="224">SUM(F889:F891)</f>
        <v>243977</v>
      </c>
      <c r="G892" s="346">
        <f t="shared" ca="1" si="224"/>
        <v>157562</v>
      </c>
      <c r="H892" s="346">
        <f t="shared" si="224"/>
        <v>92329</v>
      </c>
      <c r="I892" s="346">
        <f t="shared" ca="1" si="224"/>
        <v>-6860</v>
      </c>
      <c r="J892" s="346">
        <f t="shared" si="224"/>
        <v>946</v>
      </c>
      <c r="K892" s="346">
        <f t="shared" ca="1" si="224"/>
        <v>243977</v>
      </c>
      <c r="L892" s="346">
        <f t="shared" ca="1" si="224"/>
        <v>0</v>
      </c>
    </row>
    <row r="893" spans="1:12" ht="13">
      <c r="A893" s="331">
        <v>28</v>
      </c>
      <c r="D893" s="342"/>
      <c r="E893" s="195"/>
      <c r="I893" s="330"/>
    </row>
    <row r="894" spans="1:12" ht="13">
      <c r="A894" s="331">
        <v>29</v>
      </c>
      <c r="B894" s="330" t="s">
        <v>40</v>
      </c>
      <c r="D894" s="342"/>
      <c r="E894" s="195"/>
      <c r="I894" s="330"/>
    </row>
    <row r="895" spans="1:12" ht="13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L895" si="225">F872</f>
        <v>1613442</v>
      </c>
      <c r="G895" s="345">
        <f t="shared" ca="1" si="225"/>
        <v>999594</v>
      </c>
      <c r="H895" s="345">
        <f t="shared" si="225"/>
        <v>587722</v>
      </c>
      <c r="I895" s="345">
        <f t="shared" ca="1" si="225"/>
        <v>21276</v>
      </c>
      <c r="J895" s="345">
        <f t="shared" si="225"/>
        <v>4850</v>
      </c>
      <c r="K895" s="345">
        <f t="shared" ca="1" si="225"/>
        <v>1613442</v>
      </c>
      <c r="L895" s="345">
        <f t="shared" ca="1" si="225"/>
        <v>0</v>
      </c>
    </row>
    <row r="896" spans="1:12" ht="13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L896" si="226">-F887</f>
        <v>-1055227</v>
      </c>
      <c r="G896" s="345">
        <f t="shared" ca="1" si="226"/>
        <v>-673055</v>
      </c>
      <c r="H896" s="345">
        <f t="shared" si="226"/>
        <v>-394733</v>
      </c>
      <c r="I896" s="345">
        <f t="shared" ca="1" si="226"/>
        <v>16961</v>
      </c>
      <c r="J896" s="345">
        <f t="shared" si="226"/>
        <v>-4400</v>
      </c>
      <c r="K896" s="345">
        <f t="shared" ca="1" si="226"/>
        <v>-1055227</v>
      </c>
      <c r="L896" s="345">
        <f t="shared" ca="1" si="226"/>
        <v>0</v>
      </c>
    </row>
    <row r="897" spans="1:14" ht="13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L897" si="227">SUM(F894:F896)</f>
        <v>558215</v>
      </c>
      <c r="G897" s="346">
        <f t="shared" ca="1" si="227"/>
        <v>326539</v>
      </c>
      <c r="H897" s="346">
        <f t="shared" si="227"/>
        <v>192989</v>
      </c>
      <c r="I897" s="346">
        <f t="shared" ca="1" si="227"/>
        <v>38237</v>
      </c>
      <c r="J897" s="346">
        <f t="shared" si="227"/>
        <v>450</v>
      </c>
      <c r="K897" s="346">
        <f t="shared" ca="1" si="227"/>
        <v>558215</v>
      </c>
      <c r="L897" s="346">
        <f t="shared" ca="1" si="227"/>
        <v>0</v>
      </c>
    </row>
    <row r="898" spans="1:14" ht="13">
      <c r="A898" s="331">
        <v>33</v>
      </c>
      <c r="D898" s="342"/>
      <c r="E898" s="195"/>
      <c r="I898" s="330"/>
    </row>
    <row r="899" spans="1:14" ht="13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L899" si="228">IF(F331=0,0,ROUND(F897/F331,5))</f>
        <v>7.0749999999999993E-2</v>
      </c>
      <c r="G899" s="348">
        <f t="shared" ca="1" si="228"/>
        <v>7.0709999999999995E-2</v>
      </c>
      <c r="H899" s="348">
        <f t="shared" si="228"/>
        <v>7.0739999999999997E-2</v>
      </c>
      <c r="I899" s="348">
        <f t="shared" ca="1" si="228"/>
        <v>7.0910000000000001E-2</v>
      </c>
      <c r="J899" s="348">
        <f t="shared" si="228"/>
        <v>9.7909999999999997E-2</v>
      </c>
      <c r="K899" s="348">
        <f t="shared" ca="1" si="228"/>
        <v>7.0749999999999993E-2</v>
      </c>
      <c r="L899" s="348">
        <f t="shared" si="228"/>
        <v>0</v>
      </c>
    </row>
    <row r="900" spans="1:14" ht="13">
      <c r="N900" s="195"/>
    </row>
  </sheetData>
  <conditionalFormatting sqref="P708:P742 P744:P762 P766:P778 P780:P844">
    <cfRule type="cellIs" dxfId="4" priority="1" operator="notEqual">
      <formula>1</formula>
    </cfRule>
  </conditionalFormatting>
  <pageMargins left="1" right="1" top="1" bottom="1" header="1" footer="0.5"/>
  <pageSetup scale="64" orientation="landscape" blackAndWhite="1" r:id="rId1"/>
  <headerFooter alignWithMargins="0"/>
  <rowBreaks count="16" manualBreakCount="16">
    <brk id="44" max="11" man="1"/>
    <brk id="101" max="11" man="1"/>
    <brk id="151" max="11" man="1"/>
    <brk id="191" max="11" man="1"/>
    <brk id="238" max="11" man="1"/>
    <brk id="283" max="11" man="1"/>
    <brk id="334" max="11" man="1"/>
    <brk id="389" max="11" man="1"/>
    <brk id="433" max="11" man="1"/>
    <brk id="465" max="11" man="1"/>
    <brk id="501" max="11" man="1"/>
    <brk id="565" max="11" man="1"/>
    <brk id="655" max="11" man="1"/>
    <brk id="694" max="11" man="1"/>
    <brk id="746" max="11" man="1"/>
    <brk id="803" max="11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2">
    <tabColor rgb="FF7030A0"/>
    <pageSetUpPr fitToPage="1"/>
  </sheetPr>
  <dimension ref="A1:O899"/>
  <sheetViews>
    <sheetView topLeftCell="A717" zoomScale="80" zoomScaleNormal="80" zoomScaleSheetLayoutView="80" workbookViewId="0">
      <selection activeCell="I731" sqref="I731"/>
    </sheetView>
  </sheetViews>
  <sheetFormatPr defaultColWidth="8.765625" defaultRowHeight="12.5"/>
  <cols>
    <col min="1" max="1" width="6.4609375" style="330" customWidth="1"/>
    <col min="2" max="2" width="3.53515625" style="330" customWidth="1"/>
    <col min="3" max="3" width="41.765625" style="330" customWidth="1"/>
    <col min="4" max="4" width="8.23046875" style="331" customWidth="1"/>
    <col min="5" max="5" width="8.765625" style="330" customWidth="1"/>
    <col min="6" max="6" width="14" style="330" customWidth="1"/>
    <col min="7" max="8" width="11.765625" style="330" customWidth="1"/>
    <col min="9" max="9" width="13.765625" style="330" customWidth="1"/>
    <col min="10" max="11" width="11.765625" style="330" customWidth="1"/>
    <col min="12" max="14" width="8.765625" style="330"/>
    <col min="15" max="15" width="11.765625" style="330" customWidth="1"/>
    <col min="16" max="16384" width="8.765625" style="330"/>
  </cols>
  <sheetData>
    <row r="1" spans="1:11" ht="13">
      <c r="A1" s="341" t="str">
        <f>co_name</f>
        <v>DUKE ENERGY KENTUCKY, INC.</v>
      </c>
      <c r="C1" s="195"/>
      <c r="D1" s="342"/>
      <c r="E1" s="195"/>
      <c r="F1" s="195"/>
      <c r="G1" s="195"/>
      <c r="H1" s="195"/>
      <c r="I1" s="195"/>
      <c r="J1" s="577" t="s">
        <v>1455</v>
      </c>
      <c r="K1" s="195"/>
    </row>
    <row r="2" spans="1:11" ht="13">
      <c r="A2" s="577" t="s">
        <v>1200</v>
      </c>
      <c r="C2" s="195"/>
      <c r="D2" s="342"/>
      <c r="E2" s="195"/>
      <c r="F2" s="195"/>
      <c r="G2" s="195"/>
      <c r="H2" s="195"/>
      <c r="I2" s="195"/>
      <c r="J2" s="577" t="s">
        <v>435</v>
      </c>
      <c r="K2" s="195"/>
    </row>
    <row r="3" spans="1:11" ht="13">
      <c r="A3" s="341" t="str">
        <f>case_name</f>
        <v>CASE NO: 2021-00190</v>
      </c>
      <c r="C3" s="195"/>
      <c r="D3" s="342"/>
      <c r="E3" s="195"/>
      <c r="F3" s="195"/>
      <c r="G3" s="195"/>
      <c r="H3" s="195"/>
      <c r="I3" s="195"/>
      <c r="J3" s="195" t="str">
        <f>Witness</f>
        <v>JAMES E. ZIOLKOWSKI</v>
      </c>
      <c r="K3" s="195"/>
    </row>
    <row r="4" spans="1:11" ht="13">
      <c r="A4" s="341" t="str">
        <f>data_filing</f>
        <v>DATA: 12 MONTH FORECASTED PERIOD</v>
      </c>
      <c r="C4" s="195"/>
      <c r="D4" s="342"/>
      <c r="E4" s="195"/>
      <c r="F4" s="195"/>
      <c r="G4" s="195"/>
      <c r="H4" s="195"/>
      <c r="I4" s="195"/>
      <c r="J4" s="195" t="str">
        <f>"PAGE "&amp;Pages-17&amp;" OF "&amp;Pages</f>
        <v>PAGE 1 OF 18</v>
      </c>
      <c r="K4" s="195"/>
    </row>
    <row r="5" spans="1:11" ht="13">
      <c r="A5" s="341" t="str">
        <f>type</f>
        <v xml:space="preserve">TYPE OF FILING: "X" ORIGINAL   UPDATED    REVISED  </v>
      </c>
      <c r="C5" s="195"/>
      <c r="D5" s="342"/>
      <c r="E5" s="195"/>
      <c r="F5" s="195"/>
      <c r="G5" s="195"/>
      <c r="H5" s="195"/>
      <c r="I5" s="195"/>
      <c r="J5" s="195"/>
      <c r="K5" s="195"/>
    </row>
    <row r="6" spans="1:11" ht="13">
      <c r="A6" s="341"/>
      <c r="C6" s="195"/>
      <c r="D6" s="342"/>
      <c r="E6" s="195"/>
      <c r="F6" s="195"/>
      <c r="G6" s="195"/>
      <c r="H6" s="195"/>
      <c r="I6" s="195"/>
      <c r="J6" s="195"/>
      <c r="K6" s="195"/>
    </row>
    <row r="7" spans="1:11" ht="13">
      <c r="A7" s="341"/>
      <c r="C7" s="195"/>
      <c r="D7" s="342"/>
      <c r="E7" s="195"/>
      <c r="F7" s="195"/>
      <c r="G7" s="195"/>
      <c r="H7" s="195"/>
      <c r="I7" s="195"/>
      <c r="J7" s="195"/>
      <c r="K7" s="195"/>
    </row>
    <row r="8" spans="1:11" ht="13">
      <c r="A8" s="342" t="s">
        <v>907</v>
      </c>
      <c r="B8" s="195"/>
      <c r="C8" s="195"/>
      <c r="D8" s="342"/>
      <c r="E8" s="195"/>
      <c r="F8" s="342" t="s">
        <v>229</v>
      </c>
      <c r="G8" s="539" t="s">
        <v>995</v>
      </c>
      <c r="H8" s="527"/>
      <c r="I8" s="528"/>
      <c r="J8" s="342" t="s">
        <v>229</v>
      </c>
      <c r="K8" s="342" t="s">
        <v>342</v>
      </c>
    </row>
    <row r="9" spans="1:11" ht="13">
      <c r="A9" s="344" t="s">
        <v>908</v>
      </c>
      <c r="B9" s="343" t="s">
        <v>102</v>
      </c>
      <c r="C9" s="343"/>
      <c r="D9" s="344" t="s">
        <v>337</v>
      </c>
      <c r="E9" s="343"/>
      <c r="F9" s="344" t="s">
        <v>839</v>
      </c>
      <c r="G9" s="540" t="s">
        <v>840</v>
      </c>
      <c r="H9" s="529" t="s">
        <v>841</v>
      </c>
      <c r="I9" s="530" t="s">
        <v>842</v>
      </c>
      <c r="J9" s="344" t="s">
        <v>341</v>
      </c>
      <c r="K9" s="344" t="s">
        <v>340</v>
      </c>
    </row>
    <row r="10" spans="1:11" ht="13">
      <c r="C10" s="572" t="s">
        <v>354</v>
      </c>
      <c r="D10" s="342"/>
      <c r="E10" s="195"/>
      <c r="G10" s="779">
        <v>3</v>
      </c>
      <c r="H10" s="780">
        <v>4</v>
      </c>
      <c r="I10" s="781">
        <v>5</v>
      </c>
    </row>
    <row r="11" spans="1:11" ht="13">
      <c r="A11" s="331">
        <v>1</v>
      </c>
      <c r="B11" s="330" t="s">
        <v>100</v>
      </c>
      <c r="D11" s="342"/>
      <c r="E11" s="195"/>
      <c r="G11" s="541"/>
      <c r="H11" s="531"/>
      <c r="I11" s="532"/>
    </row>
    <row r="12" spans="1:11" ht="13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>F101</f>
        <v>760613952</v>
      </c>
      <c r="G12" s="542">
        <f>G101</f>
        <v>472868189</v>
      </c>
      <c r="H12" s="533">
        <f>H101</f>
        <v>0</v>
      </c>
      <c r="I12" s="534">
        <f>I101</f>
        <v>287745763</v>
      </c>
      <c r="J12" s="345">
        <f>J101</f>
        <v>760613952</v>
      </c>
      <c r="K12" s="345">
        <f>F12-J12</f>
        <v>0</v>
      </c>
    </row>
    <row r="13" spans="1:11" ht="13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>-F151</f>
        <v>-200783628</v>
      </c>
      <c r="G13" s="542">
        <f>-G151</f>
        <v>-125663522</v>
      </c>
      <c r="H13" s="533">
        <f>-H151</f>
        <v>0</v>
      </c>
      <c r="I13" s="534">
        <f>-I151</f>
        <v>-75120106</v>
      </c>
      <c r="J13" s="345">
        <f>-J151</f>
        <v>-200783628</v>
      </c>
      <c r="K13" s="345">
        <f>F13-J13</f>
        <v>0</v>
      </c>
    </row>
    <row r="14" spans="1:11" ht="13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>F326</f>
        <v>-99398932</v>
      </c>
      <c r="G14" s="542">
        <f>G326</f>
        <v>-61719658</v>
      </c>
      <c r="H14" s="533">
        <f>H326</f>
        <v>0</v>
      </c>
      <c r="I14" s="534">
        <f>I326</f>
        <v>-37679274</v>
      </c>
      <c r="J14" s="345">
        <f>J326</f>
        <v>-99398932</v>
      </c>
      <c r="K14" s="345">
        <f>F14-J14</f>
        <v>0</v>
      </c>
    </row>
    <row r="15" spans="1:11" ht="13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0">SUM(F12:F14)</f>
        <v>460431392</v>
      </c>
      <c r="G15" s="543">
        <f t="shared" si="0"/>
        <v>285485009</v>
      </c>
      <c r="H15" s="535">
        <f t="shared" si="0"/>
        <v>0</v>
      </c>
      <c r="I15" s="536">
        <f t="shared" si="0"/>
        <v>174946383</v>
      </c>
      <c r="J15" s="346">
        <f t="shared" si="0"/>
        <v>460431392</v>
      </c>
      <c r="K15" s="346">
        <f t="shared" si="0"/>
        <v>0</v>
      </c>
    </row>
    <row r="16" spans="1:11" ht="13">
      <c r="A16" s="331">
        <v>6</v>
      </c>
      <c r="D16" s="342"/>
      <c r="E16" s="195"/>
      <c r="G16" s="541"/>
      <c r="H16" s="531"/>
      <c r="I16" s="532"/>
    </row>
    <row r="17" spans="1:11" ht="13">
      <c r="A17" s="331">
        <v>7</v>
      </c>
      <c r="B17" s="330" t="s">
        <v>98</v>
      </c>
      <c r="D17" s="342"/>
      <c r="E17" s="195"/>
      <c r="G17" s="541"/>
      <c r="H17" s="531"/>
      <c r="I17" s="532"/>
    </row>
    <row r="18" spans="1:11" ht="13">
      <c r="A18" s="331">
        <v>8</v>
      </c>
      <c r="C18" s="330" t="str">
        <f>'FR-16(7)(v)-1 Functional'!C18</f>
        <v>TOTAL O&amp;M EXPENSE</v>
      </c>
      <c r="D18" s="342"/>
      <c r="E18" s="195"/>
      <c r="F18" s="345">
        <f>F433</f>
        <v>19418738</v>
      </c>
      <c r="G18" s="542">
        <f>G433</f>
        <v>9808594</v>
      </c>
      <c r="H18" s="533">
        <f>H433</f>
        <v>0</v>
      </c>
      <c r="I18" s="534">
        <f>I433</f>
        <v>9610144</v>
      </c>
      <c r="J18" s="345">
        <f>J433</f>
        <v>19418738</v>
      </c>
      <c r="K18" s="345">
        <f t="shared" ref="K18:K24" si="1">F18-J18</f>
        <v>0</v>
      </c>
    </row>
    <row r="19" spans="1:11" ht="13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>F465</f>
        <v>18130282</v>
      </c>
      <c r="G19" s="542">
        <f>G465</f>
        <v>11066268</v>
      </c>
      <c r="H19" s="533">
        <f>H465</f>
        <v>0</v>
      </c>
      <c r="I19" s="534">
        <f>I465</f>
        <v>7064014</v>
      </c>
      <c r="J19" s="345">
        <f>J465</f>
        <v>18130282</v>
      </c>
      <c r="K19" s="345">
        <f t="shared" si="1"/>
        <v>0</v>
      </c>
    </row>
    <row r="20" spans="1:11" ht="13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4579214</v>
      </c>
      <c r="G20" s="542">
        <f>$G$495</f>
        <v>2800588</v>
      </c>
      <c r="H20" s="533">
        <f>$H$495</f>
        <v>0</v>
      </c>
      <c r="I20" s="534">
        <f>$I$495</f>
        <v>1778626</v>
      </c>
      <c r="J20" s="345">
        <f>$J$495</f>
        <v>4579214</v>
      </c>
      <c r="K20" s="345">
        <f t="shared" si="1"/>
        <v>0</v>
      </c>
    </row>
    <row r="21" spans="1:11" ht="13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>SUM(F17:F20)</f>
        <v>42128234</v>
      </c>
      <c r="G21" s="543">
        <f>SUM(G17:G20)</f>
        <v>23675450</v>
      </c>
      <c r="H21" s="535">
        <f>SUM(H17:H20)</f>
        <v>0</v>
      </c>
      <c r="I21" s="536">
        <f>SUM(I17:I20)</f>
        <v>18452784</v>
      </c>
      <c r="J21" s="346">
        <f>SUM(J17:J20)</f>
        <v>42128234</v>
      </c>
      <c r="K21" s="346">
        <f t="shared" si="1"/>
        <v>0</v>
      </c>
    </row>
    <row r="22" spans="1:11" ht="13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>F557</f>
        <v>4540121</v>
      </c>
      <c r="G22" s="542">
        <f>$G$557</f>
        <v>2812847</v>
      </c>
      <c r="H22" s="533">
        <f>$H$557</f>
        <v>0</v>
      </c>
      <c r="I22" s="534">
        <f>$I$557</f>
        <v>1727274</v>
      </c>
      <c r="J22" s="345">
        <f>$J$557</f>
        <v>4540121</v>
      </c>
      <c r="K22" s="345">
        <f t="shared" si="1"/>
        <v>0</v>
      </c>
    </row>
    <row r="23" spans="1:11" ht="13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>F605</f>
        <v>1441313</v>
      </c>
      <c r="G23" s="542">
        <f>G605</f>
        <v>896458</v>
      </c>
      <c r="H23" s="533">
        <f>H605</f>
        <v>0</v>
      </c>
      <c r="I23" s="534">
        <f>I605</f>
        <v>544855</v>
      </c>
      <c r="J23" s="345">
        <f>J605</f>
        <v>1441313</v>
      </c>
      <c r="K23" s="345">
        <f t="shared" si="1"/>
        <v>0</v>
      </c>
    </row>
    <row r="24" spans="1:11" ht="13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>SUM(F21:F23)</f>
        <v>48109668</v>
      </c>
      <c r="G24" s="543">
        <f>SUM(G21:G23)</f>
        <v>27384755</v>
      </c>
      <c r="H24" s="535">
        <f>SUM(H21:H23)</f>
        <v>0</v>
      </c>
      <c r="I24" s="536">
        <f>SUM(I21:I23)</f>
        <v>20724913</v>
      </c>
      <c r="J24" s="346">
        <f>SUM(J21:J23)</f>
        <v>48109668</v>
      </c>
      <c r="K24" s="346">
        <f t="shared" si="1"/>
        <v>0</v>
      </c>
    </row>
    <row r="25" spans="1:11" ht="13">
      <c r="A25" s="331">
        <v>15</v>
      </c>
      <c r="D25" s="342"/>
      <c r="E25" s="195"/>
      <c r="G25" s="541"/>
      <c r="H25" s="531"/>
      <c r="I25" s="532"/>
    </row>
    <row r="26" spans="1:11" ht="13">
      <c r="A26" s="331">
        <v>16</v>
      </c>
      <c r="B26" s="330" t="s">
        <v>43</v>
      </c>
      <c r="D26" s="342"/>
      <c r="E26" s="195"/>
      <c r="F26" s="345">
        <f>F334</f>
        <v>32506456</v>
      </c>
      <c r="G26" s="542">
        <f>G334</f>
        <v>20155242</v>
      </c>
      <c r="H26" s="533">
        <f>H334</f>
        <v>0</v>
      </c>
      <c r="I26" s="534">
        <f>I334</f>
        <v>12351215</v>
      </c>
      <c r="J26" s="345">
        <f>J334</f>
        <v>32506457</v>
      </c>
      <c r="K26" s="345">
        <f t="shared" ref="K26:K31" si="2">F26-J26</f>
        <v>-1</v>
      </c>
    </row>
    <row r="27" spans="1:11" ht="13">
      <c r="A27" s="331">
        <v>17</v>
      </c>
      <c r="B27" s="357" t="s">
        <v>103</v>
      </c>
      <c r="C27" s="357"/>
      <c r="D27" s="342"/>
      <c r="E27" s="195"/>
      <c r="F27" s="345">
        <f>-F630</f>
        <v>-270119</v>
      </c>
      <c r="G27" s="542">
        <f>-$G$630</f>
        <v>-119630</v>
      </c>
      <c r="H27" s="533">
        <f>-$H$630</f>
        <v>0</v>
      </c>
      <c r="I27" s="534">
        <f>-$I$630</f>
        <v>-150489</v>
      </c>
      <c r="J27" s="345">
        <f>-$J$630</f>
        <v>-270119</v>
      </c>
      <c r="K27" s="345">
        <f t="shared" si="2"/>
        <v>0</v>
      </c>
    </row>
    <row r="28" spans="1:11" ht="13">
      <c r="A28" s="1166">
        <v>18</v>
      </c>
      <c r="B28" s="351"/>
      <c r="C28" s="330" t="str">
        <f>'FR-16(7)(v)-1 Functional'!C28</f>
        <v>TOTAL GAS COST OF SERVICE</v>
      </c>
      <c r="D28" s="352"/>
      <c r="E28" s="340"/>
      <c r="F28" s="346">
        <f>SUM(F24:F27)</f>
        <v>80346005</v>
      </c>
      <c r="G28" s="1167">
        <f>SUM(G24:G27)</f>
        <v>47420367</v>
      </c>
      <c r="H28" s="1168">
        <f>SUM(H24:H27)</f>
        <v>0</v>
      </c>
      <c r="I28" s="1169">
        <f>SUM(I24:I27)</f>
        <v>32925639</v>
      </c>
      <c r="J28" s="346">
        <f>SUM(J24:J27)</f>
        <v>80346006</v>
      </c>
      <c r="K28" s="346">
        <f t="shared" si="2"/>
        <v>-1</v>
      </c>
    </row>
    <row r="29" spans="1:11" ht="13">
      <c r="A29" s="1104">
        <v>19</v>
      </c>
      <c r="B29" s="1105" t="s">
        <v>1184</v>
      </c>
      <c r="C29" s="1106"/>
      <c r="D29" s="1107">
        <f>1-'WP FR-16(7)(v)Rate Incr (40.0%)'!I11</f>
        <v>0</v>
      </c>
      <c r="E29" s="1108"/>
      <c r="F29" s="1109">
        <f ca="1">'WP FR-16(7)(v)Rate Incr (40.0%)'!S20</f>
        <v>0</v>
      </c>
      <c r="G29" s="1158">
        <v>0</v>
      </c>
      <c r="H29" s="1159">
        <v>0</v>
      </c>
      <c r="I29" s="1160">
        <v>0</v>
      </c>
      <c r="J29" s="1109">
        <f>SUM(G29:I29)</f>
        <v>0</v>
      </c>
      <c r="K29" s="1112">
        <f t="shared" ca="1" si="2"/>
        <v>0</v>
      </c>
    </row>
    <row r="30" spans="1:11" ht="13">
      <c r="A30" s="1104">
        <v>20</v>
      </c>
      <c r="B30" s="1113" t="s">
        <v>1185</v>
      </c>
      <c r="C30" s="1017"/>
      <c r="D30" s="1114"/>
      <c r="E30" s="1108"/>
      <c r="F30" s="1115">
        <f t="shared" ref="F30:K30" ca="1" si="3">F28+F29</f>
        <v>80346005</v>
      </c>
      <c r="G30" s="1116">
        <f t="shared" si="3"/>
        <v>47420367</v>
      </c>
      <c r="H30" s="1117">
        <f t="shared" si="3"/>
        <v>0</v>
      </c>
      <c r="I30" s="1118">
        <f t="shared" si="3"/>
        <v>32925639</v>
      </c>
      <c r="J30" s="1115">
        <f t="shared" si="3"/>
        <v>80346006</v>
      </c>
      <c r="K30" s="1115">
        <f t="shared" ca="1" si="3"/>
        <v>-1</v>
      </c>
    </row>
    <row r="31" spans="1:11" ht="13">
      <c r="A31" s="1104">
        <v>21</v>
      </c>
      <c r="B31" s="1120" t="s">
        <v>843</v>
      </c>
      <c r="C31" s="1106"/>
      <c r="D31" s="1114"/>
      <c r="E31" s="1108"/>
      <c r="F31" s="1119">
        <f>F745</f>
        <v>79895282</v>
      </c>
      <c r="G31" s="1116">
        <f>G745</f>
        <v>47107856</v>
      </c>
      <c r="H31" s="1117">
        <f>H745</f>
        <v>0</v>
      </c>
      <c r="I31" s="1118">
        <f>I745</f>
        <v>32787426</v>
      </c>
      <c r="J31" s="1119">
        <f>J745</f>
        <v>79895282</v>
      </c>
      <c r="K31" s="1119">
        <f t="shared" si="2"/>
        <v>0</v>
      </c>
    </row>
    <row r="32" spans="1:11" ht="13">
      <c r="A32" s="1104">
        <v>22</v>
      </c>
      <c r="B32" s="1121" t="s">
        <v>1186</v>
      </c>
      <c r="C32" s="1017"/>
      <c r="D32" s="1114"/>
      <c r="E32" s="1108"/>
      <c r="F32" s="1124">
        <f t="shared" ref="F32:K32" ca="1" si="4">F30-F31</f>
        <v>450723</v>
      </c>
      <c r="G32" s="1143">
        <f t="shared" si="4"/>
        <v>312511</v>
      </c>
      <c r="H32" s="1161">
        <f t="shared" si="4"/>
        <v>0</v>
      </c>
      <c r="I32" s="1144">
        <f t="shared" si="4"/>
        <v>138213</v>
      </c>
      <c r="J32" s="1124">
        <f t="shared" si="4"/>
        <v>450724</v>
      </c>
      <c r="K32" s="1124">
        <f t="shared" ca="1" si="4"/>
        <v>-1</v>
      </c>
    </row>
    <row r="33" spans="1:14" ht="13">
      <c r="A33" s="1104">
        <v>23</v>
      </c>
      <c r="B33" s="1017"/>
      <c r="C33" s="1017"/>
      <c r="D33" s="1114"/>
      <c r="E33" s="1108"/>
      <c r="F33" s="1017"/>
      <c r="G33" s="1126"/>
      <c r="H33" s="1127"/>
      <c r="I33" s="1128"/>
      <c r="J33" s="1017"/>
      <c r="K33" s="1017"/>
    </row>
    <row r="34" spans="1:14" ht="13">
      <c r="A34" s="1104">
        <v>24</v>
      </c>
      <c r="B34" s="1017" t="s">
        <v>104</v>
      </c>
      <c r="C34" s="1017"/>
      <c r="D34" s="1114"/>
      <c r="E34" s="1108"/>
      <c r="F34" s="1119">
        <f>F654+F26</f>
        <v>33250141</v>
      </c>
      <c r="G34" s="1116">
        <f>G654+G26</f>
        <v>20593640</v>
      </c>
      <c r="H34" s="1117">
        <f>H654+H26</f>
        <v>0</v>
      </c>
      <c r="I34" s="1118">
        <f>I654+I26</f>
        <v>12656501</v>
      </c>
      <c r="J34" s="1119">
        <f>J654+J26</f>
        <v>33250141</v>
      </c>
      <c r="K34" s="1119">
        <f>F34-J34</f>
        <v>0</v>
      </c>
    </row>
    <row r="35" spans="1:14" ht="13">
      <c r="A35" s="1104">
        <v>25</v>
      </c>
      <c r="B35" s="1017" t="s">
        <v>105</v>
      </c>
      <c r="C35" s="1017"/>
      <c r="D35" s="1114"/>
      <c r="E35" s="1108"/>
      <c r="F35" s="1129">
        <f t="shared" ref="F35:K35" si="5">IF(F331=0,0,ROUND(F34/F331,5))</f>
        <v>7.2220000000000006E-2</v>
      </c>
      <c r="G35" s="1130">
        <f t="shared" si="5"/>
        <v>7.2139999999999996E-2</v>
      </c>
      <c r="H35" s="1131">
        <f t="shared" si="5"/>
        <v>0</v>
      </c>
      <c r="I35" s="1132">
        <f t="shared" si="5"/>
        <v>7.2349999999999998E-2</v>
      </c>
      <c r="J35" s="1129">
        <f t="shared" si="5"/>
        <v>7.2220000000000006E-2</v>
      </c>
      <c r="K35" s="1129">
        <f t="shared" si="5"/>
        <v>0</v>
      </c>
    </row>
    <row r="36" spans="1:14" ht="13">
      <c r="A36" s="1104">
        <v>26</v>
      </c>
      <c r="B36" s="1017" t="s">
        <v>42</v>
      </c>
      <c r="C36" s="1017"/>
      <c r="D36" s="1114"/>
      <c r="E36" s="1108"/>
      <c r="F36" s="1129">
        <f>$F$688</f>
        <v>7.060000000000001E-2</v>
      </c>
      <c r="G36" s="1130">
        <f>F688</f>
        <v>7.060000000000001E-2</v>
      </c>
      <c r="H36" s="1131">
        <f>F688</f>
        <v>7.060000000000001E-2</v>
      </c>
      <c r="I36" s="1132">
        <f>F688</f>
        <v>7.060000000000001E-2</v>
      </c>
      <c r="J36" s="1129">
        <f>$F$688</f>
        <v>7.060000000000001E-2</v>
      </c>
      <c r="K36" s="1129">
        <f>F688</f>
        <v>7.060000000000001E-2</v>
      </c>
      <c r="N36" s="653" t="s">
        <v>1188</v>
      </c>
    </row>
    <row r="37" spans="1:14" ht="13">
      <c r="A37" s="1104">
        <v>27</v>
      </c>
      <c r="B37" s="1017" t="s">
        <v>106</v>
      </c>
      <c r="C37" s="1017"/>
      <c r="D37" s="1114"/>
      <c r="E37" s="1108"/>
      <c r="F37" s="1129">
        <f>IF(F670=0,0,(F35-$F$683-$F$684-$F$686)*$F$673/$F$670)</f>
        <v>0.10620543217206874</v>
      </c>
      <c r="G37" s="1130">
        <f>IF(F670=0,0,(G35-F683-F684-F686)*F673/F670)</f>
        <v>0.10604762320896015</v>
      </c>
      <c r="H37" s="1131">
        <f>IF(F670=0,0,(H35-F683-F684-F686)*F673/F670)</f>
        <v>-3.6256609274194343E-2</v>
      </c>
      <c r="I37" s="1132">
        <f>IF(F670=0,0,(I35-F683-F684-F686)*F673/F670)</f>
        <v>0.10646187173712017</v>
      </c>
      <c r="J37" s="1129">
        <f>IF(F670=0,0,(J35-F683-F684-F686)*F673/F670)</f>
        <v>0.10620543217206874</v>
      </c>
      <c r="K37" s="1129">
        <f>IF(F670=0,0,(K35-F683-F684-F686)*F673/F670)</f>
        <v>-3.6256609274194343E-2</v>
      </c>
      <c r="N37" s="653" t="s">
        <v>1189</v>
      </c>
    </row>
    <row r="38" spans="1:14" ht="13">
      <c r="A38" s="1104">
        <v>28</v>
      </c>
      <c r="B38" s="1017" t="s">
        <v>107</v>
      </c>
      <c r="C38" s="1017"/>
      <c r="D38" s="1114"/>
      <c r="E38" s="1108"/>
      <c r="F38" s="1129">
        <f>IF($F$670=0,0,(F36-$F$683-$F$684-$F$686)*$F$673/$F$670)</f>
        <v>0.10300980066912017</v>
      </c>
      <c r="G38" s="1130">
        <f>IF(F670=0,0,(G36-F683-F684-F686)*F673/F670)</f>
        <v>0.10300980066912017</v>
      </c>
      <c r="H38" s="1131">
        <f>IF(F670=0,0,(H36-F683-F684-F686)*F673/F670)</f>
        <v>0.10300980066912017</v>
      </c>
      <c r="I38" s="1132">
        <f>IF(F670=0,0,(I36-F683-F684-F686)*F673/F670)</f>
        <v>0.10300980066912017</v>
      </c>
      <c r="J38" s="1129">
        <f>IF($F$670=0,0,(J36-$F$683-$F$684-$F$686)*$F$673/$F$670)</f>
        <v>0.10300980066912017</v>
      </c>
      <c r="K38" s="1129">
        <f>IF(F670=0,0,(K36-F683-F684-F686)*F673/F670)</f>
        <v>0.10300980066912017</v>
      </c>
    </row>
    <row r="39" spans="1:14" ht="13">
      <c r="A39" s="1104">
        <v>29</v>
      </c>
      <c r="B39" s="1017"/>
      <c r="C39" s="1017"/>
      <c r="D39" s="1114"/>
      <c r="E39" s="1108"/>
      <c r="F39" s="1017" t="s">
        <v>343</v>
      </c>
      <c r="G39" s="1126"/>
      <c r="H39" s="1127"/>
      <c r="I39" s="1128"/>
      <c r="J39" s="1017"/>
      <c r="K39" s="1017"/>
    </row>
    <row r="40" spans="1:14" ht="13">
      <c r="A40" s="1104">
        <v>30</v>
      </c>
      <c r="B40" s="1017" t="s">
        <v>108</v>
      </c>
      <c r="C40" s="1017"/>
      <c r="D40" s="1114"/>
      <c r="E40" s="1108"/>
      <c r="F40" s="1119">
        <f>F744</f>
        <v>70232711</v>
      </c>
      <c r="G40" s="1116">
        <f>G744</f>
        <v>41410611</v>
      </c>
      <c r="H40" s="1117">
        <f>H744</f>
        <v>0</v>
      </c>
      <c r="I40" s="1118">
        <f>I744</f>
        <v>28822100</v>
      </c>
      <c r="J40" s="1119">
        <f>J744</f>
        <v>70232711</v>
      </c>
      <c r="K40" s="1119">
        <f>F40-J40</f>
        <v>0</v>
      </c>
    </row>
    <row r="41" spans="1:14" ht="13">
      <c r="A41" s="1104">
        <v>31</v>
      </c>
      <c r="B41" s="1017" t="s">
        <v>109</v>
      </c>
      <c r="C41" s="1017"/>
      <c r="D41" s="1114"/>
      <c r="E41" s="1108"/>
      <c r="F41" s="1119">
        <f t="shared" ref="F41:K41" si="6">F28-F40</f>
        <v>10113294</v>
      </c>
      <c r="G41" s="1116">
        <f t="shared" si="6"/>
        <v>6009756</v>
      </c>
      <c r="H41" s="1117">
        <f t="shared" si="6"/>
        <v>0</v>
      </c>
      <c r="I41" s="1118">
        <f t="shared" si="6"/>
        <v>4103539</v>
      </c>
      <c r="J41" s="1119">
        <f t="shared" si="6"/>
        <v>10113295</v>
      </c>
      <c r="K41" s="1119">
        <f t="shared" si="6"/>
        <v>-1</v>
      </c>
    </row>
    <row r="42" spans="1:14" ht="13">
      <c r="A42" s="1104">
        <v>32</v>
      </c>
      <c r="B42" s="1017"/>
      <c r="C42" s="1017" t="s">
        <v>283</v>
      </c>
      <c r="D42" s="1114"/>
      <c r="E42" s="1108"/>
      <c r="F42" s="1133">
        <f t="shared" ref="F42:K42" si="7">IF(F40=0,0,ROUND(F41/F40,5))</f>
        <v>0.14399999999999999</v>
      </c>
      <c r="G42" s="1134">
        <f t="shared" si="7"/>
        <v>0.14513000000000001</v>
      </c>
      <c r="H42" s="1135">
        <f t="shared" si="7"/>
        <v>0</v>
      </c>
      <c r="I42" s="1136">
        <f t="shared" si="7"/>
        <v>0.14237</v>
      </c>
      <c r="J42" s="1133">
        <f t="shared" si="7"/>
        <v>0.14399999999999999</v>
      </c>
      <c r="K42" s="1119">
        <f t="shared" si="7"/>
        <v>0</v>
      </c>
    </row>
    <row r="43" spans="1:14" ht="13">
      <c r="A43" s="1104">
        <v>33</v>
      </c>
      <c r="B43" s="1017" t="s">
        <v>110</v>
      </c>
      <c r="C43" s="1017"/>
      <c r="D43" s="1114"/>
      <c r="E43" s="1108"/>
      <c r="F43" s="1119">
        <f t="shared" ref="F43:K43" si="8">F31-F40</f>
        <v>9662571</v>
      </c>
      <c r="G43" s="1116">
        <f t="shared" si="8"/>
        <v>5697245</v>
      </c>
      <c r="H43" s="1117">
        <f t="shared" si="8"/>
        <v>0</v>
      </c>
      <c r="I43" s="1118">
        <f t="shared" si="8"/>
        <v>3965326</v>
      </c>
      <c r="J43" s="1119">
        <f t="shared" si="8"/>
        <v>9662571</v>
      </c>
      <c r="K43" s="1119">
        <f t="shared" si="8"/>
        <v>0</v>
      </c>
    </row>
    <row r="44" spans="1:14" ht="13">
      <c r="A44" s="1104">
        <v>34</v>
      </c>
      <c r="B44" s="1017"/>
      <c r="C44" s="1017" t="s">
        <v>283</v>
      </c>
      <c r="D44" s="1114"/>
      <c r="E44" s="1108"/>
      <c r="F44" s="1133">
        <f t="shared" ref="F44:K44" si="9">IF(F40=0,0,ROUND(F43/F40,5))</f>
        <v>0.13758000000000001</v>
      </c>
      <c r="G44" s="1137">
        <f t="shared" si="9"/>
        <v>0.13758000000000001</v>
      </c>
      <c r="H44" s="1138">
        <f t="shared" si="9"/>
        <v>0</v>
      </c>
      <c r="I44" s="1139">
        <f t="shared" si="9"/>
        <v>0.13758000000000001</v>
      </c>
      <c r="J44" s="1133">
        <f t="shared" si="9"/>
        <v>0.13758000000000001</v>
      </c>
      <c r="K44" s="1119">
        <f t="shared" si="9"/>
        <v>0</v>
      </c>
    </row>
    <row r="45" spans="1:14" ht="13">
      <c r="A45" s="341"/>
      <c r="C45" s="195"/>
      <c r="D45" s="342"/>
      <c r="E45" s="195"/>
      <c r="F45" s="195"/>
      <c r="G45" s="195"/>
      <c r="H45" s="195"/>
      <c r="I45" s="195"/>
      <c r="J45" s="195"/>
      <c r="K45" s="195"/>
    </row>
    <row r="46" spans="1:14" ht="13">
      <c r="A46" s="341" t="str">
        <f>co_name</f>
        <v>DUKE ENERGY KENTUCKY, INC.</v>
      </c>
      <c r="C46" s="195"/>
      <c r="D46" s="342"/>
      <c r="E46" s="195"/>
      <c r="F46" s="195"/>
      <c r="G46" s="195"/>
      <c r="H46" s="195"/>
      <c r="I46" s="195"/>
      <c r="J46" s="195" t="str">
        <f>$J$1</f>
        <v>FR-16(7)(v)-4</v>
      </c>
      <c r="K46" s="195"/>
    </row>
    <row r="47" spans="1:14" ht="13">
      <c r="A47" s="341" t="str">
        <f>$A$2</f>
        <v>DISTRIBUTION CLASSIFIED - GAS COST OF SERVICE</v>
      </c>
      <c r="C47" s="195"/>
      <c r="D47" s="342"/>
      <c r="E47" s="195"/>
      <c r="F47" s="195"/>
      <c r="G47" s="195"/>
      <c r="H47" s="195"/>
      <c r="I47" s="195"/>
      <c r="J47" s="195" t="str">
        <f>$J$2</f>
        <v>WITNESS RESPONSIBLE:</v>
      </c>
      <c r="K47" s="195"/>
    </row>
    <row r="48" spans="1:14" ht="13">
      <c r="A48" s="341" t="str">
        <f>case_name</f>
        <v>CASE NO: 2021-00190</v>
      </c>
      <c r="C48" s="195"/>
      <c r="D48" s="342"/>
      <c r="E48" s="195"/>
      <c r="F48" s="195"/>
      <c r="G48" s="195"/>
      <c r="H48" s="195"/>
      <c r="I48" s="195"/>
      <c r="J48" s="195" t="str">
        <f>Witness</f>
        <v>JAMES E. ZIOLKOWSKI</v>
      </c>
      <c r="K48" s="195"/>
    </row>
    <row r="49" spans="1:11" ht="13">
      <c r="A49" s="341" t="str">
        <f>data_filing</f>
        <v>DATA: 12 MONTH FORECASTED PERIOD</v>
      </c>
      <c r="C49" s="195"/>
      <c r="D49" s="342"/>
      <c r="E49" s="195"/>
      <c r="F49" s="195"/>
      <c r="G49" s="195"/>
      <c r="H49" s="195"/>
      <c r="I49" s="195"/>
      <c r="J49" s="195" t="str">
        <f>"PAGE "&amp;Pages-16&amp;" OF "&amp;Pages</f>
        <v>PAGE 2 OF 18</v>
      </c>
      <c r="K49" s="195"/>
    </row>
    <row r="50" spans="1:11" ht="13">
      <c r="A50" s="341" t="str">
        <f>type</f>
        <v xml:space="preserve">TYPE OF FILING: "X" ORIGINAL   UPDATED    REVISED  </v>
      </c>
      <c r="C50" s="195"/>
      <c r="D50" s="342"/>
      <c r="E50" s="195"/>
      <c r="F50" s="195"/>
      <c r="G50" s="195"/>
      <c r="H50" s="195"/>
      <c r="I50" s="195"/>
      <c r="J50" s="195"/>
      <c r="K50" s="195"/>
    </row>
    <row r="51" spans="1:11" ht="13">
      <c r="A51" s="341"/>
      <c r="C51" s="195"/>
      <c r="D51" s="342"/>
      <c r="E51" s="195"/>
      <c r="F51" s="195"/>
      <c r="G51" s="195"/>
      <c r="H51" s="195"/>
      <c r="I51" s="195"/>
      <c r="J51" s="195"/>
      <c r="K51" s="195"/>
    </row>
    <row r="52" spans="1:11" ht="13">
      <c r="A52" s="341"/>
      <c r="C52" s="195"/>
      <c r="D52" s="342"/>
      <c r="E52" s="195"/>
      <c r="F52" s="195"/>
      <c r="G52" s="195"/>
      <c r="H52" s="195"/>
      <c r="I52" s="195"/>
      <c r="J52" s="195"/>
      <c r="K52" s="195"/>
    </row>
    <row r="53" spans="1:11" ht="13">
      <c r="A53" s="342" t="s">
        <v>907</v>
      </c>
      <c r="B53" s="195"/>
      <c r="C53" s="195"/>
      <c r="D53" s="342"/>
      <c r="E53" s="195"/>
      <c r="F53" s="342" t="s">
        <v>229</v>
      </c>
      <c r="G53" s="539" t="s">
        <v>995</v>
      </c>
      <c r="H53" s="527"/>
      <c r="I53" s="528"/>
      <c r="J53" s="342" t="s">
        <v>229</v>
      </c>
      <c r="K53" s="342" t="s">
        <v>342</v>
      </c>
    </row>
    <row r="54" spans="1:11" ht="13">
      <c r="A54" s="344" t="s">
        <v>908</v>
      </c>
      <c r="B54" s="343" t="s">
        <v>95</v>
      </c>
      <c r="C54" s="343"/>
      <c r="D54" s="344" t="s">
        <v>337</v>
      </c>
      <c r="E54" s="343"/>
      <c r="F54" s="344" t="s">
        <v>839</v>
      </c>
      <c r="G54" s="540" t="s">
        <v>840</v>
      </c>
      <c r="H54" s="529" t="s">
        <v>841</v>
      </c>
      <c r="I54" s="530" t="s">
        <v>842</v>
      </c>
      <c r="J54" s="344" t="s">
        <v>341</v>
      </c>
      <c r="K54" s="344" t="s">
        <v>340</v>
      </c>
    </row>
    <row r="55" spans="1:11" ht="13">
      <c r="C55" s="572" t="s">
        <v>344</v>
      </c>
      <c r="D55" s="342"/>
      <c r="E55" s="195"/>
      <c r="G55" s="793">
        <f>$G$10</f>
        <v>3</v>
      </c>
      <c r="H55" s="794">
        <f>$H$10</f>
        <v>4</v>
      </c>
      <c r="I55" s="795">
        <f>$I$10</f>
        <v>5</v>
      </c>
      <c r="K55" s="330" t="s">
        <v>343</v>
      </c>
    </row>
    <row r="56" spans="1:11" ht="13">
      <c r="A56" s="331">
        <v>1</v>
      </c>
      <c r="B56" s="330" t="s">
        <v>14</v>
      </c>
      <c r="E56" s="195"/>
      <c r="G56" s="541"/>
      <c r="H56" s="531"/>
      <c r="I56" s="532"/>
    </row>
    <row r="57" spans="1:11" ht="13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3">
        <f>'FR-16(7)(v)-1 Functional'!I57</f>
        <v>0</v>
      </c>
      <c r="G57" s="542">
        <f>ROUND(F57*VLOOKUP(D57,Alloctable_Classified_Distribution,$G$10,FALSE),0)</f>
        <v>0</v>
      </c>
      <c r="H57" s="533">
        <f>ROUND(F57*VLOOKUP(D57,Alloctable_Classified_Distribution,$H$10,FALSE),0)</f>
        <v>0</v>
      </c>
      <c r="I57" s="534">
        <f>ROUND(F57*VLOOKUP(D57,Alloctable_Classified_Distribution,$I$10,FALSE),0)</f>
        <v>0</v>
      </c>
      <c r="J57" s="345">
        <f>SUM($G$57:$I$57)</f>
        <v>0</v>
      </c>
      <c r="K57" s="345">
        <f>F57-$J$57</f>
        <v>0</v>
      </c>
    </row>
    <row r="58" spans="1:11" ht="13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3">
        <f>'FR-16(7)(v)-1 Functional'!I58</f>
        <v>0</v>
      </c>
      <c r="G58" s="542">
        <f>ROUND(F58*VLOOKUP(D58,Alloctable_Classified_Distribution,$G$10,FALSE),0)</f>
        <v>0</v>
      </c>
      <c r="H58" s="533">
        <f>ROUND(F58*VLOOKUP(D58,Alloctable_Classified_Distribution,$H$10,FALSE),0)</f>
        <v>0</v>
      </c>
      <c r="I58" s="534">
        <f>ROUND(F58*VLOOKUP(D58,Alloctable_Classified_Distribution,$I$10,FALSE),0)</f>
        <v>0</v>
      </c>
      <c r="J58" s="345">
        <f>SUM($G$58:$I$58)</f>
        <v>0</v>
      </c>
      <c r="K58" s="345">
        <f>F58-$J$58</f>
        <v>0</v>
      </c>
    </row>
    <row r="59" spans="1:11" ht="13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0</v>
      </c>
      <c r="G59" s="543">
        <f>SUM($G$57:$G$58)</f>
        <v>0</v>
      </c>
      <c r="H59" s="535">
        <f>SUM($H$57:$H$58)</f>
        <v>0</v>
      </c>
      <c r="I59" s="536">
        <f>SUM($I$57:$I$58)</f>
        <v>0</v>
      </c>
      <c r="J59" s="346">
        <f>SUM($J$57:$J$58)</f>
        <v>0</v>
      </c>
      <c r="K59" s="346">
        <f>SUM($K$57:$K$58)</f>
        <v>0</v>
      </c>
    </row>
    <row r="60" spans="1:11" ht="13">
      <c r="A60" s="331">
        <v>5</v>
      </c>
      <c r="D60" s="342"/>
      <c r="E60" s="195"/>
      <c r="G60" s="541"/>
      <c r="H60" s="531"/>
      <c r="I60" s="532"/>
    </row>
    <row r="61" spans="1:11" ht="13">
      <c r="A61" s="331">
        <v>6</v>
      </c>
      <c r="B61" s="330" t="s">
        <v>15</v>
      </c>
      <c r="D61" s="342"/>
      <c r="E61" s="195"/>
      <c r="G61" s="541"/>
      <c r="H61" s="531"/>
      <c r="I61" s="532"/>
    </row>
    <row r="62" spans="1:11" ht="13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1"/>
      <c r="G62" s="542"/>
      <c r="H62" s="533"/>
      <c r="I62" s="534"/>
      <c r="J62" s="345"/>
      <c r="K62" s="345"/>
    </row>
    <row r="63" spans="1:11" ht="13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543">
        <f>SUM($G$62)</f>
        <v>0</v>
      </c>
      <c r="H63" s="535">
        <f>SUM($H$62)</f>
        <v>0</v>
      </c>
      <c r="I63" s="536">
        <f>SUM($I$62)</f>
        <v>0</v>
      </c>
      <c r="J63" s="346">
        <f>SUM($J$62)</f>
        <v>0</v>
      </c>
      <c r="K63" s="346">
        <f>SUM($K$62)</f>
        <v>0</v>
      </c>
    </row>
    <row r="64" spans="1:11" ht="13">
      <c r="A64" s="331">
        <v>9</v>
      </c>
      <c r="D64" s="342"/>
      <c r="E64" s="195"/>
      <c r="G64" s="541"/>
      <c r="H64" s="531"/>
      <c r="I64" s="532"/>
    </row>
    <row r="65" spans="1:11" ht="13">
      <c r="A65" s="331">
        <v>10</v>
      </c>
      <c r="B65" s="330" t="s">
        <v>16</v>
      </c>
      <c r="D65" s="342"/>
      <c r="E65" s="195"/>
      <c r="F65" s="345">
        <f>F63+F59</f>
        <v>0</v>
      </c>
      <c r="G65" s="542">
        <f>$G$63+$G$59</f>
        <v>0</v>
      </c>
      <c r="H65" s="533">
        <f>$H$63+$H$59</f>
        <v>0</v>
      </c>
      <c r="I65" s="534">
        <f>$I$63+$I$59</f>
        <v>0</v>
      </c>
      <c r="J65" s="345">
        <f>$J$63+$J$59</f>
        <v>0</v>
      </c>
      <c r="K65" s="345">
        <f>$K$63+$K$59</f>
        <v>0</v>
      </c>
    </row>
    <row r="66" spans="1:11" ht="13">
      <c r="A66" s="331">
        <v>11</v>
      </c>
      <c r="D66" s="342"/>
      <c r="E66" s="195"/>
      <c r="G66" s="541"/>
      <c r="H66" s="531"/>
      <c r="I66" s="532"/>
    </row>
    <row r="67" spans="1:11" ht="13">
      <c r="A67" s="331">
        <v>12</v>
      </c>
      <c r="B67" s="330" t="s">
        <v>17</v>
      </c>
      <c r="D67" s="342"/>
      <c r="E67" s="195"/>
      <c r="G67" s="541"/>
      <c r="H67" s="531"/>
      <c r="I67" s="532"/>
    </row>
    <row r="68" spans="1:11" ht="13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3">
        <f>'FR-16(7)(v)-1 Functional'!I68</f>
        <v>41242292</v>
      </c>
      <c r="G68" s="542">
        <f t="shared" ref="G68:G77" si="10">ROUND(F68*VLOOKUP(D68,Alloctable_Classified_Distribution,$G$10,FALSE),0)</f>
        <v>41242292</v>
      </c>
      <c r="H68" s="533">
        <f t="shared" ref="H68:H77" si="11">ROUND(F68*VLOOKUP(D68,Alloctable_Classified_Distribution,$H$10,FALSE),0)</f>
        <v>0</v>
      </c>
      <c r="I68" s="534">
        <f t="shared" ref="I68:I77" si="12">ROUND(F68*VLOOKUP(D68,Alloctable_Classified_Distribution,$I$10,FALSE),0)</f>
        <v>0</v>
      </c>
      <c r="J68" s="345">
        <f t="shared" ref="J68:J77" si="13">SUM(G68:I68)</f>
        <v>41242292</v>
      </c>
      <c r="K68" s="345">
        <f t="shared" ref="K68:K77" si="14">F68-J68</f>
        <v>0</v>
      </c>
    </row>
    <row r="69" spans="1:11" ht="13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3">
        <f>'FR-16(7)(v)-1 Functional'!I69</f>
        <v>2724163</v>
      </c>
      <c r="G69" s="542">
        <f t="shared" si="10"/>
        <v>2724163</v>
      </c>
      <c r="H69" s="533">
        <f t="shared" si="11"/>
        <v>0</v>
      </c>
      <c r="I69" s="534">
        <f t="shared" si="12"/>
        <v>0</v>
      </c>
      <c r="J69" s="345">
        <f t="shared" si="13"/>
        <v>2724163</v>
      </c>
      <c r="K69" s="345">
        <f t="shared" si="14"/>
        <v>0</v>
      </c>
    </row>
    <row r="70" spans="1:11" ht="13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3">
        <f>'FR-16(7)(v)-1 Functional'!I70</f>
        <v>566920</v>
      </c>
      <c r="G70" s="542">
        <f t="shared" si="10"/>
        <v>566920</v>
      </c>
      <c r="H70" s="533">
        <f t="shared" si="11"/>
        <v>0</v>
      </c>
      <c r="I70" s="534">
        <f t="shared" si="12"/>
        <v>0</v>
      </c>
      <c r="J70" s="345">
        <f t="shared" si="13"/>
        <v>566920</v>
      </c>
      <c r="K70" s="345">
        <f t="shared" si="14"/>
        <v>0</v>
      </c>
    </row>
    <row r="71" spans="1:11" ht="13">
      <c r="A71" s="331">
        <v>16</v>
      </c>
      <c r="C71" s="330" t="str">
        <f>'FR-16(7)(v)-1 Functional'!C71</f>
        <v>MAINS - (2761, 2762, 2763, 2765)</v>
      </c>
      <c r="D71" s="342" t="str">
        <f>'FR-16(7)(v)-1 Functional'!D71</f>
        <v>K415</v>
      </c>
      <c r="E71" s="195"/>
      <c r="F71" s="473">
        <f>'FR-16(7)(v)-1 Functional'!I71</f>
        <v>396995775</v>
      </c>
      <c r="G71" s="542">
        <f t="shared" si="10"/>
        <v>396995775</v>
      </c>
      <c r="H71" s="533">
        <f t="shared" si="11"/>
        <v>0</v>
      </c>
      <c r="I71" s="534">
        <f t="shared" si="12"/>
        <v>0</v>
      </c>
      <c r="J71" s="345">
        <f t="shared" si="13"/>
        <v>396995775</v>
      </c>
      <c r="K71" s="345">
        <f t="shared" si="14"/>
        <v>0</v>
      </c>
    </row>
    <row r="72" spans="1:11" ht="13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3">
        <f>'FR-16(7)(v)-1 Functional'!I72</f>
        <v>226116720</v>
      </c>
      <c r="G72" s="542">
        <f t="shared" si="10"/>
        <v>0</v>
      </c>
      <c r="H72" s="533">
        <f t="shared" si="11"/>
        <v>0</v>
      </c>
      <c r="I72" s="534">
        <f t="shared" si="12"/>
        <v>226116720</v>
      </c>
      <c r="J72" s="345">
        <f t="shared" si="13"/>
        <v>226116720</v>
      </c>
      <c r="K72" s="345">
        <f t="shared" si="14"/>
        <v>0</v>
      </c>
    </row>
    <row r="73" spans="1:11" ht="13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3">
        <f>'FR-16(7)(v)-1 Functional'!I73</f>
        <v>30766213</v>
      </c>
      <c r="G73" s="542">
        <f t="shared" si="10"/>
        <v>0</v>
      </c>
      <c r="H73" s="533">
        <f t="shared" si="11"/>
        <v>0</v>
      </c>
      <c r="I73" s="534">
        <f t="shared" si="12"/>
        <v>30766213</v>
      </c>
      <c r="J73" s="345">
        <f t="shared" si="13"/>
        <v>30766213</v>
      </c>
      <c r="K73" s="345">
        <f t="shared" si="14"/>
        <v>0</v>
      </c>
    </row>
    <row r="74" spans="1:11" ht="13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3">
        <f>'FR-16(7)(v)-1 Functional'!I74</f>
        <v>11654163</v>
      </c>
      <c r="G74" s="542">
        <f t="shared" si="10"/>
        <v>11654163</v>
      </c>
      <c r="H74" s="533">
        <f t="shared" si="11"/>
        <v>0</v>
      </c>
      <c r="I74" s="534">
        <f t="shared" si="12"/>
        <v>0</v>
      </c>
      <c r="J74" s="345">
        <f t="shared" si="13"/>
        <v>11654163</v>
      </c>
      <c r="K74" s="345">
        <f t="shared" si="14"/>
        <v>0</v>
      </c>
    </row>
    <row r="75" spans="1:11" ht="13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3">
        <f>'FR-16(7)(v)-1 Functional'!I75</f>
        <v>14731367</v>
      </c>
      <c r="G75" s="542">
        <f t="shared" si="10"/>
        <v>0</v>
      </c>
      <c r="H75" s="533">
        <f t="shared" si="11"/>
        <v>0</v>
      </c>
      <c r="I75" s="534">
        <f t="shared" si="12"/>
        <v>14731367</v>
      </c>
      <c r="J75" s="345">
        <f t="shared" si="13"/>
        <v>14731367</v>
      </c>
      <c r="K75" s="345">
        <f t="shared" si="14"/>
        <v>0</v>
      </c>
    </row>
    <row r="76" spans="1:11" ht="13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3">
        <f>'FR-16(7)(v)-1 Functional'!I76</f>
        <v>91485</v>
      </c>
      <c r="G76" s="542">
        <f t="shared" si="10"/>
        <v>91485</v>
      </c>
      <c r="H76" s="533">
        <f t="shared" si="11"/>
        <v>0</v>
      </c>
      <c r="I76" s="534">
        <f t="shared" si="12"/>
        <v>0</v>
      </c>
      <c r="J76" s="345">
        <f t="shared" si="13"/>
        <v>91485</v>
      </c>
      <c r="K76" s="345">
        <f t="shared" si="14"/>
        <v>0</v>
      </c>
    </row>
    <row r="77" spans="1:11" ht="13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3">
        <f>'FR-16(7)(v)-1 Functional'!I77</f>
        <v>0</v>
      </c>
      <c r="G77" s="542">
        <f t="shared" si="10"/>
        <v>0</v>
      </c>
      <c r="H77" s="533">
        <f t="shared" si="11"/>
        <v>0</v>
      </c>
      <c r="I77" s="534">
        <f t="shared" si="12"/>
        <v>0</v>
      </c>
      <c r="J77" s="345">
        <f t="shared" si="13"/>
        <v>0</v>
      </c>
      <c r="K77" s="345">
        <f t="shared" si="14"/>
        <v>0</v>
      </c>
    </row>
    <row r="78" spans="1:11" ht="13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K78" si="15">SUM(F68:F77)</f>
        <v>724889098</v>
      </c>
      <c r="G78" s="543">
        <f t="shared" si="15"/>
        <v>453274798</v>
      </c>
      <c r="H78" s="535">
        <f t="shared" si="15"/>
        <v>0</v>
      </c>
      <c r="I78" s="536">
        <f t="shared" si="15"/>
        <v>271614300</v>
      </c>
      <c r="J78" s="346">
        <f t="shared" si="15"/>
        <v>724889098</v>
      </c>
      <c r="K78" s="346">
        <f t="shared" si="15"/>
        <v>0</v>
      </c>
    </row>
    <row r="79" spans="1:11" ht="13">
      <c r="A79" s="331">
        <v>24</v>
      </c>
      <c r="D79" s="342"/>
      <c r="E79" s="195"/>
      <c r="G79" s="541"/>
      <c r="H79" s="531"/>
      <c r="I79" s="532"/>
    </row>
    <row r="80" spans="1:11" ht="13">
      <c r="A80" s="331">
        <v>25</v>
      </c>
      <c r="B80" s="330" t="s">
        <v>18</v>
      </c>
      <c r="D80" s="342"/>
      <c r="E80" s="195"/>
      <c r="F80" s="345">
        <f>F78+F63</f>
        <v>724889098</v>
      </c>
      <c r="G80" s="542">
        <f>G78+$G$63</f>
        <v>453274798</v>
      </c>
      <c r="H80" s="533">
        <f>H78+$H$63</f>
        <v>0</v>
      </c>
      <c r="I80" s="534">
        <f>I78+$I$63</f>
        <v>271614300</v>
      </c>
      <c r="J80" s="345">
        <f>J78+$J$63</f>
        <v>724889098</v>
      </c>
      <c r="K80" s="345">
        <f>K78+$K$63</f>
        <v>0</v>
      </c>
    </row>
    <row r="81" spans="1:11" ht="13">
      <c r="A81" s="331">
        <v>26</v>
      </c>
      <c r="B81" s="330" t="s">
        <v>19</v>
      </c>
      <c r="D81" s="342"/>
      <c r="E81" s="195"/>
      <c r="F81" s="345">
        <f t="shared" ref="F81:K81" si="16">F78+F65</f>
        <v>724889098</v>
      </c>
      <c r="G81" s="542">
        <f t="shared" si="16"/>
        <v>453274798</v>
      </c>
      <c r="H81" s="533">
        <f t="shared" si="16"/>
        <v>0</v>
      </c>
      <c r="I81" s="534">
        <f t="shared" si="16"/>
        <v>271614300</v>
      </c>
      <c r="J81" s="345">
        <f t="shared" si="16"/>
        <v>724889098</v>
      </c>
      <c r="K81" s="345">
        <f t="shared" si="16"/>
        <v>0</v>
      </c>
    </row>
    <row r="82" spans="1:11" ht="13">
      <c r="A82" s="331">
        <v>27</v>
      </c>
      <c r="D82" s="342"/>
      <c r="E82" s="195"/>
      <c r="G82" s="541"/>
      <c r="H82" s="531"/>
      <c r="I82" s="532"/>
    </row>
    <row r="83" spans="1:11" ht="13">
      <c r="A83" s="331">
        <v>28</v>
      </c>
      <c r="B83" s="330" t="s">
        <v>20</v>
      </c>
      <c r="D83" s="342"/>
      <c r="E83" s="195"/>
      <c r="G83" s="541"/>
      <c r="H83" s="531"/>
      <c r="I83" s="532"/>
    </row>
    <row r="84" spans="1:11" ht="13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3">
        <f>'FR-16(7)(v)-1 Functional'!I84</f>
        <v>0</v>
      </c>
      <c r="G84" s="542">
        <f t="shared" ref="G84:G89" si="17">ROUND(F84*VLOOKUP(D84,Alloctable_Classified_Distribution,$G$10,FALSE),0)</f>
        <v>0</v>
      </c>
      <c r="H84" s="533">
        <f t="shared" ref="H84:H89" si="18">ROUND(F84*VLOOKUP(D84,Alloctable_Classified_Distribution,$H$10,FALSE),0)</f>
        <v>0</v>
      </c>
      <c r="I84" s="534">
        <f t="shared" ref="I84:I89" si="19">ROUND(F84*VLOOKUP(D84,Alloctable_Classified_Distribution,$I$10,FALSE),0)</f>
        <v>0</v>
      </c>
      <c r="J84" s="345">
        <f t="shared" ref="J84:J89" si="20">SUM(G84:I84)</f>
        <v>0</v>
      </c>
      <c r="K84" s="345">
        <f t="shared" ref="K84:K89" si="21">F84-J84</f>
        <v>0</v>
      </c>
    </row>
    <row r="85" spans="1:11" ht="13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3">
        <f>'FR-16(7)(v)-1 Functional'!I85</f>
        <v>0</v>
      </c>
      <c r="G85" s="542">
        <f t="shared" si="17"/>
        <v>0</v>
      </c>
      <c r="H85" s="533">
        <f t="shared" si="18"/>
        <v>0</v>
      </c>
      <c r="I85" s="534">
        <f t="shared" si="19"/>
        <v>0</v>
      </c>
      <c r="J85" s="345">
        <f t="shared" si="20"/>
        <v>0</v>
      </c>
      <c r="K85" s="345">
        <f t="shared" si="21"/>
        <v>0</v>
      </c>
    </row>
    <row r="86" spans="1:11" ht="13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3">
        <f>'FR-16(7)(v)-1 Functional'!I86</f>
        <v>18849244</v>
      </c>
      <c r="G86" s="542">
        <f t="shared" si="17"/>
        <v>14825307</v>
      </c>
      <c r="H86" s="533">
        <f t="shared" si="18"/>
        <v>0</v>
      </c>
      <c r="I86" s="534">
        <f t="shared" si="19"/>
        <v>4023937</v>
      </c>
      <c r="J86" s="345">
        <f t="shared" si="20"/>
        <v>18849244</v>
      </c>
      <c r="K86" s="345">
        <f t="shared" si="21"/>
        <v>0</v>
      </c>
    </row>
    <row r="87" spans="1:11" ht="13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3">
        <f>'FR-16(7)(v)-1 Functional'!I87</f>
        <v>7459729</v>
      </c>
      <c r="G87" s="542">
        <f t="shared" si="17"/>
        <v>0</v>
      </c>
      <c r="H87" s="533">
        <f t="shared" si="18"/>
        <v>0</v>
      </c>
      <c r="I87" s="534">
        <f t="shared" si="19"/>
        <v>7459729</v>
      </c>
      <c r="J87" s="345">
        <f t="shared" si="20"/>
        <v>7459729</v>
      </c>
      <c r="K87" s="345">
        <f t="shared" si="21"/>
        <v>0</v>
      </c>
    </row>
    <row r="88" spans="1:11" ht="13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3">
        <f>'FR-16(7)(v)-1 Functional'!I88</f>
        <v>722179</v>
      </c>
      <c r="G88" s="542">
        <f t="shared" si="17"/>
        <v>0</v>
      </c>
      <c r="H88" s="533">
        <f t="shared" si="18"/>
        <v>0</v>
      </c>
      <c r="I88" s="534">
        <f t="shared" si="19"/>
        <v>722179</v>
      </c>
      <c r="J88" s="345">
        <f t="shared" si="20"/>
        <v>722179</v>
      </c>
      <c r="K88" s="345">
        <f t="shared" si="21"/>
        <v>0</v>
      </c>
    </row>
    <row r="89" spans="1:11" ht="13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3">
        <f>'FR-16(7)(v)-1 Functional'!I89</f>
        <v>0</v>
      </c>
      <c r="G89" s="542">
        <f t="shared" si="17"/>
        <v>0</v>
      </c>
      <c r="H89" s="533">
        <f t="shared" si="18"/>
        <v>0</v>
      </c>
      <c r="I89" s="534">
        <f t="shared" si="19"/>
        <v>0</v>
      </c>
      <c r="J89" s="345">
        <f t="shared" si="20"/>
        <v>0</v>
      </c>
      <c r="K89" s="345">
        <f t="shared" si="21"/>
        <v>0</v>
      </c>
    </row>
    <row r="90" spans="1:11" ht="13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4">
        <f t="shared" ref="F90:K90" si="22">SUM(F84:F89)</f>
        <v>27031152</v>
      </c>
      <c r="G90" s="543">
        <f t="shared" si="22"/>
        <v>14825307</v>
      </c>
      <c r="H90" s="535">
        <f t="shared" si="22"/>
        <v>0</v>
      </c>
      <c r="I90" s="536">
        <f t="shared" si="22"/>
        <v>12205845</v>
      </c>
      <c r="J90" s="346">
        <f t="shared" si="22"/>
        <v>27031152</v>
      </c>
      <c r="K90" s="346">
        <f t="shared" si="22"/>
        <v>0</v>
      </c>
    </row>
    <row r="91" spans="1:11" ht="13">
      <c r="A91" s="331">
        <v>36</v>
      </c>
      <c r="D91" s="342"/>
      <c r="E91" s="195"/>
      <c r="G91" s="541"/>
      <c r="H91" s="531"/>
      <c r="I91" s="532"/>
    </row>
    <row r="92" spans="1:11" ht="13">
      <c r="A92" s="331">
        <v>37</v>
      </c>
      <c r="B92" s="330" t="s">
        <v>21</v>
      </c>
      <c r="D92" s="342"/>
      <c r="E92" s="195"/>
      <c r="G92" s="541"/>
      <c r="H92" s="531"/>
      <c r="I92" s="532"/>
    </row>
    <row r="93" spans="1:11" ht="13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3">
        <f>'FR-16(7)(v)-1 Functional'!I93</f>
        <v>0</v>
      </c>
      <c r="G93" s="542">
        <f t="shared" ref="G93:G98" si="23">ROUND(F93*VLOOKUP(D93,Alloctable_Classified_Distribution,$G$10,FALSE),0)</f>
        <v>0</v>
      </c>
      <c r="H93" s="533">
        <f t="shared" ref="H93:H98" si="24">ROUND(F93*VLOOKUP(D93,Alloctable_Classified_Distribution,$H$10,FALSE),0)</f>
        <v>0</v>
      </c>
      <c r="I93" s="534">
        <f t="shared" ref="I93:I98" si="25">ROUND(F93*VLOOKUP(D93,Alloctable_Classified_Distribution,$I$10,FALSE),0)</f>
        <v>0</v>
      </c>
      <c r="J93" s="345">
        <f t="shared" ref="J93:J98" si="26">SUM(G93:I93)</f>
        <v>0</v>
      </c>
      <c r="K93" s="345">
        <f t="shared" ref="K93:K98" si="27">F93-J93</f>
        <v>0</v>
      </c>
    </row>
    <row r="94" spans="1:11" ht="13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3">
        <f>'FR-16(7)(v)-1 Functional'!I94</f>
        <v>0</v>
      </c>
      <c r="G94" s="542">
        <f t="shared" si="23"/>
        <v>0</v>
      </c>
      <c r="H94" s="533">
        <f t="shared" si="24"/>
        <v>0</v>
      </c>
      <c r="I94" s="534">
        <f t="shared" si="25"/>
        <v>0</v>
      </c>
      <c r="J94" s="345">
        <f t="shared" si="26"/>
        <v>0</v>
      </c>
      <c r="K94" s="345">
        <f t="shared" si="27"/>
        <v>0</v>
      </c>
    </row>
    <row r="95" spans="1:11" ht="13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3">
        <f>'FR-16(7)(v)-1 Functional'!I95</f>
        <v>6062254</v>
      </c>
      <c r="G95" s="542">
        <f t="shared" si="23"/>
        <v>4768084</v>
      </c>
      <c r="H95" s="533">
        <f t="shared" si="24"/>
        <v>0</v>
      </c>
      <c r="I95" s="534">
        <f t="shared" si="25"/>
        <v>1294170</v>
      </c>
      <c r="J95" s="345">
        <f t="shared" si="26"/>
        <v>6062254</v>
      </c>
      <c r="K95" s="345">
        <f t="shared" si="27"/>
        <v>0</v>
      </c>
    </row>
    <row r="96" spans="1:11" ht="13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3">
        <f>'FR-16(7)(v)-1 Functional'!I96</f>
        <v>2399182</v>
      </c>
      <c r="G96" s="542">
        <f t="shared" si="23"/>
        <v>0</v>
      </c>
      <c r="H96" s="533">
        <f t="shared" si="24"/>
        <v>0</v>
      </c>
      <c r="I96" s="534">
        <f t="shared" si="25"/>
        <v>2399182</v>
      </c>
      <c r="J96" s="345">
        <f t="shared" si="26"/>
        <v>2399182</v>
      </c>
      <c r="K96" s="345">
        <f t="shared" si="27"/>
        <v>0</v>
      </c>
    </row>
    <row r="97" spans="1:11" ht="13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3">
        <f>'FR-16(7)(v)-1 Functional'!I97</f>
        <v>232266</v>
      </c>
      <c r="G97" s="542">
        <f t="shared" si="23"/>
        <v>0</v>
      </c>
      <c r="H97" s="533">
        <f t="shared" si="24"/>
        <v>0</v>
      </c>
      <c r="I97" s="534">
        <f t="shared" si="25"/>
        <v>232266</v>
      </c>
      <c r="J97" s="345">
        <f t="shared" si="26"/>
        <v>232266</v>
      </c>
      <c r="K97" s="345">
        <f t="shared" si="27"/>
        <v>0</v>
      </c>
    </row>
    <row r="98" spans="1:11" ht="13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3">
        <f>'FR-16(7)(v)-1 Functional'!I98</f>
        <v>0</v>
      </c>
      <c r="G98" s="542">
        <f t="shared" si="23"/>
        <v>0</v>
      </c>
      <c r="H98" s="533">
        <f t="shared" si="24"/>
        <v>0</v>
      </c>
      <c r="I98" s="534">
        <f t="shared" si="25"/>
        <v>0</v>
      </c>
      <c r="J98" s="345">
        <f t="shared" si="26"/>
        <v>0</v>
      </c>
      <c r="K98" s="345">
        <f t="shared" si="27"/>
        <v>0</v>
      </c>
    </row>
    <row r="99" spans="1:11" ht="13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K99" si="28">SUM(F93:F98)</f>
        <v>8693702</v>
      </c>
      <c r="G99" s="543">
        <f t="shared" si="28"/>
        <v>4768084</v>
      </c>
      <c r="H99" s="535">
        <f t="shared" si="28"/>
        <v>0</v>
      </c>
      <c r="I99" s="536">
        <f t="shared" si="28"/>
        <v>3925618</v>
      </c>
      <c r="J99" s="346">
        <f t="shared" si="28"/>
        <v>8693702</v>
      </c>
      <c r="K99" s="346">
        <f t="shared" si="28"/>
        <v>0</v>
      </c>
    </row>
    <row r="100" spans="1:11" ht="13">
      <c r="A100" s="331">
        <v>45</v>
      </c>
      <c r="E100" s="195"/>
      <c r="G100" s="541"/>
      <c r="H100" s="531"/>
      <c r="I100" s="532"/>
    </row>
    <row r="101" spans="1:11" ht="13">
      <c r="A101" s="331">
        <v>46</v>
      </c>
      <c r="B101" s="330" t="s">
        <v>95</v>
      </c>
      <c r="E101" s="195"/>
      <c r="F101" s="345">
        <f t="shared" ref="F101:K101" si="29">F81+F90+F99</f>
        <v>760613952</v>
      </c>
      <c r="G101" s="544">
        <f t="shared" si="29"/>
        <v>472868189</v>
      </c>
      <c r="H101" s="537">
        <f t="shared" si="29"/>
        <v>0</v>
      </c>
      <c r="I101" s="538">
        <f t="shared" si="29"/>
        <v>287745763</v>
      </c>
      <c r="J101" s="345">
        <f t="shared" si="29"/>
        <v>760613952</v>
      </c>
      <c r="K101" s="345">
        <f t="shared" si="29"/>
        <v>0</v>
      </c>
    </row>
    <row r="102" spans="1:11" ht="13">
      <c r="B102" s="341"/>
      <c r="C102" s="195"/>
      <c r="D102" s="342"/>
      <c r="E102" s="195"/>
      <c r="F102" s="195"/>
      <c r="G102" s="195"/>
      <c r="H102" s="195"/>
      <c r="I102" s="195"/>
      <c r="J102" s="195"/>
      <c r="K102" s="195"/>
    </row>
    <row r="103" spans="1:11" ht="13">
      <c r="A103" s="341" t="str">
        <f>co_name</f>
        <v>DUKE ENERGY KENTUCKY, INC.</v>
      </c>
      <c r="C103" s="195"/>
      <c r="D103" s="342"/>
      <c r="E103" s="195"/>
      <c r="F103" s="195"/>
      <c r="G103" s="195"/>
      <c r="H103" s="195"/>
      <c r="I103" s="195"/>
      <c r="J103" s="195" t="str">
        <f>$J$1</f>
        <v>FR-16(7)(v)-4</v>
      </c>
      <c r="K103" s="195"/>
    </row>
    <row r="104" spans="1:11" ht="13">
      <c r="A104" s="341" t="str">
        <f>$A$2</f>
        <v>DISTRIBUTION CLASSIFIED - GAS COST OF SERVICE</v>
      </c>
      <c r="C104" s="195"/>
      <c r="D104" s="342"/>
      <c r="E104" s="195"/>
      <c r="F104" s="195"/>
      <c r="G104" s="195"/>
      <c r="H104" s="195"/>
      <c r="I104" s="195"/>
      <c r="J104" s="195" t="str">
        <f>$J$2</f>
        <v>WITNESS RESPONSIBLE:</v>
      </c>
      <c r="K104" s="195"/>
    </row>
    <row r="105" spans="1:11" ht="13">
      <c r="A105" s="341" t="str">
        <f>case_name</f>
        <v>CASE NO: 2021-00190</v>
      </c>
      <c r="C105" s="195"/>
      <c r="D105" s="342"/>
      <c r="E105" s="195"/>
      <c r="F105" s="195"/>
      <c r="G105" s="195"/>
      <c r="H105" s="195"/>
      <c r="I105" s="195"/>
      <c r="J105" s="195" t="str">
        <f>Witness</f>
        <v>JAMES E. ZIOLKOWSKI</v>
      </c>
      <c r="K105" s="195"/>
    </row>
    <row r="106" spans="1:11" ht="13">
      <c r="A106" s="341" t="str">
        <f>data_filing</f>
        <v>DATA: 12 MONTH FORECASTED PERIOD</v>
      </c>
      <c r="C106" s="195"/>
      <c r="D106" s="342"/>
      <c r="E106" s="195"/>
      <c r="F106" s="195"/>
      <c r="G106" s="195"/>
      <c r="H106" s="195"/>
      <c r="I106" s="195"/>
      <c r="J106" s="195" t="str">
        <f>"PAGE "&amp;Pages-15&amp;" OF "&amp;Pages</f>
        <v>PAGE 3 OF 18</v>
      </c>
      <c r="K106" s="195"/>
    </row>
    <row r="107" spans="1:11" ht="13">
      <c r="A107" s="341" t="str">
        <f>type</f>
        <v xml:space="preserve">TYPE OF FILING: "X" ORIGINAL   UPDATED    REVISED  </v>
      </c>
      <c r="C107" s="195"/>
      <c r="D107" s="342"/>
      <c r="E107" s="195"/>
      <c r="F107" s="195"/>
      <c r="G107" s="195"/>
      <c r="H107" s="195"/>
      <c r="I107" s="195"/>
      <c r="J107" s="195"/>
      <c r="K107" s="195"/>
    </row>
    <row r="108" spans="1:11" ht="13">
      <c r="A108" s="341"/>
      <c r="C108" s="195"/>
      <c r="D108" s="342"/>
      <c r="E108" s="195"/>
      <c r="F108" s="195"/>
      <c r="G108" s="195"/>
      <c r="H108" s="195"/>
      <c r="I108" s="195"/>
      <c r="J108" s="195"/>
      <c r="K108" s="195"/>
    </row>
    <row r="109" spans="1:11" ht="13">
      <c r="B109" s="341"/>
      <c r="C109" s="195"/>
      <c r="D109" s="342"/>
      <c r="E109" s="195"/>
      <c r="F109" s="195"/>
      <c r="G109" s="195"/>
      <c r="H109" s="195"/>
      <c r="I109" s="195"/>
      <c r="J109" s="195"/>
      <c r="K109" s="195"/>
    </row>
    <row r="110" spans="1:11" ht="13">
      <c r="A110" s="342" t="s">
        <v>907</v>
      </c>
      <c r="B110" s="195"/>
      <c r="C110" s="195"/>
      <c r="D110" s="342"/>
      <c r="E110" s="195"/>
      <c r="F110" s="342" t="s">
        <v>229</v>
      </c>
      <c r="G110" s="539" t="s">
        <v>995</v>
      </c>
      <c r="H110" s="527"/>
      <c r="I110" s="528"/>
      <c r="J110" s="342" t="s">
        <v>229</v>
      </c>
      <c r="K110" s="342" t="s">
        <v>342</v>
      </c>
    </row>
    <row r="111" spans="1:11" ht="13">
      <c r="A111" s="344" t="s">
        <v>908</v>
      </c>
      <c r="B111" s="343" t="s">
        <v>22</v>
      </c>
      <c r="C111" s="343"/>
      <c r="D111" s="344" t="s">
        <v>337</v>
      </c>
      <c r="E111" s="343"/>
      <c r="F111" s="344" t="s">
        <v>839</v>
      </c>
      <c r="G111" s="540" t="s">
        <v>840</v>
      </c>
      <c r="H111" s="529" t="s">
        <v>841</v>
      </c>
      <c r="I111" s="530" t="s">
        <v>842</v>
      </c>
      <c r="J111" s="344" t="s">
        <v>341</v>
      </c>
      <c r="K111" s="344" t="s">
        <v>340</v>
      </c>
    </row>
    <row r="112" spans="1:11" ht="13">
      <c r="C112" s="572" t="s">
        <v>345</v>
      </c>
      <c r="D112" s="342"/>
      <c r="E112" s="195"/>
      <c r="G112" s="793">
        <f>$G$10</f>
        <v>3</v>
      </c>
      <c r="H112" s="794">
        <f>$H$10</f>
        <v>4</v>
      </c>
      <c r="I112" s="795">
        <f>$I$10</f>
        <v>5</v>
      </c>
    </row>
    <row r="113" spans="1:11" ht="13">
      <c r="A113" s="331">
        <v>1</v>
      </c>
      <c r="B113" s="330" t="s">
        <v>14</v>
      </c>
      <c r="D113" s="342"/>
      <c r="E113" s="195"/>
      <c r="G113" s="541"/>
      <c r="H113" s="531"/>
      <c r="I113" s="532"/>
    </row>
    <row r="114" spans="1:11" ht="13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3">
        <f>'FR-16(7)(v)-1 Functional'!I114</f>
        <v>0</v>
      </c>
      <c r="G114" s="542">
        <f>F114-SUM(H114:I114)</f>
        <v>0</v>
      </c>
      <c r="H114" s="533">
        <f>ROUND(F114*VLOOKUP(D114,Alloctable_Classified_Distribution,$H$10,FALSE),0)</f>
        <v>0</v>
      </c>
      <c r="I114" s="534">
        <f>ROUND(F114*VLOOKUP(D114,Alloctable_Classified_Distribution,$I$10,FALSE),0)</f>
        <v>0</v>
      </c>
      <c r="J114" s="345">
        <f>SUM(G114:I114)</f>
        <v>0</v>
      </c>
      <c r="K114" s="345">
        <f>F114-J114</f>
        <v>0</v>
      </c>
    </row>
    <row r="115" spans="1:11" ht="13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K115" si="30">SUM(F114:F114)</f>
        <v>0</v>
      </c>
      <c r="G115" s="543">
        <f t="shared" si="30"/>
        <v>0</v>
      </c>
      <c r="H115" s="535">
        <f t="shared" si="30"/>
        <v>0</v>
      </c>
      <c r="I115" s="536">
        <f t="shared" si="30"/>
        <v>0</v>
      </c>
      <c r="J115" s="346">
        <f t="shared" si="30"/>
        <v>0</v>
      </c>
      <c r="K115" s="346">
        <f t="shared" si="30"/>
        <v>0</v>
      </c>
    </row>
    <row r="116" spans="1:11" ht="13">
      <c r="A116" s="331">
        <v>4</v>
      </c>
      <c r="D116" s="342"/>
      <c r="E116" s="195"/>
      <c r="G116" s="541"/>
      <c r="H116" s="531"/>
      <c r="I116" s="532"/>
    </row>
    <row r="117" spans="1:11" ht="13">
      <c r="A117" s="331">
        <v>5</v>
      </c>
      <c r="B117" s="330" t="s">
        <v>15</v>
      </c>
      <c r="D117" s="342"/>
      <c r="E117" s="195"/>
      <c r="G117" s="541"/>
      <c r="H117" s="531"/>
      <c r="I117" s="532"/>
    </row>
    <row r="118" spans="1:11" ht="13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1"/>
      <c r="G118" s="542"/>
      <c r="H118" s="533"/>
      <c r="I118" s="534"/>
      <c r="J118" s="345"/>
      <c r="K118" s="345"/>
    </row>
    <row r="119" spans="1:11" ht="13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K119" si="31">SUM(F118:F118)</f>
        <v>0</v>
      </c>
      <c r="G119" s="543">
        <f t="shared" si="31"/>
        <v>0</v>
      </c>
      <c r="H119" s="535">
        <f t="shared" si="31"/>
        <v>0</v>
      </c>
      <c r="I119" s="536">
        <f t="shared" si="31"/>
        <v>0</v>
      </c>
      <c r="J119" s="346">
        <f t="shared" si="31"/>
        <v>0</v>
      </c>
      <c r="K119" s="346">
        <f t="shared" si="31"/>
        <v>0</v>
      </c>
    </row>
    <row r="120" spans="1:11" ht="13">
      <c r="A120" s="331">
        <v>8</v>
      </c>
      <c r="D120" s="342"/>
      <c r="E120" s="195"/>
      <c r="G120" s="541"/>
      <c r="H120" s="531"/>
      <c r="I120" s="532"/>
    </row>
    <row r="121" spans="1:11" ht="13">
      <c r="A121" s="331">
        <v>9</v>
      </c>
      <c r="B121" s="330" t="s">
        <v>17</v>
      </c>
      <c r="D121" s="342"/>
      <c r="E121" s="195"/>
      <c r="G121" s="541"/>
      <c r="H121" s="531"/>
      <c r="I121" s="532"/>
    </row>
    <row r="122" spans="1:11" ht="13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3">
        <f>'FR-16(7)(v)-1 Functional'!I122</f>
        <v>2581527</v>
      </c>
      <c r="G122" s="542">
        <f t="shared" ref="G122:G130" si="32">F122-SUM(H122:I122)</f>
        <v>2581527</v>
      </c>
      <c r="H122" s="533">
        <f t="shared" ref="H122:H130" si="33">ROUND(F122*VLOOKUP(D122,Alloctable_Classified_Distribution,$H$10,FALSE),0)</f>
        <v>0</v>
      </c>
      <c r="I122" s="534">
        <f t="shared" ref="I122:I130" si="34">ROUND(F122*VLOOKUP(D122,Alloctable_Classified_Distribution,$I$10,FALSE),0)</f>
        <v>0</v>
      </c>
      <c r="J122" s="345">
        <f t="shared" ref="J122:J130" si="35">SUM(G122:I122)</f>
        <v>2581527</v>
      </c>
      <c r="K122" s="345">
        <f t="shared" ref="K122:K130" si="36">F122-J122</f>
        <v>0</v>
      </c>
    </row>
    <row r="123" spans="1:11" ht="13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3">
        <f>'FR-16(7)(v)-1 Functional'!I123</f>
        <v>1211353</v>
      </c>
      <c r="G123" s="542">
        <f t="shared" si="32"/>
        <v>1211353</v>
      </c>
      <c r="H123" s="533">
        <f t="shared" si="33"/>
        <v>0</v>
      </c>
      <c r="I123" s="534">
        <f t="shared" si="34"/>
        <v>0</v>
      </c>
      <c r="J123" s="345">
        <f t="shared" si="35"/>
        <v>1211353</v>
      </c>
      <c r="K123" s="345">
        <f t="shared" si="36"/>
        <v>0</v>
      </c>
    </row>
    <row r="124" spans="1:11" ht="13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3">
        <f>'FR-16(7)(v)-1 Functional'!I124</f>
        <v>509867</v>
      </c>
      <c r="G124" s="542">
        <f t="shared" si="32"/>
        <v>509867</v>
      </c>
      <c r="H124" s="533">
        <f t="shared" si="33"/>
        <v>0</v>
      </c>
      <c r="I124" s="534">
        <f t="shared" si="34"/>
        <v>0</v>
      </c>
      <c r="J124" s="345">
        <f t="shared" si="35"/>
        <v>509867</v>
      </c>
      <c r="K124" s="345">
        <f t="shared" si="36"/>
        <v>0</v>
      </c>
    </row>
    <row r="125" spans="1:11" ht="13">
      <c r="A125" s="331">
        <v>13</v>
      </c>
      <c r="C125" s="330" t="str">
        <f>'FR-16(7)(v)-1 Functional'!C125</f>
        <v>MAINS - (2761, 2762, 2763, 2765)</v>
      </c>
      <c r="D125" s="342" t="str">
        <f>'FR-16(7)(v)-1 Functional'!D125</f>
        <v>K415</v>
      </c>
      <c r="E125" s="195"/>
      <c r="F125" s="473">
        <f>'FR-16(7)(v)-1 Functional'!I125</f>
        <v>113499887</v>
      </c>
      <c r="G125" s="542">
        <f t="shared" si="32"/>
        <v>113499887</v>
      </c>
      <c r="H125" s="533">
        <f t="shared" si="33"/>
        <v>0</v>
      </c>
      <c r="I125" s="534">
        <f t="shared" si="34"/>
        <v>0</v>
      </c>
      <c r="J125" s="345">
        <f t="shared" si="35"/>
        <v>113499887</v>
      </c>
      <c r="K125" s="345">
        <f t="shared" si="36"/>
        <v>0</v>
      </c>
    </row>
    <row r="126" spans="1:11" ht="13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3">
        <f>'FR-16(7)(v)-1 Functional'!I126</f>
        <v>61310319</v>
      </c>
      <c r="G126" s="542">
        <f t="shared" si="32"/>
        <v>0</v>
      </c>
      <c r="H126" s="533">
        <f t="shared" si="33"/>
        <v>0</v>
      </c>
      <c r="I126" s="534">
        <f t="shared" si="34"/>
        <v>61310319</v>
      </c>
      <c r="J126" s="345">
        <f t="shared" si="35"/>
        <v>61310319</v>
      </c>
      <c r="K126" s="345">
        <f t="shared" si="36"/>
        <v>0</v>
      </c>
    </row>
    <row r="127" spans="1:11" ht="13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3">
        <f>'FR-16(7)(v)-1 Functional'!I127</f>
        <v>-895430</v>
      </c>
      <c r="G127" s="542">
        <f t="shared" si="32"/>
        <v>0</v>
      </c>
      <c r="H127" s="533">
        <f t="shared" si="33"/>
        <v>0</v>
      </c>
      <c r="I127" s="534">
        <f t="shared" si="34"/>
        <v>-895430</v>
      </c>
      <c r="J127" s="345">
        <f t="shared" si="35"/>
        <v>-895430</v>
      </c>
      <c r="K127" s="345">
        <f t="shared" si="36"/>
        <v>0</v>
      </c>
    </row>
    <row r="128" spans="1:11" ht="13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3">
        <f>'FR-16(7)(v)-1 Functional'!I128</f>
        <v>701479</v>
      </c>
      <c r="G128" s="542">
        <f t="shared" si="32"/>
        <v>701479</v>
      </c>
      <c r="H128" s="533">
        <f t="shared" si="33"/>
        <v>0</v>
      </c>
      <c r="I128" s="534">
        <f t="shared" si="34"/>
        <v>0</v>
      </c>
      <c r="J128" s="345">
        <f t="shared" si="35"/>
        <v>701479</v>
      </c>
      <c r="K128" s="345">
        <f t="shared" si="36"/>
        <v>0</v>
      </c>
    </row>
    <row r="129" spans="1:11" ht="13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3">
        <f>'FR-16(7)(v)-1 Functional'!I129</f>
        <v>5948247</v>
      </c>
      <c r="G129" s="542">
        <f t="shared" si="32"/>
        <v>0</v>
      </c>
      <c r="H129" s="533">
        <f t="shared" si="33"/>
        <v>0</v>
      </c>
      <c r="I129" s="534">
        <f t="shared" si="34"/>
        <v>5948247</v>
      </c>
      <c r="J129" s="345">
        <f t="shared" si="35"/>
        <v>5948247</v>
      </c>
      <c r="K129" s="345">
        <f t="shared" si="36"/>
        <v>0</v>
      </c>
    </row>
    <row r="130" spans="1:11" ht="13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3">
        <f>'FR-16(7)(v)-1 Functional'!I130</f>
        <v>-3476871</v>
      </c>
      <c r="G130" s="542">
        <f t="shared" si="32"/>
        <v>-3476871</v>
      </c>
      <c r="H130" s="533">
        <f t="shared" si="33"/>
        <v>0</v>
      </c>
      <c r="I130" s="534">
        <f t="shared" si="34"/>
        <v>0</v>
      </c>
      <c r="J130" s="345">
        <f t="shared" si="35"/>
        <v>-3476871</v>
      </c>
      <c r="K130" s="345">
        <f t="shared" si="36"/>
        <v>0</v>
      </c>
    </row>
    <row r="131" spans="1:11" ht="13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K131" si="37">SUM(F121:F130)</f>
        <v>181390378</v>
      </c>
      <c r="G131" s="543">
        <f t="shared" si="37"/>
        <v>115027242</v>
      </c>
      <c r="H131" s="535">
        <f t="shared" si="37"/>
        <v>0</v>
      </c>
      <c r="I131" s="536">
        <f t="shared" si="37"/>
        <v>66363136</v>
      </c>
      <c r="J131" s="346">
        <f t="shared" si="37"/>
        <v>181390378</v>
      </c>
      <c r="K131" s="346">
        <f t="shared" si="37"/>
        <v>0</v>
      </c>
    </row>
    <row r="132" spans="1:11" ht="13">
      <c r="A132" s="331">
        <v>20</v>
      </c>
      <c r="D132" s="342"/>
      <c r="E132" s="195"/>
      <c r="G132" s="541"/>
      <c r="H132" s="531"/>
      <c r="I132" s="532"/>
    </row>
    <row r="133" spans="1:11" ht="13">
      <c r="A133" s="331">
        <v>21</v>
      </c>
      <c r="B133" s="330" t="s">
        <v>20</v>
      </c>
      <c r="D133" s="342"/>
      <c r="E133" s="195"/>
      <c r="G133" s="541"/>
      <c r="H133" s="531"/>
      <c r="I133" s="532"/>
    </row>
    <row r="134" spans="1:11" ht="13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3">
        <f>'FR-16(7)(v)-1 Functional'!I134</f>
        <v>0</v>
      </c>
      <c r="G134" s="542">
        <f t="shared" ref="G134:G139" si="38">F134-SUM(H134:I134)</f>
        <v>0</v>
      </c>
      <c r="H134" s="533">
        <f t="shared" ref="H134:H139" si="39">ROUND(F134*VLOOKUP(D134,Alloctable_Classified_Distribution,$H$10,FALSE),0)</f>
        <v>0</v>
      </c>
      <c r="I134" s="534">
        <f t="shared" ref="I134:I139" si="40">ROUND(F134*VLOOKUP(D134,Alloctable_Classified_Distribution,$I$10,FALSE),0)</f>
        <v>0</v>
      </c>
      <c r="J134" s="345">
        <f t="shared" ref="J134:J139" si="41">SUM(G134:I134)</f>
        <v>0</v>
      </c>
      <c r="K134" s="345">
        <f t="shared" ref="K134:K139" si="42">F134-J134</f>
        <v>0</v>
      </c>
    </row>
    <row r="135" spans="1:11" ht="13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3">
        <f>'FR-16(7)(v)-1 Functional'!I135</f>
        <v>0</v>
      </c>
      <c r="G135" s="542">
        <f t="shared" si="38"/>
        <v>0</v>
      </c>
      <c r="H135" s="533">
        <f t="shared" si="39"/>
        <v>0</v>
      </c>
      <c r="I135" s="534">
        <f t="shared" si="40"/>
        <v>0</v>
      </c>
      <c r="J135" s="345">
        <f t="shared" si="41"/>
        <v>0</v>
      </c>
      <c r="K135" s="345">
        <f t="shared" si="42"/>
        <v>0</v>
      </c>
    </row>
    <row r="136" spans="1:11" ht="13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3">
        <f>'FR-16(7)(v)-1 Functional'!I136</f>
        <v>9279343</v>
      </c>
      <c r="G136" s="542">
        <f t="shared" si="38"/>
        <v>7298389</v>
      </c>
      <c r="H136" s="533">
        <f t="shared" si="39"/>
        <v>0</v>
      </c>
      <c r="I136" s="534">
        <f t="shared" si="40"/>
        <v>1980954</v>
      </c>
      <c r="J136" s="345">
        <f t="shared" si="41"/>
        <v>9279343</v>
      </c>
      <c r="K136" s="345">
        <f t="shared" si="42"/>
        <v>0</v>
      </c>
    </row>
    <row r="137" spans="1:11" ht="13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3">
        <f>'FR-16(7)(v)-1 Functional'!I137</f>
        <v>3672369</v>
      </c>
      <c r="G137" s="542">
        <f t="shared" si="38"/>
        <v>0</v>
      </c>
      <c r="H137" s="533">
        <f t="shared" si="39"/>
        <v>0</v>
      </c>
      <c r="I137" s="534">
        <f t="shared" si="40"/>
        <v>3672369</v>
      </c>
      <c r="J137" s="345">
        <f t="shared" si="41"/>
        <v>3672369</v>
      </c>
      <c r="K137" s="345">
        <f t="shared" si="42"/>
        <v>0</v>
      </c>
    </row>
    <row r="138" spans="1:11" ht="13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3">
        <f>'FR-16(7)(v)-1 Functional'!I138</f>
        <v>355523</v>
      </c>
      <c r="G138" s="542">
        <f t="shared" si="38"/>
        <v>0</v>
      </c>
      <c r="H138" s="533">
        <f t="shared" si="39"/>
        <v>0</v>
      </c>
      <c r="I138" s="534">
        <f t="shared" si="40"/>
        <v>355523</v>
      </c>
      <c r="J138" s="345">
        <f t="shared" si="41"/>
        <v>355523</v>
      </c>
      <c r="K138" s="345">
        <f t="shared" si="42"/>
        <v>0</v>
      </c>
    </row>
    <row r="139" spans="1:11" ht="13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3">
        <f>'FR-16(7)(v)-1 Functional'!I139</f>
        <v>0</v>
      </c>
      <c r="G139" s="542">
        <f t="shared" si="38"/>
        <v>0</v>
      </c>
      <c r="H139" s="533">
        <f t="shared" si="39"/>
        <v>0</v>
      </c>
      <c r="I139" s="534">
        <f t="shared" si="40"/>
        <v>0</v>
      </c>
      <c r="J139" s="345">
        <f t="shared" si="41"/>
        <v>0</v>
      </c>
      <c r="K139" s="345">
        <f t="shared" si="42"/>
        <v>0</v>
      </c>
    </row>
    <row r="140" spans="1:11" ht="13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K140" si="43">SUM(F133:F139)</f>
        <v>13307235</v>
      </c>
      <c r="G140" s="543">
        <f t="shared" si="43"/>
        <v>7298389</v>
      </c>
      <c r="H140" s="535">
        <f t="shared" si="43"/>
        <v>0</v>
      </c>
      <c r="I140" s="536">
        <f t="shared" si="43"/>
        <v>6008846</v>
      </c>
      <c r="J140" s="346">
        <f t="shared" si="43"/>
        <v>13307235</v>
      </c>
      <c r="K140" s="346">
        <f t="shared" si="43"/>
        <v>0</v>
      </c>
    </row>
    <row r="141" spans="1:11" ht="13">
      <c r="A141" s="331">
        <v>29</v>
      </c>
      <c r="C141" s="363"/>
      <c r="D141" s="342"/>
      <c r="E141" s="195"/>
      <c r="G141" s="541"/>
      <c r="H141" s="531"/>
      <c r="I141" s="532"/>
    </row>
    <row r="142" spans="1:11" ht="13">
      <c r="A142" s="331">
        <v>30</v>
      </c>
      <c r="B142" s="330" t="s">
        <v>21</v>
      </c>
      <c r="C142" s="363"/>
      <c r="D142" s="342"/>
      <c r="E142" s="195"/>
      <c r="G142" s="541"/>
      <c r="H142" s="531"/>
      <c r="I142" s="532"/>
    </row>
    <row r="143" spans="1:11" ht="13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3">
        <f>'FR-16(7)(v)-1 Functional'!I143</f>
        <v>0</v>
      </c>
      <c r="G143" s="542">
        <f t="shared" ref="G143:G148" si="44">F143-SUM(H143:I143)</f>
        <v>0</v>
      </c>
      <c r="H143" s="533">
        <f t="shared" ref="H143:H148" si="45">ROUND(F143*VLOOKUP(D143,Alloctable_Classified_Distribution,$H$10,FALSE),0)</f>
        <v>0</v>
      </c>
      <c r="I143" s="534">
        <f t="shared" ref="I143:I148" si="46">ROUND(F143*VLOOKUP(D143,Alloctable_Classified_Distribution,$I$10,FALSE),0)</f>
        <v>0</v>
      </c>
      <c r="J143" s="345">
        <f t="shared" ref="J143:J148" si="47">SUM(G143:I143)</f>
        <v>0</v>
      </c>
      <c r="K143" s="345">
        <f t="shared" ref="K143:K148" si="48">F143-J143</f>
        <v>0</v>
      </c>
    </row>
    <row r="144" spans="1:11" ht="13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3">
        <f>'FR-16(7)(v)-1 Functional'!I144</f>
        <v>0</v>
      </c>
      <c r="G144" s="542">
        <f t="shared" si="44"/>
        <v>0</v>
      </c>
      <c r="H144" s="533">
        <f t="shared" si="45"/>
        <v>0</v>
      </c>
      <c r="I144" s="534">
        <f t="shared" si="46"/>
        <v>0</v>
      </c>
      <c r="J144" s="345">
        <f t="shared" si="47"/>
        <v>0</v>
      </c>
      <c r="K144" s="345">
        <f t="shared" si="48"/>
        <v>0</v>
      </c>
    </row>
    <row r="145" spans="1:11" ht="13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3">
        <f>'FR-16(7)(v)-1 Functional'!I145</f>
        <v>4243873</v>
      </c>
      <c r="G145" s="542">
        <f t="shared" si="44"/>
        <v>3337891</v>
      </c>
      <c r="H145" s="533">
        <f t="shared" si="45"/>
        <v>0</v>
      </c>
      <c r="I145" s="534">
        <f t="shared" si="46"/>
        <v>905982</v>
      </c>
      <c r="J145" s="345">
        <f t="shared" si="47"/>
        <v>4243873</v>
      </c>
      <c r="K145" s="345">
        <f t="shared" si="48"/>
        <v>0</v>
      </c>
    </row>
    <row r="146" spans="1:11" ht="13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3">
        <f>'FR-16(7)(v)-1 Functional'!I146</f>
        <v>1679545</v>
      </c>
      <c r="G146" s="542">
        <f t="shared" si="44"/>
        <v>0</v>
      </c>
      <c r="H146" s="533">
        <f t="shared" si="45"/>
        <v>0</v>
      </c>
      <c r="I146" s="534">
        <f t="shared" si="46"/>
        <v>1679545</v>
      </c>
      <c r="J146" s="345">
        <f t="shared" si="47"/>
        <v>1679545</v>
      </c>
      <c r="K146" s="345">
        <f t="shared" si="48"/>
        <v>0</v>
      </c>
    </row>
    <row r="147" spans="1:11" ht="13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3">
        <f>'FR-16(7)(v)-1 Functional'!I147</f>
        <v>162597</v>
      </c>
      <c r="G147" s="542">
        <f t="shared" si="44"/>
        <v>0</v>
      </c>
      <c r="H147" s="533">
        <f t="shared" si="45"/>
        <v>0</v>
      </c>
      <c r="I147" s="534">
        <f t="shared" si="46"/>
        <v>162597</v>
      </c>
      <c r="J147" s="345">
        <f t="shared" si="47"/>
        <v>162597</v>
      </c>
      <c r="K147" s="345">
        <f t="shared" si="48"/>
        <v>0</v>
      </c>
    </row>
    <row r="148" spans="1:11" ht="13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3">
        <f>'FR-16(7)(v)-1 Functional'!I148</f>
        <v>0</v>
      </c>
      <c r="G148" s="542">
        <f t="shared" si="44"/>
        <v>0</v>
      </c>
      <c r="H148" s="533">
        <f t="shared" si="45"/>
        <v>0</v>
      </c>
      <c r="I148" s="534">
        <f t="shared" si="46"/>
        <v>0</v>
      </c>
      <c r="J148" s="345">
        <f t="shared" si="47"/>
        <v>0</v>
      </c>
      <c r="K148" s="345">
        <f t="shared" si="48"/>
        <v>0</v>
      </c>
    </row>
    <row r="149" spans="1:11" ht="13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6086015</v>
      </c>
      <c r="G149" s="543">
        <f>SUM(G142:G148)</f>
        <v>3337891</v>
      </c>
      <c r="H149" s="535">
        <f>SUM(H142:H148)</f>
        <v>0</v>
      </c>
      <c r="I149" s="536">
        <f>SUM(I142:I148)</f>
        <v>2748124</v>
      </c>
      <c r="J149" s="346">
        <f>SUM(J142:J148)</f>
        <v>6086015</v>
      </c>
      <c r="K149" s="346">
        <f>SUM(K142:K148)</f>
        <v>0</v>
      </c>
    </row>
    <row r="150" spans="1:11" ht="13">
      <c r="A150" s="331">
        <v>38</v>
      </c>
      <c r="D150" s="342"/>
      <c r="E150" s="195"/>
      <c r="G150" s="541"/>
      <c r="H150" s="531"/>
      <c r="I150" s="532"/>
    </row>
    <row r="151" spans="1:11" ht="13">
      <c r="A151" s="331">
        <v>39</v>
      </c>
      <c r="B151" s="330" t="s">
        <v>23</v>
      </c>
      <c r="D151" s="342"/>
      <c r="E151" s="195"/>
      <c r="F151" s="345">
        <f t="shared" ref="F151:K151" si="49">F149+F140+F131+F119+F115</f>
        <v>200783628</v>
      </c>
      <c r="G151" s="544">
        <f t="shared" si="49"/>
        <v>125663522</v>
      </c>
      <c r="H151" s="537">
        <f t="shared" si="49"/>
        <v>0</v>
      </c>
      <c r="I151" s="538">
        <f t="shared" si="49"/>
        <v>75120106</v>
      </c>
      <c r="J151" s="345">
        <f t="shared" si="49"/>
        <v>200783628</v>
      </c>
      <c r="K151" s="345">
        <f t="shared" si="49"/>
        <v>0</v>
      </c>
    </row>
    <row r="152" spans="1:11" ht="13">
      <c r="B152" s="341"/>
      <c r="C152" s="195"/>
      <c r="D152" s="342"/>
      <c r="E152" s="195"/>
      <c r="F152" s="195"/>
      <c r="G152" s="195"/>
      <c r="H152" s="195"/>
      <c r="I152" s="195"/>
      <c r="J152" s="195"/>
    </row>
    <row r="153" spans="1:11" ht="13">
      <c r="A153" s="341" t="str">
        <f>co_name</f>
        <v>DUKE ENERGY KENTUCKY, INC.</v>
      </c>
      <c r="C153" s="195"/>
      <c r="D153" s="342"/>
      <c r="E153" s="195"/>
      <c r="F153" s="195"/>
      <c r="G153" s="195"/>
      <c r="H153" s="195"/>
      <c r="I153" s="195"/>
      <c r="J153" s="195" t="str">
        <f>$J$1</f>
        <v>FR-16(7)(v)-4</v>
      </c>
      <c r="K153" s="195"/>
    </row>
    <row r="154" spans="1:11" ht="13">
      <c r="A154" s="341" t="str">
        <f>$A$2</f>
        <v>DISTRIBUTION CLASSIFIED - GAS COST OF SERVICE</v>
      </c>
      <c r="C154" s="195"/>
      <c r="D154" s="342"/>
      <c r="E154" s="195"/>
      <c r="F154" s="195"/>
      <c r="G154" s="195"/>
      <c r="H154" s="195"/>
      <c r="I154" s="195"/>
      <c r="J154" s="195" t="str">
        <f>$J$2</f>
        <v>WITNESS RESPONSIBLE:</v>
      </c>
      <c r="K154" s="195"/>
    </row>
    <row r="155" spans="1:11" ht="13">
      <c r="A155" s="341" t="str">
        <f>case_name</f>
        <v>CASE NO: 2021-00190</v>
      </c>
      <c r="C155" s="195"/>
      <c r="D155" s="342"/>
      <c r="E155" s="195"/>
      <c r="F155" s="195"/>
      <c r="G155" s="195"/>
      <c r="H155" s="195"/>
      <c r="I155" s="195"/>
      <c r="J155" s="195" t="str">
        <f>Witness</f>
        <v>JAMES E. ZIOLKOWSKI</v>
      </c>
      <c r="K155" s="195"/>
    </row>
    <row r="156" spans="1:11" ht="13">
      <c r="A156" s="341" t="str">
        <f>data_filing</f>
        <v>DATA: 12 MONTH FORECASTED PERIOD</v>
      </c>
      <c r="C156" s="195"/>
      <c r="D156" s="342"/>
      <c r="E156" s="195"/>
      <c r="F156" s="195"/>
      <c r="G156" s="195"/>
      <c r="H156" s="195"/>
      <c r="I156" s="195"/>
      <c r="J156" s="195" t="str">
        <f>"PAGE "&amp;Pages-14&amp;" OF "&amp;Pages</f>
        <v>PAGE 4 OF 18</v>
      </c>
      <c r="K156" s="195"/>
    </row>
    <row r="157" spans="1:11" ht="13">
      <c r="A157" s="341" t="str">
        <f>type</f>
        <v xml:space="preserve">TYPE OF FILING: "X" ORIGINAL   UPDATED    REVISED  </v>
      </c>
      <c r="C157" s="195"/>
      <c r="D157" s="342"/>
      <c r="E157" s="195"/>
      <c r="F157" s="195"/>
      <c r="G157" s="195"/>
      <c r="H157" s="195"/>
      <c r="I157" s="195"/>
      <c r="J157" s="195"/>
      <c r="K157" s="195"/>
    </row>
    <row r="158" spans="1:11" ht="13">
      <c r="A158" s="341"/>
      <c r="C158" s="195"/>
      <c r="D158" s="342"/>
      <c r="E158" s="195"/>
      <c r="F158" s="195"/>
      <c r="G158" s="195"/>
      <c r="H158" s="195"/>
      <c r="I158" s="195"/>
      <c r="J158" s="195"/>
      <c r="K158" s="195"/>
    </row>
    <row r="159" spans="1:11" ht="13">
      <c r="B159" s="341"/>
      <c r="C159" s="195"/>
      <c r="D159" s="342"/>
      <c r="E159" s="195"/>
      <c r="F159" s="195"/>
      <c r="G159" s="195"/>
      <c r="H159" s="195"/>
      <c r="I159" s="195"/>
      <c r="J159" s="195"/>
    </row>
    <row r="160" spans="1:11" ht="13">
      <c r="A160" s="342" t="s">
        <v>907</v>
      </c>
      <c r="B160" s="195"/>
      <c r="C160" s="195"/>
      <c r="D160" s="342"/>
      <c r="E160" s="195"/>
      <c r="F160" s="342" t="s">
        <v>229</v>
      </c>
      <c r="G160" s="539" t="s">
        <v>995</v>
      </c>
      <c r="H160" s="527"/>
      <c r="I160" s="528"/>
      <c r="J160" s="342" t="s">
        <v>229</v>
      </c>
      <c r="K160" s="342" t="s">
        <v>342</v>
      </c>
    </row>
    <row r="161" spans="1:11" ht="13">
      <c r="A161" s="344" t="s">
        <v>908</v>
      </c>
      <c r="B161" s="343" t="str">
        <f>"NET GAS PLANT"</f>
        <v>NET GAS PLANT</v>
      </c>
      <c r="C161" s="343"/>
      <c r="D161" s="344" t="s">
        <v>337</v>
      </c>
      <c r="E161" s="343"/>
      <c r="F161" s="344" t="s">
        <v>839</v>
      </c>
      <c r="G161" s="540" t="s">
        <v>840</v>
      </c>
      <c r="H161" s="529" t="s">
        <v>841</v>
      </c>
      <c r="I161" s="530" t="s">
        <v>842</v>
      </c>
      <c r="J161" s="344" t="s">
        <v>341</v>
      </c>
      <c r="K161" s="344" t="s">
        <v>340</v>
      </c>
    </row>
    <row r="162" spans="1:11" ht="13">
      <c r="C162" s="572" t="s">
        <v>346</v>
      </c>
      <c r="D162" s="342"/>
      <c r="E162" s="195"/>
      <c r="G162" s="793">
        <f>$G$10</f>
        <v>3</v>
      </c>
      <c r="H162" s="794">
        <f>$H$10</f>
        <v>4</v>
      </c>
      <c r="I162" s="795">
        <f>$I$10</f>
        <v>5</v>
      </c>
    </row>
    <row r="163" spans="1:11" ht="13">
      <c r="A163" s="331">
        <v>1</v>
      </c>
      <c r="B163" s="330" t="s">
        <v>14</v>
      </c>
      <c r="D163" s="342"/>
      <c r="E163" s="195"/>
      <c r="G163" s="541"/>
      <c r="H163" s="531"/>
      <c r="I163" s="532"/>
    </row>
    <row r="164" spans="1:11" ht="13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0</v>
      </c>
      <c r="G164" s="542">
        <f>$G$59</f>
        <v>0</v>
      </c>
      <c r="H164" s="533">
        <f>$H$59</f>
        <v>0</v>
      </c>
      <c r="I164" s="534">
        <f>$I$59</f>
        <v>0</v>
      </c>
      <c r="J164" s="345">
        <f>$J$59</f>
        <v>0</v>
      </c>
      <c r="K164" s="345">
        <f>F164-J164</f>
        <v>0</v>
      </c>
    </row>
    <row r="165" spans="1:11" ht="13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>-F115</f>
        <v>0</v>
      </c>
      <c r="G165" s="542">
        <f>-G115</f>
        <v>0</v>
      </c>
      <c r="H165" s="533">
        <f>-H115</f>
        <v>0</v>
      </c>
      <c r="I165" s="534">
        <f>-I115</f>
        <v>0</v>
      </c>
      <c r="J165" s="345">
        <f>-J115</f>
        <v>0</v>
      </c>
      <c r="K165" s="345">
        <f>F165-J165</f>
        <v>0</v>
      </c>
    </row>
    <row r="166" spans="1:11" ht="13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K166" si="50">SUM(F164:F165)</f>
        <v>0</v>
      </c>
      <c r="G166" s="543">
        <f t="shared" si="50"/>
        <v>0</v>
      </c>
      <c r="H166" s="535">
        <f t="shared" si="50"/>
        <v>0</v>
      </c>
      <c r="I166" s="536">
        <f t="shared" si="50"/>
        <v>0</v>
      </c>
      <c r="J166" s="346">
        <f t="shared" si="50"/>
        <v>0</v>
      </c>
      <c r="K166" s="346">
        <f t="shared" si="50"/>
        <v>0</v>
      </c>
    </row>
    <row r="167" spans="1:11" ht="13">
      <c r="A167" s="331">
        <v>5</v>
      </c>
      <c r="D167" s="342"/>
      <c r="E167" s="195"/>
      <c r="G167" s="541"/>
      <c r="H167" s="531"/>
      <c r="I167" s="532"/>
    </row>
    <row r="168" spans="1:11" ht="13">
      <c r="A168" s="331">
        <v>6</v>
      </c>
      <c r="B168" s="357" t="s">
        <v>15</v>
      </c>
      <c r="C168" s="357"/>
      <c r="D168" s="342"/>
      <c r="E168" s="195"/>
      <c r="F168" s="345"/>
      <c r="G168" s="542"/>
      <c r="H168" s="533"/>
      <c r="I168" s="534"/>
      <c r="J168" s="345"/>
    </row>
    <row r="169" spans="1:11" ht="13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542">
        <f>$G$63</f>
        <v>0</v>
      </c>
      <c r="H169" s="533">
        <f>$H$63</f>
        <v>0</v>
      </c>
      <c r="I169" s="534">
        <f>$I$63</f>
        <v>0</v>
      </c>
      <c r="J169" s="345">
        <f>$J$63</f>
        <v>0</v>
      </c>
      <c r="K169" s="345">
        <f>F169-J169</f>
        <v>0</v>
      </c>
    </row>
    <row r="170" spans="1:11" ht="13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>-F119</f>
        <v>0</v>
      </c>
      <c r="G170" s="542">
        <f>-G119</f>
        <v>0</v>
      </c>
      <c r="H170" s="533">
        <f>-H119</f>
        <v>0</v>
      </c>
      <c r="I170" s="534">
        <f>-I119</f>
        <v>0</v>
      </c>
      <c r="J170" s="345">
        <f>-J119</f>
        <v>0</v>
      </c>
      <c r="K170" s="345">
        <f>F170-J170</f>
        <v>0</v>
      </c>
    </row>
    <row r="171" spans="1:11" ht="13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K171" si="51">SUM(F168:F170)</f>
        <v>0</v>
      </c>
      <c r="G171" s="543">
        <f t="shared" si="51"/>
        <v>0</v>
      </c>
      <c r="H171" s="535">
        <f t="shared" si="51"/>
        <v>0</v>
      </c>
      <c r="I171" s="536">
        <f t="shared" si="51"/>
        <v>0</v>
      </c>
      <c r="J171" s="346">
        <f t="shared" si="51"/>
        <v>0</v>
      </c>
      <c r="K171" s="346">
        <f t="shared" si="51"/>
        <v>0</v>
      </c>
    </row>
    <row r="172" spans="1:11" ht="13">
      <c r="A172" s="331">
        <v>10</v>
      </c>
      <c r="D172" s="342"/>
      <c r="E172" s="195"/>
      <c r="G172" s="541"/>
      <c r="H172" s="531"/>
      <c r="I172" s="532"/>
    </row>
    <row r="173" spans="1:11" ht="13">
      <c r="A173" s="331">
        <v>11</v>
      </c>
      <c r="B173" s="330" t="s">
        <v>17</v>
      </c>
      <c r="D173" s="342"/>
      <c r="E173" s="195"/>
      <c r="G173" s="541"/>
      <c r="H173" s="531"/>
      <c r="I173" s="532"/>
    </row>
    <row r="174" spans="1:11" ht="13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>F78</f>
        <v>724889098</v>
      </c>
      <c r="G174" s="542">
        <f>G78</f>
        <v>453274798</v>
      </c>
      <c r="H174" s="533">
        <f>H78</f>
        <v>0</v>
      </c>
      <c r="I174" s="534">
        <f>I78</f>
        <v>271614300</v>
      </c>
      <c r="J174" s="345">
        <f>J78</f>
        <v>724889098</v>
      </c>
      <c r="K174" s="345">
        <f>F174-J174</f>
        <v>0</v>
      </c>
    </row>
    <row r="175" spans="1:11" ht="13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>-F131</f>
        <v>-181390378</v>
      </c>
      <c r="G175" s="542">
        <f>-G131</f>
        <v>-115027242</v>
      </c>
      <c r="H175" s="533">
        <f>-H131</f>
        <v>0</v>
      </c>
      <c r="I175" s="534">
        <f>-I131</f>
        <v>-66363136</v>
      </c>
      <c r="J175" s="345">
        <f>-J131</f>
        <v>-181390378</v>
      </c>
      <c r="K175" s="345">
        <f>F175-J175</f>
        <v>0</v>
      </c>
    </row>
    <row r="176" spans="1:11" ht="13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K176" si="52">SUM(F173:F175)</f>
        <v>543498720</v>
      </c>
      <c r="G176" s="543">
        <f t="shared" si="52"/>
        <v>338247556</v>
      </c>
      <c r="H176" s="535">
        <f t="shared" si="52"/>
        <v>0</v>
      </c>
      <c r="I176" s="536">
        <f t="shared" si="52"/>
        <v>205251164</v>
      </c>
      <c r="J176" s="346">
        <f t="shared" si="52"/>
        <v>543498720</v>
      </c>
      <c r="K176" s="346">
        <f t="shared" si="52"/>
        <v>0</v>
      </c>
    </row>
    <row r="177" spans="1:11" ht="13">
      <c r="A177" s="331">
        <v>15</v>
      </c>
      <c r="D177" s="342"/>
      <c r="E177" s="195"/>
      <c r="G177" s="541"/>
      <c r="H177" s="531"/>
      <c r="I177" s="532"/>
    </row>
    <row r="178" spans="1:11" ht="13">
      <c r="A178" s="331">
        <v>16</v>
      </c>
      <c r="B178" s="330" t="s">
        <v>429</v>
      </c>
      <c r="D178" s="342"/>
      <c r="E178" s="195"/>
      <c r="F178" s="345">
        <f t="shared" ref="F178:K178" si="53">F176+F171+F166</f>
        <v>543498720</v>
      </c>
      <c r="G178" s="542">
        <f t="shared" si="53"/>
        <v>338247556</v>
      </c>
      <c r="H178" s="533">
        <f t="shared" si="53"/>
        <v>0</v>
      </c>
      <c r="I178" s="534">
        <f t="shared" si="53"/>
        <v>205251164</v>
      </c>
      <c r="J178" s="345">
        <f t="shared" si="53"/>
        <v>543498720</v>
      </c>
      <c r="K178" s="345">
        <f t="shared" si="53"/>
        <v>0</v>
      </c>
    </row>
    <row r="179" spans="1:11" ht="13">
      <c r="A179" s="331">
        <v>17</v>
      </c>
      <c r="B179" s="330" t="s">
        <v>24</v>
      </c>
      <c r="D179" s="342"/>
      <c r="E179" s="195"/>
      <c r="F179" s="345">
        <f t="shared" ref="F179:K179" si="54">F176+F171</f>
        <v>543498720</v>
      </c>
      <c r="G179" s="542">
        <f t="shared" si="54"/>
        <v>338247556</v>
      </c>
      <c r="H179" s="533">
        <f t="shared" si="54"/>
        <v>0</v>
      </c>
      <c r="I179" s="534">
        <f t="shared" si="54"/>
        <v>205251164</v>
      </c>
      <c r="J179" s="345">
        <f t="shared" si="54"/>
        <v>543498720</v>
      </c>
      <c r="K179" s="345">
        <f t="shared" si="54"/>
        <v>0</v>
      </c>
    </row>
    <row r="180" spans="1:11" ht="13">
      <c r="A180" s="331">
        <v>18</v>
      </c>
      <c r="D180" s="342"/>
      <c r="E180" s="195"/>
      <c r="G180" s="541"/>
      <c r="H180" s="531"/>
      <c r="I180" s="532"/>
    </row>
    <row r="181" spans="1:11" ht="13">
      <c r="A181" s="331">
        <v>19</v>
      </c>
      <c r="B181" s="330" t="s">
        <v>20</v>
      </c>
      <c r="D181" s="342"/>
      <c r="E181" s="195"/>
      <c r="G181" s="541"/>
      <c r="H181" s="531"/>
      <c r="I181" s="532"/>
    </row>
    <row r="182" spans="1:11" ht="13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>F90</f>
        <v>27031152</v>
      </c>
      <c r="G182" s="542">
        <f>G90</f>
        <v>14825307</v>
      </c>
      <c r="H182" s="533">
        <f>H90</f>
        <v>0</v>
      </c>
      <c r="I182" s="534">
        <f>I90</f>
        <v>12205845</v>
      </c>
      <c r="J182" s="345">
        <f>J90</f>
        <v>27031152</v>
      </c>
      <c r="K182" s="345">
        <f>F182-J182</f>
        <v>0</v>
      </c>
    </row>
    <row r="183" spans="1:11" ht="13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>-F140</f>
        <v>-13307235</v>
      </c>
      <c r="G183" s="542">
        <f>-G140</f>
        <v>-7298389</v>
      </c>
      <c r="H183" s="533">
        <f>-H140</f>
        <v>0</v>
      </c>
      <c r="I183" s="534">
        <f>-I140</f>
        <v>-6008846</v>
      </c>
      <c r="J183" s="345">
        <f>-J140</f>
        <v>-13307235</v>
      </c>
      <c r="K183" s="345">
        <f>F183-J183</f>
        <v>0</v>
      </c>
    </row>
    <row r="184" spans="1:11" ht="13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K184" si="55">SUM(F181:F183)</f>
        <v>13723917</v>
      </c>
      <c r="G184" s="543">
        <f t="shared" si="55"/>
        <v>7526918</v>
      </c>
      <c r="H184" s="535">
        <f t="shared" si="55"/>
        <v>0</v>
      </c>
      <c r="I184" s="536">
        <f t="shared" si="55"/>
        <v>6196999</v>
      </c>
      <c r="J184" s="346">
        <f t="shared" si="55"/>
        <v>13723917</v>
      </c>
      <c r="K184" s="346">
        <f t="shared" si="55"/>
        <v>0</v>
      </c>
    </row>
    <row r="185" spans="1:11" ht="13">
      <c r="A185" s="331">
        <v>23</v>
      </c>
      <c r="D185" s="342"/>
      <c r="E185" s="195"/>
      <c r="F185" s="345"/>
      <c r="G185" s="542"/>
      <c r="H185" s="533"/>
      <c r="I185" s="534"/>
      <c r="J185" s="345"/>
    </row>
    <row r="186" spans="1:11" ht="13">
      <c r="A186" s="331">
        <v>24</v>
      </c>
      <c r="B186" s="330" t="s">
        <v>21</v>
      </c>
      <c r="D186" s="342"/>
      <c r="E186" s="195"/>
      <c r="F186" s="345"/>
      <c r="G186" s="542"/>
      <c r="H186" s="533"/>
      <c r="I186" s="534"/>
      <c r="J186" s="345"/>
    </row>
    <row r="187" spans="1:11" ht="13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>F99</f>
        <v>8693702</v>
      </c>
      <c r="G187" s="542">
        <f>G99</f>
        <v>4768084</v>
      </c>
      <c r="H187" s="533">
        <f>H99</f>
        <v>0</v>
      </c>
      <c r="I187" s="534">
        <f>I99</f>
        <v>3925618</v>
      </c>
      <c r="J187" s="345">
        <f>J99</f>
        <v>8693702</v>
      </c>
      <c r="K187" s="345">
        <f>F187-J187</f>
        <v>0</v>
      </c>
    </row>
    <row r="188" spans="1:11" ht="13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>-F149</f>
        <v>-6086015</v>
      </c>
      <c r="G188" s="542">
        <f>-G149</f>
        <v>-3337891</v>
      </c>
      <c r="H188" s="533">
        <f>-H149</f>
        <v>0</v>
      </c>
      <c r="I188" s="534">
        <f>-I149</f>
        <v>-2748124</v>
      </c>
      <c r="J188" s="345">
        <f>-J149</f>
        <v>-6086015</v>
      </c>
      <c r="K188" s="345">
        <f>F188-J188</f>
        <v>0</v>
      </c>
    </row>
    <row r="189" spans="1:11" ht="13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K189" si="56">SUM(F186:F188)</f>
        <v>2607687</v>
      </c>
      <c r="G189" s="543">
        <f t="shared" si="56"/>
        <v>1430193</v>
      </c>
      <c r="H189" s="535">
        <f t="shared" si="56"/>
        <v>0</v>
      </c>
      <c r="I189" s="536">
        <f t="shared" si="56"/>
        <v>1177494</v>
      </c>
      <c r="J189" s="346">
        <f t="shared" si="56"/>
        <v>2607687</v>
      </c>
      <c r="K189" s="346">
        <f t="shared" si="56"/>
        <v>0</v>
      </c>
    </row>
    <row r="190" spans="1:11" ht="13">
      <c r="A190" s="331">
        <v>28</v>
      </c>
      <c r="D190" s="342"/>
      <c r="E190" s="195"/>
      <c r="F190" s="345"/>
      <c r="G190" s="542"/>
      <c r="H190" s="533"/>
      <c r="I190" s="534"/>
      <c r="J190" s="345"/>
      <c r="K190" s="345"/>
    </row>
    <row r="191" spans="1:11" ht="13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K191" si="57">F189+F184+F176+F171+F166</f>
        <v>559830324</v>
      </c>
      <c r="G191" s="544">
        <f t="shared" si="57"/>
        <v>347204667</v>
      </c>
      <c r="H191" s="537">
        <f t="shared" si="57"/>
        <v>0</v>
      </c>
      <c r="I191" s="538">
        <f t="shared" si="57"/>
        <v>212625657</v>
      </c>
      <c r="J191" s="345">
        <f t="shared" si="57"/>
        <v>559830324</v>
      </c>
      <c r="K191" s="345">
        <f t="shared" si="57"/>
        <v>0</v>
      </c>
    </row>
    <row r="192" spans="1:11" ht="13">
      <c r="B192" s="341"/>
      <c r="C192" s="195"/>
      <c r="D192" s="342"/>
      <c r="E192" s="195"/>
      <c r="F192" s="195"/>
      <c r="G192" s="195"/>
      <c r="H192" s="195"/>
      <c r="I192" s="195"/>
      <c r="J192" s="195"/>
      <c r="K192" s="195"/>
    </row>
    <row r="193" spans="1:11" ht="13">
      <c r="A193" s="341" t="str">
        <f>co_name</f>
        <v>DUKE ENERGY KENTUCKY, INC.</v>
      </c>
      <c r="C193" s="195"/>
      <c r="D193" s="342"/>
      <c r="E193" s="195"/>
      <c r="F193" s="195"/>
      <c r="G193" s="195"/>
      <c r="H193" s="195"/>
      <c r="I193" s="195"/>
      <c r="J193" s="195" t="str">
        <f>$J$1</f>
        <v>FR-16(7)(v)-4</v>
      </c>
      <c r="K193" s="195"/>
    </row>
    <row r="194" spans="1:11" ht="13">
      <c r="A194" s="341" t="str">
        <f>$A$2</f>
        <v>DISTRIBUTION CLASSIFIED - GAS COST OF SERVICE</v>
      </c>
      <c r="C194" s="195"/>
      <c r="D194" s="342"/>
      <c r="E194" s="195"/>
      <c r="F194" s="195"/>
      <c r="G194" s="195"/>
      <c r="H194" s="195"/>
      <c r="I194" s="195"/>
      <c r="J194" s="195" t="str">
        <f>$J$2</f>
        <v>WITNESS RESPONSIBLE:</v>
      </c>
      <c r="K194" s="195"/>
    </row>
    <row r="195" spans="1:11" ht="13">
      <c r="A195" s="341" t="str">
        <f>case_name</f>
        <v>CASE NO: 2021-00190</v>
      </c>
      <c r="C195" s="195"/>
      <c r="D195" s="342"/>
      <c r="E195" s="195"/>
      <c r="F195" s="195"/>
      <c r="G195" s="195"/>
      <c r="H195" s="195"/>
      <c r="I195" s="195"/>
      <c r="J195" s="195" t="str">
        <f>Witness</f>
        <v>JAMES E. ZIOLKOWSKI</v>
      </c>
      <c r="K195" s="195"/>
    </row>
    <row r="196" spans="1:11" ht="13">
      <c r="A196" s="341" t="str">
        <f>data_filing</f>
        <v>DATA: 12 MONTH FORECASTED PERIOD</v>
      </c>
      <c r="C196" s="195"/>
      <c r="D196" s="342"/>
      <c r="E196" s="195"/>
      <c r="F196" s="195"/>
      <c r="G196" s="195"/>
      <c r="H196" s="195"/>
      <c r="I196" s="195"/>
      <c r="J196" s="195" t="str">
        <f>"PAGE "&amp;Pages-13&amp;" OF "&amp;Pages</f>
        <v>PAGE 5 OF 18</v>
      </c>
      <c r="K196" s="195"/>
    </row>
    <row r="197" spans="1:11" ht="13">
      <c r="A197" s="341" t="str">
        <f>type</f>
        <v xml:space="preserve">TYPE OF FILING: "X" ORIGINAL   UPDATED    REVISED  </v>
      </c>
      <c r="C197" s="195"/>
      <c r="D197" s="342"/>
      <c r="E197" s="195"/>
      <c r="F197" s="195"/>
      <c r="G197" s="195"/>
      <c r="H197" s="195"/>
      <c r="I197" s="195"/>
      <c r="J197" s="195"/>
      <c r="K197" s="195"/>
    </row>
    <row r="198" spans="1:11" ht="13">
      <c r="B198" s="341"/>
      <c r="C198" s="195"/>
      <c r="D198" s="342"/>
      <c r="E198" s="195"/>
      <c r="F198" s="195"/>
      <c r="G198" s="195"/>
      <c r="H198" s="195"/>
      <c r="I198" s="195"/>
      <c r="J198" s="195"/>
      <c r="K198" s="195"/>
    </row>
    <row r="199" spans="1:11" ht="13">
      <c r="B199" s="341"/>
      <c r="C199" s="195"/>
      <c r="D199" s="342"/>
      <c r="E199" s="195"/>
      <c r="F199" s="195"/>
      <c r="G199" s="195"/>
      <c r="H199" s="195"/>
      <c r="I199" s="195"/>
      <c r="J199" s="195"/>
      <c r="K199" s="195"/>
    </row>
    <row r="200" spans="1:11" ht="13">
      <c r="A200" s="342" t="s">
        <v>907</v>
      </c>
      <c r="B200" s="195"/>
      <c r="C200" s="195"/>
      <c r="D200" s="342"/>
      <c r="E200" s="195"/>
      <c r="F200" s="342" t="s">
        <v>229</v>
      </c>
      <c r="G200" s="539" t="s">
        <v>995</v>
      </c>
      <c r="H200" s="527"/>
      <c r="I200" s="528"/>
      <c r="J200" s="342" t="s">
        <v>229</v>
      </c>
      <c r="K200" s="342" t="s">
        <v>342</v>
      </c>
    </row>
    <row r="201" spans="1:11" ht="13">
      <c r="A201" s="344" t="s">
        <v>908</v>
      </c>
      <c r="B201" s="343" t="s">
        <v>946</v>
      </c>
      <c r="C201" s="343"/>
      <c r="D201" s="344" t="s">
        <v>337</v>
      </c>
      <c r="E201" s="343"/>
      <c r="F201" s="344" t="s">
        <v>839</v>
      </c>
      <c r="G201" s="540" t="s">
        <v>840</v>
      </c>
      <c r="H201" s="529" t="s">
        <v>841</v>
      </c>
      <c r="I201" s="530" t="s">
        <v>842</v>
      </c>
      <c r="J201" s="344" t="s">
        <v>341</v>
      </c>
      <c r="K201" s="344" t="s">
        <v>340</v>
      </c>
    </row>
    <row r="202" spans="1:11" ht="13">
      <c r="C202" s="572" t="s">
        <v>347</v>
      </c>
      <c r="D202" s="342"/>
      <c r="E202" s="195"/>
      <c r="G202" s="793">
        <f>$G$10</f>
        <v>3</v>
      </c>
      <c r="H202" s="794">
        <f>$H$10</f>
        <v>4</v>
      </c>
      <c r="I202" s="795">
        <f>$I$10</f>
        <v>5</v>
      </c>
    </row>
    <row r="203" spans="1:11" ht="13">
      <c r="A203" s="331">
        <v>1</v>
      </c>
      <c r="B203" s="330" t="s">
        <v>26</v>
      </c>
      <c r="D203" s="342"/>
      <c r="E203" s="195"/>
      <c r="G203" s="541"/>
      <c r="H203" s="531"/>
      <c r="I203" s="532"/>
    </row>
    <row r="204" spans="1:11" ht="13">
      <c r="A204" s="331">
        <v>2</v>
      </c>
      <c r="B204" s="330" t="s">
        <v>816</v>
      </c>
      <c r="D204" s="342"/>
      <c r="E204" s="195"/>
      <c r="G204" s="541"/>
      <c r="H204" s="531"/>
      <c r="I204" s="532"/>
    </row>
    <row r="205" spans="1:11" ht="13">
      <c r="A205" s="331">
        <v>3</v>
      </c>
      <c r="B205" s="330" t="s">
        <v>27</v>
      </c>
      <c r="D205" s="342"/>
      <c r="E205" s="195"/>
      <c r="G205" s="541"/>
      <c r="H205" s="531"/>
      <c r="I205" s="532"/>
    </row>
    <row r="206" spans="1:11" ht="13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3">
        <f>'FR-16(7)(v)-1 Functional'!I206</f>
        <v>65440445</v>
      </c>
      <c r="G206" s="542">
        <f t="shared" ref="G206:G214" si="58">F206-SUM(H206:I206)</f>
        <v>40586164</v>
      </c>
      <c r="H206" s="533">
        <f t="shared" ref="H206:H214" si="59">ROUND(F206*VLOOKUP(D206,Alloctable_Classified_Distribution,$H$10,FALSE),0)</f>
        <v>0</v>
      </c>
      <c r="I206" s="534">
        <f t="shared" ref="I206:I214" si="60">ROUND(F206*VLOOKUP(D206,Alloctable_Classified_Distribution,$I$10,FALSE),0)</f>
        <v>24854281</v>
      </c>
      <c r="J206" s="345">
        <f t="shared" ref="J206:J214" si="61">SUM(G206:I206)</f>
        <v>65440445</v>
      </c>
      <c r="K206" s="345">
        <f t="shared" ref="K206:K214" si="62">F206-J206</f>
        <v>0</v>
      </c>
    </row>
    <row r="207" spans="1:11" ht="13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3">
        <f>'FR-16(7)(v)-1 Functional'!I207</f>
        <v>0</v>
      </c>
      <c r="G207" s="542">
        <f t="shared" si="58"/>
        <v>0</v>
      </c>
      <c r="H207" s="533">
        <f t="shared" si="59"/>
        <v>0</v>
      </c>
      <c r="I207" s="534">
        <f t="shared" si="60"/>
        <v>0</v>
      </c>
      <c r="J207" s="345">
        <f t="shared" si="61"/>
        <v>0</v>
      </c>
      <c r="K207" s="345">
        <f t="shared" si="62"/>
        <v>0</v>
      </c>
    </row>
    <row r="208" spans="1:11" ht="13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3">
        <f>'FR-16(7)(v)-1 Functional'!I208</f>
        <v>-1497040</v>
      </c>
      <c r="G208" s="542">
        <f t="shared" si="58"/>
        <v>-931683</v>
      </c>
      <c r="H208" s="533">
        <f t="shared" si="59"/>
        <v>0</v>
      </c>
      <c r="I208" s="534">
        <f t="shared" si="60"/>
        <v>-565357</v>
      </c>
      <c r="J208" s="345">
        <f t="shared" si="61"/>
        <v>-1497040</v>
      </c>
      <c r="K208" s="345">
        <f t="shared" si="62"/>
        <v>0</v>
      </c>
    </row>
    <row r="209" spans="1:11" ht="13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3">
        <f>'FR-16(7)(v)-1 Functional'!I209</f>
        <v>-1542056</v>
      </c>
      <c r="G209" s="542">
        <f t="shared" si="58"/>
        <v>-956383</v>
      </c>
      <c r="H209" s="533">
        <f t="shared" si="59"/>
        <v>0</v>
      </c>
      <c r="I209" s="534">
        <f t="shared" si="60"/>
        <v>-585673</v>
      </c>
      <c r="J209" s="345">
        <f t="shared" si="61"/>
        <v>-1542056</v>
      </c>
      <c r="K209" s="345">
        <f t="shared" si="62"/>
        <v>0</v>
      </c>
    </row>
    <row r="210" spans="1:11" ht="13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3">
        <f>'FR-16(7)(v)-1 Functional'!I210</f>
        <v>0</v>
      </c>
      <c r="G210" s="542">
        <f t="shared" si="58"/>
        <v>0</v>
      </c>
      <c r="H210" s="533">
        <f t="shared" si="59"/>
        <v>0</v>
      </c>
      <c r="I210" s="534">
        <f t="shared" si="60"/>
        <v>0</v>
      </c>
      <c r="J210" s="345">
        <f t="shared" si="61"/>
        <v>0</v>
      </c>
      <c r="K210" s="345">
        <f t="shared" si="62"/>
        <v>0</v>
      </c>
    </row>
    <row r="211" spans="1:11" ht="13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3">
        <f>'FR-16(7)(v)-1 Functional'!I211</f>
        <v>0</v>
      </c>
      <c r="G211" s="542">
        <f t="shared" si="58"/>
        <v>0</v>
      </c>
      <c r="H211" s="533">
        <f t="shared" si="59"/>
        <v>0</v>
      </c>
      <c r="I211" s="534">
        <f t="shared" si="60"/>
        <v>0</v>
      </c>
      <c r="J211" s="345">
        <f t="shared" si="61"/>
        <v>0</v>
      </c>
      <c r="K211" s="345">
        <f t="shared" si="62"/>
        <v>0</v>
      </c>
    </row>
    <row r="212" spans="1:11" ht="13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3">
        <f>'FR-16(7)(v)-1 Functional'!I212</f>
        <v>-527215</v>
      </c>
      <c r="G212" s="542">
        <f t="shared" si="58"/>
        <v>-289151</v>
      </c>
      <c r="H212" s="533">
        <f t="shared" si="59"/>
        <v>0</v>
      </c>
      <c r="I212" s="534">
        <f t="shared" si="60"/>
        <v>-238064</v>
      </c>
      <c r="J212" s="345">
        <f t="shared" si="61"/>
        <v>-527215</v>
      </c>
      <c r="K212" s="345">
        <f t="shared" si="62"/>
        <v>0</v>
      </c>
    </row>
    <row r="213" spans="1:11" ht="13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3">
        <f>'FR-16(7)(v)-1 Functional'!I213</f>
        <v>0</v>
      </c>
      <c r="G213" s="542">
        <f t="shared" si="58"/>
        <v>0</v>
      </c>
      <c r="H213" s="533">
        <f t="shared" si="59"/>
        <v>0</v>
      </c>
      <c r="I213" s="534">
        <f t="shared" si="60"/>
        <v>0</v>
      </c>
      <c r="J213" s="345">
        <f t="shared" si="61"/>
        <v>0</v>
      </c>
      <c r="K213" s="345">
        <f t="shared" si="62"/>
        <v>0</v>
      </c>
    </row>
    <row r="214" spans="1:11" ht="13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3">
        <f>'FR-16(7)(v)-1 Functional'!I214</f>
        <v>7752177</v>
      </c>
      <c r="G214" s="542">
        <f t="shared" si="58"/>
        <v>4807900</v>
      </c>
      <c r="H214" s="533">
        <f t="shared" si="59"/>
        <v>0</v>
      </c>
      <c r="I214" s="534">
        <f t="shared" si="60"/>
        <v>2944277</v>
      </c>
      <c r="J214" s="345">
        <f t="shared" si="61"/>
        <v>7752177</v>
      </c>
      <c r="K214" s="345">
        <f t="shared" si="62"/>
        <v>0</v>
      </c>
    </row>
    <row r="215" spans="1:11" ht="13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K215" si="63">SUM(F206:F214)</f>
        <v>69626311</v>
      </c>
      <c r="G215" s="543">
        <f t="shared" si="63"/>
        <v>43216847</v>
      </c>
      <c r="H215" s="535">
        <f t="shared" si="63"/>
        <v>0</v>
      </c>
      <c r="I215" s="536">
        <f t="shared" si="63"/>
        <v>26409464</v>
      </c>
      <c r="J215" s="346">
        <f t="shared" si="63"/>
        <v>69626311</v>
      </c>
      <c r="K215" s="346">
        <f t="shared" si="63"/>
        <v>0</v>
      </c>
    </row>
    <row r="216" spans="1:11" ht="13">
      <c r="A216" s="331">
        <v>14</v>
      </c>
      <c r="D216" s="342"/>
      <c r="E216" s="195"/>
      <c r="G216" s="541"/>
      <c r="H216" s="531"/>
      <c r="I216" s="532"/>
    </row>
    <row r="217" spans="1:11" ht="13">
      <c r="A217" s="331">
        <v>15</v>
      </c>
      <c r="B217" s="330" t="s">
        <v>28</v>
      </c>
      <c r="D217" s="342"/>
      <c r="E217" s="195"/>
      <c r="G217" s="541"/>
      <c r="H217" s="531"/>
      <c r="I217" s="532"/>
    </row>
    <row r="218" spans="1:11" ht="13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3">
        <f>'FR-16(7)(v)-1 Functional'!I218</f>
        <v>0</v>
      </c>
      <c r="G218" s="542">
        <f t="shared" ref="G218:G228" si="64">F218-SUM(H218:I218)</f>
        <v>0</v>
      </c>
      <c r="H218" s="533">
        <f t="shared" ref="H218:H225" si="65">ROUND(F218*VLOOKUP(D218,Alloctable_Classified_Distribution,$H$10,FALSE),0)</f>
        <v>0</v>
      </c>
      <c r="I218" s="534">
        <f t="shared" ref="I218:I225" si="66">ROUND(F218*VLOOKUP(D218,Alloctable_Classified_Distribution,$I$10,FALSE),0)</f>
        <v>0</v>
      </c>
      <c r="J218" s="345">
        <f t="shared" ref="J218:J228" si="67">SUM(G218:I218)</f>
        <v>0</v>
      </c>
      <c r="K218" s="345">
        <f t="shared" ref="K218:K228" si="68">F218-J218</f>
        <v>0</v>
      </c>
    </row>
    <row r="219" spans="1:11" ht="13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3">
        <f>'FR-16(7)(v)-1 Functional'!I219</f>
        <v>0</v>
      </c>
      <c r="G219" s="542">
        <f t="shared" si="64"/>
        <v>0</v>
      </c>
      <c r="H219" s="533">
        <f t="shared" si="65"/>
        <v>0</v>
      </c>
      <c r="I219" s="534">
        <f t="shared" si="66"/>
        <v>0</v>
      </c>
      <c r="J219" s="345">
        <f t="shared" si="67"/>
        <v>0</v>
      </c>
      <c r="K219" s="345">
        <f t="shared" si="68"/>
        <v>0</v>
      </c>
    </row>
    <row r="220" spans="1:11" ht="13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3">
        <f>'FR-16(7)(v)-1 Functional'!I220</f>
        <v>0</v>
      </c>
      <c r="G220" s="542">
        <f t="shared" si="64"/>
        <v>0</v>
      </c>
      <c r="H220" s="533">
        <f t="shared" si="65"/>
        <v>0</v>
      </c>
      <c r="I220" s="534">
        <f t="shared" si="66"/>
        <v>0</v>
      </c>
      <c r="J220" s="345">
        <f t="shared" si="67"/>
        <v>0</v>
      </c>
      <c r="K220" s="345">
        <f t="shared" si="68"/>
        <v>0</v>
      </c>
    </row>
    <row r="221" spans="1:11" ht="13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3">
        <f>'FR-16(7)(v)-1 Functional'!I221</f>
        <v>0</v>
      </c>
      <c r="G221" s="542">
        <f t="shared" si="64"/>
        <v>0</v>
      </c>
      <c r="H221" s="533">
        <f t="shared" si="65"/>
        <v>0</v>
      </c>
      <c r="I221" s="534">
        <f t="shared" si="66"/>
        <v>0</v>
      </c>
      <c r="J221" s="345">
        <f t="shared" si="67"/>
        <v>0</v>
      </c>
      <c r="K221" s="345">
        <f t="shared" si="68"/>
        <v>0</v>
      </c>
    </row>
    <row r="222" spans="1:11" ht="13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3">
        <f>'FR-16(7)(v)-1 Functional'!I222</f>
        <v>0</v>
      </c>
      <c r="G222" s="542">
        <f t="shared" si="64"/>
        <v>0</v>
      </c>
      <c r="H222" s="533">
        <f t="shared" si="65"/>
        <v>0</v>
      </c>
      <c r="I222" s="534">
        <f t="shared" si="66"/>
        <v>0</v>
      </c>
      <c r="J222" s="345">
        <f t="shared" si="67"/>
        <v>0</v>
      </c>
      <c r="K222" s="345">
        <f t="shared" si="68"/>
        <v>0</v>
      </c>
    </row>
    <row r="223" spans="1:11" ht="13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3">
        <f>'FR-16(7)(v)-1 Functional'!I223</f>
        <v>0</v>
      </c>
      <c r="G223" s="542">
        <f t="shared" si="64"/>
        <v>0</v>
      </c>
      <c r="H223" s="533">
        <f t="shared" si="65"/>
        <v>0</v>
      </c>
      <c r="I223" s="534">
        <f t="shared" si="66"/>
        <v>0</v>
      </c>
      <c r="J223" s="345">
        <f t="shared" si="67"/>
        <v>0</v>
      </c>
      <c r="K223" s="345">
        <f t="shared" si="68"/>
        <v>0</v>
      </c>
    </row>
    <row r="224" spans="1:11" ht="13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3">
        <f>'FR-16(7)(v)-1 Functional'!I224</f>
        <v>0</v>
      </c>
      <c r="G224" s="542">
        <f t="shared" si="64"/>
        <v>0</v>
      </c>
      <c r="H224" s="533">
        <f t="shared" si="65"/>
        <v>0</v>
      </c>
      <c r="I224" s="534">
        <f t="shared" si="66"/>
        <v>0</v>
      </c>
      <c r="J224" s="345">
        <f t="shared" si="67"/>
        <v>0</v>
      </c>
      <c r="K224" s="345">
        <f t="shared" si="68"/>
        <v>0</v>
      </c>
    </row>
    <row r="225" spans="1:11" ht="13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3">
        <f>'FR-16(7)(v)-1 Functional'!I225</f>
        <v>0</v>
      </c>
      <c r="G225" s="542">
        <f t="shared" si="64"/>
        <v>0</v>
      </c>
      <c r="H225" s="533">
        <f t="shared" si="65"/>
        <v>0</v>
      </c>
      <c r="I225" s="534">
        <f t="shared" si="66"/>
        <v>0</v>
      </c>
      <c r="J225" s="345">
        <f t="shared" si="67"/>
        <v>0</v>
      </c>
      <c r="K225" s="345">
        <f t="shared" si="68"/>
        <v>0</v>
      </c>
    </row>
    <row r="226" spans="1:11" ht="13">
      <c r="A226" s="331">
        <v>24</v>
      </c>
      <c r="C226" s="612" t="str">
        <f>'FR-16(7)(v)-1 Functional'!C226</f>
        <v>RATE CASE EXPENSE AMORT</v>
      </c>
      <c r="D226" s="342" t="str">
        <f>'FR-16(7)(v)-1 Functional'!D226</f>
        <v>AG39</v>
      </c>
      <c r="F226" s="473">
        <f>'FR-16(7)(v)-1 Functional'!I226</f>
        <v>0</v>
      </c>
      <c r="G226" s="542">
        <f>F226-SUM(H226:I226)</f>
        <v>0</v>
      </c>
      <c r="H226" s="533">
        <f>ROUND(F226*VLOOKUP(D226,Alloctable_Classified_Distribution,$H$10,FALSE),0)</f>
        <v>0</v>
      </c>
      <c r="I226" s="534">
        <f>ROUND(F226*VLOOKUP(D226,Alloctable_Classified_Distribution,$I$10,FALSE),0)</f>
        <v>0</v>
      </c>
      <c r="J226" s="345">
        <f>SUM(G226:I226)</f>
        <v>0</v>
      </c>
      <c r="K226" s="345">
        <f>F226-J226</f>
        <v>0</v>
      </c>
    </row>
    <row r="227" spans="1:11" ht="13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3">
        <f>'FR-16(7)(v)-1 Functional'!I227</f>
        <v>0</v>
      </c>
      <c r="G227" s="542">
        <f>F227-SUM(H227:I227)</f>
        <v>0</v>
      </c>
      <c r="H227" s="533">
        <f>ROUND(F227*VLOOKUP(D227,Alloctable_Classified_Distribution,$H$10,FALSE),0)</f>
        <v>0</v>
      </c>
      <c r="I227" s="534">
        <f>ROUND(F227*VLOOKUP(D227,Alloctable_Classified_Distribution,$I$10,FALSE),0)</f>
        <v>0</v>
      </c>
      <c r="J227" s="345">
        <f>SUM(G227:I227)</f>
        <v>0</v>
      </c>
      <c r="K227" s="345">
        <f>F227-J227</f>
        <v>0</v>
      </c>
    </row>
    <row r="228" spans="1:11" ht="13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3">
        <f>'FR-16(7)(v)-1 Functional'!I228</f>
        <v>0</v>
      </c>
      <c r="G228" s="542">
        <f t="shared" si="64"/>
        <v>0</v>
      </c>
      <c r="H228" s="533">
        <f>ROUND(F228*VLOOKUP(D228,Alloctable_Classified_Distribution,$H$10,FALSE),0)</f>
        <v>0</v>
      </c>
      <c r="I228" s="534">
        <f>ROUND(F228*VLOOKUP(D228,Alloctable_Classified_Distribution,$I$10,FALSE),0)</f>
        <v>0</v>
      </c>
      <c r="J228" s="345">
        <f t="shared" si="67"/>
        <v>0</v>
      </c>
      <c r="K228" s="345">
        <f t="shared" si="68"/>
        <v>0</v>
      </c>
    </row>
    <row r="229" spans="1:11" ht="13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K229" si="69">SUM(F217:F228)</f>
        <v>0</v>
      </c>
      <c r="G229" s="543">
        <f t="shared" si="69"/>
        <v>0</v>
      </c>
      <c r="H229" s="535">
        <f t="shared" si="69"/>
        <v>0</v>
      </c>
      <c r="I229" s="536">
        <f t="shared" si="69"/>
        <v>0</v>
      </c>
      <c r="J229" s="346">
        <f t="shared" si="69"/>
        <v>0</v>
      </c>
      <c r="K229" s="346">
        <f t="shared" si="69"/>
        <v>0</v>
      </c>
    </row>
    <row r="230" spans="1:11" ht="13">
      <c r="A230" s="331">
        <v>28</v>
      </c>
      <c r="D230" s="342"/>
      <c r="E230" s="195"/>
      <c r="G230" s="541"/>
      <c r="H230" s="531"/>
      <c r="I230" s="532"/>
    </row>
    <row r="231" spans="1:11" ht="13">
      <c r="A231" s="331">
        <v>29</v>
      </c>
      <c r="B231" s="351" t="s">
        <v>817</v>
      </c>
      <c r="C231" s="351"/>
      <c r="D231" s="342"/>
      <c r="E231" s="195"/>
      <c r="G231" s="541"/>
      <c r="H231" s="531"/>
      <c r="I231" s="532"/>
    </row>
    <row r="232" spans="1:11" ht="13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3">
        <f>'FR-16(7)(v)-1 Functional'!I232</f>
        <v>1643017</v>
      </c>
      <c r="G232" s="542">
        <f>F232-SUM(H232:I232)</f>
        <v>1022532</v>
      </c>
      <c r="H232" s="533">
        <f>ROUND(F232*VLOOKUP(D232,Alloctable_Classified_Distribution,$H$10,FALSE),0)</f>
        <v>0</v>
      </c>
      <c r="I232" s="534">
        <f>ROUND(F232*VLOOKUP(D232,Alloctable_Classified_Distribution,$I$10,FALSE),0)</f>
        <v>620485</v>
      </c>
      <c r="J232" s="345">
        <f>SUM(G232:I232)</f>
        <v>1643017</v>
      </c>
      <c r="K232" s="345">
        <f>F232-J232</f>
        <v>0</v>
      </c>
    </row>
    <row r="233" spans="1:11" ht="13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3">
        <f>'FR-16(7)(v)-1 Functional'!I233</f>
        <v>0</v>
      </c>
      <c r="G233" s="542">
        <f>F233-SUM(H233:I233)</f>
        <v>0</v>
      </c>
      <c r="H233" s="533">
        <f>ROUND(F233*VLOOKUP(D233,Alloctable_Classified_Distribution,$H$10,FALSE),0)</f>
        <v>0</v>
      </c>
      <c r="I233" s="534">
        <f>ROUND(F233*VLOOKUP(D233,Alloctable_Classified_Distribution,$I$10,FALSE),0)</f>
        <v>0</v>
      </c>
      <c r="J233" s="345">
        <f>SUM(G233:I233)</f>
        <v>0</v>
      </c>
      <c r="K233" s="345">
        <f>F233-J233</f>
        <v>0</v>
      </c>
    </row>
    <row r="234" spans="1:11" ht="13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3">
        <f>'FR-16(7)(v)-1 Functional'!I234</f>
        <v>0</v>
      </c>
      <c r="G234" s="542">
        <f>F234-SUM(H234:I234)</f>
        <v>0</v>
      </c>
      <c r="H234" s="533">
        <f>ROUND(F234*VLOOKUP(D234,Alloctable_Classified_Distribution,$H$10,FALSE),0)</f>
        <v>0</v>
      </c>
      <c r="I234" s="534">
        <f>ROUND(F234*VLOOKUP(D234,Alloctable_Classified_Distribution,$I$10,FALSE),0)</f>
        <v>0</v>
      </c>
      <c r="J234" s="345">
        <f>SUM(G234:I234)</f>
        <v>0</v>
      </c>
      <c r="K234" s="345">
        <f>F234-J234</f>
        <v>0</v>
      </c>
    </row>
    <row r="235" spans="1:11" ht="13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3">
        <f>'FR-16(7)(v)-1 Functional'!I235</f>
        <v>29007132</v>
      </c>
      <c r="G235" s="542">
        <f>F235-SUM(H235:I235)</f>
        <v>17990223</v>
      </c>
      <c r="H235" s="533">
        <f>ROUND(F235*VLOOKUP(D235,Alloctable_Classified_Distribution,$H$10,FALSE),0)</f>
        <v>0</v>
      </c>
      <c r="I235" s="534">
        <f>ROUND(F235*VLOOKUP(D235,Alloctable_Classified_Distribution,$I$10,FALSE),0)</f>
        <v>11016909</v>
      </c>
      <c r="J235" s="345">
        <f>SUM(G235:I235)</f>
        <v>29007132</v>
      </c>
      <c r="K235" s="345">
        <f>F235-J235</f>
        <v>0</v>
      </c>
    </row>
    <row r="236" spans="1:11" ht="13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K236" si="70">SUM(F231:F235)</f>
        <v>30650149</v>
      </c>
      <c r="G236" s="543">
        <f t="shared" si="70"/>
        <v>19012755</v>
      </c>
      <c r="H236" s="535">
        <f t="shared" si="70"/>
        <v>0</v>
      </c>
      <c r="I236" s="536">
        <f t="shared" si="70"/>
        <v>11637394</v>
      </c>
      <c r="J236" s="346">
        <f t="shared" si="70"/>
        <v>30650149</v>
      </c>
      <c r="K236" s="346">
        <f t="shared" si="70"/>
        <v>0</v>
      </c>
    </row>
    <row r="237" spans="1:11" ht="13">
      <c r="A237" s="331">
        <v>35</v>
      </c>
      <c r="D237" s="342"/>
      <c r="E237" s="195"/>
      <c r="G237" s="541"/>
      <c r="H237" s="531"/>
      <c r="I237" s="532"/>
    </row>
    <row r="238" spans="1:11" ht="13">
      <c r="A238" s="331">
        <v>36</v>
      </c>
      <c r="B238" s="330" t="s">
        <v>821</v>
      </c>
      <c r="D238" s="342"/>
      <c r="E238" s="195"/>
      <c r="F238" s="345">
        <f t="shared" ref="F238:K238" si="71">F236+F229+F215</f>
        <v>100276460</v>
      </c>
      <c r="G238" s="544">
        <f t="shared" si="71"/>
        <v>62229602</v>
      </c>
      <c r="H238" s="537">
        <f t="shared" si="71"/>
        <v>0</v>
      </c>
      <c r="I238" s="538">
        <f t="shared" si="71"/>
        <v>38046858</v>
      </c>
      <c r="J238" s="345">
        <f t="shared" si="71"/>
        <v>100276460</v>
      </c>
      <c r="K238" s="345">
        <f t="shared" si="71"/>
        <v>0</v>
      </c>
    </row>
    <row r="239" spans="1:11" ht="13">
      <c r="B239" s="341"/>
      <c r="C239" s="195"/>
      <c r="D239" s="342"/>
      <c r="E239" s="195"/>
      <c r="F239" s="195"/>
      <c r="G239" s="195"/>
      <c r="H239" s="195"/>
      <c r="I239" s="195"/>
      <c r="J239" s="195"/>
      <c r="K239" s="195"/>
    </row>
    <row r="240" spans="1:11" ht="13">
      <c r="A240" s="341" t="str">
        <f>co_name</f>
        <v>DUKE ENERGY KENTUCKY, INC.</v>
      </c>
      <c r="C240" s="195"/>
      <c r="D240" s="342"/>
      <c r="E240" s="195"/>
      <c r="F240" s="195"/>
      <c r="G240" s="195"/>
      <c r="H240" s="195"/>
      <c r="I240" s="195"/>
      <c r="J240" s="195" t="str">
        <f>$J$1</f>
        <v>FR-16(7)(v)-4</v>
      </c>
      <c r="K240" s="195"/>
    </row>
    <row r="241" spans="1:11" ht="13">
      <c r="A241" s="341" t="str">
        <f>$A$2</f>
        <v>DISTRIBUTION CLASSIFIED - GAS COST OF SERVICE</v>
      </c>
      <c r="C241" s="195"/>
      <c r="D241" s="342"/>
      <c r="E241" s="195"/>
      <c r="F241" s="195"/>
      <c r="G241" s="195"/>
      <c r="H241" s="195"/>
      <c r="I241" s="195"/>
      <c r="J241" s="195" t="str">
        <f>$J$2</f>
        <v>WITNESS RESPONSIBLE:</v>
      </c>
      <c r="K241" s="195"/>
    </row>
    <row r="242" spans="1:11" ht="13">
      <c r="A242" s="341" t="str">
        <f>case_name</f>
        <v>CASE NO: 2021-00190</v>
      </c>
      <c r="C242" s="195"/>
      <c r="D242" s="342"/>
      <c r="E242" s="195"/>
      <c r="F242" s="195"/>
      <c r="G242" s="195"/>
      <c r="H242" s="195"/>
      <c r="I242" s="195"/>
      <c r="J242" s="195" t="str">
        <f>Witness</f>
        <v>JAMES E. ZIOLKOWSKI</v>
      </c>
      <c r="K242" s="195"/>
    </row>
    <row r="243" spans="1:11" ht="13">
      <c r="A243" s="341" t="str">
        <f>data_filing</f>
        <v>DATA: 12 MONTH FORECASTED PERIOD</v>
      </c>
      <c r="C243" s="195"/>
      <c r="D243" s="342"/>
      <c r="E243" s="195"/>
      <c r="F243" s="195"/>
      <c r="G243" s="195"/>
      <c r="H243" s="195"/>
      <c r="I243" s="195"/>
      <c r="J243" s="195" t="str">
        <f>"PAGE "&amp;Pages-12&amp;" OF "&amp;Pages</f>
        <v>PAGE 6 OF 18</v>
      </c>
      <c r="K243" s="195"/>
    </row>
    <row r="244" spans="1:11" ht="13">
      <c r="A244" s="341" t="str">
        <f>type</f>
        <v xml:space="preserve">TYPE OF FILING: "X" ORIGINAL   UPDATED    REVISED  </v>
      </c>
      <c r="C244" s="195"/>
      <c r="D244" s="342"/>
      <c r="E244" s="195"/>
      <c r="F244" s="195"/>
      <c r="G244" s="195"/>
      <c r="H244" s="195"/>
      <c r="I244" s="195"/>
      <c r="J244" s="195"/>
      <c r="K244" s="195"/>
    </row>
    <row r="245" spans="1:11" ht="13">
      <c r="B245" s="341"/>
      <c r="C245" s="195"/>
      <c r="D245" s="342"/>
      <c r="E245" s="195"/>
      <c r="F245" s="195"/>
      <c r="G245" s="195"/>
      <c r="H245" s="195"/>
      <c r="I245" s="195"/>
      <c r="J245" s="195"/>
      <c r="K245" s="195"/>
    </row>
    <row r="246" spans="1:11" ht="13">
      <c r="B246" s="341"/>
      <c r="C246" s="195"/>
      <c r="D246" s="342"/>
      <c r="E246" s="195"/>
      <c r="F246" s="195"/>
      <c r="G246" s="195"/>
      <c r="H246" s="195"/>
      <c r="I246" s="195"/>
      <c r="J246" s="195"/>
      <c r="K246" s="195"/>
    </row>
    <row r="247" spans="1:11" ht="13">
      <c r="A247" s="342" t="s">
        <v>907</v>
      </c>
      <c r="B247" s="195"/>
      <c r="C247" s="195"/>
      <c r="D247" s="342"/>
      <c r="E247" s="195"/>
      <c r="F247" s="342" t="s">
        <v>229</v>
      </c>
      <c r="G247" s="539" t="s">
        <v>995</v>
      </c>
      <c r="H247" s="527"/>
      <c r="I247" s="528"/>
      <c r="J247" s="342" t="s">
        <v>229</v>
      </c>
      <c r="K247" s="342" t="s">
        <v>342</v>
      </c>
    </row>
    <row r="248" spans="1:11" ht="13">
      <c r="A248" s="344" t="s">
        <v>908</v>
      </c>
      <c r="B248" s="343" t="s">
        <v>947</v>
      </c>
      <c r="C248" s="343"/>
      <c r="D248" s="344" t="s">
        <v>337</v>
      </c>
      <c r="E248" s="343"/>
      <c r="F248" s="344" t="s">
        <v>839</v>
      </c>
      <c r="G248" s="540" t="s">
        <v>840</v>
      </c>
      <c r="H248" s="529" t="s">
        <v>841</v>
      </c>
      <c r="I248" s="530" t="s">
        <v>842</v>
      </c>
      <c r="J248" s="344" t="s">
        <v>341</v>
      </c>
      <c r="K248" s="344" t="s">
        <v>340</v>
      </c>
    </row>
    <row r="249" spans="1:11" ht="13">
      <c r="C249" s="572" t="s">
        <v>555</v>
      </c>
      <c r="D249" s="342"/>
      <c r="E249" s="195"/>
      <c r="G249" s="793">
        <f>$G$10</f>
        <v>3</v>
      </c>
      <c r="H249" s="794">
        <f>$H$10</f>
        <v>4</v>
      </c>
      <c r="I249" s="795">
        <f>$I$10</f>
        <v>5</v>
      </c>
    </row>
    <row r="250" spans="1:11" ht="13">
      <c r="A250" s="331">
        <v>1</v>
      </c>
      <c r="B250" s="330" t="s">
        <v>819</v>
      </c>
      <c r="D250" s="342"/>
      <c r="E250" s="195"/>
      <c r="G250" s="545"/>
      <c r="H250" s="546"/>
      <c r="I250" s="547"/>
    </row>
    <row r="251" spans="1:11" ht="13">
      <c r="A251" s="331">
        <v>2</v>
      </c>
      <c r="B251" s="330" t="s">
        <v>29</v>
      </c>
      <c r="D251" s="342"/>
      <c r="E251" s="195"/>
      <c r="G251" s="541"/>
      <c r="H251" s="531"/>
      <c r="I251" s="532"/>
    </row>
    <row r="252" spans="1:11" ht="13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3">
        <f>'FR-16(7)(v)-1 Functional'!I252</f>
        <v>0</v>
      </c>
      <c r="G252" s="542">
        <f>F252-SUM(H252:I252)</f>
        <v>0</v>
      </c>
      <c r="H252" s="533">
        <f t="shared" ref="H252:H274" si="72">ROUND(F252*VLOOKUP(D252,Alloctable_Classified_Distribution,$H$10,FALSE),0)</f>
        <v>0</v>
      </c>
      <c r="I252" s="534">
        <f t="shared" ref="I252:I274" si="73">ROUND(F252*VLOOKUP(D252,Alloctable_Classified_Distribution,$I$10,FALSE),0)</f>
        <v>0</v>
      </c>
      <c r="J252" s="345">
        <f t="shared" ref="J252:J274" si="74">SUM(G252:I252)</f>
        <v>0</v>
      </c>
      <c r="K252" s="345">
        <f t="shared" ref="K252:K274" si="75">F252-J252</f>
        <v>0</v>
      </c>
    </row>
    <row r="253" spans="1:11" ht="13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3">
        <f>'FR-16(7)(v)-1 Functional'!I253</f>
        <v>0</v>
      </c>
      <c r="G253" s="542">
        <f t="shared" ref="G253:G274" si="76">F253-SUM(H253:I253)</f>
        <v>0</v>
      </c>
      <c r="H253" s="533">
        <f t="shared" si="72"/>
        <v>0</v>
      </c>
      <c r="I253" s="534">
        <f t="shared" si="73"/>
        <v>0</v>
      </c>
      <c r="J253" s="345">
        <f t="shared" si="74"/>
        <v>0</v>
      </c>
      <c r="K253" s="345">
        <f t="shared" si="75"/>
        <v>0</v>
      </c>
    </row>
    <row r="254" spans="1:11" ht="13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3">
        <f>'FR-16(7)(v)-1 Functional'!I254</f>
        <v>0</v>
      </c>
      <c r="G254" s="542">
        <f t="shared" si="76"/>
        <v>0</v>
      </c>
      <c r="H254" s="533">
        <f t="shared" si="72"/>
        <v>0</v>
      </c>
      <c r="I254" s="534">
        <f t="shared" si="73"/>
        <v>0</v>
      </c>
      <c r="J254" s="345">
        <f t="shared" si="74"/>
        <v>0</v>
      </c>
      <c r="K254" s="345">
        <f t="shared" si="75"/>
        <v>0</v>
      </c>
    </row>
    <row r="255" spans="1:11" ht="13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3">
        <f>'FR-16(7)(v)-1 Functional'!I255</f>
        <v>0</v>
      </c>
      <c r="G255" s="542">
        <f t="shared" si="76"/>
        <v>0</v>
      </c>
      <c r="H255" s="533">
        <f t="shared" si="72"/>
        <v>0</v>
      </c>
      <c r="I255" s="534">
        <f t="shared" si="73"/>
        <v>0</v>
      </c>
      <c r="J255" s="345">
        <f t="shared" si="74"/>
        <v>0</v>
      </c>
      <c r="K255" s="345">
        <f t="shared" si="75"/>
        <v>0</v>
      </c>
    </row>
    <row r="256" spans="1:11" ht="13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3">
        <f>'FR-16(7)(v)-1 Functional'!I256</f>
        <v>0</v>
      </c>
      <c r="G256" s="542">
        <f t="shared" si="76"/>
        <v>0</v>
      </c>
      <c r="H256" s="533">
        <f t="shared" si="72"/>
        <v>0</v>
      </c>
      <c r="I256" s="534">
        <f t="shared" si="73"/>
        <v>0</v>
      </c>
      <c r="J256" s="345">
        <f t="shared" si="74"/>
        <v>0</v>
      </c>
      <c r="K256" s="345">
        <f t="shared" si="75"/>
        <v>0</v>
      </c>
    </row>
    <row r="257" spans="1:11" ht="13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3">
        <f>'FR-16(7)(v)-1 Functional'!I257</f>
        <v>0</v>
      </c>
      <c r="G257" s="542">
        <f t="shared" si="76"/>
        <v>0</v>
      </c>
      <c r="H257" s="533">
        <f t="shared" si="72"/>
        <v>0</v>
      </c>
      <c r="I257" s="534">
        <f t="shared" si="73"/>
        <v>0</v>
      </c>
      <c r="J257" s="345">
        <f t="shared" si="74"/>
        <v>0</v>
      </c>
      <c r="K257" s="345">
        <f t="shared" si="75"/>
        <v>0</v>
      </c>
    </row>
    <row r="258" spans="1:11" ht="13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3">
        <f>'FR-16(7)(v)-1 Functional'!I258</f>
        <v>0</v>
      </c>
      <c r="G258" s="542">
        <f t="shared" si="76"/>
        <v>0</v>
      </c>
      <c r="H258" s="533">
        <f t="shared" si="72"/>
        <v>0</v>
      </c>
      <c r="I258" s="534">
        <f t="shared" si="73"/>
        <v>0</v>
      </c>
      <c r="J258" s="345">
        <f t="shared" si="74"/>
        <v>0</v>
      </c>
      <c r="K258" s="345">
        <f t="shared" si="75"/>
        <v>0</v>
      </c>
    </row>
    <row r="259" spans="1:11" ht="13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3">
        <f>'FR-16(7)(v)-1 Functional'!I259</f>
        <v>0</v>
      </c>
      <c r="G259" s="542">
        <f t="shared" si="76"/>
        <v>0</v>
      </c>
      <c r="H259" s="533">
        <f t="shared" si="72"/>
        <v>0</v>
      </c>
      <c r="I259" s="534">
        <f t="shared" si="73"/>
        <v>0</v>
      </c>
      <c r="J259" s="345">
        <f t="shared" si="74"/>
        <v>0</v>
      </c>
      <c r="K259" s="345">
        <f t="shared" si="75"/>
        <v>0</v>
      </c>
    </row>
    <row r="260" spans="1:11" ht="13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3">
        <f>'FR-16(7)(v)-1 Functional'!I260</f>
        <v>0</v>
      </c>
      <c r="G260" s="542">
        <f t="shared" si="76"/>
        <v>0</v>
      </c>
      <c r="H260" s="533">
        <f t="shared" si="72"/>
        <v>0</v>
      </c>
      <c r="I260" s="534">
        <f t="shared" si="73"/>
        <v>0</v>
      </c>
      <c r="J260" s="345">
        <f t="shared" si="74"/>
        <v>0</v>
      </c>
      <c r="K260" s="345">
        <f t="shared" si="75"/>
        <v>0</v>
      </c>
    </row>
    <row r="261" spans="1:11" ht="13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3">
        <f>'FR-16(7)(v)-1 Functional'!I261</f>
        <v>0</v>
      </c>
      <c r="G261" s="542">
        <f t="shared" si="76"/>
        <v>0</v>
      </c>
      <c r="H261" s="533">
        <f t="shared" si="72"/>
        <v>0</v>
      </c>
      <c r="I261" s="534">
        <f t="shared" si="73"/>
        <v>0</v>
      </c>
      <c r="J261" s="345">
        <f t="shared" si="74"/>
        <v>0</v>
      </c>
      <c r="K261" s="345">
        <f t="shared" si="75"/>
        <v>0</v>
      </c>
    </row>
    <row r="262" spans="1:11" ht="13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3">
        <f>'FR-16(7)(v)-1 Functional'!I262</f>
        <v>0</v>
      </c>
      <c r="G262" s="542">
        <f t="shared" si="76"/>
        <v>0</v>
      </c>
      <c r="H262" s="533">
        <f t="shared" si="72"/>
        <v>0</v>
      </c>
      <c r="I262" s="534">
        <f t="shared" si="73"/>
        <v>0</v>
      </c>
      <c r="J262" s="345">
        <f t="shared" si="74"/>
        <v>0</v>
      </c>
      <c r="K262" s="345">
        <f t="shared" si="75"/>
        <v>0</v>
      </c>
    </row>
    <row r="263" spans="1:11" ht="13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3">
        <f>'FR-16(7)(v)-1 Functional'!I263</f>
        <v>0</v>
      </c>
      <c r="G263" s="542">
        <f t="shared" si="76"/>
        <v>0</v>
      </c>
      <c r="H263" s="533">
        <f t="shared" si="72"/>
        <v>0</v>
      </c>
      <c r="I263" s="534">
        <f t="shared" si="73"/>
        <v>0</v>
      </c>
      <c r="J263" s="345">
        <f t="shared" si="74"/>
        <v>0</v>
      </c>
      <c r="K263" s="345">
        <f t="shared" si="75"/>
        <v>0</v>
      </c>
    </row>
    <row r="264" spans="1:11" ht="13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3">
        <f>'FR-16(7)(v)-1 Functional'!I264</f>
        <v>0</v>
      </c>
      <c r="G264" s="542">
        <f t="shared" si="76"/>
        <v>0</v>
      </c>
      <c r="H264" s="533">
        <f t="shared" si="72"/>
        <v>0</v>
      </c>
      <c r="I264" s="534">
        <f t="shared" si="73"/>
        <v>0</v>
      </c>
      <c r="J264" s="345">
        <f t="shared" si="74"/>
        <v>0</v>
      </c>
      <c r="K264" s="345">
        <f t="shared" si="75"/>
        <v>0</v>
      </c>
    </row>
    <row r="265" spans="1:11" ht="13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3">
        <f>'FR-16(7)(v)-1 Functional'!I265</f>
        <v>0</v>
      </c>
      <c r="G265" s="542">
        <f t="shared" si="76"/>
        <v>0</v>
      </c>
      <c r="H265" s="533">
        <f t="shared" si="72"/>
        <v>0</v>
      </c>
      <c r="I265" s="534">
        <f t="shared" si="73"/>
        <v>0</v>
      </c>
      <c r="J265" s="345">
        <f t="shared" si="74"/>
        <v>0</v>
      </c>
      <c r="K265" s="345">
        <f t="shared" si="75"/>
        <v>0</v>
      </c>
    </row>
    <row r="266" spans="1:11" ht="13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3">
        <f>'FR-16(7)(v)-1 Functional'!I266</f>
        <v>0</v>
      </c>
      <c r="G266" s="542">
        <f t="shared" si="76"/>
        <v>0</v>
      </c>
      <c r="H266" s="533">
        <f t="shared" si="72"/>
        <v>0</v>
      </c>
      <c r="I266" s="534">
        <f t="shared" si="73"/>
        <v>0</v>
      </c>
      <c r="J266" s="345">
        <f t="shared" si="74"/>
        <v>0</v>
      </c>
      <c r="K266" s="345">
        <f t="shared" si="75"/>
        <v>0</v>
      </c>
    </row>
    <row r="267" spans="1:11" ht="13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3">
        <f>'FR-16(7)(v)-1 Functional'!I267</f>
        <v>0</v>
      </c>
      <c r="G267" s="542">
        <f t="shared" si="76"/>
        <v>0</v>
      </c>
      <c r="H267" s="533">
        <f t="shared" si="72"/>
        <v>0</v>
      </c>
      <c r="I267" s="534">
        <f t="shared" si="73"/>
        <v>0</v>
      </c>
      <c r="J267" s="345">
        <f t="shared" si="74"/>
        <v>0</v>
      </c>
      <c r="K267" s="345">
        <f t="shared" si="75"/>
        <v>0</v>
      </c>
    </row>
    <row r="268" spans="1:11" ht="13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3">
        <f>'FR-16(7)(v)-1 Functional'!I268</f>
        <v>0</v>
      </c>
      <c r="G268" s="542">
        <f t="shared" si="76"/>
        <v>0</v>
      </c>
      <c r="H268" s="533">
        <f t="shared" si="72"/>
        <v>0</v>
      </c>
      <c r="I268" s="534">
        <f t="shared" si="73"/>
        <v>0</v>
      </c>
      <c r="J268" s="345">
        <f t="shared" si="74"/>
        <v>0</v>
      </c>
      <c r="K268" s="345">
        <f t="shared" si="75"/>
        <v>0</v>
      </c>
    </row>
    <row r="269" spans="1:11" ht="13">
      <c r="A269" s="331">
        <v>20</v>
      </c>
      <c r="C269" s="483" t="str">
        <f>'FR-16(7)(v)-1 Functional'!C269</f>
        <v>401K INCENTIVE PLAN</v>
      </c>
      <c r="D269" s="342" t="str">
        <f>'FR-16(7)(v)-1 Functional'!D269</f>
        <v>AG39</v>
      </c>
      <c r="F269" s="473">
        <f>'FR-16(7)(v)-1 Functional'!I269</f>
        <v>0</v>
      </c>
      <c r="G269" s="542">
        <f t="shared" si="76"/>
        <v>0</v>
      </c>
      <c r="H269" s="533">
        <f t="shared" si="72"/>
        <v>0</v>
      </c>
      <c r="I269" s="534">
        <f t="shared" si="73"/>
        <v>0</v>
      </c>
      <c r="J269" s="345">
        <f t="shared" si="74"/>
        <v>0</v>
      </c>
      <c r="K269" s="345">
        <f t="shared" si="75"/>
        <v>0</v>
      </c>
    </row>
    <row r="270" spans="1:11" ht="13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3">
        <f>'FR-16(7)(v)-1 Functional'!I270</f>
        <v>0</v>
      </c>
      <c r="G270" s="542">
        <f t="shared" si="76"/>
        <v>0</v>
      </c>
      <c r="H270" s="533">
        <f t="shared" si="72"/>
        <v>0</v>
      </c>
      <c r="I270" s="534">
        <f t="shared" si="73"/>
        <v>0</v>
      </c>
      <c r="J270" s="345">
        <f t="shared" si="74"/>
        <v>0</v>
      </c>
      <c r="K270" s="345">
        <f t="shared" si="75"/>
        <v>0</v>
      </c>
    </row>
    <row r="271" spans="1:11" ht="13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3">
        <f>'FR-16(7)(v)-1 Functional'!I271</f>
        <v>0</v>
      </c>
      <c r="G271" s="542">
        <f t="shared" si="76"/>
        <v>0</v>
      </c>
      <c r="H271" s="533">
        <f t="shared" si="72"/>
        <v>0</v>
      </c>
      <c r="I271" s="534">
        <f t="shared" si="73"/>
        <v>0</v>
      </c>
      <c r="J271" s="345">
        <f t="shared" si="74"/>
        <v>0</v>
      </c>
      <c r="K271" s="345">
        <f t="shared" si="75"/>
        <v>0</v>
      </c>
    </row>
    <row r="272" spans="1:11" ht="13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3">
        <f>'FR-16(7)(v)-1 Functional'!I272</f>
        <v>0</v>
      </c>
      <c r="G272" s="542">
        <f t="shared" si="76"/>
        <v>0</v>
      </c>
      <c r="H272" s="533">
        <f t="shared" si="72"/>
        <v>0</v>
      </c>
      <c r="I272" s="534">
        <f t="shared" si="73"/>
        <v>0</v>
      </c>
      <c r="J272" s="345">
        <f t="shared" si="74"/>
        <v>0</v>
      </c>
      <c r="K272" s="345">
        <f t="shared" si="75"/>
        <v>0</v>
      </c>
    </row>
    <row r="273" spans="1:11" ht="13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3">
        <f>'FR-16(7)(v)-1 Functional'!I273</f>
        <v>0</v>
      </c>
      <c r="G273" s="542">
        <f t="shared" si="76"/>
        <v>0</v>
      </c>
      <c r="H273" s="533">
        <f t="shared" si="72"/>
        <v>0</v>
      </c>
      <c r="I273" s="534">
        <f t="shared" si="73"/>
        <v>0</v>
      </c>
      <c r="J273" s="345">
        <f t="shared" si="74"/>
        <v>0</v>
      </c>
      <c r="K273" s="345">
        <f t="shared" si="75"/>
        <v>0</v>
      </c>
    </row>
    <row r="274" spans="1:11" ht="13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3">
        <f>'FR-16(7)(v)-1 Functional'!I274</f>
        <v>427872</v>
      </c>
      <c r="G274" s="542">
        <f t="shared" si="76"/>
        <v>234666</v>
      </c>
      <c r="H274" s="533">
        <f t="shared" si="72"/>
        <v>0</v>
      </c>
      <c r="I274" s="534">
        <f t="shared" si="73"/>
        <v>193206</v>
      </c>
      <c r="J274" s="345">
        <f t="shared" si="74"/>
        <v>427872</v>
      </c>
      <c r="K274" s="345">
        <f t="shared" si="75"/>
        <v>0</v>
      </c>
    </row>
    <row r="275" spans="1:11" ht="13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K275" si="77">SUM(F251:F274)</f>
        <v>427872</v>
      </c>
      <c r="G275" s="543">
        <f t="shared" si="77"/>
        <v>234666</v>
      </c>
      <c r="H275" s="535">
        <f t="shared" si="77"/>
        <v>0</v>
      </c>
      <c r="I275" s="536">
        <f t="shared" si="77"/>
        <v>193206</v>
      </c>
      <c r="J275" s="346">
        <f t="shared" si="77"/>
        <v>427872</v>
      </c>
      <c r="K275" s="346">
        <f t="shared" si="77"/>
        <v>0</v>
      </c>
    </row>
    <row r="276" spans="1:11" ht="13">
      <c r="A276" s="331">
        <v>27</v>
      </c>
      <c r="D276" s="342"/>
      <c r="E276" s="195"/>
      <c r="G276" s="541"/>
      <c r="H276" s="531"/>
      <c r="I276" s="532"/>
    </row>
    <row r="277" spans="1:11" ht="13">
      <c r="A277" s="331">
        <v>28</v>
      </c>
      <c r="B277" s="330" t="s">
        <v>30</v>
      </c>
      <c r="D277" s="342"/>
      <c r="E277" s="195"/>
      <c r="G277" s="541"/>
      <c r="H277" s="531"/>
      <c r="I277" s="532"/>
    </row>
    <row r="278" spans="1:11" ht="13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3">
        <f>'FR-16(7)(v)-1 Functional'!I278</f>
        <v>0</v>
      </c>
      <c r="G278" s="542">
        <f>F278-SUM(H278:I278)</f>
        <v>0</v>
      </c>
      <c r="H278" s="533">
        <f>ROUND(F278*VLOOKUP(D278,Alloctable_Classified_Distribution,$H$10,FALSE),0)</f>
        <v>0</v>
      </c>
      <c r="I278" s="534">
        <f>ROUND(F278*VLOOKUP(D278,Alloctable_Classified_Distribution,$I$10,FALSE),0)</f>
        <v>0</v>
      </c>
      <c r="J278" s="345">
        <f>SUM(G278:I278)</f>
        <v>0</v>
      </c>
      <c r="K278" s="345">
        <f>F278-J278</f>
        <v>0</v>
      </c>
    </row>
    <row r="279" spans="1:11" ht="13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1">
        <f>'FR-16(7)(v)-1 Functional'!I279</f>
        <v>0</v>
      </c>
      <c r="G279" s="542">
        <f>ROUND(F279*VLOOKUP(D279,Alloctable_Classified_Distribution,$G$10,FALSE),0)</f>
        <v>0</v>
      </c>
      <c r="H279" s="533">
        <f>ROUND(F279*VLOOKUP(D279,Alloctable_Classified_Distribution,$H$10,FALSE),0)</f>
        <v>0</v>
      </c>
      <c r="I279" s="534">
        <f>ROUND(F279*VLOOKUP(D279,Alloctable_Classified_Distribution,$I$10,FALSE),0)</f>
        <v>0</v>
      </c>
      <c r="J279" s="345">
        <f>SUM(G279:I279)</f>
        <v>0</v>
      </c>
      <c r="K279" s="345">
        <f>F279-J279</f>
        <v>0</v>
      </c>
    </row>
    <row r="280" spans="1:11" ht="13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1">
        <v>0</v>
      </c>
      <c r="G280" s="542">
        <f>ROUND(F280*VLOOKUP(D280,Alloctable_Classified_Distribution,$G$10,FALSE),0)</f>
        <v>0</v>
      </c>
      <c r="H280" s="533">
        <f>ROUND(F280*VLOOKUP(D280,Alloctable_Classified_Distribution,$H$10,FALSE),0)</f>
        <v>0</v>
      </c>
      <c r="I280" s="534">
        <f>ROUND(F280*VLOOKUP(D280,Alloctable_Classified_Distribution,$I$10,FALSE),0)</f>
        <v>0</v>
      </c>
      <c r="J280" s="345">
        <f>SUM(G280:I280)</f>
        <v>0</v>
      </c>
      <c r="K280" s="345">
        <f>F280-J280</f>
        <v>0</v>
      </c>
    </row>
    <row r="281" spans="1:11" ht="13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543">
        <f>SUM(G277:G280)</f>
        <v>0</v>
      </c>
      <c r="H281" s="535">
        <f>SUM(H277:H280)</f>
        <v>0</v>
      </c>
      <c r="I281" s="536">
        <f>SUM(I277:I280)</f>
        <v>0</v>
      </c>
      <c r="J281" s="346">
        <f>SUM(J277:J280)</f>
        <v>0</v>
      </c>
      <c r="K281" s="346">
        <f>SUM(K277:K280)</f>
        <v>0</v>
      </c>
    </row>
    <row r="282" spans="1:11" ht="13">
      <c r="A282" s="331">
        <v>33</v>
      </c>
      <c r="D282" s="342"/>
      <c r="F282" s="333" t="s">
        <v>343</v>
      </c>
      <c r="G282" s="541"/>
      <c r="H282" s="531"/>
      <c r="I282" s="532"/>
    </row>
    <row r="283" spans="1:11" ht="13">
      <c r="A283" s="331">
        <v>34</v>
      </c>
      <c r="B283" s="330" t="s">
        <v>818</v>
      </c>
      <c r="D283" s="342"/>
      <c r="F283" s="345">
        <f t="shared" ref="F283:K283" si="78">F275+F281</f>
        <v>427872</v>
      </c>
      <c r="G283" s="544">
        <f t="shared" si="78"/>
        <v>234666</v>
      </c>
      <c r="H283" s="537">
        <f t="shared" si="78"/>
        <v>0</v>
      </c>
      <c r="I283" s="538">
        <f t="shared" si="78"/>
        <v>193206</v>
      </c>
      <c r="J283" s="345">
        <f t="shared" si="78"/>
        <v>427872</v>
      </c>
      <c r="K283" s="345">
        <f t="shared" si="78"/>
        <v>0</v>
      </c>
    </row>
    <row r="284" spans="1:11" ht="13">
      <c r="B284" s="341"/>
      <c r="C284" s="195"/>
      <c r="D284" s="342"/>
      <c r="E284" s="195"/>
      <c r="F284" s="195"/>
      <c r="G284" s="195"/>
      <c r="H284" s="195"/>
      <c r="I284" s="195"/>
      <c r="J284" s="195"/>
      <c r="K284" s="195"/>
    </row>
    <row r="285" spans="1:11" ht="13">
      <c r="A285" s="341" t="str">
        <f>co_name</f>
        <v>DUKE ENERGY KENTUCKY, INC.</v>
      </c>
      <c r="C285" s="195"/>
      <c r="D285" s="342"/>
      <c r="E285" s="195"/>
      <c r="F285" s="195"/>
      <c r="G285" s="195"/>
      <c r="H285" s="195"/>
      <c r="I285" s="195"/>
      <c r="J285" s="195" t="str">
        <f>$J$1</f>
        <v>FR-16(7)(v)-4</v>
      </c>
      <c r="K285" s="195"/>
    </row>
    <row r="286" spans="1:11" ht="13">
      <c r="A286" s="341" t="str">
        <f>$A$2</f>
        <v>DISTRIBUTION CLASSIFIED - GAS COST OF SERVICE</v>
      </c>
      <c r="C286" s="195"/>
      <c r="D286" s="342"/>
      <c r="E286" s="195"/>
      <c r="F286" s="195"/>
      <c r="G286" s="195"/>
      <c r="H286" s="195"/>
      <c r="I286" s="195"/>
      <c r="J286" s="195" t="str">
        <f>$J$2</f>
        <v>WITNESS RESPONSIBLE:</v>
      </c>
      <c r="K286" s="195"/>
    </row>
    <row r="287" spans="1:11" ht="13">
      <c r="A287" s="341" t="str">
        <f>case_name</f>
        <v>CASE NO: 2021-00190</v>
      </c>
      <c r="C287" s="195"/>
      <c r="D287" s="342"/>
      <c r="E287" s="195"/>
      <c r="F287" s="195"/>
      <c r="G287" s="195"/>
      <c r="H287" s="195"/>
      <c r="I287" s="195"/>
      <c r="J287" s="195" t="str">
        <f>Witness</f>
        <v>JAMES E. ZIOLKOWSKI</v>
      </c>
      <c r="K287" s="195"/>
    </row>
    <row r="288" spans="1:11" ht="13">
      <c r="A288" s="341" t="str">
        <f>data_filing</f>
        <v>DATA: 12 MONTH FORECASTED PERIOD</v>
      </c>
      <c r="C288" s="195"/>
      <c r="D288" s="342"/>
      <c r="E288" s="195"/>
      <c r="F288" s="195"/>
      <c r="G288" s="195"/>
      <c r="H288" s="195"/>
      <c r="I288" s="195"/>
      <c r="J288" s="195" t="str">
        <f>"PAGE "&amp;Pages-11&amp;" OF "&amp;Pages</f>
        <v>PAGE 7 OF 18</v>
      </c>
      <c r="K288" s="195"/>
    </row>
    <row r="289" spans="1:13" ht="13">
      <c r="A289" s="341" t="str">
        <f>type</f>
        <v xml:space="preserve">TYPE OF FILING: "X" ORIGINAL   UPDATED    REVISED  </v>
      </c>
      <c r="C289" s="195"/>
      <c r="D289" s="342"/>
      <c r="E289" s="195"/>
      <c r="F289" s="195"/>
      <c r="G289" s="195"/>
      <c r="H289" s="195"/>
      <c r="I289" s="195"/>
      <c r="J289" s="195"/>
      <c r="K289" s="195"/>
    </row>
    <row r="290" spans="1:13" ht="13">
      <c r="B290" s="341"/>
      <c r="C290" s="195"/>
      <c r="D290" s="342"/>
      <c r="E290" s="195"/>
      <c r="F290" s="195"/>
      <c r="G290" s="195"/>
      <c r="H290" s="195"/>
      <c r="I290" s="195"/>
      <c r="J290" s="195"/>
      <c r="K290" s="195"/>
    </row>
    <row r="291" spans="1:13" ht="13">
      <c r="B291" s="341"/>
      <c r="C291" s="195"/>
      <c r="D291" s="342"/>
      <c r="E291" s="195"/>
      <c r="F291" s="195"/>
      <c r="G291" s="195"/>
      <c r="H291" s="195"/>
      <c r="I291" s="195"/>
      <c r="J291" s="195"/>
      <c r="K291" s="195"/>
    </row>
    <row r="292" spans="1:13" ht="13">
      <c r="A292" s="342" t="s">
        <v>907</v>
      </c>
      <c r="B292" s="195"/>
      <c r="C292" s="195"/>
      <c r="D292" s="342"/>
      <c r="E292" s="195"/>
      <c r="F292" s="342" t="s">
        <v>229</v>
      </c>
      <c r="G292" s="539" t="s">
        <v>995</v>
      </c>
      <c r="H292" s="527"/>
      <c r="I292" s="528"/>
      <c r="J292" s="342" t="s">
        <v>229</v>
      </c>
      <c r="K292" s="342" t="s">
        <v>342</v>
      </c>
    </row>
    <row r="293" spans="1:13" ht="13">
      <c r="A293" s="344" t="s">
        <v>908</v>
      </c>
      <c r="B293" s="343" t="s">
        <v>32</v>
      </c>
      <c r="C293" s="343"/>
      <c r="D293" s="344" t="s">
        <v>337</v>
      </c>
      <c r="E293" s="343"/>
      <c r="F293" s="344" t="s">
        <v>839</v>
      </c>
      <c r="G293" s="540" t="s">
        <v>840</v>
      </c>
      <c r="H293" s="529" t="s">
        <v>841</v>
      </c>
      <c r="I293" s="530" t="s">
        <v>842</v>
      </c>
      <c r="J293" s="344" t="s">
        <v>341</v>
      </c>
      <c r="K293" s="344" t="s">
        <v>340</v>
      </c>
    </row>
    <row r="294" spans="1:13" ht="13">
      <c r="C294" s="572" t="s">
        <v>556</v>
      </c>
      <c r="D294" s="342"/>
      <c r="E294" s="484"/>
      <c r="F294" s="485"/>
      <c r="G294" s="793">
        <f>$G$10</f>
        <v>3</v>
      </c>
      <c r="H294" s="794">
        <f>$H$10</f>
        <v>4</v>
      </c>
      <c r="I294" s="795">
        <f>$I$10</f>
        <v>5</v>
      </c>
      <c r="J294" s="484"/>
      <c r="K294" s="484"/>
    </row>
    <row r="295" spans="1:13" ht="13">
      <c r="C295" s="572"/>
      <c r="D295" s="342"/>
      <c r="E295" s="484"/>
      <c r="F295" s="485"/>
      <c r="G295" s="793"/>
      <c r="H295" s="794"/>
      <c r="I295" s="795"/>
      <c r="J295" s="484"/>
      <c r="K295" s="484"/>
    </row>
    <row r="296" spans="1:13" ht="13">
      <c r="A296" s="331">
        <v>1</v>
      </c>
      <c r="B296" s="330" t="s">
        <v>31</v>
      </c>
      <c r="D296" s="342"/>
      <c r="E296" s="195"/>
      <c r="F296" s="345">
        <f t="shared" ref="F296:K296" si="79">F191-F238+F283</f>
        <v>459981736</v>
      </c>
      <c r="G296" s="542">
        <f t="shared" si="79"/>
        <v>285209731</v>
      </c>
      <c r="H296" s="533">
        <f t="shared" si="79"/>
        <v>0</v>
      </c>
      <c r="I296" s="534">
        <f t="shared" si="79"/>
        <v>174772005</v>
      </c>
      <c r="J296" s="345">
        <f t="shared" si="79"/>
        <v>459981736</v>
      </c>
      <c r="K296" s="345">
        <f t="shared" si="79"/>
        <v>0</v>
      </c>
    </row>
    <row r="297" spans="1:13" ht="13">
      <c r="A297" s="331">
        <v>2</v>
      </c>
      <c r="D297" s="342"/>
      <c r="E297" s="195"/>
      <c r="G297" s="541"/>
      <c r="H297" s="531"/>
      <c r="I297" s="532"/>
    </row>
    <row r="298" spans="1:13" ht="13">
      <c r="A298" s="331">
        <v>3</v>
      </c>
      <c r="B298" s="330" t="s">
        <v>32</v>
      </c>
      <c r="D298" s="342"/>
      <c r="E298" s="195"/>
      <c r="G298" s="541"/>
      <c r="H298" s="531"/>
      <c r="I298" s="532"/>
    </row>
    <row r="299" spans="1:13" ht="13">
      <c r="A299" s="331">
        <v>4</v>
      </c>
      <c r="D299" s="342"/>
      <c r="E299" s="195"/>
      <c r="G299" s="541"/>
      <c r="H299" s="531"/>
      <c r="I299" s="532"/>
    </row>
    <row r="300" spans="1:13" ht="13">
      <c r="A300" s="331">
        <v>5</v>
      </c>
      <c r="B300" s="330" t="s">
        <v>33</v>
      </c>
      <c r="D300" s="342"/>
      <c r="E300" s="195"/>
      <c r="G300" s="541"/>
      <c r="H300" s="531"/>
      <c r="I300" s="532"/>
    </row>
    <row r="301" spans="1:13" ht="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3">
        <f>'FR-16(7)(v)-1 Functional'!I301</f>
        <v>0</v>
      </c>
      <c r="G301" s="542">
        <f>ROUND(F301*VLOOKUP(D301,Alloctable_Classified_Distribution,$G$10,FALSE),0)</f>
        <v>0</v>
      </c>
      <c r="H301" s="533">
        <f>ROUND(F301*VLOOKUP(D301,Alloctable_Classified_Distribution,$H$10,FALSE),0)</f>
        <v>0</v>
      </c>
      <c r="I301" s="534">
        <f>ROUND(F301*VLOOKUP(D301,Alloctable_Classified_Distribution,$I$10,FALSE),0)</f>
        <v>0</v>
      </c>
      <c r="J301" s="345">
        <f>SUM(G301:I301)</f>
        <v>0</v>
      </c>
      <c r="K301" s="345">
        <f>F301-J301</f>
        <v>0</v>
      </c>
      <c r="M301" s="333"/>
    </row>
    <row r="302" spans="1:13" ht="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3">
        <f>'FR-16(7)(v)-1 Functional'!I302</f>
        <v>418388</v>
      </c>
      <c r="G302" s="542">
        <f>ROUND(F302*VLOOKUP(D302,Alloctable_Classified_Distribution,$G$10,FALSE),0)</f>
        <v>259484</v>
      </c>
      <c r="H302" s="533">
        <f>ROUND(F302*VLOOKUP(D302,Alloctable_Classified_Distribution,$H$10,FALSE),0)</f>
        <v>0</v>
      </c>
      <c r="I302" s="534">
        <f>ROUND(F302*VLOOKUP(D302,Alloctable_Classified_Distribution,$I$10,FALSE),0)</f>
        <v>158904</v>
      </c>
      <c r="J302" s="345">
        <f>SUM(G302:I302)</f>
        <v>418388</v>
      </c>
      <c r="K302" s="345">
        <f>F302-J302</f>
        <v>0</v>
      </c>
      <c r="M302" s="333"/>
    </row>
    <row r="303" spans="1:13" ht="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K303" si="80">SUM(F300:F302)</f>
        <v>418388</v>
      </c>
      <c r="G303" s="543">
        <f t="shared" si="80"/>
        <v>259484</v>
      </c>
      <c r="H303" s="535">
        <f t="shared" si="80"/>
        <v>0</v>
      </c>
      <c r="I303" s="536">
        <f t="shared" si="80"/>
        <v>158904</v>
      </c>
      <c r="J303" s="346">
        <f t="shared" si="80"/>
        <v>418388</v>
      </c>
      <c r="K303" s="346">
        <f t="shared" si="80"/>
        <v>0</v>
      </c>
    </row>
    <row r="304" spans="1:13" ht="13">
      <c r="A304" s="331">
        <v>9</v>
      </c>
      <c r="B304" s="330" t="s">
        <v>34</v>
      </c>
      <c r="D304" s="342"/>
      <c r="E304" s="195"/>
      <c r="F304" s="345">
        <f t="shared" ref="F304:K304" si="81">F303</f>
        <v>418388</v>
      </c>
      <c r="G304" s="542">
        <f t="shared" si="81"/>
        <v>259484</v>
      </c>
      <c r="H304" s="533">
        <f t="shared" si="81"/>
        <v>0</v>
      </c>
      <c r="I304" s="534">
        <f t="shared" si="81"/>
        <v>158904</v>
      </c>
      <c r="J304" s="345">
        <f t="shared" si="81"/>
        <v>418388</v>
      </c>
      <c r="K304" s="345">
        <f t="shared" si="81"/>
        <v>0</v>
      </c>
    </row>
    <row r="305" spans="1:13" ht="13">
      <c r="A305" s="331">
        <v>10</v>
      </c>
      <c r="D305" s="342"/>
      <c r="E305" s="195"/>
      <c r="G305" s="541"/>
      <c r="H305" s="531"/>
      <c r="I305" s="532"/>
    </row>
    <row r="306" spans="1:13" ht="13">
      <c r="A306" s="331">
        <v>11</v>
      </c>
      <c r="B306" s="330" t="s">
        <v>35</v>
      </c>
      <c r="D306" s="342"/>
      <c r="E306" s="195"/>
      <c r="G306" s="541"/>
      <c r="H306" s="531"/>
      <c r="I306" s="532"/>
    </row>
    <row r="307" spans="1:13" ht="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3">
        <f>'FR-16(7)(v)-1 Functional'!I307</f>
        <v>31268</v>
      </c>
      <c r="G307" s="542">
        <f>ROUND(F307*VLOOKUP(D307,Alloctable_Classified_Distribution,$G$10,FALSE),0)</f>
        <v>15794</v>
      </c>
      <c r="H307" s="533">
        <f>ROUND(F307*VLOOKUP(D307,Alloctable_Classified_Distribution,$H$10,FALSE),0)</f>
        <v>0</v>
      </c>
      <c r="I307" s="534">
        <f>ROUND(F307*VLOOKUP(D307,Alloctable_Classified_Distribution,$I$10,FALSE),0)</f>
        <v>15474</v>
      </c>
      <c r="J307" s="345">
        <f>SUM(G307:I307)</f>
        <v>31268</v>
      </c>
      <c r="K307" s="345">
        <f>F307-J307</f>
        <v>0</v>
      </c>
      <c r="M307" s="333"/>
    </row>
    <row r="308" spans="1:13" ht="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3">
        <f>'FR-16(7)(v)-1 Functional'!I308</f>
        <v>0</v>
      </c>
      <c r="G308" s="542">
        <f>ROUND(F308*VLOOKUP(D308,Alloctable_Classified_Distribution,$G$10,FALSE),0)</f>
        <v>0</v>
      </c>
      <c r="H308" s="533">
        <f>ROUND(F308*VLOOKUP(D308,Alloctable_Classified_Distribution,$H$10,FALSE),0)</f>
        <v>0</v>
      </c>
      <c r="I308" s="534">
        <f>ROUND(F308*VLOOKUP(D308,Alloctable_Classified_Distribution,$I$10,FALSE),0)</f>
        <v>0</v>
      </c>
      <c r="J308" s="345">
        <f>SUM(G308:I308)</f>
        <v>0</v>
      </c>
      <c r="K308" s="345">
        <f>F308-J308</f>
        <v>0</v>
      </c>
      <c r="M308" s="333"/>
    </row>
    <row r="309" spans="1:13" ht="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3">
        <f>'FR-16(7)(v)-1 Functional'!I309</f>
        <v>0</v>
      </c>
      <c r="G309" s="542">
        <f>ROUND(F309*VLOOKUP(D309,Alloctable_Classified_Distribution,$G$10,FALSE),0)</f>
        <v>0</v>
      </c>
      <c r="H309" s="533">
        <f>ROUND(F309*VLOOKUP(D309,Alloctable_Classified_Distribution,$H$10,FALSE),0)</f>
        <v>0</v>
      </c>
      <c r="I309" s="534">
        <f>ROUND(F309*VLOOKUP(D309,Alloctable_Classified_Distribution,$I$10,FALSE),0)</f>
        <v>0</v>
      </c>
      <c r="J309" s="345">
        <f>SUM(G309:I309)</f>
        <v>0</v>
      </c>
      <c r="K309" s="345">
        <f>F309-J309</f>
        <v>0</v>
      </c>
      <c r="M309" s="333"/>
    </row>
    <row r="310" spans="1:13" ht="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3">
        <f t="shared" ref="F310:K310" si="82">SUM(F306:F309)</f>
        <v>31268</v>
      </c>
      <c r="G310" s="574">
        <f t="shared" si="82"/>
        <v>15794</v>
      </c>
      <c r="H310" s="575">
        <f t="shared" si="82"/>
        <v>0</v>
      </c>
      <c r="I310" s="576">
        <f t="shared" si="82"/>
        <v>15474</v>
      </c>
      <c r="J310" s="573">
        <f t="shared" si="82"/>
        <v>31268</v>
      </c>
      <c r="K310" s="573">
        <f t="shared" si="82"/>
        <v>0</v>
      </c>
    </row>
    <row r="311" spans="1:13" ht="13">
      <c r="A311" s="331">
        <v>16</v>
      </c>
      <c r="D311" s="342"/>
      <c r="E311" s="195"/>
      <c r="G311" s="541"/>
      <c r="H311" s="531"/>
      <c r="I311" s="532"/>
    </row>
    <row r="312" spans="1:13" ht="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542">
        <f>IF(WorkingCap="No",0,ROUND((G433-G348-G353)/8,0))</f>
        <v>0</v>
      </c>
      <c r="H312" s="533">
        <f>IF(WorkingCap="No",0,ROUND((H433-H348-H353)/8,0))</f>
        <v>0</v>
      </c>
      <c r="I312" s="534">
        <f>IF(WorkingCap="No",0,ROUND((I433-I348-I353)/8,0))</f>
        <v>0</v>
      </c>
      <c r="J312" s="345">
        <f>SUM(G312:I312)</f>
        <v>0</v>
      </c>
      <c r="K312" s="345">
        <f>F312-J312</f>
        <v>0</v>
      </c>
    </row>
    <row r="313" spans="1:13" ht="13">
      <c r="A313" s="331">
        <v>18</v>
      </c>
      <c r="B313" s="330" t="s">
        <v>37</v>
      </c>
      <c r="D313" s="342"/>
      <c r="E313" s="195"/>
      <c r="F313" s="345">
        <f t="shared" ref="F313:K313" si="83">F312</f>
        <v>0</v>
      </c>
      <c r="G313" s="542">
        <f t="shared" si="83"/>
        <v>0</v>
      </c>
      <c r="H313" s="533">
        <f t="shared" si="83"/>
        <v>0</v>
      </c>
      <c r="I313" s="534">
        <f t="shared" si="83"/>
        <v>0</v>
      </c>
      <c r="J313" s="345">
        <f t="shared" si="83"/>
        <v>0</v>
      </c>
      <c r="K313" s="345">
        <f t="shared" si="83"/>
        <v>0</v>
      </c>
    </row>
    <row r="314" spans="1:13" ht="13">
      <c r="A314" s="331">
        <v>19</v>
      </c>
      <c r="D314" s="342"/>
      <c r="E314" s="195"/>
      <c r="G314" s="541"/>
      <c r="H314" s="531"/>
      <c r="I314" s="532"/>
    </row>
    <row r="315" spans="1:13" ht="13">
      <c r="A315" s="331">
        <v>20</v>
      </c>
      <c r="B315" s="330" t="s">
        <v>38</v>
      </c>
      <c r="D315" s="342"/>
      <c r="E315" s="195"/>
      <c r="G315" s="541"/>
      <c r="H315" s="531"/>
      <c r="I315" s="532"/>
    </row>
    <row r="316" spans="1:13" ht="13">
      <c r="A316" s="331">
        <v>21</v>
      </c>
      <c r="C316" s="612" t="str">
        <f>'FR-16(7)(v)-1 Functional'!C316</f>
        <v>GAS STORED UNDERGROUND</v>
      </c>
      <c r="D316" s="342" t="str">
        <f>'FR-16(7)(v)-1 Functional'!D316</f>
        <v>K301</v>
      </c>
      <c r="E316" s="195"/>
      <c r="F316" s="473">
        <f>'FR-16(7)(v)-1 Functional'!I316</f>
        <v>0</v>
      </c>
      <c r="G316" s="542">
        <f>ROUND(F316*VLOOKUP(D316,Alloctable_Classified_Distribution,$G$10,FALSE),0)</f>
        <v>0</v>
      </c>
      <c r="H316" s="533">
        <f>ROUND(F316*VLOOKUP(D316,Alloctable_Classified_Distribution,$H$10,FALSE),0)</f>
        <v>0</v>
      </c>
      <c r="I316" s="534">
        <f>ROUND(F316*VLOOKUP(D316,Alloctable_Classified_Distribution,$I$10,FALSE),0)</f>
        <v>0</v>
      </c>
      <c r="J316" s="345">
        <f>SUM(G316:I316)</f>
        <v>0</v>
      </c>
      <c r="K316" s="345">
        <f>F316-J316</f>
        <v>0</v>
      </c>
      <c r="M316" s="333"/>
    </row>
    <row r="317" spans="1:13" ht="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3">
        <f>'FR-16(7)(v)-1 Functional'!I317</f>
        <v>0</v>
      </c>
      <c r="G317" s="542">
        <f>ROUND(F317*VLOOKUP(D317,Alloctable_Classified_Distribution,$G$10,FALSE),0)</f>
        <v>0</v>
      </c>
      <c r="H317" s="533">
        <f>ROUND(F317*VLOOKUP(D317,Alloctable_Classified_Distribution,$H$10,FALSE),0)</f>
        <v>0</v>
      </c>
      <c r="I317" s="534">
        <f>ROUND(F317*VLOOKUP(D317,Alloctable_Classified_Distribution,$I$10,FALSE),0)</f>
        <v>0</v>
      </c>
      <c r="J317" s="345">
        <f>SUM(G317:I317)</f>
        <v>0</v>
      </c>
      <c r="K317" s="345">
        <f>F317-J317</f>
        <v>0</v>
      </c>
      <c r="M317" s="333"/>
    </row>
    <row r="318" spans="1:13" ht="13">
      <c r="A318" s="331">
        <v>23</v>
      </c>
      <c r="C318" s="505" t="str">
        <f>'FR-16(7)(v)-1 Functional'!C318</f>
        <v>RESERVED FOR FUTURE USE</v>
      </c>
      <c r="D318" s="342" t="str">
        <f>'FR-16(7)(v)-1 Functional'!D318</f>
        <v>D249</v>
      </c>
      <c r="E318" s="195"/>
      <c r="F318" s="473">
        <f>'FR-16(7)(v)-1 Functional'!I318</f>
        <v>0</v>
      </c>
      <c r="G318" s="542">
        <f>ROUND(F318*VLOOKUP(D318,Alloctable_Classified_Distribution,$G$10,FALSE),0)</f>
        <v>0</v>
      </c>
      <c r="H318" s="533">
        <f>ROUND(F318*VLOOKUP(D318,Alloctable_Classified_Distribution,$H$10,FALSE),0)</f>
        <v>0</v>
      </c>
      <c r="I318" s="534">
        <f>ROUND(F318*VLOOKUP(D318,Alloctable_Classified_Distribution,$I$10,FALSE),0)</f>
        <v>0</v>
      </c>
      <c r="J318" s="345">
        <f>SUM(G318:I318)</f>
        <v>0</v>
      </c>
      <c r="K318" s="345">
        <f>F318-J318</f>
        <v>0</v>
      </c>
      <c r="M318" s="333"/>
    </row>
    <row r="319" spans="1:13" ht="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K319" si="84">SUM(F315:F318)</f>
        <v>0</v>
      </c>
      <c r="G319" s="543">
        <f t="shared" si="84"/>
        <v>0</v>
      </c>
      <c r="H319" s="535">
        <f t="shared" si="84"/>
        <v>0</v>
      </c>
      <c r="I319" s="536">
        <f t="shared" si="84"/>
        <v>0</v>
      </c>
      <c r="J319" s="346">
        <f t="shared" si="84"/>
        <v>0</v>
      </c>
      <c r="K319" s="346">
        <f t="shared" si="84"/>
        <v>0</v>
      </c>
    </row>
    <row r="320" spans="1:13" ht="13">
      <c r="A320" s="331">
        <v>25</v>
      </c>
      <c r="D320" s="342"/>
      <c r="E320" s="195"/>
      <c r="G320" s="541"/>
      <c r="H320" s="531"/>
      <c r="I320" s="532"/>
    </row>
    <row r="321" spans="1:13" ht="13">
      <c r="A321" s="331">
        <v>26</v>
      </c>
      <c r="B321" s="330" t="s">
        <v>39</v>
      </c>
      <c r="D321" s="342"/>
      <c r="E321" s="195"/>
      <c r="F321" s="345">
        <f t="shared" ref="F321:K321" si="85">F304+F310+F313+F319</f>
        <v>449656</v>
      </c>
      <c r="G321" s="542">
        <f t="shared" si="85"/>
        <v>275278</v>
      </c>
      <c r="H321" s="533">
        <f t="shared" si="85"/>
        <v>0</v>
      </c>
      <c r="I321" s="534">
        <f t="shared" si="85"/>
        <v>174378</v>
      </c>
      <c r="J321" s="345">
        <f t="shared" si="85"/>
        <v>449656</v>
      </c>
      <c r="K321" s="345">
        <f t="shared" si="85"/>
        <v>0</v>
      </c>
    </row>
    <row r="322" spans="1:13" ht="13">
      <c r="A322" s="331">
        <v>27</v>
      </c>
      <c r="B322" s="330" t="s">
        <v>40</v>
      </c>
      <c r="D322" s="342"/>
      <c r="E322" s="195"/>
      <c r="G322" s="541"/>
      <c r="H322" s="531"/>
      <c r="I322" s="532"/>
    </row>
    <row r="323" spans="1:13" ht="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K323" si="86">-F238</f>
        <v>-100276460</v>
      </c>
      <c r="G323" s="542">
        <f t="shared" si="86"/>
        <v>-62229602</v>
      </c>
      <c r="H323" s="533">
        <f t="shared" si="86"/>
        <v>0</v>
      </c>
      <c r="I323" s="534">
        <f t="shared" si="86"/>
        <v>-38046858</v>
      </c>
      <c r="J323" s="345">
        <f t="shared" si="86"/>
        <v>-100276460</v>
      </c>
      <c r="K323" s="345">
        <f t="shared" si="86"/>
        <v>0</v>
      </c>
      <c r="M323" s="333"/>
    </row>
    <row r="324" spans="1:13" ht="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K324" si="87">F283</f>
        <v>427872</v>
      </c>
      <c r="G324" s="542">
        <f t="shared" si="87"/>
        <v>234666</v>
      </c>
      <c r="H324" s="533">
        <f t="shared" si="87"/>
        <v>0</v>
      </c>
      <c r="I324" s="534">
        <f t="shared" si="87"/>
        <v>193206</v>
      </c>
      <c r="J324" s="345">
        <f t="shared" si="87"/>
        <v>427872</v>
      </c>
      <c r="K324" s="345">
        <f t="shared" si="87"/>
        <v>0</v>
      </c>
      <c r="M324" s="333"/>
    </row>
    <row r="325" spans="1:13" ht="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K325" si="88">F321</f>
        <v>449656</v>
      </c>
      <c r="G325" s="542">
        <f t="shared" si="88"/>
        <v>275278</v>
      </c>
      <c r="H325" s="533">
        <f t="shared" si="88"/>
        <v>0</v>
      </c>
      <c r="I325" s="534">
        <f t="shared" si="88"/>
        <v>174378</v>
      </c>
      <c r="J325" s="345">
        <f t="shared" si="88"/>
        <v>449656</v>
      </c>
      <c r="K325" s="345">
        <f t="shared" si="88"/>
        <v>0</v>
      </c>
      <c r="M325" s="333"/>
    </row>
    <row r="326" spans="1:13" ht="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K326" si="89">SUM(F322:F325)</f>
        <v>-99398932</v>
      </c>
      <c r="G326" s="543">
        <f t="shared" si="89"/>
        <v>-61719658</v>
      </c>
      <c r="H326" s="535">
        <f t="shared" si="89"/>
        <v>0</v>
      </c>
      <c r="I326" s="536">
        <f t="shared" si="89"/>
        <v>-37679274</v>
      </c>
      <c r="J326" s="346">
        <f>SUM(J322:J325)</f>
        <v>-99398932</v>
      </c>
      <c r="K326" s="346">
        <f t="shared" si="89"/>
        <v>0</v>
      </c>
    </row>
    <row r="327" spans="1:13" ht="13">
      <c r="A327" s="331">
        <v>32</v>
      </c>
      <c r="D327" s="342"/>
      <c r="E327" s="195"/>
      <c r="G327" s="541"/>
      <c r="H327" s="531"/>
      <c r="I327" s="532"/>
    </row>
    <row r="328" spans="1:13" ht="13">
      <c r="A328" s="331">
        <v>33</v>
      </c>
      <c r="B328" s="330" t="s">
        <v>41</v>
      </c>
      <c r="D328" s="342"/>
      <c r="E328" s="195"/>
      <c r="G328" s="541"/>
      <c r="H328" s="531"/>
      <c r="I328" s="532"/>
    </row>
    <row r="329" spans="1:13" ht="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K329" si="90">F191</f>
        <v>559830324</v>
      </c>
      <c r="G329" s="542">
        <f t="shared" si="90"/>
        <v>347204667</v>
      </c>
      <c r="H329" s="533">
        <f t="shared" si="90"/>
        <v>0</v>
      </c>
      <c r="I329" s="534">
        <f t="shared" si="90"/>
        <v>212625657</v>
      </c>
      <c r="J329" s="345">
        <f t="shared" si="90"/>
        <v>559830324</v>
      </c>
      <c r="K329" s="345">
        <f t="shared" si="90"/>
        <v>0</v>
      </c>
    </row>
    <row r="330" spans="1:13" ht="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K330" si="91">F326</f>
        <v>-99398932</v>
      </c>
      <c r="G330" s="542">
        <f t="shared" si="91"/>
        <v>-61719658</v>
      </c>
      <c r="H330" s="533">
        <f t="shared" si="91"/>
        <v>0</v>
      </c>
      <c r="I330" s="534">
        <f t="shared" si="91"/>
        <v>-37679274</v>
      </c>
      <c r="J330" s="345">
        <f t="shared" si="91"/>
        <v>-99398932</v>
      </c>
      <c r="K330" s="345">
        <f t="shared" si="91"/>
        <v>0</v>
      </c>
    </row>
    <row r="331" spans="1:13" ht="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K331" si="92">SUM(F328:F330)</f>
        <v>460431392</v>
      </c>
      <c r="G331" s="543">
        <f t="shared" si="92"/>
        <v>285485009</v>
      </c>
      <c r="H331" s="535">
        <f t="shared" si="92"/>
        <v>0</v>
      </c>
      <c r="I331" s="536">
        <f t="shared" si="92"/>
        <v>174946383</v>
      </c>
      <c r="J331" s="346">
        <f>SUM(J328:J330)</f>
        <v>460431392</v>
      </c>
      <c r="K331" s="346">
        <f t="shared" si="92"/>
        <v>0</v>
      </c>
    </row>
    <row r="332" spans="1:13" ht="13">
      <c r="A332" s="331">
        <v>37</v>
      </c>
      <c r="D332" s="342"/>
      <c r="E332" s="195"/>
      <c r="G332" s="541"/>
      <c r="H332" s="531"/>
      <c r="I332" s="532"/>
    </row>
    <row r="333" spans="1:13" ht="13">
      <c r="A333" s="331">
        <v>38</v>
      </c>
      <c r="B333" s="330" t="s">
        <v>42</v>
      </c>
      <c r="D333" s="342"/>
      <c r="E333" s="195"/>
      <c r="F333" s="348">
        <f>$F$688</f>
        <v>7.060000000000001E-2</v>
      </c>
      <c r="G333" s="1267">
        <f>F688</f>
        <v>7.060000000000001E-2</v>
      </c>
      <c r="H333" s="1268">
        <f>F688</f>
        <v>7.060000000000001E-2</v>
      </c>
      <c r="I333" s="1269">
        <f>F688</f>
        <v>7.060000000000001E-2</v>
      </c>
      <c r="J333" s="348">
        <f>F688</f>
        <v>7.060000000000001E-2</v>
      </c>
      <c r="K333" s="348">
        <f>'FR-16(7)(v)-1 Functional'!F688</f>
        <v>7.060000000000001E-2</v>
      </c>
    </row>
    <row r="334" spans="1:13" ht="13">
      <c r="A334" s="331">
        <v>39</v>
      </c>
      <c r="B334" s="330" t="s">
        <v>43</v>
      </c>
      <c r="D334" s="342"/>
      <c r="E334" s="195"/>
      <c r="F334" s="345">
        <f>ROUND(F333*F331,0)</f>
        <v>32506456</v>
      </c>
      <c r="G334" s="548">
        <f>ROUND(G331*G333,0)</f>
        <v>20155242</v>
      </c>
      <c r="H334" s="549">
        <f>ROUND(H331*H333,0)</f>
        <v>0</v>
      </c>
      <c r="I334" s="550">
        <f>ROUND(I331*I333,0)</f>
        <v>12351215</v>
      </c>
      <c r="J334" s="345">
        <f>SUM(G334:I334)</f>
        <v>32506457</v>
      </c>
      <c r="K334" s="345">
        <f>ROUND(K331*K333,0)</f>
        <v>0</v>
      </c>
    </row>
    <row r="335" spans="1:13" ht="13">
      <c r="B335" s="341"/>
      <c r="C335" s="195"/>
      <c r="D335" s="342"/>
      <c r="E335" s="195"/>
      <c r="F335" s="195"/>
      <c r="G335" s="195"/>
      <c r="H335" s="195"/>
      <c r="I335" s="195"/>
      <c r="J335" s="195"/>
      <c r="K335" s="195"/>
    </row>
    <row r="336" spans="1:13" ht="13">
      <c r="A336" s="341" t="str">
        <f>co_name</f>
        <v>DUKE ENERGY KENTUCKY, INC.</v>
      </c>
      <c r="C336" s="195"/>
      <c r="D336" s="342"/>
      <c r="E336" s="195"/>
      <c r="F336" s="195"/>
      <c r="G336" s="195"/>
      <c r="H336" s="195"/>
      <c r="I336" s="195"/>
      <c r="J336" s="195" t="str">
        <f>$J$1</f>
        <v>FR-16(7)(v)-4</v>
      </c>
      <c r="K336" s="195"/>
    </row>
    <row r="337" spans="1:11" ht="13">
      <c r="A337" s="341" t="str">
        <f>$A$2</f>
        <v>DISTRIBUTION CLASSIFIED - GAS COST OF SERVICE</v>
      </c>
      <c r="C337" s="195"/>
      <c r="D337" s="342"/>
      <c r="E337" s="195"/>
      <c r="F337" s="195"/>
      <c r="G337" s="195"/>
      <c r="H337" s="195"/>
      <c r="I337" s="195"/>
      <c r="J337" s="195" t="str">
        <f>$J$2</f>
        <v>WITNESS RESPONSIBLE:</v>
      </c>
      <c r="K337" s="195"/>
    </row>
    <row r="338" spans="1:11" ht="13">
      <c r="A338" s="341" t="str">
        <f>case_name</f>
        <v>CASE NO: 2021-00190</v>
      </c>
      <c r="C338" s="195"/>
      <c r="D338" s="342"/>
      <c r="E338" s="195"/>
      <c r="F338" s="195"/>
      <c r="G338" s="195"/>
      <c r="H338" s="195"/>
      <c r="I338" s="195"/>
      <c r="J338" s="195" t="str">
        <f>Witness</f>
        <v>JAMES E. ZIOLKOWSKI</v>
      </c>
      <c r="K338" s="195"/>
    </row>
    <row r="339" spans="1:11" ht="13">
      <c r="A339" s="341" t="str">
        <f>data_filing</f>
        <v>DATA: 12 MONTH FORECASTED PERIOD</v>
      </c>
      <c r="C339" s="195"/>
      <c r="D339" s="342"/>
      <c r="E339" s="195"/>
      <c r="F339" s="195"/>
      <c r="G339" s="195"/>
      <c r="H339" s="195"/>
      <c r="I339" s="195"/>
      <c r="J339" s="195" t="str">
        <f>"PAGE "&amp;Pages-10&amp;" OF "&amp;Pages</f>
        <v>PAGE 8 OF 18</v>
      </c>
      <c r="K339" s="195"/>
    </row>
    <row r="340" spans="1:11" ht="13">
      <c r="A340" s="341" t="str">
        <f>type</f>
        <v xml:space="preserve">TYPE OF FILING: "X" ORIGINAL   UPDATED    REVISED  </v>
      </c>
      <c r="C340" s="195"/>
      <c r="D340" s="342"/>
      <c r="E340" s="195"/>
      <c r="F340" s="195"/>
      <c r="G340" s="195"/>
      <c r="H340" s="195"/>
      <c r="I340" s="195"/>
      <c r="J340" s="195"/>
      <c r="K340" s="195"/>
    </row>
    <row r="341" spans="1:11" ht="13">
      <c r="B341" s="341"/>
      <c r="C341" s="195"/>
      <c r="D341" s="342"/>
      <c r="E341" s="195"/>
      <c r="F341" s="195"/>
      <c r="G341" s="195"/>
      <c r="H341" s="195"/>
      <c r="I341" s="195"/>
      <c r="J341" s="195"/>
      <c r="K341" s="195"/>
    </row>
    <row r="342" spans="1:11" ht="13">
      <c r="B342" s="341"/>
      <c r="C342" s="195"/>
      <c r="D342" s="342"/>
      <c r="E342" s="195"/>
      <c r="F342" s="195"/>
      <c r="G342" s="195"/>
      <c r="H342" s="195"/>
      <c r="I342" s="195"/>
      <c r="J342" s="195"/>
      <c r="K342" s="195"/>
    </row>
    <row r="343" spans="1:11" ht="13">
      <c r="A343" s="342" t="s">
        <v>907</v>
      </c>
      <c r="B343" s="195"/>
      <c r="C343" s="195"/>
      <c r="D343" s="342"/>
      <c r="E343" s="195"/>
      <c r="F343" s="342" t="s">
        <v>229</v>
      </c>
      <c r="G343" s="539" t="s">
        <v>995</v>
      </c>
      <c r="H343" s="527"/>
      <c r="I343" s="528"/>
      <c r="J343" s="342" t="s">
        <v>229</v>
      </c>
      <c r="K343" s="342" t="s">
        <v>342</v>
      </c>
    </row>
    <row r="344" spans="1:11" ht="13">
      <c r="A344" s="344" t="s">
        <v>908</v>
      </c>
      <c r="B344" s="343" t="s">
        <v>44</v>
      </c>
      <c r="C344" s="343"/>
      <c r="D344" s="344" t="s">
        <v>337</v>
      </c>
      <c r="E344" s="343"/>
      <c r="F344" s="344" t="s">
        <v>839</v>
      </c>
      <c r="G344" s="540" t="s">
        <v>840</v>
      </c>
      <c r="H344" s="529" t="s">
        <v>841</v>
      </c>
      <c r="I344" s="530" t="s">
        <v>842</v>
      </c>
      <c r="J344" s="344" t="s">
        <v>341</v>
      </c>
      <c r="K344" s="344" t="s">
        <v>340</v>
      </c>
    </row>
    <row r="345" spans="1:11" ht="13">
      <c r="C345" s="572" t="s">
        <v>348</v>
      </c>
      <c r="D345" s="342"/>
      <c r="E345" s="195"/>
      <c r="G345" s="793">
        <f>$G$10</f>
        <v>3</v>
      </c>
      <c r="H345" s="794">
        <f>$H$10</f>
        <v>4</v>
      </c>
      <c r="I345" s="795">
        <f>$I$10</f>
        <v>5</v>
      </c>
    </row>
    <row r="346" spans="1:11" ht="13">
      <c r="A346" s="331">
        <v>1</v>
      </c>
      <c r="B346" s="330" t="s">
        <v>45</v>
      </c>
      <c r="D346" s="342"/>
      <c r="E346" s="195"/>
      <c r="G346" s="541"/>
      <c r="H346" s="531"/>
      <c r="I346" s="532"/>
    </row>
    <row r="347" spans="1:11" ht="13">
      <c r="A347" s="331">
        <v>2</v>
      </c>
      <c r="B347" s="330" t="s">
        <v>46</v>
      </c>
      <c r="D347" s="342"/>
      <c r="E347" s="195"/>
      <c r="G347" s="541"/>
      <c r="H347" s="531"/>
      <c r="I347" s="532"/>
    </row>
    <row r="348" spans="1:11" ht="13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3">
        <f>'FR-16(7)(v)-1 Functional'!I348</f>
        <v>0</v>
      </c>
      <c r="G348" s="542">
        <f>F348-SUM(H348:I348)</f>
        <v>0</v>
      </c>
      <c r="H348" s="533">
        <f>ROUND(F348*VLOOKUP(D348,Alloctable_Classified_Distribution,$H$10,FALSE),0)</f>
        <v>0</v>
      </c>
      <c r="I348" s="534">
        <f>ROUND(F348*VLOOKUP(D348,Alloctable_Classified_Distribution,$I$10,FALSE),0)</f>
        <v>0</v>
      </c>
      <c r="J348" s="345">
        <f>SUM(G348:I348)</f>
        <v>0</v>
      </c>
      <c r="K348" s="345">
        <f>F348-J348</f>
        <v>0</v>
      </c>
    </row>
    <row r="349" spans="1:11" ht="13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3">
        <f>'FR-16(7)(v)-1 Functional'!I349</f>
        <v>0</v>
      </c>
      <c r="G349" s="542">
        <f>F349-SUM(H349:I349)</f>
        <v>0</v>
      </c>
      <c r="H349" s="533">
        <f>ROUND(F349*VLOOKUP(D349,Alloctable_Classified_Distribution,$H$10,FALSE),0)</f>
        <v>0</v>
      </c>
      <c r="I349" s="534">
        <f>ROUND(F349*VLOOKUP(D349,Alloctable_Classified_Distribution,$I$10,FALSE),0)</f>
        <v>0</v>
      </c>
      <c r="J349" s="345">
        <f>SUM(G349:I349)</f>
        <v>0</v>
      </c>
      <c r="K349" s="345">
        <f>F349-J349</f>
        <v>0</v>
      </c>
    </row>
    <row r="350" spans="1:11" ht="13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K350" si="93">SUM(F348:F349)</f>
        <v>0</v>
      </c>
      <c r="G350" s="543">
        <f t="shared" si="93"/>
        <v>0</v>
      </c>
      <c r="H350" s="535">
        <f t="shared" si="93"/>
        <v>0</v>
      </c>
      <c r="I350" s="536">
        <f t="shared" si="93"/>
        <v>0</v>
      </c>
      <c r="J350" s="346">
        <f t="shared" si="93"/>
        <v>0</v>
      </c>
      <c r="K350" s="346">
        <f t="shared" si="93"/>
        <v>0</v>
      </c>
    </row>
    <row r="351" spans="1:11" ht="13">
      <c r="A351" s="331">
        <v>6</v>
      </c>
      <c r="D351" s="342"/>
      <c r="E351" s="195"/>
      <c r="G351" s="541"/>
      <c r="H351" s="531"/>
      <c r="I351" s="532"/>
    </row>
    <row r="352" spans="1:11" ht="13">
      <c r="A352" s="331">
        <v>7</v>
      </c>
      <c r="B352" s="357" t="s">
        <v>47</v>
      </c>
      <c r="C352" s="357"/>
      <c r="D352" s="342"/>
      <c r="E352" s="195"/>
      <c r="F352" s="345"/>
      <c r="G352" s="542"/>
      <c r="H352" s="533"/>
      <c r="I352" s="534"/>
      <c r="J352" s="345"/>
      <c r="K352" s="345"/>
    </row>
    <row r="353" spans="1:11" ht="13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1">
        <v>0</v>
      </c>
      <c r="G353" s="542">
        <f>ROUND(F353*VLOOKUP(D353,Alloctable_Classified_Distribution,$G$10,FALSE),0)</f>
        <v>0</v>
      </c>
      <c r="H353" s="533">
        <f>ROUND(F353*VLOOKUP(D353,Alloctable_Classified_Distribution,$H$10,FALSE),0)</f>
        <v>0</v>
      </c>
      <c r="I353" s="534">
        <f>ROUND(F353*VLOOKUP(D353,Alloctable_Classified_Distribution,$I$10,FALSE),0)</f>
        <v>0</v>
      </c>
      <c r="J353" s="345">
        <f>SUM(G353:I353)</f>
        <v>0</v>
      </c>
      <c r="K353" s="345">
        <f>F353-J353</f>
        <v>0</v>
      </c>
    </row>
    <row r="354" spans="1:11" ht="13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K354" si="94">SUM(F352:F353)</f>
        <v>0</v>
      </c>
      <c r="G354" s="543">
        <f t="shared" si="94"/>
        <v>0</v>
      </c>
      <c r="H354" s="535">
        <f t="shared" si="94"/>
        <v>0</v>
      </c>
      <c r="I354" s="536">
        <f t="shared" si="94"/>
        <v>0</v>
      </c>
      <c r="J354" s="346">
        <f t="shared" si="94"/>
        <v>0</v>
      </c>
      <c r="K354" s="346">
        <f t="shared" si="94"/>
        <v>0</v>
      </c>
    </row>
    <row r="355" spans="1:11" ht="13">
      <c r="A355" s="331">
        <v>10</v>
      </c>
      <c r="D355" s="342"/>
      <c r="E355" s="195"/>
      <c r="G355" s="541"/>
      <c r="H355" s="531"/>
      <c r="I355" s="532"/>
    </row>
    <row r="356" spans="1:11" ht="13">
      <c r="A356" s="331">
        <v>11</v>
      </c>
      <c r="B356" s="330" t="s">
        <v>1000</v>
      </c>
      <c r="D356" s="342"/>
      <c r="E356" s="195"/>
      <c r="G356" s="541"/>
      <c r="H356" s="531"/>
      <c r="I356" s="532"/>
    </row>
    <row r="357" spans="1:11" ht="13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3">
        <f>'FR-16(7)(v)-1 Functional'!I357</f>
        <v>0</v>
      </c>
      <c r="G357" s="542">
        <f>F357-SUM(H357:I357)</f>
        <v>0</v>
      </c>
      <c r="H357" s="533">
        <f>ROUND(F357*VLOOKUP(D357,Alloctable_Classified_Distribution,$H$10,FALSE),0)</f>
        <v>0</v>
      </c>
      <c r="I357" s="534">
        <f>ROUND(F357*VLOOKUP(D357,Alloctable_Classified_Distribution,$I$10,FALSE),0)</f>
        <v>0</v>
      </c>
      <c r="J357" s="345">
        <f>SUM(G357:I357)</f>
        <v>0</v>
      </c>
      <c r="K357" s="345">
        <f>F357-J357</f>
        <v>0</v>
      </c>
    </row>
    <row r="358" spans="1:11" ht="13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K358" si="95">SUM(F356:F357)</f>
        <v>0</v>
      </c>
      <c r="G358" s="543">
        <f t="shared" si="95"/>
        <v>0</v>
      </c>
      <c r="H358" s="535">
        <f t="shared" si="95"/>
        <v>0</v>
      </c>
      <c r="I358" s="536">
        <f t="shared" si="95"/>
        <v>0</v>
      </c>
      <c r="J358" s="346">
        <f t="shared" si="95"/>
        <v>0</v>
      </c>
      <c r="K358" s="346">
        <f t="shared" si="95"/>
        <v>0</v>
      </c>
    </row>
    <row r="359" spans="1:11" ht="13">
      <c r="A359" s="331">
        <v>14</v>
      </c>
      <c r="D359" s="342"/>
      <c r="E359" s="195"/>
      <c r="F359" s="345"/>
      <c r="G359" s="542"/>
      <c r="H359" s="533"/>
      <c r="I359" s="534"/>
      <c r="J359" s="345"/>
      <c r="K359" s="345"/>
    </row>
    <row r="360" spans="1:11" ht="13">
      <c r="A360" s="331">
        <v>15</v>
      </c>
      <c r="B360" s="330" t="s">
        <v>48</v>
      </c>
      <c r="D360" s="342"/>
      <c r="E360" s="195" t="s">
        <v>343</v>
      </c>
      <c r="F360" s="345">
        <f t="shared" ref="F360:K360" si="96">F358+F354+F350</f>
        <v>0</v>
      </c>
      <c r="G360" s="542">
        <f t="shared" si="96"/>
        <v>0</v>
      </c>
      <c r="H360" s="533">
        <f t="shared" si="96"/>
        <v>0</v>
      </c>
      <c r="I360" s="534">
        <f t="shared" si="96"/>
        <v>0</v>
      </c>
      <c r="J360" s="345">
        <f t="shared" si="96"/>
        <v>0</v>
      </c>
      <c r="K360" s="345">
        <f t="shared" si="96"/>
        <v>0</v>
      </c>
    </row>
    <row r="361" spans="1:11" ht="13">
      <c r="A361" s="331">
        <v>16</v>
      </c>
      <c r="D361" s="342"/>
      <c r="E361" s="195"/>
      <c r="G361" s="541"/>
      <c r="H361" s="531"/>
      <c r="I361" s="532"/>
    </row>
    <row r="362" spans="1:11" ht="13">
      <c r="A362" s="331">
        <v>17</v>
      </c>
      <c r="B362" s="330" t="s">
        <v>49</v>
      </c>
      <c r="D362" s="342"/>
      <c r="E362" s="195"/>
      <c r="G362" s="541"/>
      <c r="H362" s="531"/>
      <c r="I362" s="532"/>
    </row>
    <row r="363" spans="1:11" ht="13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1"/>
      <c r="G363" s="542"/>
      <c r="H363" s="533"/>
      <c r="I363" s="534"/>
      <c r="J363" s="345"/>
      <c r="K363" s="345"/>
    </row>
    <row r="364" spans="1:11" ht="13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K364" si="97">SUM(F363)</f>
        <v>0</v>
      </c>
      <c r="G364" s="543">
        <f t="shared" si="97"/>
        <v>0</v>
      </c>
      <c r="H364" s="535">
        <f t="shared" si="97"/>
        <v>0</v>
      </c>
      <c r="I364" s="536">
        <f t="shared" si="97"/>
        <v>0</v>
      </c>
      <c r="J364" s="346">
        <f t="shared" si="97"/>
        <v>0</v>
      </c>
      <c r="K364" s="346">
        <f t="shared" si="97"/>
        <v>0</v>
      </c>
    </row>
    <row r="365" spans="1:11" ht="13">
      <c r="A365" s="331">
        <v>20</v>
      </c>
      <c r="D365" s="342"/>
      <c r="E365" s="195"/>
      <c r="G365" s="541"/>
      <c r="H365" s="531"/>
      <c r="I365" s="532"/>
    </row>
    <row r="366" spans="1:11" ht="13">
      <c r="A366" s="331">
        <v>21</v>
      </c>
      <c r="B366" s="330" t="s">
        <v>50</v>
      </c>
      <c r="D366" s="342"/>
      <c r="E366" s="195"/>
      <c r="G366" s="541"/>
      <c r="H366" s="531"/>
      <c r="I366" s="532"/>
    </row>
    <row r="367" spans="1:11" ht="13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3">
        <f>'FR-16(7)(v)-1 Functional'!I367</f>
        <v>258339</v>
      </c>
      <c r="G367" s="542">
        <f t="shared" ref="G367:G377" si="98">F367-SUM(H367:I367)</f>
        <v>258339</v>
      </c>
      <c r="H367" s="533">
        <f t="shared" ref="H367:H377" si="99">ROUND(F367*VLOOKUP(D367,Alloctable_Classified_Distribution,$H$10,FALSE),0)</f>
        <v>0</v>
      </c>
      <c r="I367" s="534">
        <f t="shared" ref="I367:I377" si="100">ROUND(F367*VLOOKUP(D367,Alloctable_Classified_Distribution,$I$10,FALSE),0)</f>
        <v>0</v>
      </c>
      <c r="J367" s="345">
        <f t="shared" ref="J367:J377" si="101">SUM(G367:I367)</f>
        <v>258339</v>
      </c>
      <c r="K367" s="345">
        <f t="shared" ref="K367:K377" si="102">F367-J367</f>
        <v>0</v>
      </c>
    </row>
    <row r="368" spans="1:11" ht="13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3">
        <f>'FR-16(7)(v)-1 Functional'!I368</f>
        <v>1332086</v>
      </c>
      <c r="G368" s="542">
        <f t="shared" si="98"/>
        <v>842385</v>
      </c>
      <c r="H368" s="533">
        <f t="shared" si="99"/>
        <v>0</v>
      </c>
      <c r="I368" s="534">
        <f t="shared" si="100"/>
        <v>489701</v>
      </c>
      <c r="J368" s="345">
        <f t="shared" si="101"/>
        <v>1332086</v>
      </c>
      <c r="K368" s="345">
        <f t="shared" si="102"/>
        <v>0</v>
      </c>
    </row>
    <row r="369" spans="1:11" ht="13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3">
        <f>'FR-16(7)(v)-1 Functional'!I369</f>
        <v>198982</v>
      </c>
      <c r="G369" s="542">
        <f t="shared" si="98"/>
        <v>198982</v>
      </c>
      <c r="H369" s="533">
        <f t="shared" si="99"/>
        <v>0</v>
      </c>
      <c r="I369" s="534">
        <f t="shared" si="100"/>
        <v>0</v>
      </c>
      <c r="J369" s="345">
        <f t="shared" si="101"/>
        <v>198982</v>
      </c>
      <c r="K369" s="345">
        <f t="shared" si="102"/>
        <v>0</v>
      </c>
    </row>
    <row r="370" spans="1:11" ht="13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3">
        <f>'FR-16(7)(v)-1 Functional'!I370</f>
        <v>1294237</v>
      </c>
      <c r="G370" s="542">
        <f t="shared" si="98"/>
        <v>1294237</v>
      </c>
      <c r="H370" s="533">
        <f t="shared" si="99"/>
        <v>0</v>
      </c>
      <c r="I370" s="534">
        <f t="shared" si="100"/>
        <v>0</v>
      </c>
      <c r="J370" s="345">
        <f t="shared" si="101"/>
        <v>1294237</v>
      </c>
      <c r="K370" s="345">
        <f t="shared" si="102"/>
        <v>0</v>
      </c>
    </row>
    <row r="371" spans="1:11" ht="13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3">
        <f>'FR-16(7)(v)-1 Functional'!I371</f>
        <v>637813</v>
      </c>
      <c r="G371" s="542">
        <f t="shared" si="98"/>
        <v>0</v>
      </c>
      <c r="H371" s="533">
        <f t="shared" si="99"/>
        <v>0</v>
      </c>
      <c r="I371" s="534">
        <f t="shared" si="100"/>
        <v>637813</v>
      </c>
      <c r="J371" s="345">
        <f t="shared" si="101"/>
        <v>637813</v>
      </c>
      <c r="K371" s="345">
        <f t="shared" si="102"/>
        <v>0</v>
      </c>
    </row>
    <row r="372" spans="1:11" ht="13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3">
        <f>'FR-16(7)(v)-1 Functional'!I372</f>
        <v>1128603</v>
      </c>
      <c r="G372" s="542">
        <f t="shared" si="98"/>
        <v>1128603</v>
      </c>
      <c r="H372" s="533">
        <f t="shared" si="99"/>
        <v>0</v>
      </c>
      <c r="I372" s="534">
        <f t="shared" si="100"/>
        <v>0</v>
      </c>
      <c r="J372" s="345">
        <f t="shared" si="101"/>
        <v>1128603</v>
      </c>
      <c r="K372" s="345">
        <f t="shared" si="102"/>
        <v>0</v>
      </c>
    </row>
    <row r="373" spans="1:11" ht="13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3">
        <f>'FR-16(7)(v)-1 Functional'!I373</f>
        <v>647372</v>
      </c>
      <c r="G373" s="542">
        <f t="shared" si="98"/>
        <v>0</v>
      </c>
      <c r="H373" s="533">
        <f t="shared" si="99"/>
        <v>0</v>
      </c>
      <c r="I373" s="534">
        <f t="shared" si="100"/>
        <v>647372</v>
      </c>
      <c r="J373" s="345">
        <f t="shared" si="101"/>
        <v>647372</v>
      </c>
      <c r="K373" s="345">
        <f t="shared" si="102"/>
        <v>0</v>
      </c>
    </row>
    <row r="374" spans="1:11" ht="13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3">
        <f>'FR-16(7)(v)-1 Functional'!I374</f>
        <v>0</v>
      </c>
      <c r="G374" s="542">
        <f t="shared" si="98"/>
        <v>0</v>
      </c>
      <c r="H374" s="533">
        <f t="shared" si="99"/>
        <v>0</v>
      </c>
      <c r="I374" s="534">
        <f t="shared" si="100"/>
        <v>0</v>
      </c>
      <c r="J374" s="345">
        <f t="shared" si="101"/>
        <v>0</v>
      </c>
      <c r="K374" s="345">
        <f t="shared" si="102"/>
        <v>0</v>
      </c>
    </row>
    <row r="375" spans="1:11" ht="13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3">
        <f>'FR-16(7)(v)-1 Functional'!I375</f>
        <v>-53783</v>
      </c>
      <c r="G375" s="542">
        <f t="shared" si="98"/>
        <v>-53783</v>
      </c>
      <c r="H375" s="533">
        <f t="shared" si="99"/>
        <v>0</v>
      </c>
      <c r="I375" s="534">
        <f t="shared" si="100"/>
        <v>0</v>
      </c>
      <c r="J375" s="345">
        <f t="shared" si="101"/>
        <v>-53783</v>
      </c>
      <c r="K375" s="345">
        <f t="shared" si="102"/>
        <v>0</v>
      </c>
    </row>
    <row r="376" spans="1:11" ht="13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3">
        <f>'FR-16(7)(v)-1 Functional'!I376</f>
        <v>0</v>
      </c>
      <c r="G376" s="542">
        <f t="shared" si="98"/>
        <v>0</v>
      </c>
      <c r="H376" s="533">
        <f t="shared" si="99"/>
        <v>0</v>
      </c>
      <c r="I376" s="534">
        <f t="shared" si="100"/>
        <v>0</v>
      </c>
      <c r="J376" s="345">
        <f t="shared" si="101"/>
        <v>0</v>
      </c>
      <c r="K376" s="345">
        <f t="shared" si="102"/>
        <v>0</v>
      </c>
    </row>
    <row r="377" spans="1:11" ht="13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3">
        <f>'FR-16(7)(v)-1 Functional'!I377</f>
        <v>2870232</v>
      </c>
      <c r="G377" s="542">
        <f t="shared" si="98"/>
        <v>2870232</v>
      </c>
      <c r="H377" s="533">
        <f t="shared" si="99"/>
        <v>0</v>
      </c>
      <c r="I377" s="534">
        <f t="shared" si="100"/>
        <v>0</v>
      </c>
      <c r="J377" s="345">
        <f t="shared" si="101"/>
        <v>2870232</v>
      </c>
      <c r="K377" s="345">
        <f t="shared" si="102"/>
        <v>0</v>
      </c>
    </row>
    <row r="378" spans="1:11" ht="13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K378" si="103">SUM(F366:F377)</f>
        <v>8313881</v>
      </c>
      <c r="G378" s="543">
        <f t="shared" si="103"/>
        <v>6538995</v>
      </c>
      <c r="H378" s="535">
        <f t="shared" si="103"/>
        <v>0</v>
      </c>
      <c r="I378" s="536">
        <f t="shared" si="103"/>
        <v>1774886</v>
      </c>
      <c r="J378" s="346">
        <f t="shared" si="103"/>
        <v>8313881</v>
      </c>
      <c r="K378" s="346">
        <f t="shared" si="103"/>
        <v>0</v>
      </c>
    </row>
    <row r="379" spans="1:11" ht="13">
      <c r="A379" s="331">
        <v>34</v>
      </c>
      <c r="C379" s="330" t="s">
        <v>343</v>
      </c>
      <c r="D379" s="342"/>
      <c r="E379" s="195"/>
      <c r="G379" s="541"/>
      <c r="H379" s="531"/>
      <c r="I379" s="532"/>
    </row>
    <row r="380" spans="1:11" ht="13">
      <c r="A380" s="331">
        <v>35</v>
      </c>
      <c r="B380" s="330" t="s">
        <v>51</v>
      </c>
      <c r="D380" s="342"/>
      <c r="E380" s="195"/>
      <c r="F380" s="330" t="s">
        <v>343</v>
      </c>
      <c r="G380" s="541"/>
      <c r="H380" s="531"/>
      <c r="I380" s="532"/>
    </row>
    <row r="381" spans="1:11" ht="13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3">
        <f>'FR-16(7)(v)-1 Functional'!I381</f>
        <v>187499</v>
      </c>
      <c r="G381" s="542">
        <f t="shared" ref="G381:G388" si="104">F381-SUM(H381:I381)</f>
        <v>0</v>
      </c>
      <c r="H381" s="533">
        <f t="shared" ref="H381:H388" si="105">ROUND(F381*VLOOKUP(D381,Alloctable_Classified_Distribution,$H$10,FALSE),0)</f>
        <v>0</v>
      </c>
      <c r="I381" s="534">
        <f t="shared" ref="I381:I388" si="106">ROUND(F381*VLOOKUP(D381,Alloctable_Classified_Distribution,$I$10,FALSE),0)</f>
        <v>187499</v>
      </c>
      <c r="J381" s="345">
        <f t="shared" ref="J381:J388" si="107">SUM(G381:I381)</f>
        <v>187499</v>
      </c>
      <c r="K381" s="345">
        <f t="shared" ref="K381:K388" si="108">F381-J381</f>
        <v>0</v>
      </c>
    </row>
    <row r="382" spans="1:11" ht="13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3">
        <f>'FR-16(7)(v)-1 Functional'!I382</f>
        <v>950</v>
      </c>
      <c r="G382" s="542">
        <f t="shared" si="104"/>
        <v>0</v>
      </c>
      <c r="H382" s="533">
        <f t="shared" si="105"/>
        <v>0</v>
      </c>
      <c r="I382" s="534">
        <f t="shared" si="106"/>
        <v>950</v>
      </c>
      <c r="J382" s="345">
        <f t="shared" si="107"/>
        <v>950</v>
      </c>
      <c r="K382" s="345">
        <f t="shared" si="108"/>
        <v>0</v>
      </c>
    </row>
    <row r="383" spans="1:11" ht="13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3">
        <f>'FR-16(7)(v)-1 Functional'!I383</f>
        <v>4250853</v>
      </c>
      <c r="G383" s="542">
        <f t="shared" si="104"/>
        <v>0</v>
      </c>
      <c r="H383" s="533">
        <f t="shared" si="105"/>
        <v>0</v>
      </c>
      <c r="I383" s="534">
        <f t="shared" si="106"/>
        <v>4250853</v>
      </c>
      <c r="J383" s="345">
        <f t="shared" si="107"/>
        <v>4250853</v>
      </c>
      <c r="K383" s="345">
        <f t="shared" si="108"/>
        <v>0</v>
      </c>
    </row>
    <row r="384" spans="1:11" ht="13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3">
        <f>'FR-16(7)(v)-1 Functional'!I384</f>
        <v>-1227152</v>
      </c>
      <c r="G384" s="542">
        <f t="shared" si="104"/>
        <v>0</v>
      </c>
      <c r="H384" s="533">
        <f t="shared" si="105"/>
        <v>0</v>
      </c>
      <c r="I384" s="534">
        <f t="shared" si="106"/>
        <v>-1227152</v>
      </c>
      <c r="J384" s="345">
        <f t="shared" si="107"/>
        <v>-1227152</v>
      </c>
      <c r="K384" s="345">
        <f t="shared" si="108"/>
        <v>0</v>
      </c>
    </row>
    <row r="385" spans="1:11" ht="13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3">
        <f>'FR-16(7)(v)-1 Functional'!I385</f>
        <v>-29240</v>
      </c>
      <c r="G385" s="542">
        <f t="shared" si="104"/>
        <v>0</v>
      </c>
      <c r="H385" s="533">
        <f t="shared" si="105"/>
        <v>0</v>
      </c>
      <c r="I385" s="534">
        <f t="shared" si="106"/>
        <v>-29240</v>
      </c>
      <c r="J385" s="345">
        <f t="shared" si="107"/>
        <v>-29240</v>
      </c>
      <c r="K385" s="345">
        <f t="shared" si="108"/>
        <v>0</v>
      </c>
    </row>
    <row r="386" spans="1:11" ht="13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3">
        <f>'FR-16(7)(v)-1 Functional'!I386</f>
        <v>1171882</v>
      </c>
      <c r="G386" s="542">
        <f t="shared" si="104"/>
        <v>0</v>
      </c>
      <c r="H386" s="533">
        <f t="shared" si="105"/>
        <v>0</v>
      </c>
      <c r="I386" s="534">
        <f t="shared" si="106"/>
        <v>1171882</v>
      </c>
      <c r="J386" s="345">
        <f t="shared" si="107"/>
        <v>1171882</v>
      </c>
      <c r="K386" s="345">
        <f t="shared" si="108"/>
        <v>0</v>
      </c>
    </row>
    <row r="387" spans="1:11" ht="13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3">
        <f>'FR-16(7)(v)-1 Functional'!I387</f>
        <v>0</v>
      </c>
      <c r="G387" s="542">
        <f t="shared" si="104"/>
        <v>0</v>
      </c>
      <c r="H387" s="533">
        <f t="shared" si="105"/>
        <v>0</v>
      </c>
      <c r="I387" s="534">
        <f t="shared" si="106"/>
        <v>0</v>
      </c>
      <c r="J387" s="345">
        <f t="shared" si="107"/>
        <v>0</v>
      </c>
      <c r="K387" s="345">
        <f t="shared" si="108"/>
        <v>0</v>
      </c>
    </row>
    <row r="388" spans="1:11" ht="13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3">
        <f>'FR-16(7)(v)-1 Functional'!I388</f>
        <v>0</v>
      </c>
      <c r="G388" s="542">
        <f t="shared" si="104"/>
        <v>0</v>
      </c>
      <c r="H388" s="533">
        <f t="shared" si="105"/>
        <v>0</v>
      </c>
      <c r="I388" s="534">
        <f t="shared" si="106"/>
        <v>0</v>
      </c>
      <c r="J388" s="345">
        <f t="shared" si="107"/>
        <v>0</v>
      </c>
      <c r="K388" s="345">
        <f t="shared" si="108"/>
        <v>0</v>
      </c>
    </row>
    <row r="389" spans="1:11" ht="13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K389" si="109">SUM(F380:F388)</f>
        <v>4354792</v>
      </c>
      <c r="G389" s="551">
        <f t="shared" si="109"/>
        <v>0</v>
      </c>
      <c r="H389" s="552">
        <f t="shared" si="109"/>
        <v>0</v>
      </c>
      <c r="I389" s="553">
        <f t="shared" si="109"/>
        <v>4354792</v>
      </c>
      <c r="J389" s="346">
        <f t="shared" si="109"/>
        <v>4354792</v>
      </c>
      <c r="K389" s="346">
        <f t="shared" si="109"/>
        <v>0</v>
      </c>
    </row>
    <row r="390" spans="1:11" ht="13">
      <c r="B390" s="341"/>
      <c r="C390" s="195"/>
      <c r="D390" s="342"/>
      <c r="E390" s="195"/>
      <c r="F390" s="195"/>
      <c r="G390" s="195"/>
      <c r="H390" s="195"/>
      <c r="I390" s="195"/>
      <c r="J390" s="195"/>
      <c r="K390" s="195"/>
    </row>
    <row r="391" spans="1:11" ht="13">
      <c r="A391" s="341" t="str">
        <f>co_name</f>
        <v>DUKE ENERGY KENTUCKY, INC.</v>
      </c>
      <c r="C391" s="195"/>
      <c r="D391" s="342"/>
      <c r="E391" s="195"/>
      <c r="F391" s="195"/>
      <c r="G391" s="195"/>
      <c r="H391" s="195"/>
      <c r="I391" s="195"/>
      <c r="J391" s="195" t="str">
        <f>$J$1</f>
        <v>FR-16(7)(v)-4</v>
      </c>
      <c r="K391" s="195"/>
    </row>
    <row r="392" spans="1:11" ht="13">
      <c r="A392" s="341" t="str">
        <f>$A$2</f>
        <v>DISTRIBUTION CLASSIFIED - GAS COST OF SERVICE</v>
      </c>
      <c r="C392" s="195"/>
      <c r="D392" s="342"/>
      <c r="E392" s="195"/>
      <c r="F392" s="195"/>
      <c r="G392" s="195"/>
      <c r="H392" s="195"/>
      <c r="I392" s="195"/>
      <c r="J392" s="195" t="str">
        <f>$J$2</f>
        <v>WITNESS RESPONSIBLE:</v>
      </c>
      <c r="K392" s="195"/>
    </row>
    <row r="393" spans="1:11" ht="13">
      <c r="A393" s="341" t="str">
        <f>case_name</f>
        <v>CASE NO: 2021-00190</v>
      </c>
      <c r="C393" s="195"/>
      <c r="D393" s="342"/>
      <c r="E393" s="195"/>
      <c r="F393" s="195"/>
      <c r="G393" s="195"/>
      <c r="H393" s="195"/>
      <c r="I393" s="195"/>
      <c r="J393" s="195" t="str">
        <f>Witness</f>
        <v>JAMES E. ZIOLKOWSKI</v>
      </c>
      <c r="K393" s="195"/>
    </row>
    <row r="394" spans="1:11" ht="13">
      <c r="A394" s="341" t="str">
        <f>data_filing</f>
        <v>DATA: 12 MONTH FORECASTED PERIOD</v>
      </c>
      <c r="C394" s="195"/>
      <c r="D394" s="342"/>
      <c r="E394" s="195"/>
      <c r="F394" s="195"/>
      <c r="G394" s="195"/>
      <c r="H394" s="195"/>
      <c r="I394" s="195"/>
      <c r="J394" s="195" t="str">
        <f>"PAGE "&amp;Pages-9&amp;" OF "&amp;Pages</f>
        <v>PAGE 9 OF 18</v>
      </c>
      <c r="K394" s="195"/>
    </row>
    <row r="395" spans="1:11" ht="13">
      <c r="A395" s="341" t="str">
        <f>type</f>
        <v xml:space="preserve">TYPE OF FILING: "X" ORIGINAL   UPDATED    REVISED  </v>
      </c>
      <c r="C395" s="195"/>
      <c r="D395" s="342"/>
      <c r="E395" s="195"/>
      <c r="F395" s="195"/>
      <c r="G395" s="195"/>
      <c r="H395" s="195"/>
      <c r="I395" s="195"/>
      <c r="J395" s="195"/>
      <c r="K395" s="195"/>
    </row>
    <row r="396" spans="1:11" ht="13">
      <c r="B396" s="341"/>
      <c r="C396" s="195"/>
      <c r="D396" s="342"/>
      <c r="E396" s="195"/>
      <c r="F396" s="195"/>
      <c r="G396" s="195"/>
      <c r="H396" s="195"/>
      <c r="I396" s="195"/>
      <c r="J396" s="195"/>
      <c r="K396" s="195"/>
    </row>
    <row r="397" spans="1:11" ht="13">
      <c r="B397" s="341"/>
      <c r="C397" s="195"/>
      <c r="D397" s="342"/>
      <c r="E397" s="195"/>
      <c r="F397" s="195"/>
      <c r="G397" s="195"/>
      <c r="H397" s="195"/>
      <c r="I397" s="195"/>
      <c r="J397" s="195"/>
      <c r="K397" s="195"/>
    </row>
    <row r="398" spans="1:11" ht="13">
      <c r="A398" s="342" t="s">
        <v>907</v>
      </c>
      <c r="B398" s="195"/>
      <c r="C398" s="195"/>
      <c r="D398" s="342"/>
      <c r="E398" s="195"/>
      <c r="F398" s="342" t="s">
        <v>229</v>
      </c>
      <c r="G398" s="539" t="s">
        <v>995</v>
      </c>
      <c r="H398" s="527"/>
      <c r="I398" s="528"/>
      <c r="J398" s="342" t="s">
        <v>229</v>
      </c>
      <c r="K398" s="342" t="s">
        <v>342</v>
      </c>
    </row>
    <row r="399" spans="1:11" ht="13">
      <c r="A399" s="344" t="s">
        <v>908</v>
      </c>
      <c r="B399" s="343" t="s">
        <v>44</v>
      </c>
      <c r="C399" s="343"/>
      <c r="D399" s="344" t="s">
        <v>337</v>
      </c>
      <c r="E399" s="343"/>
      <c r="F399" s="344" t="s">
        <v>839</v>
      </c>
      <c r="G399" s="540" t="s">
        <v>840</v>
      </c>
      <c r="H399" s="529" t="s">
        <v>841</v>
      </c>
      <c r="I399" s="530" t="s">
        <v>842</v>
      </c>
      <c r="J399" s="344" t="s">
        <v>341</v>
      </c>
      <c r="K399" s="344" t="s">
        <v>340</v>
      </c>
    </row>
    <row r="400" spans="1:11" ht="13">
      <c r="C400" s="572" t="s">
        <v>557</v>
      </c>
      <c r="D400" s="342"/>
      <c r="E400" s="195"/>
      <c r="G400" s="793">
        <f>$G$10</f>
        <v>3</v>
      </c>
      <c r="H400" s="794">
        <f>$H$10</f>
        <v>4</v>
      </c>
      <c r="I400" s="795">
        <f>$I$10</f>
        <v>5</v>
      </c>
    </row>
    <row r="401" spans="1:11" ht="13">
      <c r="A401" s="331">
        <v>1</v>
      </c>
      <c r="B401" s="330" t="s">
        <v>52</v>
      </c>
      <c r="D401" s="342"/>
      <c r="E401" s="195"/>
      <c r="G401" s="541"/>
      <c r="H401" s="531"/>
      <c r="I401" s="532"/>
    </row>
    <row r="402" spans="1:11" ht="13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3">
        <f>'FR-16(7)(v)-1 Functional'!I402</f>
        <v>389010</v>
      </c>
      <c r="G402" s="542">
        <f>F402-SUM(H402:I402)</f>
        <v>0</v>
      </c>
      <c r="H402" s="533">
        <f>ROUND(F402*VLOOKUP(D402,Alloctable_Classified_Distribution,$H$10,FALSE),0)</f>
        <v>0</v>
      </c>
      <c r="I402" s="534">
        <f>ROUND(F402*VLOOKUP(D402,Alloctable_Classified_Distribution,$I$10,FALSE),0)</f>
        <v>389010</v>
      </c>
      <c r="J402" s="345">
        <f>SUM(G402:I402)</f>
        <v>389010</v>
      </c>
      <c r="K402" s="345">
        <f>F402-J402</f>
        <v>0</v>
      </c>
    </row>
    <row r="403" spans="1:11" ht="13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K403" si="110">SUM(F402:F402)</f>
        <v>389010</v>
      </c>
      <c r="G403" s="543">
        <f t="shared" si="110"/>
        <v>0</v>
      </c>
      <c r="H403" s="535">
        <f t="shared" si="110"/>
        <v>0</v>
      </c>
      <c r="I403" s="536">
        <f t="shared" si="110"/>
        <v>389010</v>
      </c>
      <c r="J403" s="346">
        <f t="shared" si="110"/>
        <v>389010</v>
      </c>
      <c r="K403" s="346">
        <f t="shared" si="110"/>
        <v>0</v>
      </c>
    </row>
    <row r="404" spans="1:11" ht="13">
      <c r="A404" s="331">
        <v>4</v>
      </c>
      <c r="D404" s="342"/>
      <c r="E404" s="195"/>
      <c r="F404" s="345"/>
      <c r="G404" s="542"/>
      <c r="H404" s="533"/>
      <c r="I404" s="534"/>
      <c r="J404" s="345"/>
      <c r="K404" s="345"/>
    </row>
    <row r="405" spans="1:11" ht="13">
      <c r="A405" s="331">
        <v>5</v>
      </c>
      <c r="B405" s="330" t="s">
        <v>53</v>
      </c>
      <c r="D405" s="342"/>
      <c r="E405" s="195"/>
      <c r="F405" s="345"/>
      <c r="G405" s="542"/>
      <c r="H405" s="533"/>
      <c r="I405" s="534"/>
      <c r="J405" s="345"/>
      <c r="K405" s="345"/>
    </row>
    <row r="406" spans="1:11" ht="13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3">
        <f>'FR-16(7)(v)-1 Functional'!I406</f>
        <v>399560</v>
      </c>
      <c r="G406" s="542">
        <f>F406-SUM(H406:I406)</f>
        <v>0</v>
      </c>
      <c r="H406" s="533">
        <f>ROUND(F406*VLOOKUP(D406,Alloctable_Classified_Distribution,$H$10,FALSE),0)</f>
        <v>0</v>
      </c>
      <c r="I406" s="534">
        <f>ROUND(F406*VLOOKUP(D406,Alloctable_Classified_Distribution,$I$10,FALSE),0)</f>
        <v>399560</v>
      </c>
      <c r="J406" s="345">
        <f>SUM(G406:I406)</f>
        <v>399560</v>
      </c>
      <c r="K406" s="345">
        <f>F406-J406</f>
        <v>0</v>
      </c>
    </row>
    <row r="407" spans="1:11" ht="13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K407" si="111">SUM(F405:F406)</f>
        <v>399560</v>
      </c>
      <c r="G407" s="543">
        <f t="shared" si="111"/>
        <v>0</v>
      </c>
      <c r="H407" s="535">
        <f t="shared" si="111"/>
        <v>0</v>
      </c>
      <c r="I407" s="536">
        <f t="shared" si="111"/>
        <v>399560</v>
      </c>
      <c r="J407" s="346">
        <f t="shared" si="111"/>
        <v>399560</v>
      </c>
      <c r="K407" s="346">
        <f t="shared" si="111"/>
        <v>0</v>
      </c>
    </row>
    <row r="408" spans="1:11" ht="13">
      <c r="A408" s="331">
        <v>8</v>
      </c>
      <c r="D408" s="342"/>
      <c r="E408" s="195"/>
      <c r="G408" s="541"/>
      <c r="H408" s="531"/>
      <c r="I408" s="532"/>
    </row>
    <row r="409" spans="1:11" ht="13">
      <c r="A409" s="331">
        <v>9</v>
      </c>
      <c r="B409" s="330" t="s">
        <v>54</v>
      </c>
      <c r="D409" s="342"/>
      <c r="E409" s="195"/>
      <c r="G409" s="541"/>
      <c r="H409" s="531"/>
      <c r="I409" s="532"/>
    </row>
    <row r="410" spans="1:11" ht="13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3">
        <f>'FR-16(7)(v)-1 Functional'!I410</f>
        <v>0</v>
      </c>
      <c r="G410" s="542">
        <f t="shared" ref="G410:G415" si="112">F410-SUM(H410:I410)</f>
        <v>0</v>
      </c>
      <c r="H410" s="533">
        <f t="shared" ref="H410:H415" si="113">ROUND(F410*VLOOKUP(D410,Alloctable_Classified_Distribution,$H$10,FALSE),0)</f>
        <v>0</v>
      </c>
      <c r="I410" s="534">
        <f t="shared" ref="I410:I415" si="114">ROUND(F410*VLOOKUP(D410,Alloctable_Classified_Distribution,$I$10,FALSE),0)</f>
        <v>0</v>
      </c>
      <c r="J410" s="345">
        <f t="shared" ref="J410:J415" si="115">SUM(G410:I410)</f>
        <v>0</v>
      </c>
      <c r="K410" s="345">
        <f t="shared" ref="K410:K415" si="116">F410-J410</f>
        <v>0</v>
      </c>
    </row>
    <row r="411" spans="1:11" ht="13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3">
        <f>'FR-16(7)(v)-1 Functional'!I411</f>
        <v>0</v>
      </c>
      <c r="G411" s="542">
        <f t="shared" si="112"/>
        <v>0</v>
      </c>
      <c r="H411" s="533">
        <f t="shared" si="113"/>
        <v>0</v>
      </c>
      <c r="I411" s="534">
        <f t="shared" si="114"/>
        <v>0</v>
      </c>
      <c r="J411" s="345">
        <f t="shared" si="115"/>
        <v>0</v>
      </c>
      <c r="K411" s="345">
        <f t="shared" si="116"/>
        <v>0</v>
      </c>
    </row>
    <row r="412" spans="1:11" ht="13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3">
        <f>'FR-16(7)(v)-1 Functional'!I412</f>
        <v>4337864</v>
      </c>
      <c r="G412" s="542">
        <f t="shared" si="112"/>
        <v>3411817</v>
      </c>
      <c r="H412" s="533">
        <f t="shared" si="113"/>
        <v>0</v>
      </c>
      <c r="I412" s="534">
        <f t="shared" si="114"/>
        <v>926047</v>
      </c>
      <c r="J412" s="345">
        <f t="shared" si="115"/>
        <v>4337864</v>
      </c>
      <c r="K412" s="345">
        <f t="shared" si="116"/>
        <v>0</v>
      </c>
    </row>
    <row r="413" spans="1:11" ht="13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3">
        <f>'FR-16(7)(v)-1 Functional'!I413</f>
        <v>1716742</v>
      </c>
      <c r="G413" s="542">
        <f t="shared" si="112"/>
        <v>0</v>
      </c>
      <c r="H413" s="533">
        <f t="shared" si="113"/>
        <v>0</v>
      </c>
      <c r="I413" s="534">
        <f t="shared" si="114"/>
        <v>1716742</v>
      </c>
      <c r="J413" s="345">
        <f t="shared" si="115"/>
        <v>1716742</v>
      </c>
      <c r="K413" s="345">
        <f t="shared" si="116"/>
        <v>0</v>
      </c>
    </row>
    <row r="414" spans="1:11" ht="13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3">
        <f>'FR-16(7)(v)-1 Functional'!I414</f>
        <v>166198</v>
      </c>
      <c r="G414" s="542">
        <f t="shared" si="112"/>
        <v>0</v>
      </c>
      <c r="H414" s="533">
        <f t="shared" si="113"/>
        <v>0</v>
      </c>
      <c r="I414" s="534">
        <f t="shared" si="114"/>
        <v>166198</v>
      </c>
      <c r="J414" s="345">
        <f t="shared" si="115"/>
        <v>166198</v>
      </c>
      <c r="K414" s="345">
        <f t="shared" si="116"/>
        <v>0</v>
      </c>
    </row>
    <row r="415" spans="1:11" ht="13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3">
        <f>'FR-16(7)(v)-1 Functional'!I415</f>
        <v>0</v>
      </c>
      <c r="G415" s="542">
        <f t="shared" si="112"/>
        <v>0</v>
      </c>
      <c r="H415" s="533">
        <f t="shared" si="113"/>
        <v>0</v>
      </c>
      <c r="I415" s="534">
        <f t="shared" si="114"/>
        <v>0</v>
      </c>
      <c r="J415" s="496">
        <f t="shared" si="115"/>
        <v>0</v>
      </c>
      <c r="K415" s="496">
        <f t="shared" si="116"/>
        <v>0</v>
      </c>
    </row>
    <row r="416" spans="1:11" ht="13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7">
        <f t="shared" ref="F416:K416" si="117">SUM(F410:F415)</f>
        <v>6220804</v>
      </c>
      <c r="G416" s="557">
        <f t="shared" si="117"/>
        <v>3411817</v>
      </c>
      <c r="H416" s="558">
        <f t="shared" si="117"/>
        <v>0</v>
      </c>
      <c r="I416" s="559">
        <f t="shared" si="117"/>
        <v>2808987</v>
      </c>
      <c r="J416" s="471">
        <f t="shared" si="117"/>
        <v>6220804</v>
      </c>
      <c r="K416" s="471">
        <f t="shared" si="117"/>
        <v>0</v>
      </c>
    </row>
    <row r="417" spans="1:11" ht="13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3">
        <f>'FR-16(7)(v)-1 Functional'!I417</f>
        <v>59713</v>
      </c>
      <c r="G417" s="542">
        <f t="shared" ref="G417:G430" si="118">F417-SUM(H417:I417)</f>
        <v>32750</v>
      </c>
      <c r="H417" s="533">
        <f t="shared" ref="H417:H430" si="119">ROUND(F417*VLOOKUP(D417,Alloctable_Classified_Distribution,$H$10,FALSE),0)</f>
        <v>0</v>
      </c>
      <c r="I417" s="534">
        <f t="shared" ref="I417:I430" si="120">ROUND(F417*VLOOKUP(D417,Alloctable_Classified_Distribution,$I$10,FALSE),0)</f>
        <v>26963</v>
      </c>
      <c r="J417" s="345">
        <f t="shared" ref="J417:J430" si="121">SUM(G417:I417)</f>
        <v>59713</v>
      </c>
      <c r="K417" s="345">
        <f t="shared" ref="K417:K430" si="122">F417-J417</f>
        <v>0</v>
      </c>
    </row>
    <row r="418" spans="1:11" ht="13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3">
        <f>'FR-16(7)(v)-1 Functional'!I418</f>
        <v>-492756</v>
      </c>
      <c r="G418" s="542">
        <f t="shared" si="118"/>
        <v>-270252</v>
      </c>
      <c r="H418" s="533">
        <f t="shared" si="119"/>
        <v>0</v>
      </c>
      <c r="I418" s="534">
        <f t="shared" si="120"/>
        <v>-222504</v>
      </c>
      <c r="J418" s="345">
        <f t="shared" si="121"/>
        <v>-492756</v>
      </c>
      <c r="K418" s="345">
        <f t="shared" si="122"/>
        <v>0</v>
      </c>
    </row>
    <row r="419" spans="1:11" ht="13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3">
        <f>'FR-16(7)(v)-1 Functional'!I419</f>
        <v>-170697</v>
      </c>
      <c r="G419" s="542">
        <f t="shared" si="118"/>
        <v>-93619</v>
      </c>
      <c r="H419" s="533">
        <f t="shared" si="119"/>
        <v>0</v>
      </c>
      <c r="I419" s="534">
        <f t="shared" si="120"/>
        <v>-77078</v>
      </c>
      <c r="J419" s="345">
        <f t="shared" si="121"/>
        <v>-170697</v>
      </c>
      <c r="K419" s="345">
        <f t="shared" si="122"/>
        <v>0</v>
      </c>
    </row>
    <row r="420" spans="1:11" ht="13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3">
        <f>'FR-16(7)(v)-1 Functional'!I420</f>
        <v>0</v>
      </c>
      <c r="G420" s="542">
        <f t="shared" si="118"/>
        <v>0</v>
      </c>
      <c r="H420" s="533">
        <f t="shared" si="119"/>
        <v>0</v>
      </c>
      <c r="I420" s="534">
        <f t="shared" si="120"/>
        <v>0</v>
      </c>
      <c r="J420" s="345">
        <f t="shared" si="121"/>
        <v>0</v>
      </c>
      <c r="K420" s="345">
        <f t="shared" si="122"/>
        <v>0</v>
      </c>
    </row>
    <row r="421" spans="1:11" ht="13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3">
        <f>'FR-16(7)(v)-1 Functional'!I421</f>
        <v>344431</v>
      </c>
      <c r="G421" s="542">
        <f t="shared" si="118"/>
        <v>188903</v>
      </c>
      <c r="H421" s="533">
        <f t="shared" si="119"/>
        <v>0</v>
      </c>
      <c r="I421" s="534">
        <f t="shared" si="120"/>
        <v>155528</v>
      </c>
      <c r="J421" s="345">
        <f t="shared" si="121"/>
        <v>344431</v>
      </c>
      <c r="K421" s="345">
        <f t="shared" si="122"/>
        <v>0</v>
      </c>
    </row>
    <row r="422" spans="1:11" ht="13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3">
        <f>'FR-16(7)(v)-1 Functional'!I422</f>
        <v>0</v>
      </c>
      <c r="G422" s="542">
        <f t="shared" si="118"/>
        <v>0</v>
      </c>
      <c r="H422" s="533">
        <f t="shared" si="119"/>
        <v>0</v>
      </c>
      <c r="I422" s="534">
        <f t="shared" si="120"/>
        <v>0</v>
      </c>
      <c r="J422" s="345">
        <f t="shared" si="121"/>
        <v>0</v>
      </c>
      <c r="K422" s="345">
        <f t="shared" si="122"/>
        <v>0</v>
      </c>
    </row>
    <row r="423" spans="1:11" ht="13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3">
        <f>'FR-16(7)(v)-1 Functional'!I423</f>
        <v>0</v>
      </c>
      <c r="G423" s="542">
        <f t="shared" si="118"/>
        <v>0</v>
      </c>
      <c r="H423" s="533">
        <f t="shared" si="119"/>
        <v>0</v>
      </c>
      <c r="I423" s="534">
        <f t="shared" si="120"/>
        <v>0</v>
      </c>
      <c r="J423" s="345">
        <f t="shared" si="121"/>
        <v>0</v>
      </c>
      <c r="K423" s="345">
        <f t="shared" si="122"/>
        <v>0</v>
      </c>
    </row>
    <row r="424" spans="1:11" ht="13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3">
        <f>'FR-16(7)(v)-1 Functional'!I424</f>
        <v>0</v>
      </c>
      <c r="G424" s="542">
        <f t="shared" ref="G424:G429" si="123">F424-SUM(H424:I424)</f>
        <v>0</v>
      </c>
      <c r="H424" s="533">
        <f t="shared" si="119"/>
        <v>0</v>
      </c>
      <c r="I424" s="534">
        <f t="shared" si="120"/>
        <v>0</v>
      </c>
      <c r="J424" s="345">
        <f t="shared" ref="J424:J429" si="124">SUM(G424:I424)</f>
        <v>0</v>
      </c>
      <c r="K424" s="345">
        <f t="shared" ref="K424:K429" si="125">F424-J424</f>
        <v>0</v>
      </c>
    </row>
    <row r="425" spans="1:11" ht="13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3">
        <f>'FR-16(7)(v)-1 Functional'!I425</f>
        <v>0</v>
      </c>
      <c r="G425" s="542">
        <f t="shared" si="123"/>
        <v>0</v>
      </c>
      <c r="H425" s="533">
        <f t="shared" si="119"/>
        <v>0</v>
      </c>
      <c r="I425" s="534">
        <f t="shared" si="120"/>
        <v>0</v>
      </c>
      <c r="J425" s="345">
        <f t="shared" si="124"/>
        <v>0</v>
      </c>
      <c r="K425" s="345">
        <f t="shared" si="125"/>
        <v>0</v>
      </c>
    </row>
    <row r="426" spans="1:11" ht="13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3">
        <f>'FR-16(7)(v)-1 Functional'!I426</f>
        <v>0</v>
      </c>
      <c r="G426" s="542">
        <f t="shared" si="123"/>
        <v>0</v>
      </c>
      <c r="H426" s="533">
        <f t="shared" si="119"/>
        <v>0</v>
      </c>
      <c r="I426" s="534">
        <f t="shared" si="120"/>
        <v>0</v>
      </c>
      <c r="J426" s="345">
        <f t="shared" si="124"/>
        <v>0</v>
      </c>
      <c r="K426" s="345">
        <f t="shared" si="125"/>
        <v>0</v>
      </c>
    </row>
    <row r="427" spans="1:11" ht="13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3">
        <f>'FR-16(7)(v)-1 Functional'!I427</f>
        <v>0</v>
      </c>
      <c r="G427" s="542">
        <f t="shared" si="123"/>
        <v>0</v>
      </c>
      <c r="H427" s="533">
        <f t="shared" si="119"/>
        <v>0</v>
      </c>
      <c r="I427" s="534">
        <f t="shared" si="120"/>
        <v>0</v>
      </c>
      <c r="J427" s="345">
        <f t="shared" si="124"/>
        <v>0</v>
      </c>
      <c r="K427" s="345">
        <f t="shared" si="125"/>
        <v>0</v>
      </c>
    </row>
    <row r="428" spans="1:11" ht="13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3">
        <f>'FR-16(7)(v)-1 Functional'!I428</f>
        <v>0</v>
      </c>
      <c r="G428" s="542">
        <f t="shared" si="123"/>
        <v>0</v>
      </c>
      <c r="H428" s="533">
        <f t="shared" si="119"/>
        <v>0</v>
      </c>
      <c r="I428" s="534">
        <f t="shared" si="120"/>
        <v>0</v>
      </c>
      <c r="J428" s="345">
        <f t="shared" si="124"/>
        <v>0</v>
      </c>
      <c r="K428" s="345">
        <f t="shared" si="125"/>
        <v>0</v>
      </c>
    </row>
    <row r="429" spans="1:11" ht="13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3">
        <f>'FR-16(7)(v)-1 Functional'!I429</f>
        <v>0</v>
      </c>
      <c r="G429" s="542">
        <f t="shared" si="123"/>
        <v>0</v>
      </c>
      <c r="H429" s="533">
        <f t="shared" si="119"/>
        <v>0</v>
      </c>
      <c r="I429" s="534">
        <f t="shared" si="120"/>
        <v>0</v>
      </c>
      <c r="J429" s="345">
        <f t="shared" si="124"/>
        <v>0</v>
      </c>
      <c r="K429" s="345">
        <f t="shared" si="125"/>
        <v>0</v>
      </c>
    </row>
    <row r="430" spans="1:11" ht="13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3">
        <f>'FR-16(7)(v)-1 Functional'!I430</f>
        <v>0</v>
      </c>
      <c r="G430" s="542">
        <f t="shared" si="118"/>
        <v>0</v>
      </c>
      <c r="H430" s="533">
        <f t="shared" si="119"/>
        <v>0</v>
      </c>
      <c r="I430" s="534">
        <f t="shared" si="120"/>
        <v>0</v>
      </c>
      <c r="J430" s="345">
        <f t="shared" si="121"/>
        <v>0</v>
      </c>
      <c r="K430" s="345">
        <f t="shared" si="122"/>
        <v>0</v>
      </c>
    </row>
    <row r="431" spans="1:11" ht="13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K431" si="126">SUM(F416:F430)</f>
        <v>5961495</v>
      </c>
      <c r="G431" s="543">
        <f t="shared" si="126"/>
        <v>3269599</v>
      </c>
      <c r="H431" s="535">
        <f t="shared" si="126"/>
        <v>0</v>
      </c>
      <c r="I431" s="536">
        <f t="shared" si="126"/>
        <v>2691896</v>
      </c>
      <c r="J431" s="346">
        <f t="shared" si="126"/>
        <v>5961495</v>
      </c>
      <c r="K431" s="346">
        <f t="shared" si="126"/>
        <v>0</v>
      </c>
    </row>
    <row r="432" spans="1:11" ht="13">
      <c r="A432" s="331">
        <v>32</v>
      </c>
      <c r="D432" s="342"/>
      <c r="E432" s="195"/>
      <c r="F432" s="333"/>
      <c r="G432" s="542"/>
      <c r="H432" s="533"/>
      <c r="I432" s="534"/>
      <c r="J432" s="345"/>
      <c r="K432" s="345"/>
    </row>
    <row r="433" spans="1:11" ht="13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K433" si="127">F431+F407+F403+F389+F378+F364+F360</f>
        <v>19418738</v>
      </c>
      <c r="G433" s="544">
        <f t="shared" si="127"/>
        <v>9808594</v>
      </c>
      <c r="H433" s="537">
        <f t="shared" si="127"/>
        <v>0</v>
      </c>
      <c r="I433" s="538">
        <f t="shared" si="127"/>
        <v>9610144</v>
      </c>
      <c r="J433" s="345">
        <f t="shared" si="127"/>
        <v>19418738</v>
      </c>
      <c r="K433" s="345">
        <f t="shared" si="127"/>
        <v>0</v>
      </c>
    </row>
    <row r="434" spans="1:11" ht="13">
      <c r="B434" s="341"/>
      <c r="C434" s="195"/>
      <c r="D434" s="342"/>
      <c r="E434" s="195"/>
      <c r="F434" s="195"/>
      <c r="G434" s="195"/>
      <c r="H434" s="195"/>
      <c r="I434" s="195"/>
      <c r="J434" s="195"/>
      <c r="K434" s="195"/>
    </row>
    <row r="435" spans="1:11" ht="13">
      <c r="A435" s="341" t="str">
        <f>co_name</f>
        <v>DUKE ENERGY KENTUCKY, INC.</v>
      </c>
      <c r="C435" s="195"/>
      <c r="D435" s="342"/>
      <c r="E435" s="195"/>
      <c r="F435" s="195"/>
      <c r="G435" s="195"/>
      <c r="H435" s="195"/>
      <c r="I435" s="195"/>
      <c r="J435" s="195" t="str">
        <f>$J$1</f>
        <v>FR-16(7)(v)-4</v>
      </c>
      <c r="K435" s="195"/>
    </row>
    <row r="436" spans="1:11" ht="13">
      <c r="A436" s="341" t="str">
        <f>$A$2</f>
        <v>DISTRIBUTION CLASSIFIED - GAS COST OF SERVICE</v>
      </c>
      <c r="C436" s="195"/>
      <c r="D436" s="342"/>
      <c r="E436" s="195"/>
      <c r="F436" s="195"/>
      <c r="G436" s="195"/>
      <c r="H436" s="195"/>
      <c r="I436" s="195"/>
      <c r="J436" s="195" t="str">
        <f>$J$2</f>
        <v>WITNESS RESPONSIBLE:</v>
      </c>
      <c r="K436" s="195"/>
    </row>
    <row r="437" spans="1:11" ht="13">
      <c r="A437" s="341" t="str">
        <f>case_name</f>
        <v>CASE NO: 2021-00190</v>
      </c>
      <c r="C437" s="195"/>
      <c r="D437" s="342"/>
      <c r="E437" s="195"/>
      <c r="F437" s="195"/>
      <c r="G437" s="195"/>
      <c r="H437" s="195"/>
      <c r="I437" s="195"/>
      <c r="J437" s="195" t="str">
        <f>Witness</f>
        <v>JAMES E. ZIOLKOWSKI</v>
      </c>
      <c r="K437" s="195"/>
    </row>
    <row r="438" spans="1:11" ht="13">
      <c r="A438" s="341" t="str">
        <f>data_filing</f>
        <v>DATA: 12 MONTH FORECASTED PERIOD</v>
      </c>
      <c r="C438" s="195"/>
      <c r="D438" s="342"/>
      <c r="E438" s="195"/>
      <c r="F438" s="195"/>
      <c r="G438" s="195"/>
      <c r="H438" s="195"/>
      <c r="I438" s="195"/>
      <c r="J438" s="195" t="str">
        <f>"PAGE "&amp;Pages-8&amp;" OF "&amp;Pages</f>
        <v>PAGE 10 OF 18</v>
      </c>
      <c r="K438" s="195"/>
    </row>
    <row r="439" spans="1:11" ht="13">
      <c r="A439" s="341" t="str">
        <f>type</f>
        <v xml:space="preserve">TYPE OF FILING: "X" ORIGINAL   UPDATED    REVISED  </v>
      </c>
      <c r="C439" s="195"/>
      <c r="D439" s="342"/>
      <c r="E439" s="195"/>
      <c r="F439" s="195"/>
      <c r="G439" s="195"/>
      <c r="H439" s="195"/>
      <c r="I439" s="195"/>
      <c r="J439" s="195"/>
      <c r="K439" s="195"/>
    </row>
    <row r="440" spans="1:11" ht="13">
      <c r="B440" s="341"/>
      <c r="C440" s="195"/>
      <c r="D440" s="342"/>
      <c r="E440" s="195"/>
      <c r="F440" s="195"/>
      <c r="G440" s="195"/>
      <c r="H440" s="195"/>
      <c r="I440" s="195"/>
      <c r="J440" s="195"/>
      <c r="K440" s="195"/>
    </row>
    <row r="441" spans="1:11" ht="13">
      <c r="B441" s="341"/>
      <c r="C441" s="195"/>
      <c r="D441" s="342"/>
      <c r="E441" s="195"/>
      <c r="F441" s="195"/>
      <c r="G441" s="195"/>
      <c r="H441" s="195"/>
      <c r="I441" s="195"/>
      <c r="J441" s="195"/>
      <c r="K441" s="195"/>
    </row>
    <row r="442" spans="1:11" ht="13">
      <c r="A442" s="342" t="s">
        <v>907</v>
      </c>
      <c r="B442" s="195"/>
      <c r="C442" s="195"/>
      <c r="D442" s="342"/>
      <c r="E442" s="195"/>
      <c r="F442" s="342" t="s">
        <v>229</v>
      </c>
      <c r="G442" s="539" t="s">
        <v>995</v>
      </c>
      <c r="H442" s="527"/>
      <c r="I442" s="528"/>
      <c r="J442" s="342" t="s">
        <v>229</v>
      </c>
      <c r="K442" s="342" t="s">
        <v>342</v>
      </c>
    </row>
    <row r="443" spans="1:11" ht="13">
      <c r="A443" s="344" t="s">
        <v>908</v>
      </c>
      <c r="B443" s="343" t="s">
        <v>55</v>
      </c>
      <c r="C443" s="343"/>
      <c r="D443" s="344" t="s">
        <v>337</v>
      </c>
      <c r="E443" s="343"/>
      <c r="F443" s="344" t="s">
        <v>839</v>
      </c>
      <c r="G443" s="540" t="s">
        <v>840</v>
      </c>
      <c r="H443" s="529" t="s">
        <v>841</v>
      </c>
      <c r="I443" s="530" t="s">
        <v>842</v>
      </c>
      <c r="J443" s="344" t="s">
        <v>341</v>
      </c>
      <c r="K443" s="344" t="s">
        <v>340</v>
      </c>
    </row>
    <row r="444" spans="1:11" ht="13">
      <c r="C444" s="572" t="s">
        <v>349</v>
      </c>
      <c r="D444" s="342"/>
      <c r="E444" s="195"/>
      <c r="F444" s="504"/>
      <c r="G444" s="793">
        <f>$G$10</f>
        <v>3</v>
      </c>
      <c r="H444" s="794">
        <f>$H$10</f>
        <v>4</v>
      </c>
      <c r="I444" s="795">
        <f>$I$10</f>
        <v>5</v>
      </c>
      <c r="J444" s="504"/>
      <c r="K444" s="504"/>
    </row>
    <row r="445" spans="1:11" ht="13">
      <c r="A445" s="331">
        <v>1</v>
      </c>
      <c r="B445" s="351" t="s">
        <v>56</v>
      </c>
      <c r="C445" s="351"/>
      <c r="D445" s="342"/>
      <c r="E445" s="195"/>
      <c r="G445" s="541"/>
      <c r="H445" s="531"/>
      <c r="I445" s="532"/>
    </row>
    <row r="446" spans="1:11" ht="13">
      <c r="A446" s="331">
        <v>2</v>
      </c>
      <c r="B446" s="351"/>
      <c r="C446" s="505" t="str">
        <f>'FR-16(7)(v)-1 Functional'!C446</f>
        <v>PRODUCTION DEPRECIATION</v>
      </c>
      <c r="D446" s="342" t="str">
        <f>'FR-16(7)(v)-1 Functional'!D446</f>
        <v>P229</v>
      </c>
      <c r="E446" s="195"/>
      <c r="F446" s="473">
        <f>'FR-16(7)(v)-1 Functional'!I446</f>
        <v>0</v>
      </c>
      <c r="G446" s="542">
        <f>F446-SUM(H446:I446)</f>
        <v>0</v>
      </c>
      <c r="H446" s="533">
        <f>ROUND(F446*VLOOKUP(D446,Alloctable_Classified_Distribution,$H$10,FALSE),0)</f>
        <v>0</v>
      </c>
      <c r="I446" s="534">
        <f>ROUND(F446*VLOOKUP(D446,Alloctable_Classified_Distribution,$I$10,FALSE),0)</f>
        <v>0</v>
      </c>
      <c r="J446" s="345">
        <f>SUM(G446:I446)</f>
        <v>0</v>
      </c>
      <c r="K446" s="345">
        <f>F446-J446</f>
        <v>0</v>
      </c>
    </row>
    <row r="447" spans="1:11" ht="13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K447" si="128">SUM(F446:F446)</f>
        <v>0</v>
      </c>
      <c r="G447" s="543">
        <f t="shared" si="128"/>
        <v>0</v>
      </c>
      <c r="H447" s="535">
        <f t="shared" si="128"/>
        <v>0</v>
      </c>
      <c r="I447" s="536">
        <f t="shared" si="128"/>
        <v>0</v>
      </c>
      <c r="J447" s="346">
        <f t="shared" si="128"/>
        <v>0</v>
      </c>
      <c r="K447" s="346">
        <f t="shared" si="128"/>
        <v>0</v>
      </c>
    </row>
    <row r="448" spans="1:11" ht="13">
      <c r="A448" s="331">
        <v>4</v>
      </c>
      <c r="B448" s="351"/>
      <c r="C448" s="351"/>
      <c r="D448" s="342"/>
      <c r="E448" s="195"/>
      <c r="F448" s="351"/>
      <c r="G448" s="541"/>
      <c r="H448" s="531"/>
      <c r="I448" s="532"/>
    </row>
    <row r="449" spans="1:11" ht="13">
      <c r="A449" s="331">
        <v>5</v>
      </c>
      <c r="B449" s="505" t="s">
        <v>57</v>
      </c>
      <c r="C449" s="505"/>
      <c r="D449" s="342"/>
      <c r="E449" s="195"/>
      <c r="F449" s="347"/>
      <c r="G449" s="542"/>
      <c r="H449" s="533"/>
      <c r="I449" s="534"/>
      <c r="J449" s="345"/>
      <c r="K449" s="345"/>
    </row>
    <row r="450" spans="1:11" ht="13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K450" si="129">SUM(F449)</f>
        <v>0</v>
      </c>
      <c r="G450" s="543">
        <f t="shared" si="129"/>
        <v>0</v>
      </c>
      <c r="H450" s="535">
        <f t="shared" si="129"/>
        <v>0</v>
      </c>
      <c r="I450" s="536">
        <f t="shared" si="129"/>
        <v>0</v>
      </c>
      <c r="J450" s="346">
        <f t="shared" si="129"/>
        <v>0</v>
      </c>
      <c r="K450" s="346">
        <f t="shared" si="129"/>
        <v>0</v>
      </c>
    </row>
    <row r="451" spans="1:11" ht="13">
      <c r="A451" s="331">
        <v>7</v>
      </c>
      <c r="B451" s="351"/>
      <c r="C451" s="351"/>
      <c r="D451" s="342"/>
      <c r="E451" s="195"/>
      <c r="F451" s="351"/>
      <c r="G451" s="541"/>
      <c r="H451" s="531"/>
      <c r="I451" s="532"/>
    </row>
    <row r="452" spans="1:11" ht="13">
      <c r="A452" s="331">
        <v>8</v>
      </c>
      <c r="B452" s="351" t="s">
        <v>58</v>
      </c>
      <c r="C452" s="351"/>
      <c r="D452" s="342"/>
      <c r="E452" s="195"/>
      <c r="F452" s="351"/>
      <c r="G452" s="541"/>
      <c r="H452" s="531"/>
      <c r="I452" s="532"/>
    </row>
    <row r="453" spans="1:11" ht="13">
      <c r="A453" s="331">
        <v>9</v>
      </c>
      <c r="B453" s="351"/>
      <c r="C453" s="505" t="str">
        <f>'FR-16(7)(v)-1 Functional'!C453</f>
        <v>DISTRIBUTION DEPRECIATION</v>
      </c>
      <c r="D453" s="342" t="str">
        <f>'FR-16(7)(v)-1 Functional'!D453</f>
        <v>D249</v>
      </c>
      <c r="E453" s="195"/>
      <c r="F453" s="473">
        <f>'FR-16(7)(v)-1 Functional'!I453</f>
        <v>15192352</v>
      </c>
      <c r="G453" s="542">
        <f>F453-SUM(H453:I453)</f>
        <v>9454960</v>
      </c>
      <c r="H453" s="533">
        <f>ROUND(F453*VLOOKUP(D453,Alloctable_Classified_Distribution,$H$10,FALSE),0)</f>
        <v>0</v>
      </c>
      <c r="I453" s="534">
        <f>ROUND(F453*VLOOKUP(D453,Alloctable_Classified_Distribution,$I$10,FALSE),0)</f>
        <v>5737392</v>
      </c>
      <c r="J453" s="345">
        <f>SUM(G453:I453)</f>
        <v>15192352</v>
      </c>
      <c r="K453" s="345">
        <f>F453-J453</f>
        <v>0</v>
      </c>
    </row>
    <row r="454" spans="1:11" ht="13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K454" si="130">SUM(F453:F453)</f>
        <v>15192352</v>
      </c>
      <c r="G454" s="543">
        <f t="shared" si="130"/>
        <v>9454960</v>
      </c>
      <c r="H454" s="535">
        <f t="shared" si="130"/>
        <v>0</v>
      </c>
      <c r="I454" s="536">
        <f t="shared" si="130"/>
        <v>5737392</v>
      </c>
      <c r="J454" s="346">
        <f t="shared" si="130"/>
        <v>15192352</v>
      </c>
      <c r="K454" s="346">
        <f t="shared" si="130"/>
        <v>0</v>
      </c>
    </row>
    <row r="455" spans="1:11" ht="13">
      <c r="A455" s="331">
        <v>11</v>
      </c>
      <c r="B455" s="351"/>
      <c r="C455" s="351"/>
      <c r="D455" s="342"/>
      <c r="E455" s="195"/>
      <c r="F455" s="351" t="s">
        <v>343</v>
      </c>
      <c r="G455" s="541"/>
      <c r="H455" s="531"/>
      <c r="I455" s="532"/>
    </row>
    <row r="456" spans="1:11" ht="13">
      <c r="A456" s="331">
        <v>12</v>
      </c>
      <c r="B456" s="351" t="s">
        <v>59</v>
      </c>
      <c r="C456" s="351"/>
      <c r="D456" s="342"/>
      <c r="E456" s="195"/>
      <c r="F456" s="351"/>
      <c r="G456" s="541"/>
      <c r="H456" s="531"/>
      <c r="I456" s="532"/>
    </row>
    <row r="457" spans="1:11" ht="13">
      <c r="A457" s="331">
        <v>13</v>
      </c>
      <c r="B457" s="351"/>
      <c r="C457" s="505" t="str">
        <f>'FR-16(7)(v)-1 Functional'!C457</f>
        <v>GENERAL DEPRECIATION</v>
      </c>
      <c r="D457" s="342" t="str">
        <f>'FR-16(7)(v)-1 Functional'!D457</f>
        <v>G229</v>
      </c>
      <c r="E457" s="195"/>
      <c r="F457" s="473">
        <f>'FR-16(7)(v)-1 Functional'!I457</f>
        <v>2977596</v>
      </c>
      <c r="G457" s="542">
        <f>F457-SUM(H457:I457)</f>
        <v>1633063</v>
      </c>
      <c r="H457" s="533">
        <f>ROUND(F457*VLOOKUP(D457,Alloctable_Classified_Distribution,$H$10,FALSE),0)</f>
        <v>0</v>
      </c>
      <c r="I457" s="534">
        <f>ROUND(F457*VLOOKUP(D457,Alloctable_Classified_Distribution,$I$10,FALSE),0)</f>
        <v>1344533</v>
      </c>
      <c r="J457" s="345">
        <f>SUM(G457:I457)</f>
        <v>2977596</v>
      </c>
      <c r="K457" s="345">
        <f>F457-J457</f>
        <v>0</v>
      </c>
    </row>
    <row r="458" spans="1:11" ht="13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K458" si="131">SUM(F457:F457)</f>
        <v>2977596</v>
      </c>
      <c r="G458" s="543">
        <f t="shared" si="131"/>
        <v>1633063</v>
      </c>
      <c r="H458" s="535">
        <f t="shared" si="131"/>
        <v>0</v>
      </c>
      <c r="I458" s="536">
        <f t="shared" si="131"/>
        <v>1344533</v>
      </c>
      <c r="J458" s="346">
        <f t="shared" si="131"/>
        <v>2977596</v>
      </c>
      <c r="K458" s="346">
        <f t="shared" si="131"/>
        <v>0</v>
      </c>
    </row>
    <row r="459" spans="1:11" ht="13">
      <c r="A459" s="331">
        <v>15</v>
      </c>
      <c r="B459" s="351"/>
      <c r="C459" s="351"/>
      <c r="D459" s="342"/>
      <c r="E459" s="195"/>
      <c r="F459" s="351"/>
      <c r="G459" s="541"/>
      <c r="H459" s="531"/>
      <c r="I459" s="532"/>
    </row>
    <row r="460" spans="1:11" ht="13">
      <c r="A460" s="331">
        <v>16</v>
      </c>
      <c r="B460" s="351" t="s">
        <v>60</v>
      </c>
      <c r="C460" s="351"/>
      <c r="D460" s="342"/>
      <c r="E460" s="195"/>
      <c r="F460" s="470"/>
      <c r="G460" s="542"/>
      <c r="H460" s="533"/>
      <c r="I460" s="534"/>
      <c r="J460" s="345"/>
      <c r="K460" s="345"/>
    </row>
    <row r="461" spans="1:11" ht="13">
      <c r="A461" s="331">
        <v>17</v>
      </c>
      <c r="B461" s="351"/>
      <c r="C461" s="505" t="str">
        <f>'FR-16(7)(v)-1 Functional'!C461</f>
        <v>COMMON DEPRECIATION</v>
      </c>
      <c r="D461" s="342" t="str">
        <f>'FR-16(7)(v)-1 Functional'!D461</f>
        <v>C229</v>
      </c>
      <c r="E461" s="195"/>
      <c r="F461" s="473">
        <f>'FR-16(7)(v)-1 Functional'!I461</f>
        <v>-39666</v>
      </c>
      <c r="G461" s="542">
        <f>F461-SUM(H461:I461)</f>
        <v>-21755</v>
      </c>
      <c r="H461" s="533">
        <f>ROUND(F461*VLOOKUP(D461,Alloctable_Classified_Distribution,$H$10,FALSE),0)</f>
        <v>0</v>
      </c>
      <c r="I461" s="534">
        <f>ROUND(F461*VLOOKUP(D461,Alloctable_Classified_Distribution,$I$10,FALSE),0)</f>
        <v>-17911</v>
      </c>
      <c r="J461" s="345">
        <f>SUM(G461:I461)</f>
        <v>-39666</v>
      </c>
      <c r="K461" s="345">
        <f>F461-J461</f>
        <v>0</v>
      </c>
    </row>
    <row r="462" spans="1:11" ht="13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K462" si="132">SUM(F461:F461)</f>
        <v>-39666</v>
      </c>
      <c r="G462" s="543">
        <f t="shared" si="132"/>
        <v>-21755</v>
      </c>
      <c r="H462" s="535">
        <f t="shared" si="132"/>
        <v>0</v>
      </c>
      <c r="I462" s="536">
        <f t="shared" si="132"/>
        <v>-17911</v>
      </c>
      <c r="J462" s="346">
        <f t="shared" si="132"/>
        <v>-39666</v>
      </c>
      <c r="K462" s="346">
        <f t="shared" si="132"/>
        <v>0</v>
      </c>
    </row>
    <row r="463" spans="1:11" ht="13">
      <c r="A463" s="331">
        <v>19</v>
      </c>
      <c r="B463" s="351"/>
      <c r="C463" s="351"/>
      <c r="D463" s="342"/>
      <c r="E463" s="195"/>
      <c r="G463" s="541"/>
      <c r="H463" s="531"/>
      <c r="I463" s="532"/>
    </row>
    <row r="464" spans="1:11" ht="13">
      <c r="A464" s="331">
        <v>20</v>
      </c>
      <c r="B464" s="351"/>
      <c r="C464" s="351"/>
      <c r="D464" s="342"/>
      <c r="E464" s="195"/>
      <c r="G464" s="541"/>
      <c r="H464" s="531"/>
      <c r="I464" s="532"/>
    </row>
    <row r="465" spans="1:12" ht="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K465" si="133">F462+F458+F454+F450+F447</f>
        <v>18130282</v>
      </c>
      <c r="G465" s="544">
        <f t="shared" si="133"/>
        <v>11066268</v>
      </c>
      <c r="H465" s="537">
        <f t="shared" si="133"/>
        <v>0</v>
      </c>
      <c r="I465" s="538">
        <f t="shared" si="133"/>
        <v>7064014</v>
      </c>
      <c r="J465" s="345">
        <f t="shared" si="133"/>
        <v>18130282</v>
      </c>
      <c r="K465" s="345">
        <f t="shared" si="133"/>
        <v>0</v>
      </c>
    </row>
    <row r="466" spans="1:12" ht="13">
      <c r="B466" s="341"/>
      <c r="C466" s="195"/>
      <c r="D466" s="342"/>
      <c r="E466" s="195"/>
      <c r="F466" s="195"/>
      <c r="G466" s="195"/>
      <c r="H466" s="195"/>
      <c r="I466" s="195"/>
      <c r="J466" s="195"/>
      <c r="K466" s="195"/>
    </row>
    <row r="467" spans="1:12" ht="13">
      <c r="A467" s="341" t="str">
        <f>co_name</f>
        <v>DUKE ENERGY KENTUCKY, INC.</v>
      </c>
      <c r="C467" s="195"/>
      <c r="D467" s="342"/>
      <c r="E467" s="195"/>
      <c r="F467" s="195"/>
      <c r="G467" s="195"/>
      <c r="H467" s="195"/>
      <c r="I467" s="195"/>
      <c r="J467" s="195" t="str">
        <f>$J$1</f>
        <v>FR-16(7)(v)-4</v>
      </c>
      <c r="K467" s="195"/>
    </row>
    <row r="468" spans="1:12" ht="13">
      <c r="A468" s="341" t="str">
        <f>$A$2</f>
        <v>DISTRIBUTION CLASSIFIED - GAS COST OF SERVICE</v>
      </c>
      <c r="C468" s="195"/>
      <c r="D468" s="342"/>
      <c r="E468" s="195"/>
      <c r="F468" s="195"/>
      <c r="G468" s="195"/>
      <c r="H468" s="195"/>
      <c r="I468" s="195"/>
      <c r="J468" s="195" t="str">
        <f>$J$2</f>
        <v>WITNESS RESPONSIBLE:</v>
      </c>
      <c r="K468" s="195"/>
    </row>
    <row r="469" spans="1:12" ht="13">
      <c r="A469" s="341" t="str">
        <f>case_name</f>
        <v>CASE NO: 2021-00190</v>
      </c>
      <c r="C469" s="195"/>
      <c r="D469" s="342"/>
      <c r="E469" s="195"/>
      <c r="F469" s="195"/>
      <c r="G469" s="195"/>
      <c r="H469" s="195"/>
      <c r="I469" s="195"/>
      <c r="J469" s="195" t="str">
        <f>Witness</f>
        <v>JAMES E. ZIOLKOWSKI</v>
      </c>
      <c r="K469" s="195"/>
    </row>
    <row r="470" spans="1:12" ht="13">
      <c r="A470" s="341" t="str">
        <f>data_filing</f>
        <v>DATA: 12 MONTH FORECASTED PERIOD</v>
      </c>
      <c r="C470" s="195"/>
      <c r="D470" s="342"/>
      <c r="E470" s="195"/>
      <c r="F470" s="195"/>
      <c r="G470" s="195"/>
      <c r="H470" s="195"/>
      <c r="I470" s="195"/>
      <c r="J470" s="195" t="str">
        <f>"PAGE "&amp;Pages-7&amp;" OF "&amp;Pages</f>
        <v>PAGE 11 OF 18</v>
      </c>
      <c r="K470" s="195"/>
    </row>
    <row r="471" spans="1:12" ht="13">
      <c r="A471" s="341" t="str">
        <f>type</f>
        <v xml:space="preserve">TYPE OF FILING: "X" ORIGINAL   UPDATED    REVISED  </v>
      </c>
      <c r="C471" s="195"/>
      <c r="D471" s="342"/>
      <c r="E471" s="195"/>
      <c r="F471" s="195"/>
      <c r="G471" s="195"/>
      <c r="H471" s="195"/>
      <c r="I471" s="195"/>
      <c r="J471" s="195"/>
      <c r="K471" s="195"/>
    </row>
    <row r="472" spans="1:12" ht="13">
      <c r="B472" s="341"/>
      <c r="C472" s="195"/>
      <c r="D472" s="342"/>
      <c r="E472" s="195"/>
      <c r="F472" s="195"/>
      <c r="G472" s="195"/>
      <c r="H472" s="195"/>
      <c r="I472" s="195"/>
      <c r="J472" s="195"/>
      <c r="K472" s="195"/>
    </row>
    <row r="473" spans="1:12" ht="13">
      <c r="B473" s="341"/>
      <c r="C473" s="195"/>
      <c r="D473" s="342"/>
      <c r="E473" s="195"/>
      <c r="F473" s="195"/>
      <c r="G473" s="195"/>
      <c r="H473" s="195"/>
      <c r="I473" s="195"/>
      <c r="J473" s="195"/>
      <c r="K473" s="195"/>
    </row>
    <row r="474" spans="1:12" ht="13">
      <c r="A474" s="342" t="s">
        <v>907</v>
      </c>
      <c r="B474" s="195"/>
      <c r="C474" s="195"/>
      <c r="D474" s="342"/>
      <c r="E474" s="195"/>
      <c r="F474" s="342" t="s">
        <v>229</v>
      </c>
      <c r="G474" s="539" t="s">
        <v>995</v>
      </c>
      <c r="H474" s="527"/>
      <c r="I474" s="528"/>
      <c r="J474" s="342" t="s">
        <v>229</v>
      </c>
      <c r="K474" s="342" t="s">
        <v>342</v>
      </c>
    </row>
    <row r="475" spans="1:12" ht="13">
      <c r="A475" s="344" t="s">
        <v>908</v>
      </c>
      <c r="B475" s="343" t="s">
        <v>62</v>
      </c>
      <c r="C475" s="343"/>
      <c r="D475" s="344" t="s">
        <v>337</v>
      </c>
      <c r="E475" s="343"/>
      <c r="F475" s="344" t="s">
        <v>839</v>
      </c>
      <c r="G475" s="540" t="s">
        <v>840</v>
      </c>
      <c r="H475" s="529" t="s">
        <v>841</v>
      </c>
      <c r="I475" s="530" t="s">
        <v>842</v>
      </c>
      <c r="J475" s="344" t="s">
        <v>341</v>
      </c>
      <c r="K475" s="344" t="s">
        <v>340</v>
      </c>
      <c r="L475" s="363"/>
    </row>
    <row r="476" spans="1:12" ht="13">
      <c r="C476" s="572" t="s">
        <v>350</v>
      </c>
      <c r="D476" s="342"/>
      <c r="E476" s="195"/>
      <c r="F476" s="504"/>
      <c r="G476" s="793">
        <f>$G$10</f>
        <v>3</v>
      </c>
      <c r="H476" s="794">
        <f>$H$10</f>
        <v>4</v>
      </c>
      <c r="I476" s="795">
        <f>$I$10</f>
        <v>5</v>
      </c>
      <c r="J476" s="504"/>
      <c r="K476" s="504"/>
    </row>
    <row r="477" spans="1:12" ht="13">
      <c r="A477" s="331">
        <v>1</v>
      </c>
      <c r="B477" s="330" t="s">
        <v>63</v>
      </c>
      <c r="D477" s="342"/>
      <c r="E477" s="195"/>
      <c r="G477" s="541"/>
      <c r="H477" s="531"/>
      <c r="I477" s="532"/>
    </row>
    <row r="478" spans="1:12" ht="13">
      <c r="A478" s="331">
        <v>2</v>
      </c>
      <c r="B478" s="330" t="s">
        <v>64</v>
      </c>
      <c r="D478" s="342"/>
      <c r="E478" s="195"/>
      <c r="G478" s="541"/>
      <c r="H478" s="531"/>
      <c r="I478" s="532"/>
    </row>
    <row r="479" spans="1:12" ht="13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3">
        <f>'FR-16(7)(v)-1 Functional'!I479</f>
        <v>4029525</v>
      </c>
      <c r="G479" s="542">
        <f>F479-SUM($H$479:$I$479)</f>
        <v>2499111</v>
      </c>
      <c r="H479" s="533">
        <f>ROUND(F479*VLOOKUP(D479,Alloctable_Classified_Distribution,$H$10,FALSE),0)</f>
        <v>0</v>
      </c>
      <c r="I479" s="534">
        <f>ROUND(F479*VLOOKUP(D479,Alloctable_Classified_Distribution,$I$10,FALSE),0)</f>
        <v>1530414</v>
      </c>
      <c r="J479" s="345">
        <f>SUM($G$479:$I$479)</f>
        <v>4029525</v>
      </c>
      <c r="K479" s="345">
        <f>F479-$J$479</f>
        <v>0</v>
      </c>
    </row>
    <row r="480" spans="1:12" ht="13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3">
        <f>'FR-16(7)(v)-1 Functional'!I480</f>
        <v>0</v>
      </c>
      <c r="G480" s="542">
        <f>F480-SUM($H$480:$I$480)</f>
        <v>0</v>
      </c>
      <c r="H480" s="533">
        <f>ROUND(F480*VLOOKUP(D480,Alloctable_Classified_Distribution,$H$10,FALSE),0)</f>
        <v>0</v>
      </c>
      <c r="I480" s="534">
        <f>ROUND(F480*VLOOKUP(D480,Alloctable_Classified_Distribution,$I$10,FALSE),0)</f>
        <v>0</v>
      </c>
      <c r="J480" s="345">
        <f>SUM($G$480:$I$480)</f>
        <v>0</v>
      </c>
      <c r="K480" s="345">
        <f>F480-$J$480</f>
        <v>0</v>
      </c>
    </row>
    <row r="481" spans="1:11" ht="13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4029525</v>
      </c>
      <c r="G481" s="543">
        <f>SUM($G$479:$G$480)</f>
        <v>2499111</v>
      </c>
      <c r="H481" s="535">
        <f>SUM($H$479:$H$480)</f>
        <v>0</v>
      </c>
      <c r="I481" s="536">
        <f>SUM($I$479:$I$480)</f>
        <v>1530414</v>
      </c>
      <c r="J481" s="346">
        <f>SUM($J$479:$J$480)</f>
        <v>4029525</v>
      </c>
      <c r="K481" s="346">
        <f>SUM($K$479:$K$480)</f>
        <v>0</v>
      </c>
    </row>
    <row r="482" spans="1:11" ht="13">
      <c r="A482" s="331">
        <v>6</v>
      </c>
      <c r="D482" s="342"/>
      <c r="E482" s="195"/>
      <c r="F482" s="351"/>
      <c r="G482" s="541"/>
      <c r="H482" s="531"/>
      <c r="I482" s="532"/>
    </row>
    <row r="483" spans="1:11" ht="13">
      <c r="A483" s="331">
        <v>7</v>
      </c>
      <c r="B483" s="330" t="s">
        <v>65</v>
      </c>
      <c r="D483" s="342"/>
      <c r="E483" s="195"/>
      <c r="F483" s="351"/>
      <c r="G483" s="541"/>
      <c r="H483" s="531"/>
      <c r="I483" s="532"/>
    </row>
    <row r="484" spans="1:11" ht="13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3">
        <f>'FR-16(7)(v)-1 Functional'!I484</f>
        <v>523963</v>
      </c>
      <c r="G484" s="542">
        <f>F484-SUM($H$484:$I$484)</f>
        <v>287368</v>
      </c>
      <c r="H484" s="533">
        <f>ROUND(F484*VLOOKUP(D484,Alloctable_Classified_Distribution,$H$10,FALSE),0)</f>
        <v>0</v>
      </c>
      <c r="I484" s="534">
        <f>ROUND(F484*VLOOKUP(D484,Alloctable_Classified_Distribution,$I$10,FALSE),0)</f>
        <v>236595</v>
      </c>
      <c r="J484" s="345">
        <f>SUM($G$484:$I$484)</f>
        <v>523963</v>
      </c>
      <c r="K484" s="345">
        <f>F484-$J$484</f>
        <v>0</v>
      </c>
    </row>
    <row r="485" spans="1:11" ht="13">
      <c r="A485" s="331">
        <v>9</v>
      </c>
      <c r="C485" s="330" t="str">
        <f>'FR-16(7)(v)-1 Functional'!C485</f>
        <v>UNEMPLOYMENT COMPENSATION</v>
      </c>
      <c r="D485" s="342" t="str">
        <f>'FR-16(7)(v)-1 Functional'!D485</f>
        <v>AG39</v>
      </c>
      <c r="E485" s="195"/>
      <c r="F485" s="473">
        <f>'FR-16(7)(v)-1 Functional'!I485</f>
        <v>0</v>
      </c>
      <c r="G485" s="542">
        <f>F485-SUM($H$485:$I$485)</f>
        <v>0</v>
      </c>
      <c r="H485" s="533">
        <f>ROUND(F485*VLOOKUP(D485,Alloctable_Classified_Distribution,$H$10,FALSE),0)</f>
        <v>0</v>
      </c>
      <c r="I485" s="534">
        <f>ROUND(F485*VLOOKUP(D485,Alloctable_Classified_Distribution,$I$10,FALSE),0)</f>
        <v>0</v>
      </c>
      <c r="J485" s="345">
        <f>SUM($G$485:$I$485)</f>
        <v>0</v>
      </c>
      <c r="K485" s="345">
        <f>F485-$J$485</f>
        <v>0</v>
      </c>
    </row>
    <row r="486" spans="1:11" ht="13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3">
        <f>'FR-16(7)(v)-1 Functional'!I486</f>
        <v>0</v>
      </c>
      <c r="G486" s="542">
        <f>F486-SUM($H$486:$I$486)</f>
        <v>0</v>
      </c>
      <c r="H486" s="533">
        <f>ROUND(F486*VLOOKUP(D486,Alloctable_Classified_Distribution,$H$10,FALSE),0)</f>
        <v>0</v>
      </c>
      <c r="I486" s="534">
        <f>ROUND(F486*VLOOKUP(D486,Alloctable_Classified_Distribution,$I$10,FALSE),0)</f>
        <v>0</v>
      </c>
      <c r="J486" s="345">
        <f>SUM($G$486:$I$486)</f>
        <v>0</v>
      </c>
      <c r="K486" s="345">
        <f>F486-$J$486</f>
        <v>0</v>
      </c>
    </row>
    <row r="487" spans="1:11" ht="13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3">
        <f>'FR-16(7)(v)-1 Functional'!I487</f>
        <v>0</v>
      </c>
      <c r="G487" s="542">
        <f>F487-SUM($H$487:$I$487)</f>
        <v>0</v>
      </c>
      <c r="H487" s="533">
        <f>ROUND(F487*VLOOKUP(D487,Alloctable_Classified_Distribution,$H$10,FALSE),0)</f>
        <v>0</v>
      </c>
      <c r="I487" s="534">
        <f>ROUND(F487*VLOOKUP(D487,Alloctable_Classified_Distribution,$I$10,FALSE),0)</f>
        <v>0</v>
      </c>
      <c r="J487" s="345">
        <f>SUM($G$487:$I$487)</f>
        <v>0</v>
      </c>
      <c r="K487" s="345">
        <f>F487-$J$487</f>
        <v>0</v>
      </c>
    </row>
    <row r="488" spans="1:11" ht="13">
      <c r="A488" s="331">
        <v>12</v>
      </c>
      <c r="C488" s="330" t="str">
        <f>'FR-16(7)(v)-1 Functional'!C488</f>
        <v xml:space="preserve">  TOTAL MISCELLANEOUS TAXES</v>
      </c>
      <c r="D488" s="342"/>
      <c r="E488" s="195"/>
      <c r="F488" s="346">
        <f>SUM(F484:F487)</f>
        <v>523963</v>
      </c>
      <c r="G488" s="543">
        <f>SUM($G$484:$G$487)</f>
        <v>287368</v>
      </c>
      <c r="H488" s="535">
        <f>SUM($H$484:$H$487)</f>
        <v>0</v>
      </c>
      <c r="I488" s="536">
        <f>SUM($I$484:$I$487)</f>
        <v>236595</v>
      </c>
      <c r="J488" s="346">
        <f>SUM($J$484:$J$487)</f>
        <v>523963</v>
      </c>
      <c r="K488" s="346">
        <f>SUM($K$484:$K$487)</f>
        <v>0</v>
      </c>
    </row>
    <row r="489" spans="1:11" ht="13">
      <c r="A489" s="331">
        <v>13</v>
      </c>
      <c r="D489" s="342"/>
      <c r="E489" s="195"/>
      <c r="F489" s="351"/>
      <c r="G489" s="541"/>
      <c r="H489" s="531"/>
      <c r="I489" s="532"/>
    </row>
    <row r="490" spans="1:11" ht="13">
      <c r="A490" s="331">
        <v>14</v>
      </c>
      <c r="B490" s="330" t="s">
        <v>66</v>
      </c>
      <c r="D490" s="342"/>
      <c r="E490" s="195"/>
      <c r="F490" s="351"/>
      <c r="G490" s="541"/>
      <c r="H490" s="531"/>
      <c r="I490" s="532"/>
    </row>
    <row r="491" spans="1:11" ht="13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3">
        <f>'FR-16(7)(v)-1 Functional'!I491</f>
        <v>25726</v>
      </c>
      <c r="G491" s="542">
        <f>F491-SUM($H$491:$I$491)</f>
        <v>14109</v>
      </c>
      <c r="H491" s="533">
        <f>ROUND(F491*VLOOKUP(D491,Alloctable_Classified_Distribution,$H$10,FALSE),0)</f>
        <v>0</v>
      </c>
      <c r="I491" s="534">
        <f>ROUND(F491*VLOOKUP(D491,Alloctable_Classified_Distribution,$I$10,FALSE),0)</f>
        <v>11617</v>
      </c>
      <c r="J491" s="345">
        <f>SUM($G$491:$I$491)</f>
        <v>25726</v>
      </c>
      <c r="K491" s="345">
        <f>F491-$J$491</f>
        <v>0</v>
      </c>
    </row>
    <row r="492" spans="1:11" ht="13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3">
        <f>'FR-16(7)(v)-1 Functional'!I492</f>
        <v>0</v>
      </c>
      <c r="G492" s="542">
        <f>F492-SUM($H$492:$I$492)</f>
        <v>0</v>
      </c>
      <c r="H492" s="533">
        <f>ROUND(F492*VLOOKUP(D492,Alloctable_Classified_Distribution,$H$10,FALSE),0)</f>
        <v>0</v>
      </c>
      <c r="I492" s="534">
        <f>ROUND(F492*VLOOKUP(D492,Alloctable_Classified_Distribution,$I$10,FALSE),0)</f>
        <v>0</v>
      </c>
      <c r="J492" s="345">
        <f>SUM($G$492:$I$492)</f>
        <v>0</v>
      </c>
      <c r="K492" s="345">
        <f>F492-$J$492</f>
        <v>0</v>
      </c>
    </row>
    <row r="493" spans="1:11" ht="13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4">
        <f>SUM(F491:F492)</f>
        <v>25726</v>
      </c>
      <c r="G493" s="543">
        <f>SUM($G$491:$G$492)</f>
        <v>14109</v>
      </c>
      <c r="H493" s="535">
        <f>SUM($H$491:$H$492)</f>
        <v>0</v>
      </c>
      <c r="I493" s="536">
        <f>SUM($I$491:$I$492)</f>
        <v>11617</v>
      </c>
      <c r="J493" s="346">
        <f>SUM($J$491:$J$492)</f>
        <v>25726</v>
      </c>
      <c r="K493" s="346">
        <f>SUM($K$491:$K$492)</f>
        <v>0</v>
      </c>
    </row>
    <row r="494" spans="1:11" ht="13">
      <c r="A494" s="331">
        <v>18</v>
      </c>
      <c r="D494" s="342"/>
      <c r="E494" s="195"/>
      <c r="G494" s="541"/>
      <c r="H494" s="531"/>
      <c r="I494" s="532"/>
    </row>
    <row r="495" spans="1:11" ht="13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4579214</v>
      </c>
      <c r="G495" s="542">
        <f>$G$488+$G$481+$G$493</f>
        <v>2800588</v>
      </c>
      <c r="H495" s="533">
        <f>$H$488+$H$481+$H$493</f>
        <v>0</v>
      </c>
      <c r="I495" s="534">
        <f>$I$488+$I$481+$I$493</f>
        <v>1778626</v>
      </c>
      <c r="J495" s="345">
        <f>$J$488+$J$481+$J$493</f>
        <v>4579214</v>
      </c>
      <c r="K495" s="345">
        <f>$K$488+$K$481+$K$493</f>
        <v>0</v>
      </c>
    </row>
    <row r="496" spans="1:11" ht="13">
      <c r="A496" s="331">
        <v>20</v>
      </c>
      <c r="D496" s="342"/>
      <c r="E496" s="195"/>
      <c r="G496" s="541"/>
      <c r="H496" s="531"/>
      <c r="I496" s="532"/>
    </row>
    <row r="497" spans="1:11" ht="13">
      <c r="A497" s="331">
        <v>21</v>
      </c>
      <c r="B497" s="330" t="s">
        <v>40</v>
      </c>
      <c r="D497" s="342"/>
      <c r="E497" s="195"/>
      <c r="G497" s="541"/>
      <c r="H497" s="531"/>
      <c r="I497" s="532"/>
    </row>
    <row r="498" spans="1:11" ht="13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K498" si="134">F433</f>
        <v>19418738</v>
      </c>
      <c r="G498" s="542">
        <f t="shared" si="134"/>
        <v>9808594</v>
      </c>
      <c r="H498" s="533">
        <f t="shared" si="134"/>
        <v>0</v>
      </c>
      <c r="I498" s="534">
        <f t="shared" si="134"/>
        <v>9610144</v>
      </c>
      <c r="J498" s="345">
        <f t="shared" si="134"/>
        <v>19418738</v>
      </c>
      <c r="K498" s="345">
        <f t="shared" si="134"/>
        <v>0</v>
      </c>
    </row>
    <row r="499" spans="1:11" ht="13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K499" si="135">F465</f>
        <v>18130282</v>
      </c>
      <c r="G499" s="542">
        <f t="shared" si="135"/>
        <v>11066268</v>
      </c>
      <c r="H499" s="533">
        <f t="shared" si="135"/>
        <v>0</v>
      </c>
      <c r="I499" s="534">
        <f t="shared" si="135"/>
        <v>7064014</v>
      </c>
      <c r="J499" s="345">
        <f t="shared" si="135"/>
        <v>18130282</v>
      </c>
      <c r="K499" s="345">
        <f t="shared" si="135"/>
        <v>0</v>
      </c>
    </row>
    <row r="500" spans="1:11" ht="13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4579214</v>
      </c>
      <c r="G500" s="542">
        <f>$G$495</f>
        <v>2800588</v>
      </c>
      <c r="H500" s="533">
        <f>$H$495</f>
        <v>0</v>
      </c>
      <c r="I500" s="534">
        <f>$I$495</f>
        <v>1778626</v>
      </c>
      <c r="J500" s="345">
        <f>$J$495</f>
        <v>4579214</v>
      </c>
      <c r="K500" s="345">
        <f>$K$495</f>
        <v>0</v>
      </c>
    </row>
    <row r="501" spans="1:11" ht="13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42128234</v>
      </c>
      <c r="G501" s="551">
        <f>SUM($G$498:$G$500)</f>
        <v>23675450</v>
      </c>
      <c r="H501" s="552">
        <f>SUM($H$498:$H$500)</f>
        <v>0</v>
      </c>
      <c r="I501" s="553">
        <f>SUM($I$498:$I$500)</f>
        <v>18452784</v>
      </c>
      <c r="J501" s="346">
        <f>SUM($J$498:$J$500)</f>
        <v>42128234</v>
      </c>
      <c r="K501" s="346">
        <f>SUM($K$498:$K$500)</f>
        <v>0</v>
      </c>
    </row>
    <row r="502" spans="1:11" ht="13">
      <c r="B502" s="341"/>
      <c r="C502" s="195"/>
      <c r="D502" s="342"/>
      <c r="E502" s="195"/>
      <c r="F502" s="195"/>
      <c r="G502" s="195"/>
      <c r="H502" s="195"/>
      <c r="I502" s="195"/>
      <c r="J502" s="195"/>
      <c r="K502" s="195"/>
    </row>
    <row r="503" spans="1:11" ht="13">
      <c r="A503" s="341" t="str">
        <f>co_name</f>
        <v>DUKE ENERGY KENTUCKY, INC.</v>
      </c>
      <c r="C503" s="195"/>
      <c r="D503" s="342"/>
      <c r="E503" s="195"/>
      <c r="F503" s="195"/>
      <c r="G503" s="195"/>
      <c r="H503" s="195"/>
      <c r="I503" s="195"/>
      <c r="J503" s="195" t="str">
        <f>$J$1</f>
        <v>FR-16(7)(v)-4</v>
      </c>
      <c r="K503" s="195"/>
    </row>
    <row r="504" spans="1:11" ht="13">
      <c r="A504" s="341" t="str">
        <f>$A$2</f>
        <v>DISTRIBUTION CLASSIFIED - GAS COST OF SERVICE</v>
      </c>
      <c r="C504" s="195"/>
      <c r="D504" s="342"/>
      <c r="E504" s="195"/>
      <c r="F504" s="195"/>
      <c r="G504" s="195"/>
      <c r="H504" s="195"/>
      <c r="I504" s="195"/>
      <c r="J504" s="195" t="str">
        <f>$J$2</f>
        <v>WITNESS RESPONSIBLE:</v>
      </c>
      <c r="K504" s="195"/>
    </row>
    <row r="505" spans="1:11" ht="13">
      <c r="A505" s="341" t="str">
        <f>case_name</f>
        <v>CASE NO: 2021-00190</v>
      </c>
      <c r="C505" s="195"/>
      <c r="D505" s="342"/>
      <c r="E505" s="195"/>
      <c r="F505" s="195"/>
      <c r="G505" s="195"/>
      <c r="H505" s="195"/>
      <c r="I505" s="195"/>
      <c r="J505" s="195" t="str">
        <f>Witness</f>
        <v>JAMES E. ZIOLKOWSKI</v>
      </c>
      <c r="K505" s="195"/>
    </row>
    <row r="506" spans="1:11" ht="13">
      <c r="A506" s="341" t="str">
        <f>data_filing</f>
        <v>DATA: 12 MONTH FORECASTED PERIOD</v>
      </c>
      <c r="C506" s="195"/>
      <c r="D506" s="342"/>
      <c r="E506" s="195"/>
      <c r="F506" s="195"/>
      <c r="G506" s="195"/>
      <c r="H506" s="195"/>
      <c r="I506" s="195"/>
      <c r="J506" s="195" t="str">
        <f>"PAGE "&amp;Pages-6&amp;" OF "&amp;Pages</f>
        <v>PAGE 12 OF 18</v>
      </c>
      <c r="K506" s="195"/>
    </row>
    <row r="507" spans="1:11" ht="13">
      <c r="A507" s="341" t="str">
        <f>type</f>
        <v xml:space="preserve">TYPE OF FILING: "X" ORIGINAL   UPDATED    REVISED  </v>
      </c>
      <c r="C507" s="195"/>
      <c r="D507" s="342"/>
      <c r="E507" s="195"/>
      <c r="F507" s="195"/>
      <c r="G507" s="195"/>
      <c r="H507" s="195"/>
      <c r="I507" s="195"/>
      <c r="J507" s="195"/>
      <c r="K507" s="195"/>
    </row>
    <row r="508" spans="1:11" ht="13">
      <c r="B508" s="341"/>
      <c r="C508" s="195"/>
      <c r="D508" s="342"/>
      <c r="E508" s="195"/>
      <c r="F508" s="195"/>
      <c r="G508" s="195"/>
      <c r="H508" s="195"/>
      <c r="I508" s="195"/>
      <c r="J508" s="195"/>
      <c r="K508" s="195"/>
    </row>
    <row r="509" spans="1:11" ht="13">
      <c r="B509" s="341"/>
      <c r="C509" s="195"/>
      <c r="D509" s="342"/>
      <c r="E509" s="195"/>
      <c r="F509" s="195"/>
      <c r="G509" s="195"/>
      <c r="H509" s="195"/>
      <c r="I509" s="195"/>
      <c r="J509" s="195"/>
      <c r="K509" s="195"/>
    </row>
    <row r="510" spans="1:11" ht="13">
      <c r="A510" s="342" t="s">
        <v>907</v>
      </c>
      <c r="B510" s="195"/>
      <c r="C510" s="195"/>
      <c r="D510" s="342"/>
      <c r="E510" s="195"/>
      <c r="F510" s="342" t="s">
        <v>229</v>
      </c>
      <c r="G510" s="539" t="s">
        <v>995</v>
      </c>
      <c r="H510" s="527"/>
      <c r="I510" s="528"/>
      <c r="J510" s="342" t="s">
        <v>229</v>
      </c>
      <c r="K510" s="342" t="s">
        <v>342</v>
      </c>
    </row>
    <row r="511" spans="1:11" ht="13">
      <c r="A511" s="344" t="s">
        <v>908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4" t="s">
        <v>839</v>
      </c>
      <c r="G511" s="540" t="s">
        <v>840</v>
      </c>
      <c r="H511" s="529" t="s">
        <v>841</v>
      </c>
      <c r="I511" s="530" t="s">
        <v>842</v>
      </c>
      <c r="J511" s="344" t="s">
        <v>341</v>
      </c>
      <c r="K511" s="344" t="s">
        <v>340</v>
      </c>
    </row>
    <row r="512" spans="1:11" ht="13">
      <c r="C512" s="572" t="s">
        <v>351</v>
      </c>
      <c r="D512" s="342"/>
      <c r="E512" s="195"/>
      <c r="G512" s="793">
        <f>$G$10</f>
        <v>3</v>
      </c>
      <c r="H512" s="794">
        <f>$H$10</f>
        <v>4</v>
      </c>
      <c r="I512" s="795">
        <f>$I$10</f>
        <v>5</v>
      </c>
    </row>
    <row r="513" spans="1:11" ht="13">
      <c r="A513" s="331">
        <v>1</v>
      </c>
      <c r="B513" s="330" t="s">
        <v>69</v>
      </c>
      <c r="D513" s="342"/>
      <c r="E513" s="195"/>
      <c r="G513" s="541"/>
      <c r="H513" s="531"/>
      <c r="I513" s="532"/>
    </row>
    <row r="514" spans="1:11" ht="13">
      <c r="A514" s="331">
        <v>2</v>
      </c>
      <c r="B514" s="330" t="s">
        <v>70</v>
      </c>
      <c r="D514" s="342"/>
      <c r="E514" s="195"/>
      <c r="F514" s="330" t="s">
        <v>343</v>
      </c>
      <c r="G514" s="541"/>
      <c r="H514" s="531"/>
      <c r="I514" s="532"/>
    </row>
    <row r="515" spans="1:11" ht="13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3">
        <f>'FR-16(7)(v)-1 Functional'!I515</f>
        <v>8465297</v>
      </c>
      <c r="G515" s="542">
        <f>F515-SUM($H$515:$I$515)</f>
        <v>5248823</v>
      </c>
      <c r="H515" s="533">
        <f>ROUND(F515*VLOOKUP(D515,Alloctable_Classified_Distribution,$H$10,FALSE),0)</f>
        <v>0</v>
      </c>
      <c r="I515" s="534">
        <f>ROUND(F515*VLOOKUP(D515,Alloctable_Classified_Distribution,$I$10,FALSE),0)</f>
        <v>3216474</v>
      </c>
      <c r="J515" s="345">
        <f>SUM($G$515:$I$515)</f>
        <v>8465297</v>
      </c>
      <c r="K515" s="345">
        <f>F515-$J$515</f>
        <v>0</v>
      </c>
    </row>
    <row r="516" spans="1:11" ht="13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8465297</v>
      </c>
      <c r="G516" s="543">
        <f>$G$515</f>
        <v>5248823</v>
      </c>
      <c r="H516" s="535">
        <f>$H$515</f>
        <v>0</v>
      </c>
      <c r="I516" s="536">
        <f>$I$515</f>
        <v>3216474</v>
      </c>
      <c r="J516" s="346">
        <f>$J$515</f>
        <v>8465297</v>
      </c>
      <c r="K516" s="346">
        <f>$K$515</f>
        <v>0</v>
      </c>
    </row>
    <row r="517" spans="1:11" ht="13">
      <c r="A517" s="331">
        <v>5</v>
      </c>
      <c r="D517" s="342"/>
      <c r="E517" s="195"/>
      <c r="F517" s="351"/>
      <c r="G517" s="541"/>
      <c r="H517" s="531"/>
      <c r="I517" s="532"/>
    </row>
    <row r="518" spans="1:11" ht="13">
      <c r="A518" s="331">
        <v>6</v>
      </c>
      <c r="B518" s="330" t="s">
        <v>71</v>
      </c>
      <c r="D518" s="342"/>
      <c r="E518" s="195"/>
      <c r="F518" s="351"/>
      <c r="G518" s="541"/>
      <c r="H518" s="531"/>
      <c r="I518" s="532"/>
    </row>
    <row r="519" spans="1:11" ht="13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3">
        <f>'FR-16(7)(v)-1 Functional'!I519</f>
        <v>9066709</v>
      </c>
      <c r="G519" s="542">
        <f>F519-SUM($H$519:$I$519)</f>
        <v>5534047</v>
      </c>
      <c r="H519" s="533">
        <f>ROUND(F519*VLOOKUP(D519,Alloctable_Classified_Distribution,$H$10,FALSE),0)</f>
        <v>0</v>
      </c>
      <c r="I519" s="534">
        <f>ROUND(F519*VLOOKUP(D519,Alloctable_Classified_Distribution,$I$10,FALSE),0)</f>
        <v>3532662</v>
      </c>
      <c r="J519" s="345">
        <f>SUM($G$519:$I$519)</f>
        <v>9066709</v>
      </c>
      <c r="K519" s="345">
        <f>F519-$J$519</f>
        <v>0</v>
      </c>
    </row>
    <row r="520" spans="1:11" ht="13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3">
        <f>'FR-16(7)(v)-1 Functional'!I520</f>
        <v>-198166</v>
      </c>
      <c r="G520" s="542">
        <f>F520-SUM($H$520:$I$520)</f>
        <v>-108684</v>
      </c>
      <c r="H520" s="533">
        <f>ROUND(F520*VLOOKUP(D520,Alloctable_Classified_Distribution,$H$10,FALSE),0)</f>
        <v>0</v>
      </c>
      <c r="I520" s="534">
        <f>ROUND(F520*VLOOKUP(D520,Alloctable_Classified_Distribution,$I$10,FALSE),0)</f>
        <v>-89482</v>
      </c>
      <c r="J520" s="345">
        <f>SUM($G$520:$I$520)</f>
        <v>-198166</v>
      </c>
      <c r="K520" s="345">
        <f>F520-$J$520</f>
        <v>0</v>
      </c>
    </row>
    <row r="521" spans="1:11" ht="13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3">
        <f>'FR-16(7)(v)-1 Functional'!I521</f>
        <v>-1951574</v>
      </c>
      <c r="G521" s="542">
        <f>F521-SUM($H$521:$I$521)</f>
        <v>-1191182</v>
      </c>
      <c r="H521" s="533">
        <f>ROUND(F521*VLOOKUP(D521,Alloctable_Classified_Distribution,$H$10,FALSE),0)</f>
        <v>0</v>
      </c>
      <c r="I521" s="534">
        <f>ROUND(F521*VLOOKUP(D521,Alloctable_Classified_Distribution,$I$10,FALSE),0)</f>
        <v>-760392</v>
      </c>
      <c r="J521" s="345">
        <f>SUM($G$521:$I$521)</f>
        <v>-1951574</v>
      </c>
      <c r="K521" s="345">
        <f>F521-$J$521</f>
        <v>0</v>
      </c>
    </row>
    <row r="522" spans="1:11" ht="13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6916969</v>
      </c>
      <c r="G522" s="543">
        <f>SUM($G$519:$G$521)</f>
        <v>4234181</v>
      </c>
      <c r="H522" s="535">
        <f>SUM($H$519:$H$521)</f>
        <v>0</v>
      </c>
      <c r="I522" s="536">
        <f>SUM($I$519:$I$521)</f>
        <v>2682788</v>
      </c>
      <c r="J522" s="346">
        <f>SUM($J$519:$J$521)</f>
        <v>6916969</v>
      </c>
      <c r="K522" s="346">
        <f>SUM($K$519:$K$521)</f>
        <v>0</v>
      </c>
    </row>
    <row r="523" spans="1:11" ht="13">
      <c r="A523" s="331">
        <v>11</v>
      </c>
      <c r="D523" s="342"/>
      <c r="E523" s="195"/>
      <c r="F523" s="351"/>
      <c r="G523" s="541"/>
      <c r="H523" s="531"/>
      <c r="I523" s="532"/>
    </row>
    <row r="524" spans="1:11" ht="13">
      <c r="A524" s="331">
        <v>12</v>
      </c>
      <c r="B524" s="330" t="s">
        <v>72</v>
      </c>
      <c r="D524" s="342"/>
      <c r="E524" s="195"/>
      <c r="F524" s="347">
        <f>F522+F516</f>
        <v>15382266</v>
      </c>
      <c r="G524" s="542">
        <f>$G$522+$G$516</f>
        <v>9483004</v>
      </c>
      <c r="H524" s="533">
        <f>$H$522+$H$516</f>
        <v>0</v>
      </c>
      <c r="I524" s="534">
        <f>$I$522+$I$516</f>
        <v>5899262</v>
      </c>
      <c r="J524" s="345">
        <f>$J$522+$J$516</f>
        <v>15382266</v>
      </c>
      <c r="K524" s="345">
        <f>$K$522+$K$516</f>
        <v>0</v>
      </c>
    </row>
    <row r="525" spans="1:11" ht="13">
      <c r="A525" s="331">
        <v>13</v>
      </c>
      <c r="D525" s="342"/>
      <c r="E525" s="195"/>
      <c r="F525" s="351"/>
      <c r="G525" s="541"/>
      <c r="H525" s="531"/>
      <c r="I525" s="532"/>
    </row>
    <row r="526" spans="1:11" ht="13">
      <c r="A526" s="331">
        <v>14</v>
      </c>
      <c r="B526" s="338" t="s">
        <v>541</v>
      </c>
      <c r="D526" s="342"/>
      <c r="E526" s="195"/>
      <c r="F526" s="351"/>
      <c r="G526" s="541"/>
      <c r="H526" s="531"/>
      <c r="I526" s="532"/>
    </row>
    <row r="527" spans="1:11" ht="13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3">
        <f>'FR-16(7)(v)-1 Functional'!I527</f>
        <v>438438</v>
      </c>
      <c r="G527" s="542">
        <f>F527-SUM($H$527:$I$527)</f>
        <v>221459</v>
      </c>
      <c r="H527" s="533">
        <f>ROUND(F527*VLOOKUP(D527,Alloctable_Classified_Distribution,$H$10,FALSE),0)</f>
        <v>0</v>
      </c>
      <c r="I527" s="534">
        <f>ROUND(F527*VLOOKUP(D527,Alloctable_Classified_Distribution,$I$10,FALSE),0)</f>
        <v>216979</v>
      </c>
      <c r="J527" s="345">
        <f>SUM($G$527:$I$527)</f>
        <v>438438</v>
      </c>
      <c r="K527" s="345">
        <f>F527-$J$527</f>
        <v>0</v>
      </c>
    </row>
    <row r="528" spans="1:11" ht="13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3">
        <f>'FR-16(7)(v)-1 Functional'!I528</f>
        <v>13231</v>
      </c>
      <c r="G528" s="542">
        <f>F528-SUM($H$528:$I$528)</f>
        <v>7257</v>
      </c>
      <c r="H528" s="533">
        <f>ROUND(F528*VLOOKUP(D528,Alloctable_Classified_Distribution,$H$10,FALSE),0)</f>
        <v>0</v>
      </c>
      <c r="I528" s="534">
        <f>ROUND(F528*VLOOKUP(D528,Alloctable_Classified_Distribution,$I$10,FALSE),0)</f>
        <v>5974</v>
      </c>
      <c r="J528" s="345">
        <f>SUM($G$528:$I$528)</f>
        <v>13231</v>
      </c>
      <c r="K528" s="345">
        <f>F528-$J$528</f>
        <v>0</v>
      </c>
    </row>
    <row r="529" spans="1:11" ht="13">
      <c r="A529" s="331">
        <v>17</v>
      </c>
      <c r="C529" s="612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3">
        <f>'FR-16(7)(v)-1 Functional'!I529</f>
        <v>0</v>
      </c>
      <c r="G529" s="542">
        <f>F529-SUM($H$529:$I$529)</f>
        <v>0</v>
      </c>
      <c r="H529" s="533">
        <f>ROUND(F529*VLOOKUP(D529,Alloctable_Classified_Distribution,$H$10,FALSE),0)</f>
        <v>0</v>
      </c>
      <c r="I529" s="534">
        <f>ROUND(F529*VLOOKUP(D529,Alloctable_Classified_Distribution,$I$10,FALSE),0)</f>
        <v>0</v>
      </c>
      <c r="J529" s="345">
        <f>SUM($G$529:$I$529)</f>
        <v>0</v>
      </c>
      <c r="K529" s="345">
        <f>F529-$J$529</f>
        <v>0</v>
      </c>
    </row>
    <row r="530" spans="1:11" ht="13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3">
        <f>'FR-16(7)(v)-1 Functional'!I530</f>
        <v>0</v>
      </c>
      <c r="G530" s="542">
        <f>F530-SUM($H$530:$I$530)</f>
        <v>0</v>
      </c>
      <c r="H530" s="533">
        <f>ROUND(F530*VLOOKUP(D530,Alloctable_Classified_Distribution,$H$10,FALSE),0)</f>
        <v>0</v>
      </c>
      <c r="I530" s="534">
        <f>ROUND(F530*VLOOKUP(D530,Alloctable_Classified_Distribution,$I$10,FALSE),0)</f>
        <v>0</v>
      </c>
      <c r="J530" s="345">
        <f>SUM($G$530:$I$530)</f>
        <v>0</v>
      </c>
      <c r="K530" s="345">
        <f>F530-$J$530</f>
        <v>0</v>
      </c>
    </row>
    <row r="531" spans="1:11" ht="13">
      <c r="A531" s="331">
        <v>19</v>
      </c>
      <c r="C531" s="357" t="s">
        <v>1418</v>
      </c>
      <c r="D531" s="342" t="str">
        <f>'FR-16(7)(v)-1 Functional'!D531</f>
        <v>AG39</v>
      </c>
      <c r="E531" s="195"/>
      <c r="F531" s="473">
        <f>'FR-16(7)(v)-1 Functional'!I531</f>
        <v>-532523</v>
      </c>
      <c r="G531" s="542">
        <f>F531-SUM($H$531:$I$531)</f>
        <v>-292062</v>
      </c>
      <c r="H531" s="533">
        <f>ROUND(F531*VLOOKUP(D531,Alloctable_Classified_Distribution,$H$10,FALSE),0)</f>
        <v>0</v>
      </c>
      <c r="I531" s="534">
        <f>ROUND(F531*VLOOKUP(D531,Alloctable_Classified_Distribution,$I$10,FALSE),0)</f>
        <v>-240461</v>
      </c>
      <c r="J531" s="345">
        <f>SUM($G$531:$I$531)</f>
        <v>-532523</v>
      </c>
      <c r="K531" s="345">
        <f>F531-$J$531</f>
        <v>0</v>
      </c>
    </row>
    <row r="532" spans="1:11" ht="13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-80854</v>
      </c>
      <c r="G532" s="543">
        <f>SUM($G$527:$G$531)</f>
        <v>-63346</v>
      </c>
      <c r="H532" s="535">
        <f>SUM($H$527:$H$531)</f>
        <v>0</v>
      </c>
      <c r="I532" s="536">
        <f>SUM($I$527:$I$531)</f>
        <v>-17508</v>
      </c>
      <c r="J532" s="346">
        <f>SUM($J$527:$J$531)</f>
        <v>-80854</v>
      </c>
      <c r="K532" s="346">
        <f>SUM($K$527:$K$531)</f>
        <v>0</v>
      </c>
    </row>
    <row r="533" spans="1:11" ht="13">
      <c r="A533" s="331">
        <v>21</v>
      </c>
      <c r="D533" s="342"/>
      <c r="E533" s="195"/>
      <c r="F533" s="351"/>
      <c r="G533" s="541"/>
      <c r="H533" s="531"/>
      <c r="I533" s="532"/>
    </row>
    <row r="534" spans="1:11" ht="13">
      <c r="A534" s="331">
        <v>22</v>
      </c>
      <c r="B534" s="330" t="s">
        <v>418</v>
      </c>
      <c r="D534" s="342"/>
      <c r="E534" s="195"/>
      <c r="F534" s="351"/>
      <c r="G534" s="541"/>
      <c r="H534" s="531"/>
      <c r="I534" s="532"/>
    </row>
    <row r="535" spans="1:11" ht="13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3">
        <f>'FR-16(7)(v)-1 Functional'!I535</f>
        <v>60201</v>
      </c>
      <c r="G535" s="542">
        <f>F535-SUM($H$535:$I$535)</f>
        <v>37337</v>
      </c>
      <c r="H535" s="533">
        <f>ROUND(F535*VLOOKUP(D535,Alloctable_Classified_Distribution,$H$10,FALSE),0)</f>
        <v>0</v>
      </c>
      <c r="I535" s="534">
        <f>ROUND(F535*VLOOKUP(D535,Alloctable_Classified_Distribution,$I$10,FALSE),0)</f>
        <v>22864</v>
      </c>
      <c r="J535" s="506">
        <f>SUM($G$535:$I$535)</f>
        <v>60201</v>
      </c>
      <c r="K535" s="506">
        <f>F535-$J$535</f>
        <v>0</v>
      </c>
    </row>
    <row r="536" spans="1:11" ht="13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60201</v>
      </c>
      <c r="G536" s="543">
        <f>SUM($G$535:$G$535)</f>
        <v>37337</v>
      </c>
      <c r="H536" s="535">
        <f>SUM($H$535:$H$535)</f>
        <v>0</v>
      </c>
      <c r="I536" s="536">
        <f>SUM($I$535:$I$535)</f>
        <v>22864</v>
      </c>
      <c r="J536" s="346">
        <f>SUM($J$535:$J$535)</f>
        <v>60201</v>
      </c>
      <c r="K536" s="346">
        <f>SUM($K$535:$K$535)</f>
        <v>0</v>
      </c>
    </row>
    <row r="537" spans="1:11" ht="13">
      <c r="A537" s="331">
        <v>25</v>
      </c>
      <c r="D537" s="342"/>
      <c r="E537" s="195"/>
      <c r="F537" s="504"/>
      <c r="G537" s="566"/>
      <c r="H537" s="567"/>
      <c r="I537" s="568"/>
      <c r="J537" s="504"/>
      <c r="K537" s="504"/>
    </row>
    <row r="538" spans="1:11" ht="15.5">
      <c r="A538" s="331">
        <v>26</v>
      </c>
      <c r="B538" s="330" t="s">
        <v>73</v>
      </c>
      <c r="D538" s="729"/>
      <c r="E538" s="1"/>
      <c r="F538" s="504"/>
      <c r="G538" s="566"/>
      <c r="H538" s="567"/>
      <c r="I538" s="568"/>
      <c r="J538" s="504"/>
      <c r="K538" s="504"/>
    </row>
    <row r="539" spans="1:11" ht="13">
      <c r="A539" s="331">
        <v>27</v>
      </c>
      <c r="C539" s="330" t="str">
        <f>'FR-16(7)(v)-1 Functional'!C539</f>
        <v>PROV INVEST TAX CREDIT</v>
      </c>
      <c r="D539" s="342" t="s">
        <v>315</v>
      </c>
      <c r="F539" s="473">
        <v>0</v>
      </c>
      <c r="G539" s="542">
        <f>ROUND(F539*VLOOKUP(D539,Alloctable_Classified_Distribution,$G$10,FALSE),0)</f>
        <v>0</v>
      </c>
      <c r="H539" s="533">
        <f>ROUND(F539*VLOOKUP(D539,Alloctable_Classified_Distribution,$H$10,FALSE),0)</f>
        <v>0</v>
      </c>
      <c r="I539" s="534">
        <f>ROUND(F539*VLOOKUP(D539,Alloctable_Classified_Distribution,$I$10,FALSE),0)</f>
        <v>0</v>
      </c>
      <c r="J539" s="345">
        <f>SUM($G$539:$I$539)</f>
        <v>0</v>
      </c>
      <c r="K539" s="345">
        <f>F539-$J$539</f>
        <v>0</v>
      </c>
    </row>
    <row r="540" spans="1:11" ht="15.5">
      <c r="A540" s="331">
        <v>28</v>
      </c>
      <c r="C540" s="337" t="str">
        <f>'FR-16(7)(v)-1 Functional'!C540</f>
        <v xml:space="preserve">  TEST YEAR INV TAX CREDIT</v>
      </c>
      <c r="D540" s="729"/>
      <c r="E540" s="1"/>
      <c r="F540" s="346">
        <f>SUM(F539:F539)</f>
        <v>0</v>
      </c>
      <c r="G540" s="543">
        <f>SUM($G$539:$G$539)</f>
        <v>0</v>
      </c>
      <c r="H540" s="535">
        <f>SUM($H$539:$H$539)</f>
        <v>0</v>
      </c>
      <c r="I540" s="536">
        <f>SUM($I$539:$I$539)</f>
        <v>0</v>
      </c>
      <c r="J540" s="346">
        <f>SUM($J$539:$J$539)</f>
        <v>0</v>
      </c>
      <c r="K540" s="346">
        <f>SUM($K$539:$K$539)</f>
        <v>0</v>
      </c>
    </row>
    <row r="541" spans="1:11" ht="15.5">
      <c r="A541" s="331">
        <v>29</v>
      </c>
      <c r="B541" s="192"/>
      <c r="C541" s="192"/>
      <c r="D541" s="729"/>
      <c r="E541" s="1"/>
      <c r="F541" s="504"/>
      <c r="G541" s="566"/>
      <c r="H541" s="567"/>
      <c r="I541" s="568"/>
      <c r="J541" s="504"/>
      <c r="K541" s="504"/>
    </row>
    <row r="542" spans="1:11" ht="15.5">
      <c r="A542" s="331">
        <v>30</v>
      </c>
      <c r="B542" s="330" t="s">
        <v>40</v>
      </c>
      <c r="C542" s="192"/>
      <c r="D542" s="729"/>
      <c r="E542" s="1"/>
      <c r="F542" s="504"/>
      <c r="G542" s="566"/>
      <c r="H542" s="567"/>
      <c r="I542" s="568"/>
      <c r="J542" s="504"/>
      <c r="K542" s="504"/>
    </row>
    <row r="543" spans="1:11" ht="13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-80854</v>
      </c>
      <c r="G543" s="542">
        <f>$G$532</f>
        <v>-63346</v>
      </c>
      <c r="H543" s="533">
        <f>$H$532</f>
        <v>0</v>
      </c>
      <c r="I543" s="534">
        <f>$I$532</f>
        <v>-17508</v>
      </c>
      <c r="J543" s="345">
        <f>$J$532</f>
        <v>-80854</v>
      </c>
      <c r="K543" s="345">
        <f>$K$532</f>
        <v>0</v>
      </c>
    </row>
    <row r="544" spans="1:11" ht="13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-60201</v>
      </c>
      <c r="G544" s="542">
        <f>-$G$536</f>
        <v>-37337</v>
      </c>
      <c r="H544" s="533">
        <f>-$H$536</f>
        <v>0</v>
      </c>
      <c r="I544" s="534">
        <f>-$I$536</f>
        <v>-22864</v>
      </c>
      <c r="J544" s="345">
        <f>-$J$536</f>
        <v>-60201</v>
      </c>
      <c r="K544" s="345">
        <f>-$K$536</f>
        <v>0</v>
      </c>
    </row>
    <row r="545" spans="1:11" ht="13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-141055</v>
      </c>
      <c r="G545" s="543">
        <f>SUM($G$543:$G$544)</f>
        <v>-100683</v>
      </c>
      <c r="H545" s="535">
        <f>SUM($H$543:$H$544)</f>
        <v>0</v>
      </c>
      <c r="I545" s="536">
        <f>SUM($I$543:$I$544)</f>
        <v>-40372</v>
      </c>
      <c r="J545" s="346">
        <f>SUM($J$543:$J$544)</f>
        <v>-141055</v>
      </c>
      <c r="K545" s="346">
        <f>SUM($K$543:$K$544)</f>
        <v>0</v>
      </c>
    </row>
    <row r="546" spans="1:11" ht="13">
      <c r="A546" s="331">
        <v>34</v>
      </c>
      <c r="D546" s="342"/>
      <c r="E546" s="195"/>
      <c r="F546" s="351"/>
      <c r="G546" s="541"/>
      <c r="H546" s="531"/>
      <c r="I546" s="532"/>
    </row>
    <row r="547" spans="1:11" ht="13">
      <c r="A547" s="331">
        <v>35</v>
      </c>
      <c r="B547" s="330" t="s">
        <v>74</v>
      </c>
      <c r="D547" s="342"/>
      <c r="E547" s="195"/>
      <c r="F547" s="351"/>
      <c r="G547" s="541"/>
      <c r="H547" s="531"/>
      <c r="I547" s="532"/>
    </row>
    <row r="548" spans="1:11" ht="13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K548" si="136">F334</f>
        <v>32506456</v>
      </c>
      <c r="G548" s="542">
        <f t="shared" si="136"/>
        <v>20155242</v>
      </c>
      <c r="H548" s="533">
        <f t="shared" si="136"/>
        <v>0</v>
      </c>
      <c r="I548" s="534">
        <f t="shared" si="136"/>
        <v>12351215</v>
      </c>
      <c r="J548" s="345">
        <f t="shared" si="136"/>
        <v>32506457</v>
      </c>
      <c r="K548" s="345">
        <f t="shared" si="136"/>
        <v>0</v>
      </c>
    </row>
    <row r="549" spans="1:11" ht="13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-15382266</v>
      </c>
      <c r="G549" s="542">
        <f>-$G$524</f>
        <v>-9483004</v>
      </c>
      <c r="H549" s="533">
        <f>-$H$524</f>
        <v>0</v>
      </c>
      <c r="I549" s="534">
        <f>-$I$524</f>
        <v>-5899262</v>
      </c>
      <c r="J549" s="345">
        <f>-$J$524</f>
        <v>-15382266</v>
      </c>
      <c r="K549" s="345">
        <f>-$K$524</f>
        <v>0</v>
      </c>
    </row>
    <row r="550" spans="1:11" ht="13">
      <c r="A550" s="331">
        <v>38</v>
      </c>
      <c r="C550" s="330" t="s">
        <v>1419</v>
      </c>
      <c r="D550" s="342"/>
      <c r="E550" s="195"/>
      <c r="F550" s="347">
        <f t="shared" ref="F550:K550" si="137">F591</f>
        <v>627002</v>
      </c>
      <c r="G550" s="542">
        <f t="shared" si="137"/>
        <v>388867</v>
      </c>
      <c r="H550" s="533">
        <f t="shared" si="137"/>
        <v>0</v>
      </c>
      <c r="I550" s="534">
        <f t="shared" si="137"/>
        <v>238135</v>
      </c>
      <c r="J550" s="345">
        <f t="shared" si="137"/>
        <v>627002</v>
      </c>
      <c r="K550" s="345">
        <f t="shared" si="137"/>
        <v>0</v>
      </c>
    </row>
    <row r="551" spans="1:11" ht="13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-141055</v>
      </c>
      <c r="G551" s="542">
        <f>$G$545</f>
        <v>-100683</v>
      </c>
      <c r="H551" s="533">
        <f>$H$545</f>
        <v>0</v>
      </c>
      <c r="I551" s="534">
        <f>$I$545</f>
        <v>-40372</v>
      </c>
      <c r="J551" s="345">
        <f>$J$545</f>
        <v>-141055</v>
      </c>
      <c r="K551" s="345">
        <f>$K$545</f>
        <v>0</v>
      </c>
    </row>
    <row r="552" spans="1:11" ht="13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>SUM(F548:F551)</f>
        <v>17610137</v>
      </c>
      <c r="G552" s="543">
        <f>SUM($G$548:$G$551)</f>
        <v>10960422</v>
      </c>
      <c r="H552" s="535">
        <f>SUM($H$548:$H$551)</f>
        <v>0</v>
      </c>
      <c r="I552" s="536">
        <f>SUM($I$548:$I$551)</f>
        <v>6649716</v>
      </c>
      <c r="J552" s="346">
        <f>SUM($J$548:$J$551)</f>
        <v>17610138</v>
      </c>
      <c r="K552" s="346">
        <f>SUM($K$548:$K$551)</f>
        <v>0</v>
      </c>
    </row>
    <row r="553" spans="1:11" ht="13">
      <c r="A553" s="331">
        <v>41</v>
      </c>
      <c r="D553" s="342"/>
      <c r="E553" s="195"/>
      <c r="F553" s="351"/>
      <c r="G553" s="541"/>
      <c r="H553" s="531"/>
      <c r="I553" s="532"/>
    </row>
    <row r="554" spans="1:11" ht="13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560">
        <f>ROUND(G692/(1-G692),9)</f>
        <v>0.26582278500000001</v>
      </c>
      <c r="H554" s="561">
        <f>ROUND(H692/(1-H692),9)</f>
        <v>0.26582278500000001</v>
      </c>
      <c r="I554" s="562">
        <f>ROUND(I692/(1-I692),9)</f>
        <v>0.26582278500000001</v>
      </c>
      <c r="J554" s="348"/>
      <c r="K554" s="348">
        <f>ROUND(K692/(1-K692),9)</f>
        <v>0.26582278500000001</v>
      </c>
    </row>
    <row r="555" spans="1:11" ht="13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>ROUND(F554*F552,0)</f>
        <v>4681176</v>
      </c>
      <c r="G555" s="554">
        <f>ROUND($G$552*$G$554,0)</f>
        <v>2913530</v>
      </c>
      <c r="H555" s="555">
        <f>ROUND($H$552*$H$554,0)</f>
        <v>0</v>
      </c>
      <c r="I555" s="556">
        <f>ROUND($I$552*$I$554,0)</f>
        <v>1767646</v>
      </c>
      <c r="J555" s="345">
        <f>SUM($G$555:$I$555)</f>
        <v>4681176</v>
      </c>
      <c r="K555" s="345">
        <f>ROUND($K$552*$K$554,0)</f>
        <v>0</v>
      </c>
    </row>
    <row r="556" spans="1:11" ht="13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-141055</v>
      </c>
      <c r="G556" s="542">
        <f>$G$545</f>
        <v>-100683</v>
      </c>
      <c r="H556" s="533">
        <f>$H$545</f>
        <v>0</v>
      </c>
      <c r="I556" s="534">
        <f>$I$545</f>
        <v>-40372</v>
      </c>
      <c r="J556" s="345">
        <f>$J$545</f>
        <v>-141055</v>
      </c>
      <c r="K556" s="345">
        <f>$K$545</f>
        <v>0</v>
      </c>
    </row>
    <row r="557" spans="1:11" ht="13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>SUM(F555:F556)</f>
        <v>4540121</v>
      </c>
      <c r="G557" s="543">
        <f>SUM($G$555:$G$556)</f>
        <v>2812847</v>
      </c>
      <c r="H557" s="535">
        <f>SUM($H$555:$H$556)</f>
        <v>0</v>
      </c>
      <c r="I557" s="536">
        <f>SUM($I$555:$I$556)</f>
        <v>1727274</v>
      </c>
      <c r="J557" s="346">
        <f>SUM($J$555:$J$556)</f>
        <v>4540121</v>
      </c>
      <c r="K557" s="346">
        <f>SUM($K$555:$K$556)</f>
        <v>0</v>
      </c>
    </row>
    <row r="558" spans="1:11" ht="13">
      <c r="A558" s="331">
        <v>46</v>
      </c>
      <c r="D558" s="342"/>
      <c r="E558" s="195"/>
      <c r="F558" s="351"/>
      <c r="G558" s="541"/>
      <c r="H558" s="531"/>
      <c r="I558" s="532"/>
    </row>
    <row r="559" spans="1:11" ht="13">
      <c r="A559" s="331">
        <v>47</v>
      </c>
      <c r="B559" s="330" t="s">
        <v>68</v>
      </c>
      <c r="D559" s="342"/>
      <c r="E559" s="195"/>
      <c r="F559" s="351"/>
      <c r="G559" s="541"/>
      <c r="H559" s="531"/>
      <c r="I559" s="532"/>
    </row>
    <row r="560" spans="1:11" ht="13">
      <c r="A560" s="331">
        <v>48</v>
      </c>
      <c r="B560" s="330" t="s">
        <v>75</v>
      </c>
      <c r="D560" s="342"/>
      <c r="E560" s="195"/>
      <c r="F560" s="351"/>
      <c r="G560" s="541"/>
      <c r="H560" s="531"/>
      <c r="I560" s="532"/>
    </row>
    <row r="561" spans="1:11" ht="13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>F555</f>
        <v>4681176</v>
      </c>
      <c r="G561" s="542">
        <f>$G$555</f>
        <v>2913530</v>
      </c>
      <c r="H561" s="533">
        <f>$H$555</f>
        <v>0</v>
      </c>
      <c r="I561" s="534">
        <f>$I$555</f>
        <v>1767646</v>
      </c>
      <c r="J561" s="345">
        <f>$J$555</f>
        <v>4681176</v>
      </c>
      <c r="K561" s="345">
        <f>$K$555</f>
        <v>0</v>
      </c>
    </row>
    <row r="562" spans="1:11" ht="13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544">
        <f>-$G$540</f>
        <v>0</v>
      </c>
      <c r="H562" s="537">
        <f>-$H$540</f>
        <v>0</v>
      </c>
      <c r="I562" s="538">
        <f>-$I$540</f>
        <v>0</v>
      </c>
      <c r="J562" s="345">
        <f>-$J$540</f>
        <v>0</v>
      </c>
      <c r="K562" s="345">
        <f>-$K$540</f>
        <v>0</v>
      </c>
    </row>
    <row r="563" spans="1:11" ht="13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>SUM(F560:F562)</f>
        <v>4681176</v>
      </c>
      <c r="G563" s="543">
        <f>SUM($G$560:$G$562)</f>
        <v>2913530</v>
      </c>
      <c r="H563" s="535">
        <f>SUM($H$560:$H$562)</f>
        <v>0</v>
      </c>
      <c r="I563" s="536">
        <f>SUM($I$560:$I$562)</f>
        <v>1767646</v>
      </c>
      <c r="J563" s="346">
        <f>SUM($J$560:$J$562)</f>
        <v>4681176</v>
      </c>
      <c r="K563" s="346">
        <f>SUM($K$560:$K$562)</f>
        <v>0</v>
      </c>
    </row>
    <row r="564" spans="1:11" ht="13">
      <c r="A564" s="331">
        <v>52</v>
      </c>
      <c r="D564" s="342"/>
      <c r="E564" s="195"/>
      <c r="G564" s="541"/>
      <c r="H564" s="531"/>
      <c r="I564" s="532"/>
    </row>
    <row r="565" spans="1:11" ht="13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563">
        <f>ROUND((G693*(1-G692))+((1-G693)*(1-G692)*G694)+G692,5)</f>
        <v>0.24925</v>
      </c>
      <c r="H565" s="564">
        <f>ROUND((H693*(1-H692))+((1-H693)*(1-H692)*H694)+H692,5)</f>
        <v>0.24925</v>
      </c>
      <c r="I565" s="565">
        <f>ROUND((I693*(1-I692))+((1-I693)*(1-I692)*I694)+I692,5)</f>
        <v>0.24925</v>
      </c>
      <c r="K565" s="330">
        <f>ROUND((K693*(1-K692))+((1-K693)*(1-K692)*K694)+K692,5)</f>
        <v>0.24925</v>
      </c>
    </row>
    <row r="566" spans="1:11" ht="13">
      <c r="B566" s="341"/>
      <c r="C566" s="195"/>
      <c r="D566" s="342"/>
      <c r="E566" s="195"/>
      <c r="F566" s="195"/>
      <c r="G566" s="195"/>
      <c r="H566" s="195"/>
      <c r="I566" s="195"/>
      <c r="J566" s="195"/>
      <c r="K566" s="195"/>
    </row>
    <row r="567" spans="1:11" ht="13">
      <c r="A567" s="341" t="str">
        <f>co_name</f>
        <v>DUKE ENERGY KENTUCKY, INC.</v>
      </c>
      <c r="C567" s="195"/>
      <c r="D567" s="342"/>
      <c r="E567" s="195"/>
      <c r="F567" s="195"/>
      <c r="G567" s="195"/>
      <c r="H567" s="195"/>
      <c r="I567" s="195"/>
      <c r="J567" s="195" t="str">
        <f>$J$1</f>
        <v>FR-16(7)(v)-4</v>
      </c>
      <c r="K567" s="195"/>
    </row>
    <row r="568" spans="1:11" ht="13">
      <c r="A568" s="341" t="str">
        <f>$A$2</f>
        <v>DISTRIBUTION CLASSIFIED - GAS COST OF SERVICE</v>
      </c>
      <c r="C568" s="195"/>
      <c r="D568" s="342"/>
      <c r="E568" s="195"/>
      <c r="F568" s="195"/>
      <c r="G568" s="195"/>
      <c r="H568" s="195"/>
      <c r="I568" s="195"/>
      <c r="J568" s="195" t="str">
        <f>$J$2</f>
        <v>WITNESS RESPONSIBLE:</v>
      </c>
      <c r="K568" s="195"/>
    </row>
    <row r="569" spans="1:11" ht="13">
      <c r="A569" s="341" t="str">
        <f>case_name</f>
        <v>CASE NO: 2021-00190</v>
      </c>
      <c r="C569" s="195"/>
      <c r="D569" s="342"/>
      <c r="E569" s="195"/>
      <c r="F569" s="195"/>
      <c r="G569" s="195"/>
      <c r="H569" s="195"/>
      <c r="I569" s="195"/>
      <c r="J569" s="195" t="str">
        <f>Witness</f>
        <v>JAMES E. ZIOLKOWSKI</v>
      </c>
      <c r="K569" s="195"/>
    </row>
    <row r="570" spans="1:11" ht="13">
      <c r="A570" s="341" t="str">
        <f>data_filing</f>
        <v>DATA: 12 MONTH FORECASTED PERIOD</v>
      </c>
      <c r="C570" s="195"/>
      <c r="D570" s="342"/>
      <c r="E570" s="195"/>
      <c r="F570" s="195"/>
      <c r="G570" s="195"/>
      <c r="H570" s="195"/>
      <c r="I570" s="195"/>
      <c r="J570" s="195" t="str">
        <f>"PAGE "&amp;Pages-5&amp;" OF "&amp;Pages</f>
        <v>PAGE 13 OF 18</v>
      </c>
      <c r="K570" s="195"/>
    </row>
    <row r="571" spans="1:11" ht="13">
      <c r="A571" s="341" t="str">
        <f>type</f>
        <v xml:space="preserve">TYPE OF FILING: "X" ORIGINAL   UPDATED    REVISED  </v>
      </c>
      <c r="C571" s="195"/>
      <c r="D571" s="342"/>
      <c r="E571" s="195"/>
      <c r="F571" s="195"/>
      <c r="G571" s="195"/>
      <c r="H571" s="195"/>
      <c r="I571" s="195"/>
      <c r="J571" s="195"/>
      <c r="K571" s="195"/>
    </row>
    <row r="574" spans="1:11" ht="13">
      <c r="A574" s="342" t="s">
        <v>907</v>
      </c>
      <c r="B574" s="1352"/>
      <c r="C574" s="1083"/>
      <c r="D574" s="1083"/>
      <c r="E574" s="340"/>
      <c r="F574" s="352" t="s">
        <v>229</v>
      </c>
      <c r="G574" s="539" t="s">
        <v>995</v>
      </c>
      <c r="H574" s="527"/>
      <c r="I574" s="528"/>
      <c r="J574" s="342" t="s">
        <v>229</v>
      </c>
      <c r="K574" s="342" t="s">
        <v>342</v>
      </c>
    </row>
    <row r="575" spans="1:11" ht="13">
      <c r="A575" s="344" t="s">
        <v>908</v>
      </c>
      <c r="B575" s="1354" t="s">
        <v>1376</v>
      </c>
      <c r="C575" s="1355"/>
      <c r="D575" s="1356" t="s">
        <v>1377</v>
      </c>
      <c r="E575" s="1357"/>
      <c r="F575" s="353" t="str">
        <f>$F$9</f>
        <v>DISTRIBUTION</v>
      </c>
      <c r="G575" s="540" t="s">
        <v>840</v>
      </c>
      <c r="H575" s="529" t="s">
        <v>841</v>
      </c>
      <c r="I575" s="530" t="s">
        <v>842</v>
      </c>
      <c r="J575" s="344" t="s">
        <v>341</v>
      </c>
      <c r="K575" s="344" t="s">
        <v>340</v>
      </c>
    </row>
    <row r="576" spans="1:11" ht="15.5">
      <c r="A576" s="1358"/>
      <c r="B576" s="1359"/>
      <c r="C576" s="1360" t="s">
        <v>1378</v>
      </c>
      <c r="D576" s="1361"/>
      <c r="E576" s="340"/>
      <c r="F576" s="351"/>
      <c r="G576" s="1407">
        <f>$G$10</f>
        <v>3</v>
      </c>
      <c r="H576" s="1408">
        <f>$H$10</f>
        <v>4</v>
      </c>
      <c r="I576" s="1409">
        <f>$I$10</f>
        <v>5</v>
      </c>
    </row>
    <row r="577" spans="1:11" ht="13">
      <c r="A577" s="961">
        <v>1</v>
      </c>
      <c r="B577" s="1365" t="s">
        <v>1379</v>
      </c>
      <c r="C577" s="1352"/>
      <c r="D577" s="1352"/>
      <c r="E577" s="340"/>
      <c r="F577" s="340"/>
      <c r="G577" s="1410"/>
      <c r="H577" s="1411"/>
      <c r="I577" s="1412"/>
      <c r="J577" s="195"/>
      <c r="K577" s="195"/>
    </row>
    <row r="578" spans="1:11" ht="13">
      <c r="A578" s="961">
        <v>2</v>
      </c>
      <c r="B578" s="1369" t="s">
        <v>1380</v>
      </c>
      <c r="C578" s="1352"/>
      <c r="D578" s="1370" t="s">
        <v>315</v>
      </c>
      <c r="E578" s="340"/>
      <c r="F578" s="473">
        <f>'FR-16(7)(v)-1 Functional'!I578</f>
        <v>6716143</v>
      </c>
      <c r="G578" s="542">
        <f>ROUND(F578*VLOOKUP(D578,Alloctable_Classified_Distribution,$G$10,FALSE),0)</f>
        <v>4165352</v>
      </c>
      <c r="H578" s="533">
        <f>ROUND(F578*VLOOKUP(D578,Alloctable_Classified_Distribution,$H$10,FALSE),0)</f>
        <v>0</v>
      </c>
      <c r="I578" s="534">
        <f>ROUND(F578*VLOOKUP(D578,Alloctable_Classified_Distribution,$I$10,FALSE),0)</f>
        <v>2550791</v>
      </c>
      <c r="J578" s="345">
        <f>SUM(G578:I578)</f>
        <v>6716143</v>
      </c>
      <c r="K578" s="345">
        <f>F578-J578</f>
        <v>0</v>
      </c>
    </row>
    <row r="579" spans="1:11" ht="13">
      <c r="A579" s="961">
        <v>3</v>
      </c>
      <c r="B579" s="1369" t="s">
        <v>1152</v>
      </c>
      <c r="C579" s="1371"/>
      <c r="D579" s="1370" t="s">
        <v>315</v>
      </c>
      <c r="E579" s="340"/>
      <c r="F579" s="1372"/>
      <c r="G579" s="544">
        <f>ROUND(F579*VLOOKUP(D579,Alloctable_Classified_Distribution,$G$10,FALSE),0)</f>
        <v>0</v>
      </c>
      <c r="H579" s="537">
        <f>ROUND(F579*VLOOKUP(D579,Alloctable_Classified_Distribution,$H$10,FALSE),0)</f>
        <v>0</v>
      </c>
      <c r="I579" s="538">
        <f>ROUND(F579*VLOOKUP(D579,Alloctable_Classified_Distribution,$I$10,FALSE),0)</f>
        <v>0</v>
      </c>
      <c r="J579" s="496">
        <f>SUM(G579:I579)</f>
        <v>0</v>
      </c>
      <c r="K579" s="496">
        <f>F579-J579</f>
        <v>0</v>
      </c>
    </row>
    <row r="580" spans="1:11" ht="13">
      <c r="A580" s="961">
        <v>4</v>
      </c>
      <c r="B580" s="1373" t="s">
        <v>1381</v>
      </c>
      <c r="C580" s="1352"/>
      <c r="D580" s="1374"/>
      <c r="E580" s="340"/>
      <c r="F580" s="1280">
        <f t="shared" ref="F580:K580" si="138">SUM(F578:F579)</f>
        <v>6716143</v>
      </c>
      <c r="G580" s="1413">
        <f t="shared" si="138"/>
        <v>4165352</v>
      </c>
      <c r="H580" s="1414">
        <f t="shared" si="138"/>
        <v>0</v>
      </c>
      <c r="I580" s="1415">
        <f t="shared" si="138"/>
        <v>2550791</v>
      </c>
      <c r="J580" s="333">
        <f t="shared" si="138"/>
        <v>6716143</v>
      </c>
      <c r="K580" s="333">
        <f t="shared" si="138"/>
        <v>0</v>
      </c>
    </row>
    <row r="581" spans="1:11" ht="15.5">
      <c r="A581" s="961">
        <v>5</v>
      </c>
      <c r="B581" s="1358"/>
      <c r="C581" s="1361"/>
      <c r="D581" s="1375"/>
      <c r="E581" s="340"/>
      <c r="F581" s="351"/>
      <c r="G581" s="541"/>
      <c r="H581" s="531"/>
      <c r="I581" s="532"/>
    </row>
    <row r="582" spans="1:11" ht="13">
      <c r="A582" s="961">
        <v>6</v>
      </c>
      <c r="B582" s="1376" t="s">
        <v>1382</v>
      </c>
      <c r="C582" s="1352"/>
      <c r="D582" s="1374"/>
      <c r="E582" s="340"/>
      <c r="F582" s="351"/>
      <c r="G582" s="541"/>
      <c r="H582" s="531"/>
      <c r="I582" s="532"/>
    </row>
    <row r="583" spans="1:11" ht="13">
      <c r="A583" s="961">
        <v>7</v>
      </c>
      <c r="B583" s="1377" t="s">
        <v>1383</v>
      </c>
      <c r="C583" s="1352"/>
      <c r="D583" s="1374"/>
      <c r="E583" s="340"/>
      <c r="F583" s="351"/>
      <c r="G583" s="541"/>
      <c r="H583" s="531"/>
      <c r="I583" s="532"/>
    </row>
    <row r="584" spans="1:11" ht="13">
      <c r="A584" s="961">
        <v>8</v>
      </c>
      <c r="B584" s="1378" t="s">
        <v>1384</v>
      </c>
      <c r="C584" s="1371"/>
      <c r="D584" s="1370" t="s">
        <v>315</v>
      </c>
      <c r="E584" s="340"/>
      <c r="F584" s="1431">
        <f>'FR-16(7)(v)-1 Functional'!I584</f>
        <v>627002</v>
      </c>
      <c r="G584" s="544">
        <f>F584-SUM(H584:I584)</f>
        <v>388867</v>
      </c>
      <c r="H584" s="537">
        <f>ROUND(F584*VLOOKUP(D584,Alloctable_Classified_Distribution,$H$10,FALSE),0)</f>
        <v>0</v>
      </c>
      <c r="I584" s="538">
        <f>ROUND(F584*VLOOKUP(D584,Alloctable_Classified_Distribution,$I$10,FALSE),0)</f>
        <v>238135</v>
      </c>
      <c r="J584" s="496">
        <f>SUM(G584:I584)</f>
        <v>627002</v>
      </c>
      <c r="K584" s="496">
        <f>F584-J584</f>
        <v>0</v>
      </c>
    </row>
    <row r="585" spans="1:11" ht="13">
      <c r="A585" s="961">
        <v>9</v>
      </c>
      <c r="B585" s="1373" t="s">
        <v>1386</v>
      </c>
      <c r="C585" s="1352"/>
      <c r="D585" s="1374"/>
      <c r="E585" s="340"/>
      <c r="F585" s="1280">
        <f t="shared" ref="F585:K585" si="139">SUM(F584)</f>
        <v>627002</v>
      </c>
      <c r="G585" s="1413">
        <f t="shared" si="139"/>
        <v>388867</v>
      </c>
      <c r="H585" s="1414">
        <f t="shared" si="139"/>
        <v>0</v>
      </c>
      <c r="I585" s="1415">
        <f t="shared" si="139"/>
        <v>238135</v>
      </c>
      <c r="J585" s="333">
        <f t="shared" si="139"/>
        <v>627002</v>
      </c>
      <c r="K585" s="333">
        <f t="shared" si="139"/>
        <v>0</v>
      </c>
    </row>
    <row r="586" spans="1:11" ht="13">
      <c r="A586" s="961">
        <v>10</v>
      </c>
      <c r="B586" s="1082"/>
      <c r="C586" s="1352"/>
      <c r="D586" s="1374"/>
      <c r="E586" s="340"/>
      <c r="F586" s="351"/>
      <c r="G586" s="541"/>
      <c r="H586" s="531"/>
      <c r="I586" s="532"/>
    </row>
    <row r="587" spans="1:11" ht="13">
      <c r="A587" s="961">
        <v>11</v>
      </c>
      <c r="B587" s="1379" t="s">
        <v>1387</v>
      </c>
      <c r="C587" s="1380"/>
      <c r="D587" s="1381"/>
      <c r="E587" s="340"/>
      <c r="F587" s="351"/>
      <c r="G587" s="541"/>
      <c r="H587" s="531"/>
      <c r="I587" s="532"/>
    </row>
    <row r="588" spans="1:11" ht="13">
      <c r="A588" s="961">
        <v>12</v>
      </c>
      <c r="B588" s="1369" t="s">
        <v>1388</v>
      </c>
      <c r="C588" s="1371"/>
      <c r="D588" s="1370" t="s">
        <v>315</v>
      </c>
      <c r="E588" s="340"/>
      <c r="F588" s="1431">
        <f>'FR-16(7)(v)-1 Functional'!F588</f>
        <v>0</v>
      </c>
      <c r="G588" s="544">
        <f>ROUND(F588*VLOOKUP(D588,Alloctable_Classified_Distribution,$G$10,FALSE),0)</f>
        <v>0</v>
      </c>
      <c r="H588" s="537">
        <f>ROUND(F588*VLOOKUP(D588,Alloctable_Classified_Distribution,$H$10,FALSE),0)</f>
        <v>0</v>
      </c>
      <c r="I588" s="538">
        <f>ROUND(F588*VLOOKUP(D588,Alloctable_Classified_Distribution,$I$10,FALSE),0)</f>
        <v>0</v>
      </c>
      <c r="J588" s="496">
        <f>SUM(G588:I588)</f>
        <v>0</v>
      </c>
      <c r="K588" s="496">
        <f>F588-J588</f>
        <v>0</v>
      </c>
    </row>
    <row r="589" spans="1:11" ht="13">
      <c r="A589" s="961">
        <v>13</v>
      </c>
      <c r="B589" s="1373" t="s">
        <v>1389</v>
      </c>
      <c r="C589" s="1352"/>
      <c r="D589" s="1374"/>
      <c r="E589" s="340"/>
      <c r="F589" s="1280">
        <f t="shared" ref="F589:K589" si="140">SUM(F588)</f>
        <v>0</v>
      </c>
      <c r="G589" s="1413">
        <f t="shared" si="140"/>
        <v>0</v>
      </c>
      <c r="H589" s="1414">
        <f t="shared" si="140"/>
        <v>0</v>
      </c>
      <c r="I589" s="1415">
        <f t="shared" si="140"/>
        <v>0</v>
      </c>
      <c r="J589" s="333">
        <f t="shared" si="140"/>
        <v>0</v>
      </c>
      <c r="K589" s="333">
        <f t="shared" si="140"/>
        <v>0</v>
      </c>
    </row>
    <row r="590" spans="1:11" ht="13">
      <c r="A590" s="961">
        <v>14</v>
      </c>
      <c r="B590" s="1352"/>
      <c r="C590" s="1352"/>
      <c r="D590" s="1374"/>
      <c r="E590" s="340"/>
      <c r="F590" s="351"/>
      <c r="G590" s="541"/>
      <c r="H590" s="531"/>
      <c r="I590" s="532"/>
    </row>
    <row r="591" spans="1:11" ht="13">
      <c r="A591" s="961">
        <v>15</v>
      </c>
      <c r="B591" s="1352" t="s">
        <v>1390</v>
      </c>
      <c r="C591" s="1352"/>
      <c r="D591" s="1374"/>
      <c r="E591" s="340"/>
      <c r="F591" s="1280">
        <f>F589+F585</f>
        <v>627002</v>
      </c>
      <c r="G591" s="1413">
        <f t="shared" ref="G591:K591" si="141">G589+G585</f>
        <v>388867</v>
      </c>
      <c r="H591" s="1414">
        <f t="shared" si="141"/>
        <v>0</v>
      </c>
      <c r="I591" s="1415">
        <f t="shared" si="141"/>
        <v>238135</v>
      </c>
      <c r="J591" s="333">
        <f t="shared" si="141"/>
        <v>627002</v>
      </c>
      <c r="K591" s="333">
        <f t="shared" si="141"/>
        <v>0</v>
      </c>
    </row>
    <row r="592" spans="1:11" ht="13">
      <c r="A592" s="961">
        <v>16</v>
      </c>
      <c r="B592" s="1352"/>
      <c r="C592" s="1352"/>
      <c r="D592" s="1374"/>
      <c r="E592" s="340"/>
      <c r="F592" s="351"/>
      <c r="G592" s="541"/>
      <c r="H592" s="531"/>
      <c r="I592" s="532"/>
    </row>
    <row r="593" spans="1:11" ht="13">
      <c r="A593" s="961">
        <v>17</v>
      </c>
      <c r="B593" s="1382" t="s">
        <v>68</v>
      </c>
      <c r="C593" s="1383"/>
      <c r="D593" s="961"/>
      <c r="E593" s="340"/>
      <c r="F593" s="351"/>
      <c r="G593" s="541"/>
      <c r="H593" s="531"/>
      <c r="I593" s="532"/>
    </row>
    <row r="594" spans="1:11" ht="13">
      <c r="A594" s="961">
        <v>18</v>
      </c>
      <c r="B594" s="1377" t="s">
        <v>1391</v>
      </c>
      <c r="C594" s="1352"/>
      <c r="D594" s="1374"/>
      <c r="E594" s="340"/>
      <c r="F594" s="351"/>
      <c r="G594" s="541"/>
      <c r="H594" s="531"/>
      <c r="I594" s="532"/>
    </row>
    <row r="595" spans="1:11" ht="13">
      <c r="A595" s="961">
        <v>19</v>
      </c>
      <c r="B595" s="1352" t="s">
        <v>43</v>
      </c>
      <c r="C595" s="1352"/>
      <c r="D595" s="1374"/>
      <c r="E595" s="340"/>
      <c r="F595" s="1280">
        <f>F334</f>
        <v>32506456</v>
      </c>
      <c r="G595" s="1413">
        <f>G334</f>
        <v>20155242</v>
      </c>
      <c r="H595" s="1414">
        <f>H334</f>
        <v>0</v>
      </c>
      <c r="I595" s="1415">
        <f>I334</f>
        <v>12351215</v>
      </c>
      <c r="J595" s="1280">
        <f>J334</f>
        <v>32506457</v>
      </c>
      <c r="K595" s="1280">
        <f t="shared" ref="K595" si="142">K316</f>
        <v>0</v>
      </c>
    </row>
    <row r="596" spans="1:11" ht="13">
      <c r="A596" s="961">
        <v>20</v>
      </c>
      <c r="B596" s="1352" t="s">
        <v>199</v>
      </c>
      <c r="C596" s="1352"/>
      <c r="D596" s="1374"/>
      <c r="E596" s="340"/>
      <c r="F596" s="1280">
        <f t="shared" ref="F596:K596" si="143">F557</f>
        <v>4540121</v>
      </c>
      <c r="G596" s="1413">
        <f t="shared" si="143"/>
        <v>2812847</v>
      </c>
      <c r="H596" s="1414">
        <f t="shared" si="143"/>
        <v>0</v>
      </c>
      <c r="I596" s="1415">
        <f t="shared" si="143"/>
        <v>1727274</v>
      </c>
      <c r="J596" s="333">
        <f t="shared" si="143"/>
        <v>4540121</v>
      </c>
      <c r="K596" s="333">
        <f t="shared" si="143"/>
        <v>0</v>
      </c>
    </row>
    <row r="597" spans="1:11" ht="13">
      <c r="A597" s="961">
        <v>21</v>
      </c>
      <c r="B597" s="1352" t="s">
        <v>1392</v>
      </c>
      <c r="C597" s="1352"/>
      <c r="D597" s="1374"/>
      <c r="E597" s="340"/>
      <c r="F597" s="1280">
        <f>-F524</f>
        <v>-15382266</v>
      </c>
      <c r="G597" s="1413">
        <f t="shared" ref="G597:K597" si="144">-G524</f>
        <v>-9483004</v>
      </c>
      <c r="H597" s="1414">
        <f t="shared" si="144"/>
        <v>0</v>
      </c>
      <c r="I597" s="1415">
        <f t="shared" si="144"/>
        <v>-5899262</v>
      </c>
      <c r="J597" s="333">
        <f t="shared" si="144"/>
        <v>-15382266</v>
      </c>
      <c r="K597" s="333">
        <f t="shared" si="144"/>
        <v>0</v>
      </c>
    </row>
    <row r="598" spans="1:11" ht="13">
      <c r="A598" s="961">
        <v>22</v>
      </c>
      <c r="B598" s="1352" t="s">
        <v>1393</v>
      </c>
      <c r="C598" s="1352"/>
      <c r="D598" s="1374"/>
      <c r="E598" s="340"/>
      <c r="F598" s="1280">
        <f t="shared" ref="F598:K598" si="145">-F580</f>
        <v>-6716143</v>
      </c>
      <c r="G598" s="1413">
        <f t="shared" si="145"/>
        <v>-4165352</v>
      </c>
      <c r="H598" s="1414">
        <f t="shared" si="145"/>
        <v>0</v>
      </c>
      <c r="I598" s="1415">
        <f t="shared" si="145"/>
        <v>-2550791</v>
      </c>
      <c r="J598" s="333">
        <f t="shared" si="145"/>
        <v>-6716143</v>
      </c>
      <c r="K598" s="333">
        <f t="shared" si="145"/>
        <v>0</v>
      </c>
    </row>
    <row r="599" spans="1:11" ht="13">
      <c r="A599" s="961">
        <v>23</v>
      </c>
      <c r="B599" s="1371" t="s">
        <v>1394</v>
      </c>
      <c r="C599" s="1371"/>
      <c r="D599" s="1374"/>
      <c r="E599" s="340"/>
      <c r="F599" s="1384">
        <f t="shared" ref="F599:K599" si="146">F591</f>
        <v>627002</v>
      </c>
      <c r="G599" s="1416">
        <f t="shared" si="146"/>
        <v>388867</v>
      </c>
      <c r="H599" s="1417">
        <f t="shared" si="146"/>
        <v>0</v>
      </c>
      <c r="I599" s="1418">
        <f t="shared" si="146"/>
        <v>238135</v>
      </c>
      <c r="J599" s="1388">
        <f t="shared" si="146"/>
        <v>627002</v>
      </c>
      <c r="K599" s="1388">
        <f t="shared" si="146"/>
        <v>0</v>
      </c>
    </row>
    <row r="600" spans="1:11" ht="13">
      <c r="A600" s="961">
        <v>24</v>
      </c>
      <c r="B600" s="1082" t="s">
        <v>1395</v>
      </c>
      <c r="C600" s="1352"/>
      <c r="D600" s="1374"/>
      <c r="E600" s="340"/>
      <c r="F600" s="1280">
        <f t="shared" ref="F600:K600" si="147">SUM(F595:F599)</f>
        <v>15575170</v>
      </c>
      <c r="G600" s="1413">
        <f t="shared" si="147"/>
        <v>9708600</v>
      </c>
      <c r="H600" s="1414">
        <f t="shared" si="147"/>
        <v>0</v>
      </c>
      <c r="I600" s="1415">
        <f t="shared" si="147"/>
        <v>5866571</v>
      </c>
      <c r="J600" s="333">
        <f t="shared" si="147"/>
        <v>15575171</v>
      </c>
      <c r="K600" s="333">
        <f t="shared" si="147"/>
        <v>0</v>
      </c>
    </row>
    <row r="601" spans="1:11" ht="13">
      <c r="A601" s="961">
        <v>25</v>
      </c>
      <c r="B601" s="1352"/>
      <c r="C601" s="1352"/>
      <c r="D601" s="1374"/>
      <c r="E601" s="340"/>
      <c r="F601" s="351"/>
      <c r="G601" s="541"/>
      <c r="H601" s="531"/>
      <c r="I601" s="532"/>
    </row>
    <row r="602" spans="1:11" ht="13">
      <c r="A602" s="961">
        <v>26</v>
      </c>
      <c r="B602" s="1352" t="s">
        <v>1396</v>
      </c>
      <c r="C602" s="1352"/>
      <c r="D602" s="1374"/>
      <c r="E602" s="340"/>
      <c r="F602" s="1389">
        <f>ROUND(SIT/(1-SIT),8)</f>
        <v>5.2282660000000002E-2</v>
      </c>
      <c r="G602" s="1419">
        <f t="shared" ref="G602:K602" si="148">ROUND(SIT/(1-SIT),8)</f>
        <v>5.2282660000000002E-2</v>
      </c>
      <c r="H602" s="1420">
        <f t="shared" si="148"/>
        <v>5.2282660000000002E-2</v>
      </c>
      <c r="I602" s="1421">
        <f t="shared" si="148"/>
        <v>5.2282660000000002E-2</v>
      </c>
      <c r="J602" s="1389">
        <f t="shared" si="148"/>
        <v>5.2282660000000002E-2</v>
      </c>
      <c r="K602" s="1389">
        <f t="shared" si="148"/>
        <v>5.2282660000000002E-2</v>
      </c>
    </row>
    <row r="603" spans="1:11" ht="13">
      <c r="A603" s="961">
        <v>27</v>
      </c>
      <c r="B603" s="1352" t="s">
        <v>1397</v>
      </c>
      <c r="C603" s="1352"/>
      <c r="D603" s="1393" t="s">
        <v>1398</v>
      </c>
      <c r="E603" s="340"/>
      <c r="F603" s="1394">
        <f>ROUND(F600*F602,0)</f>
        <v>814311</v>
      </c>
      <c r="G603" s="1414">
        <f>ROUND(G600*G602,0)</f>
        <v>507591</v>
      </c>
      <c r="H603" s="1414">
        <f>ROUND(H600*H602,0)</f>
        <v>0</v>
      </c>
      <c r="I603" s="1415">
        <f>ROUND(I600*I602,0)</f>
        <v>306720</v>
      </c>
      <c r="J603" s="345">
        <f>SUM(G603:I603)</f>
        <v>814311</v>
      </c>
      <c r="K603" s="345">
        <f>F603-J603</f>
        <v>0</v>
      </c>
    </row>
    <row r="604" spans="1:11" ht="13">
      <c r="A604" s="961">
        <v>28</v>
      </c>
      <c r="B604" s="1371" t="s">
        <v>1399</v>
      </c>
      <c r="C604" s="1371"/>
      <c r="D604" s="1374"/>
      <c r="E604" s="1395"/>
      <c r="F604" s="1394">
        <f>F591</f>
        <v>627002</v>
      </c>
      <c r="G604" s="1422">
        <f>G591</f>
        <v>388867</v>
      </c>
      <c r="H604" s="1423">
        <f>H591</f>
        <v>0</v>
      </c>
      <c r="I604" s="1424">
        <f>I591</f>
        <v>238135</v>
      </c>
      <c r="J604" s="345">
        <f>SUM(G604:I604)</f>
        <v>627002</v>
      </c>
      <c r="K604" s="345">
        <f>F604-J604</f>
        <v>0</v>
      </c>
    </row>
    <row r="605" spans="1:11" ht="13">
      <c r="A605" s="961">
        <v>29</v>
      </c>
      <c r="B605" s="1082" t="s">
        <v>1400</v>
      </c>
      <c r="C605" s="1352"/>
      <c r="D605" s="1374"/>
      <c r="E605" s="340"/>
      <c r="F605" s="1399">
        <f t="shared" ref="F605:K605" si="149">F604+F603</f>
        <v>1441313</v>
      </c>
      <c r="G605" s="1425">
        <f t="shared" si="149"/>
        <v>896458</v>
      </c>
      <c r="H605" s="1426">
        <f t="shared" si="149"/>
        <v>0</v>
      </c>
      <c r="I605" s="1427">
        <f t="shared" si="149"/>
        <v>544855</v>
      </c>
      <c r="J605" s="1399">
        <f t="shared" si="149"/>
        <v>1441313</v>
      </c>
      <c r="K605" s="1399">
        <f t="shared" si="149"/>
        <v>0</v>
      </c>
    </row>
    <row r="606" spans="1:11" ht="13">
      <c r="A606" s="961">
        <v>30</v>
      </c>
      <c r="B606" s="1352"/>
      <c r="C606" s="1352"/>
      <c r="D606" s="1374"/>
      <c r="E606" s="340"/>
      <c r="F606" s="351"/>
      <c r="G606" s="541"/>
      <c r="H606" s="531"/>
      <c r="I606" s="532"/>
    </row>
    <row r="607" spans="1:11" ht="13">
      <c r="A607" s="961">
        <v>31</v>
      </c>
      <c r="B607" s="1352" t="s">
        <v>1401</v>
      </c>
      <c r="C607" s="1352"/>
      <c r="D607" s="1374"/>
      <c r="E607" s="340"/>
      <c r="F607" s="351"/>
      <c r="G607" s="541"/>
      <c r="H607" s="531"/>
      <c r="I607" s="532"/>
    </row>
    <row r="608" spans="1:11" ht="13">
      <c r="A608" s="961">
        <v>32</v>
      </c>
      <c r="B608" s="1352" t="s">
        <v>1397</v>
      </c>
      <c r="C608" s="1352"/>
      <c r="D608" s="1374"/>
      <c r="E608" s="340"/>
      <c r="F608" s="1394">
        <f t="shared" ref="F608:K608" si="150">F603</f>
        <v>814311</v>
      </c>
      <c r="G608" s="1422">
        <f t="shared" si="150"/>
        <v>507591</v>
      </c>
      <c r="H608" s="1423">
        <f t="shared" si="150"/>
        <v>0</v>
      </c>
      <c r="I608" s="1424">
        <f t="shared" si="150"/>
        <v>306720</v>
      </c>
      <c r="J608" s="1394">
        <f t="shared" si="150"/>
        <v>814311</v>
      </c>
      <c r="K608" s="1394">
        <f t="shared" si="150"/>
        <v>0</v>
      </c>
    </row>
    <row r="609" spans="1:11" ht="13">
      <c r="A609" s="961">
        <v>33</v>
      </c>
      <c r="B609" s="1371" t="s">
        <v>1387</v>
      </c>
      <c r="C609" s="1371"/>
      <c r="D609" s="1374"/>
      <c r="E609" s="340"/>
      <c r="F609" s="1394">
        <f t="shared" ref="F609:K609" si="151">F589</f>
        <v>0</v>
      </c>
      <c r="G609" s="1422">
        <f t="shared" si="151"/>
        <v>0</v>
      </c>
      <c r="H609" s="1423">
        <f t="shared" si="151"/>
        <v>0</v>
      </c>
      <c r="I609" s="1424">
        <f t="shared" si="151"/>
        <v>0</v>
      </c>
      <c r="J609" s="1394">
        <f t="shared" si="151"/>
        <v>0</v>
      </c>
      <c r="K609" s="1394">
        <f t="shared" si="151"/>
        <v>0</v>
      </c>
    </row>
    <row r="610" spans="1:11" ht="13">
      <c r="A610" s="961">
        <v>34</v>
      </c>
      <c r="B610" s="1082" t="s">
        <v>1402</v>
      </c>
      <c r="C610" s="1352"/>
      <c r="D610" s="1374"/>
      <c r="E610" s="340"/>
      <c r="F610" s="1399">
        <f t="shared" ref="F610:K610" si="152">F608+F609</f>
        <v>814311</v>
      </c>
      <c r="G610" s="1425">
        <f t="shared" si="152"/>
        <v>507591</v>
      </c>
      <c r="H610" s="1426">
        <f t="shared" si="152"/>
        <v>0</v>
      </c>
      <c r="I610" s="1427">
        <f t="shared" si="152"/>
        <v>306720</v>
      </c>
      <c r="J610" s="1399">
        <f t="shared" si="152"/>
        <v>814311</v>
      </c>
      <c r="K610" s="1399">
        <f t="shared" si="152"/>
        <v>0</v>
      </c>
    </row>
    <row r="611" spans="1:11" ht="13">
      <c r="A611" s="961">
        <v>35</v>
      </c>
      <c r="B611" s="1352"/>
      <c r="C611" s="1352"/>
      <c r="D611" s="1352"/>
      <c r="E611" s="340"/>
      <c r="F611" s="1394"/>
      <c r="G611" s="1422"/>
      <c r="H611" s="1423"/>
      <c r="I611" s="1424"/>
      <c r="J611" s="1394"/>
      <c r="K611" s="1394"/>
    </row>
    <row r="612" spans="1:11" ht="13">
      <c r="A612" s="961">
        <v>36</v>
      </c>
      <c r="B612" s="1352" t="s">
        <v>76</v>
      </c>
      <c r="C612" s="1352"/>
      <c r="D612" s="1352"/>
      <c r="E612" s="340"/>
      <c r="F612" s="1403">
        <f t="shared" ref="F612:K612" si="153">(SIT*(1-FIT))+((1-SIT)*(1-FIT)*RevTax)+FIT</f>
        <v>0.24925115</v>
      </c>
      <c r="G612" s="1428">
        <f t="shared" si="153"/>
        <v>0.24925115</v>
      </c>
      <c r="H612" s="1429">
        <f t="shared" si="153"/>
        <v>0.24925115</v>
      </c>
      <c r="I612" s="1430">
        <f t="shared" si="153"/>
        <v>0.24925115</v>
      </c>
      <c r="J612" s="1403">
        <f t="shared" si="153"/>
        <v>0.24925115</v>
      </c>
      <c r="K612" s="1403">
        <f t="shared" si="153"/>
        <v>0.24925115</v>
      </c>
    </row>
    <row r="614" spans="1:11" ht="13">
      <c r="A614" s="341" t="str">
        <f>co_name</f>
        <v>DUKE ENERGY KENTUCKY, INC.</v>
      </c>
      <c r="C614" s="195"/>
      <c r="D614" s="342"/>
      <c r="E614" s="195"/>
      <c r="F614" s="195"/>
      <c r="G614" s="195"/>
      <c r="H614" s="195"/>
      <c r="I614" s="195"/>
      <c r="J614" s="195" t="str">
        <f>$J$1</f>
        <v>FR-16(7)(v)-4</v>
      </c>
      <c r="K614" s="195"/>
    </row>
    <row r="615" spans="1:11" ht="13">
      <c r="A615" s="341" t="str">
        <f>$A$2</f>
        <v>DISTRIBUTION CLASSIFIED - GAS COST OF SERVICE</v>
      </c>
      <c r="C615" s="195"/>
      <c r="D615" s="342"/>
      <c r="E615" s="195"/>
      <c r="F615" s="195"/>
      <c r="G615" s="195"/>
      <c r="H615" s="195"/>
      <c r="I615" s="195"/>
      <c r="J615" s="195" t="str">
        <f>$J$2</f>
        <v>WITNESS RESPONSIBLE:</v>
      </c>
      <c r="K615" s="195"/>
    </row>
    <row r="616" spans="1:11" ht="13">
      <c r="A616" s="341" t="str">
        <f>case_name</f>
        <v>CASE NO: 2021-00190</v>
      </c>
      <c r="C616" s="195"/>
      <c r="D616" s="342"/>
      <c r="E616" s="195"/>
      <c r="F616" s="195"/>
      <c r="G616" s="195"/>
      <c r="H616" s="195"/>
      <c r="I616" s="195"/>
      <c r="J616" s="195" t="str">
        <f>Witness</f>
        <v>JAMES E. ZIOLKOWSKI</v>
      </c>
      <c r="K616" s="195"/>
    </row>
    <row r="617" spans="1:11" ht="13">
      <c r="A617" s="341" t="str">
        <f>data_filing</f>
        <v>DATA: 12 MONTH FORECASTED PERIOD</v>
      </c>
      <c r="C617" s="195"/>
      <c r="D617" s="342"/>
      <c r="E617" s="195"/>
      <c r="F617" s="195"/>
      <c r="G617" s="195"/>
      <c r="H617" s="195"/>
      <c r="I617" s="195"/>
      <c r="J617" s="195" t="str">
        <f>"PAGE "&amp;Pages-4&amp;" OF "&amp;Pages</f>
        <v>PAGE 14 OF 18</v>
      </c>
      <c r="K617" s="195"/>
    </row>
    <row r="618" spans="1:11" ht="13">
      <c r="A618" s="341" t="str">
        <f>type</f>
        <v xml:space="preserve">TYPE OF FILING: "X" ORIGINAL   UPDATED    REVISED  </v>
      </c>
      <c r="C618" s="195"/>
      <c r="D618" s="342"/>
      <c r="E618" s="195"/>
      <c r="F618" s="195"/>
      <c r="G618" s="195"/>
      <c r="H618" s="195"/>
      <c r="I618" s="195"/>
      <c r="J618" s="195"/>
      <c r="K618" s="195"/>
    </row>
    <row r="619" spans="1:11" ht="13">
      <c r="B619" s="341"/>
      <c r="C619" s="195"/>
      <c r="D619" s="342"/>
      <c r="E619" s="195"/>
      <c r="F619" s="195"/>
      <c r="G619" s="195"/>
      <c r="H619" s="195"/>
      <c r="I619" s="195"/>
      <c r="J619" s="195"/>
      <c r="K619" s="195"/>
    </row>
    <row r="620" spans="1:11" ht="13">
      <c r="B620" s="341"/>
      <c r="C620" s="195"/>
      <c r="D620" s="342"/>
      <c r="E620" s="195"/>
      <c r="F620" s="195"/>
      <c r="G620" s="195"/>
      <c r="H620" s="195"/>
      <c r="I620" s="195"/>
      <c r="J620" s="195"/>
      <c r="K620" s="195"/>
    </row>
    <row r="621" spans="1:11" ht="13">
      <c r="A621" s="342" t="s">
        <v>907</v>
      </c>
      <c r="B621" s="195"/>
      <c r="C621" s="195"/>
      <c r="D621" s="342"/>
      <c r="E621" s="195"/>
      <c r="F621" s="342" t="s">
        <v>229</v>
      </c>
      <c r="G621" s="539" t="s">
        <v>995</v>
      </c>
      <c r="H621" s="527"/>
      <c r="I621" s="528"/>
      <c r="J621" s="342" t="s">
        <v>229</v>
      </c>
      <c r="K621" s="342" t="s">
        <v>342</v>
      </c>
    </row>
    <row r="622" spans="1:11" ht="13">
      <c r="A622" s="344" t="s">
        <v>908</v>
      </c>
      <c r="B622" s="343" t="s">
        <v>77</v>
      </c>
      <c r="C622" s="343"/>
      <c r="D622" s="344" t="s">
        <v>337</v>
      </c>
      <c r="E622" s="343"/>
      <c r="F622" s="344" t="s">
        <v>839</v>
      </c>
      <c r="G622" s="540" t="s">
        <v>840</v>
      </c>
      <c r="H622" s="529" t="s">
        <v>841</v>
      </c>
      <c r="I622" s="530" t="s">
        <v>842</v>
      </c>
      <c r="J622" s="344" t="s">
        <v>341</v>
      </c>
      <c r="K622" s="344" t="s">
        <v>340</v>
      </c>
    </row>
    <row r="623" spans="1:11" ht="13">
      <c r="C623" s="572" t="s">
        <v>352</v>
      </c>
      <c r="D623" s="342"/>
      <c r="E623" s="195"/>
      <c r="G623" s="793">
        <f>$G$10</f>
        <v>3</v>
      </c>
      <c r="H623" s="794">
        <f>$H$10</f>
        <v>4</v>
      </c>
      <c r="I623" s="795">
        <f>$I$10</f>
        <v>5</v>
      </c>
    </row>
    <row r="624" spans="1:11" ht="13">
      <c r="A624" s="331">
        <v>1</v>
      </c>
      <c r="B624" s="330" t="s">
        <v>78</v>
      </c>
      <c r="D624" s="342"/>
      <c r="E624" s="195"/>
      <c r="G624" s="541"/>
      <c r="H624" s="531"/>
      <c r="I624" s="532"/>
    </row>
    <row r="625" spans="1:11" ht="13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3">
        <f>'FR-16(7)(v)-1 Functional'!I625</f>
        <v>51468</v>
      </c>
      <c r="G625" s="542">
        <f>ROUND(F625*VLOOKUP(D625,Alloctable_Classified_Distribution,$G$10,FALSE),0)</f>
        <v>0</v>
      </c>
      <c r="H625" s="533">
        <f>ROUND(F625*VLOOKUP(D625,Alloctable_Classified_Distribution,$H$10,FALSE),0)</f>
        <v>0</v>
      </c>
      <c r="I625" s="534">
        <f>ROUND(F625*VLOOKUP(D625,Alloctable_Classified_Distribution,$I$10,FALSE),0)</f>
        <v>51468</v>
      </c>
      <c r="J625" s="345">
        <f>SUM($G$625:$I$625)</f>
        <v>51468</v>
      </c>
      <c r="K625" s="345">
        <f>F625-$J$625</f>
        <v>0</v>
      </c>
    </row>
    <row r="626" spans="1:11" ht="13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3">
        <f>'FR-16(7)(v)-1 Functional'!I626</f>
        <v>0</v>
      </c>
      <c r="G626" s="542">
        <f>ROUND(F626*VLOOKUP(D626,Alloctable_Classified_Distribution,$G$10,FALSE),0)</f>
        <v>0</v>
      </c>
      <c r="H626" s="533">
        <f>ROUND(F626*VLOOKUP(D626,Alloctable_Classified_Distribution,$H$10,FALSE),0)</f>
        <v>0</v>
      </c>
      <c r="I626" s="534">
        <f>ROUND(F626*VLOOKUP(D626,Alloctable_Classified_Distribution,$I$10,FALSE),0)</f>
        <v>0</v>
      </c>
      <c r="J626" s="345">
        <f>SUM($G$626:$I$626)</f>
        <v>0</v>
      </c>
      <c r="K626" s="345">
        <f>F626-$J$626</f>
        <v>0</v>
      </c>
    </row>
    <row r="627" spans="1:11" ht="13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3">
        <f>'FR-16(7)(v)-1 Functional'!I627</f>
        <v>528</v>
      </c>
      <c r="G627" s="542">
        <f>ROUND(F627*VLOOKUP(D627,Alloctable_Classified_Distribution,$G$10,FALSE),0)</f>
        <v>0</v>
      </c>
      <c r="H627" s="533">
        <f>ROUND(F627*VLOOKUP(D627,Alloctable_Classified_Distribution,$H$10,FALSE),0)</f>
        <v>0</v>
      </c>
      <c r="I627" s="534">
        <f>ROUND(F627*VLOOKUP(D627,Alloctable_Classified_Distribution,$I$10,FALSE),0)</f>
        <v>528</v>
      </c>
      <c r="J627" s="345">
        <f>SUM($G$627:$I$627)</f>
        <v>528</v>
      </c>
      <c r="K627" s="345">
        <f>F627-$J$627</f>
        <v>0</v>
      </c>
    </row>
    <row r="628" spans="1:11" ht="13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3">
        <f>'FR-16(7)(v)-1 Functional'!I628</f>
        <v>0</v>
      </c>
      <c r="G628" s="542">
        <f>ROUND(F628*VLOOKUP(D628,Alloctable_Classified_Distribution,$G$10,FALSE),0)</f>
        <v>0</v>
      </c>
      <c r="H628" s="533">
        <f>ROUND(F628*VLOOKUP(D628,Alloctable_Classified_Distribution,$H$10,FALSE),0)</f>
        <v>0</v>
      </c>
      <c r="I628" s="534">
        <f>ROUND(F628*VLOOKUP(D628,Alloctable_Classified_Distribution,$I$10,FALSE),0)</f>
        <v>0</v>
      </c>
      <c r="J628" s="345">
        <f>SUM($G$628:$I$628)</f>
        <v>0</v>
      </c>
      <c r="K628" s="345">
        <f>F628-$J$628</f>
        <v>0</v>
      </c>
    </row>
    <row r="629" spans="1:11" ht="13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3">
        <f>'FR-16(7)(v)-1 Functional'!I629</f>
        <v>218123</v>
      </c>
      <c r="G629" s="542">
        <f>ROUND(F629*VLOOKUP(D629,Alloctable_Classified_Distribution,$G$10,FALSE),0)</f>
        <v>119630</v>
      </c>
      <c r="H629" s="533">
        <f>ROUND(F629*VLOOKUP(D629,Alloctable_Classified_Distribution,$H$10,FALSE),0)</f>
        <v>0</v>
      </c>
      <c r="I629" s="534">
        <f>ROUND(F629*VLOOKUP(D629,Alloctable_Classified_Distribution,$I$10,FALSE),0)</f>
        <v>98493</v>
      </c>
      <c r="J629" s="345">
        <f>SUM($G$629:$I$629)</f>
        <v>218123</v>
      </c>
      <c r="K629" s="345">
        <f>F629-$J$629</f>
        <v>0</v>
      </c>
    </row>
    <row r="630" spans="1:11" ht="13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270119</v>
      </c>
      <c r="G630" s="543">
        <f>SUM($G$625:$G$629)</f>
        <v>119630</v>
      </c>
      <c r="H630" s="535">
        <f>SUM($H$625:$H$629)</f>
        <v>0</v>
      </c>
      <c r="I630" s="536">
        <f>SUM($I$625:$I$629)</f>
        <v>150489</v>
      </c>
      <c r="J630" s="346">
        <f>SUM($J$625:$J$629)</f>
        <v>270119</v>
      </c>
      <c r="K630" s="346">
        <f>SUM($K$625:$K$629)</f>
        <v>0</v>
      </c>
    </row>
    <row r="631" spans="1:11" ht="13">
      <c r="A631" s="331">
        <v>8</v>
      </c>
      <c r="D631" s="342"/>
      <c r="E631" s="195"/>
      <c r="G631" s="541"/>
      <c r="H631" s="531"/>
      <c r="I631" s="532"/>
    </row>
    <row r="632" spans="1:11" ht="13">
      <c r="A632" s="331">
        <v>9</v>
      </c>
      <c r="B632" s="330" t="s">
        <v>77</v>
      </c>
      <c r="D632" s="342"/>
      <c r="E632" s="195"/>
      <c r="G632" s="541"/>
      <c r="H632" s="531"/>
      <c r="I632" s="532"/>
    </row>
    <row r="633" spans="1:11" ht="13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42128234</v>
      </c>
      <c r="G633" s="542">
        <f>$G$501</f>
        <v>23675450</v>
      </c>
      <c r="H633" s="533">
        <f>$H$501</f>
        <v>0</v>
      </c>
      <c r="I633" s="534">
        <f>$I$501</f>
        <v>18452784</v>
      </c>
      <c r="J633" s="345">
        <f>$J$501</f>
        <v>42128234</v>
      </c>
      <c r="K633" s="345">
        <f>$K$501</f>
        <v>0</v>
      </c>
    </row>
    <row r="634" spans="1:11" ht="13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 t="shared" ref="F634:K634" si="154">F334</f>
        <v>32506456</v>
      </c>
      <c r="G634" s="542">
        <f t="shared" si="154"/>
        <v>20155242</v>
      </c>
      <c r="H634" s="533">
        <f t="shared" si="154"/>
        <v>0</v>
      </c>
      <c r="I634" s="534">
        <f t="shared" si="154"/>
        <v>12351215</v>
      </c>
      <c r="J634" s="345">
        <f t="shared" si="154"/>
        <v>32506457</v>
      </c>
      <c r="K634" s="345">
        <f t="shared" si="154"/>
        <v>0</v>
      </c>
    </row>
    <row r="635" spans="1:11" ht="13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>F557</f>
        <v>4540121</v>
      </c>
      <c r="G635" s="542">
        <f>$G$557</f>
        <v>2812847</v>
      </c>
      <c r="H635" s="533">
        <f>$H$557</f>
        <v>0</v>
      </c>
      <c r="I635" s="534">
        <f>$I$557</f>
        <v>1727274</v>
      </c>
      <c r="J635" s="345">
        <f>$J$557</f>
        <v>4540121</v>
      </c>
      <c r="K635" s="345">
        <f>$K$557</f>
        <v>0</v>
      </c>
    </row>
    <row r="636" spans="1:11" ht="13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-270119</v>
      </c>
      <c r="G636" s="542">
        <f>-$G$630</f>
        <v>-119630</v>
      </c>
      <c r="H636" s="533">
        <f>-$H$630</f>
        <v>0</v>
      </c>
      <c r="I636" s="534">
        <f>-$I$630</f>
        <v>-150489</v>
      </c>
      <c r="J636" s="345">
        <f>-$J$630</f>
        <v>-270119</v>
      </c>
      <c r="K636" s="345">
        <f>-$K$630</f>
        <v>0</v>
      </c>
    </row>
    <row r="637" spans="1:11" ht="13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>SUM(F632:F636)</f>
        <v>78904692</v>
      </c>
      <c r="G637" s="543">
        <f>SUM($G$632:$G$636)</f>
        <v>46523909</v>
      </c>
      <c r="H637" s="535">
        <f>SUM($H$632:$H$636)</f>
        <v>0</v>
      </c>
      <c r="I637" s="536">
        <f>SUM($I$632:$I$636)</f>
        <v>32380784</v>
      </c>
      <c r="J637" s="346">
        <f>SUM($J$632:$J$636)</f>
        <v>78904693</v>
      </c>
      <c r="K637" s="346">
        <f>$J$637-F637</f>
        <v>1</v>
      </c>
    </row>
    <row r="638" spans="1:11" ht="13">
      <c r="A638" s="331">
        <v>15</v>
      </c>
      <c r="D638" s="342"/>
      <c r="E638" s="195"/>
      <c r="G638" s="541"/>
      <c r="H638" s="531"/>
      <c r="I638" s="532"/>
    </row>
    <row r="639" spans="1:11" ht="13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270119</v>
      </c>
      <c r="G639" s="542">
        <f>-$G$636</f>
        <v>119630</v>
      </c>
      <c r="H639" s="533">
        <f>-$H$636</f>
        <v>0</v>
      </c>
      <c r="I639" s="534">
        <f>-$I$636</f>
        <v>150489</v>
      </c>
      <c r="J639" s="345">
        <f>-$J$636</f>
        <v>270119</v>
      </c>
      <c r="K639" s="345">
        <f>-$K$636</f>
        <v>0</v>
      </c>
    </row>
    <row r="640" spans="1:11" ht="13">
      <c r="A640" s="331">
        <v>17</v>
      </c>
      <c r="C640" s="357" t="str">
        <f>'FR-16(7)(v)-1 Functional'!C640</f>
        <v>LESS: REVS EXCL FROM REV TAX CALC</v>
      </c>
      <c r="D640" s="342"/>
      <c r="E640" s="195"/>
      <c r="F640" s="347">
        <f>'FR-16(7)(v)-3 PROD Comm Alloc'!F855</f>
        <v>0</v>
      </c>
      <c r="G640" s="542">
        <f>G855</f>
        <v>0</v>
      </c>
      <c r="H640" s="533">
        <f>H855</f>
        <v>0</v>
      </c>
      <c r="I640" s="534">
        <f>I855</f>
        <v>0</v>
      </c>
      <c r="J640" s="345">
        <f>SUM(G640:I640)</f>
        <v>0</v>
      </c>
      <c r="K640" s="345">
        <f>'FR-16(7)(v)-3 PROD Comm Alloc'!L855</f>
        <v>0</v>
      </c>
    </row>
    <row r="641" spans="1:11" ht="13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270119</v>
      </c>
      <c r="G641" s="543">
        <f>$G$639-G640</f>
        <v>119630</v>
      </c>
      <c r="H641" s="535">
        <f>$H$639-H640</f>
        <v>0</v>
      </c>
      <c r="I641" s="536">
        <f>$I$639-I640</f>
        <v>150489</v>
      </c>
      <c r="J641" s="346">
        <f>$J$639-J640</f>
        <v>270119</v>
      </c>
      <c r="K641" s="346">
        <f>$K$639-K640</f>
        <v>0</v>
      </c>
    </row>
    <row r="642" spans="1:11" ht="13">
      <c r="A642" s="331">
        <v>19</v>
      </c>
      <c r="D642" s="342"/>
      <c r="E642" s="195"/>
      <c r="G642" s="541"/>
      <c r="H642" s="531"/>
      <c r="I642" s="532"/>
    </row>
    <row r="643" spans="1:11" ht="13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K643" si="155">ROUND(F694/(1-F694),8)</f>
        <v>0</v>
      </c>
      <c r="G643" s="560">
        <f t="shared" si="155"/>
        <v>0</v>
      </c>
      <c r="H643" s="561">
        <f t="shared" si="155"/>
        <v>0</v>
      </c>
      <c r="I643" s="562">
        <f t="shared" si="155"/>
        <v>0</v>
      </c>
      <c r="J643" s="348">
        <f t="shared" si="155"/>
        <v>0</v>
      </c>
      <c r="K643" s="348">
        <f t="shared" si="155"/>
        <v>0</v>
      </c>
    </row>
    <row r="644" spans="1:11" ht="13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542">
        <f>ROUND(G643*G641,0)</f>
        <v>0</v>
      </c>
      <c r="H644" s="533">
        <f>ROUND(H643*H641,0)</f>
        <v>0</v>
      </c>
      <c r="I644" s="534">
        <f>ROUND(I643*I641,0)</f>
        <v>0</v>
      </c>
      <c r="J644" s="345">
        <f>SUM(G644:I644)</f>
        <v>0</v>
      </c>
      <c r="K644" s="345">
        <f>ROUND(K643*K641,0)</f>
        <v>0</v>
      </c>
    </row>
    <row r="645" spans="1:11" ht="13">
      <c r="A645" s="331">
        <v>22</v>
      </c>
      <c r="C645" s="330" t="str">
        <f>'FR-16(7)(v)-1 Functional'!C645</f>
        <v>REVENUE TAX ON COST OF SERVICE</v>
      </c>
      <c r="D645" s="342"/>
      <c r="E645" s="195"/>
      <c r="F645" s="506">
        <f>ROUND(F643*F637,0)</f>
        <v>0</v>
      </c>
      <c r="G645" s="542">
        <f>ROUND(G643*$G$637,0)</f>
        <v>0</v>
      </c>
      <c r="H645" s="533">
        <f>ROUND(H643*$H$637,0)</f>
        <v>0</v>
      </c>
      <c r="I645" s="534">
        <f>ROUND(I643*$I$637,0)</f>
        <v>0</v>
      </c>
      <c r="J645" s="506">
        <f>SUM(G645:I645)</f>
        <v>0</v>
      </c>
      <c r="K645" s="506">
        <f>ROUND(K643*$K$637,0)</f>
        <v>0</v>
      </c>
    </row>
    <row r="646" spans="1:11" ht="13">
      <c r="A646" s="331">
        <v>23</v>
      </c>
      <c r="C646" s="357" t="str">
        <f>'FR-16(7)(v)-1 Functional'!C646</f>
        <v>TOTAL REVENUE TAX</v>
      </c>
      <c r="D646" s="342"/>
      <c r="E646" s="195"/>
      <c r="F646" s="504">
        <f t="shared" ref="F646:K646" si="156">F645+F644</f>
        <v>0</v>
      </c>
      <c r="G646" s="566">
        <f t="shared" si="156"/>
        <v>0</v>
      </c>
      <c r="H646" s="567">
        <f t="shared" si="156"/>
        <v>0</v>
      </c>
      <c r="I646" s="568">
        <f t="shared" si="156"/>
        <v>0</v>
      </c>
      <c r="J646" s="504">
        <f t="shared" si="156"/>
        <v>0</v>
      </c>
      <c r="K646" s="504">
        <f t="shared" si="156"/>
        <v>0</v>
      </c>
    </row>
    <row r="647" spans="1:11" ht="13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>F646+F637</f>
        <v>78904692</v>
      </c>
      <c r="G647" s="543">
        <f>G646+$G$637</f>
        <v>46523909</v>
      </c>
      <c r="H647" s="535">
        <f>H646+$H$637</f>
        <v>0</v>
      </c>
      <c r="I647" s="536">
        <f>I646+$I$637</f>
        <v>32380784</v>
      </c>
      <c r="J647" s="346">
        <f>J646+$J$637</f>
        <v>78904693</v>
      </c>
      <c r="K647" s="346">
        <f>K646+$K$637</f>
        <v>1</v>
      </c>
    </row>
    <row r="648" spans="1:11" ht="13">
      <c r="A648" s="331">
        <v>25</v>
      </c>
      <c r="D648" s="342"/>
      <c r="E648" s="195"/>
      <c r="G648" s="541"/>
      <c r="H648" s="531"/>
      <c r="I648" s="532"/>
    </row>
    <row r="649" spans="1:11" ht="13">
      <c r="A649" s="331">
        <v>26</v>
      </c>
      <c r="B649" s="330" t="s">
        <v>843</v>
      </c>
      <c r="D649" s="342"/>
      <c r="E649" s="195"/>
      <c r="F649" s="347">
        <f>F745</f>
        <v>79895282</v>
      </c>
      <c r="G649" s="542">
        <f>G745</f>
        <v>47107856</v>
      </c>
      <c r="H649" s="533">
        <f>H745</f>
        <v>0</v>
      </c>
      <c r="I649" s="534">
        <f>I745</f>
        <v>32787426</v>
      </c>
      <c r="J649" s="345">
        <f>K745</f>
        <v>0</v>
      </c>
      <c r="K649" s="345">
        <f>L745</f>
        <v>0</v>
      </c>
    </row>
    <row r="650" spans="1:11" ht="13">
      <c r="A650" s="331">
        <v>27</v>
      </c>
      <c r="B650" s="330" t="s">
        <v>79</v>
      </c>
      <c r="D650" s="342"/>
      <c r="E650" s="195"/>
      <c r="F650" s="345">
        <f t="shared" ref="F650:K650" si="157">-F647</f>
        <v>-78904692</v>
      </c>
      <c r="G650" s="542">
        <f t="shared" si="157"/>
        <v>-46523909</v>
      </c>
      <c r="H650" s="533">
        <f t="shared" si="157"/>
        <v>0</v>
      </c>
      <c r="I650" s="534">
        <f t="shared" si="157"/>
        <v>-32380784</v>
      </c>
      <c r="J650" s="345">
        <f t="shared" si="157"/>
        <v>-78904693</v>
      </c>
      <c r="K650" s="345">
        <f t="shared" si="157"/>
        <v>-1</v>
      </c>
    </row>
    <row r="651" spans="1:11" ht="13">
      <c r="A651" s="331">
        <v>28</v>
      </c>
      <c r="B651" s="330" t="s">
        <v>80</v>
      </c>
      <c r="D651" s="342"/>
      <c r="E651" s="195"/>
      <c r="F651" s="345">
        <f>F650+F649</f>
        <v>990590</v>
      </c>
      <c r="G651" s="542">
        <f>G650+G649</f>
        <v>583947</v>
      </c>
      <c r="H651" s="533">
        <f>H650+H649</f>
        <v>0</v>
      </c>
      <c r="I651" s="534">
        <f>I650+I649</f>
        <v>406642</v>
      </c>
      <c r="J651" s="345">
        <f>SUM(G651:I651)</f>
        <v>990589</v>
      </c>
      <c r="K651" s="345">
        <f>K650+K649</f>
        <v>-1</v>
      </c>
    </row>
    <row r="652" spans="1:11" ht="13">
      <c r="A652" s="331">
        <v>29</v>
      </c>
      <c r="B652" s="330" t="s">
        <v>76</v>
      </c>
      <c r="D652" s="342"/>
      <c r="E652" s="195"/>
      <c r="F652" s="348">
        <f>F565</f>
        <v>0.24925</v>
      </c>
      <c r="G652" s="560">
        <f>$G$565</f>
        <v>0.24925</v>
      </c>
      <c r="H652" s="561">
        <f>$H$565</f>
        <v>0.24925</v>
      </c>
      <c r="I652" s="562">
        <f>$I$565</f>
        <v>0.24925</v>
      </c>
      <c r="J652" s="348">
        <f>$K$565</f>
        <v>0.24925</v>
      </c>
      <c r="K652" s="348">
        <f>$K$565</f>
        <v>0.24925</v>
      </c>
    </row>
    <row r="653" spans="1:11" ht="13">
      <c r="A653" s="331">
        <v>30</v>
      </c>
      <c r="B653" s="330" t="s">
        <v>81</v>
      </c>
      <c r="D653" s="342"/>
      <c r="E653" s="195"/>
      <c r="F653" s="345">
        <f>ROUND(F652*F651,0)</f>
        <v>246905</v>
      </c>
      <c r="G653" s="542">
        <f>ROUND(G652*G651,0)</f>
        <v>145549</v>
      </c>
      <c r="H653" s="533">
        <f>ROUND(H652*H651,0)</f>
        <v>0</v>
      </c>
      <c r="I653" s="534">
        <f>ROUND(I652*I651,0)</f>
        <v>101356</v>
      </c>
      <c r="J653" s="345">
        <f>SUM(G653:I653)</f>
        <v>246905</v>
      </c>
      <c r="K653" s="345">
        <f>ROUND(K652*K651,0)</f>
        <v>0</v>
      </c>
    </row>
    <row r="654" spans="1:11" ht="13">
      <c r="A654" s="331">
        <v>31</v>
      </c>
      <c r="B654" s="330" t="s">
        <v>82</v>
      </c>
      <c r="D654" s="342"/>
      <c r="E654" s="195"/>
      <c r="F654" s="345">
        <f>F651-F653</f>
        <v>743685</v>
      </c>
      <c r="G654" s="544">
        <f>G651-G653</f>
        <v>438398</v>
      </c>
      <c r="H654" s="537">
        <f>H651-H653</f>
        <v>0</v>
      </c>
      <c r="I654" s="538">
        <f>I651-I653</f>
        <v>305286</v>
      </c>
      <c r="J654" s="345">
        <f>SUM(G654:I654)</f>
        <v>743684</v>
      </c>
      <c r="K654" s="345">
        <f>K651-K653</f>
        <v>-1</v>
      </c>
    </row>
    <row r="655" spans="1:11" ht="13">
      <c r="A655" s="526"/>
      <c r="B655" s="578"/>
      <c r="C655" s="578"/>
      <c r="D655" s="730"/>
      <c r="E655" s="578"/>
      <c r="F655" s="526"/>
      <c r="G655" s="526"/>
      <c r="H655" s="526"/>
      <c r="I655" s="526"/>
      <c r="J655" s="526"/>
      <c r="K655" s="526"/>
    </row>
    <row r="656" spans="1:11" ht="13">
      <c r="A656" s="341" t="str">
        <f>co_name</f>
        <v>DUKE ENERGY KENTUCKY, INC.</v>
      </c>
      <c r="C656" s="195"/>
      <c r="D656" s="342"/>
      <c r="E656" s="195"/>
      <c r="F656" s="195"/>
      <c r="G656" s="195"/>
      <c r="H656" s="195"/>
      <c r="I656" s="195"/>
      <c r="J656" s="195" t="str">
        <f>$J$1</f>
        <v>FR-16(7)(v)-4</v>
      </c>
      <c r="K656" s="195"/>
    </row>
    <row r="657" spans="1:11" ht="13">
      <c r="A657" s="341" t="str">
        <f>$A$2</f>
        <v>DISTRIBUTION CLASSIFIED - GAS COST OF SERVICE</v>
      </c>
      <c r="C657" s="195"/>
      <c r="D657" s="342"/>
      <c r="E657" s="195"/>
      <c r="F657" s="195"/>
      <c r="G657" s="195"/>
      <c r="H657" s="195"/>
      <c r="I657" s="195"/>
      <c r="J657" s="195" t="str">
        <f>$J$2</f>
        <v>WITNESS RESPONSIBLE:</v>
      </c>
      <c r="K657" s="195"/>
    </row>
    <row r="658" spans="1:11" ht="13">
      <c r="A658" s="341" t="str">
        <f>case_name</f>
        <v>CASE NO: 2021-00190</v>
      </c>
      <c r="C658" s="195"/>
      <c r="D658" s="342"/>
      <c r="E658" s="195"/>
      <c r="F658" s="195"/>
      <c r="G658" s="195"/>
      <c r="H658" s="195"/>
      <c r="I658" s="195"/>
      <c r="J658" s="195" t="str">
        <f>Witness</f>
        <v>JAMES E. ZIOLKOWSKI</v>
      </c>
      <c r="K658" s="195"/>
    </row>
    <row r="659" spans="1:11" ht="13">
      <c r="A659" s="341" t="str">
        <f>data_filing</f>
        <v>DATA: 12 MONTH FORECASTED PERIOD</v>
      </c>
      <c r="C659" s="195"/>
      <c r="D659" s="342"/>
      <c r="E659" s="195"/>
      <c r="F659" s="195"/>
      <c r="G659" s="195"/>
      <c r="H659" s="195"/>
      <c r="I659" s="195"/>
      <c r="J659" s="195" t="str">
        <f>"PAGE "&amp;Pages-3&amp;" OF "&amp;Pages</f>
        <v>PAGE 15 OF 18</v>
      </c>
      <c r="K659" s="195"/>
    </row>
    <row r="660" spans="1:11" ht="13">
      <c r="A660" s="341" t="str">
        <f>type</f>
        <v xml:space="preserve">TYPE OF FILING: "X" ORIGINAL   UPDATED    REVISED  </v>
      </c>
      <c r="C660" s="195"/>
      <c r="D660" s="342"/>
      <c r="E660" s="195"/>
      <c r="F660" s="195"/>
      <c r="G660" s="195"/>
      <c r="H660" s="195"/>
      <c r="I660" s="195"/>
      <c r="J660" s="195"/>
      <c r="K660" s="195"/>
    </row>
    <row r="661" spans="1:11" ht="13">
      <c r="B661" s="341"/>
      <c r="C661" s="195"/>
      <c r="D661" s="342"/>
      <c r="E661" s="195"/>
      <c r="F661" s="195"/>
      <c r="G661" s="195"/>
      <c r="H661" s="195"/>
      <c r="I661" s="195"/>
      <c r="J661" s="195"/>
      <c r="K661" s="195"/>
    </row>
    <row r="662" spans="1:11" ht="13">
      <c r="B662" s="341"/>
      <c r="C662" s="195"/>
      <c r="D662" s="342"/>
      <c r="E662" s="195"/>
      <c r="F662" s="195"/>
      <c r="G662" s="195"/>
      <c r="H662" s="195"/>
      <c r="I662" s="195"/>
      <c r="J662" s="195"/>
      <c r="K662" s="195"/>
    </row>
    <row r="663" spans="1:11" ht="13">
      <c r="A663" s="342" t="s">
        <v>907</v>
      </c>
      <c r="B663" s="195"/>
      <c r="C663" s="195"/>
      <c r="D663" s="342"/>
      <c r="E663" s="195"/>
      <c r="F663" s="342" t="s">
        <v>229</v>
      </c>
      <c r="G663" s="539" t="s">
        <v>995</v>
      </c>
      <c r="H663" s="527"/>
      <c r="I663" s="528"/>
      <c r="J663" s="342" t="s">
        <v>229</v>
      </c>
      <c r="K663" s="342" t="s">
        <v>342</v>
      </c>
    </row>
    <row r="664" spans="1:11" ht="13">
      <c r="A664" s="344" t="s">
        <v>908</v>
      </c>
      <c r="B664" s="343" t="s">
        <v>83</v>
      </c>
      <c r="C664" s="343"/>
      <c r="D664" s="344" t="s">
        <v>337</v>
      </c>
      <c r="E664" s="343"/>
      <c r="F664" s="344" t="s">
        <v>839</v>
      </c>
      <c r="G664" s="540" t="s">
        <v>840</v>
      </c>
      <c r="H664" s="529" t="s">
        <v>841</v>
      </c>
      <c r="I664" s="530" t="s">
        <v>842</v>
      </c>
      <c r="J664" s="344" t="s">
        <v>341</v>
      </c>
      <c r="K664" s="344" t="s">
        <v>340</v>
      </c>
    </row>
    <row r="665" spans="1:11" ht="13">
      <c r="C665" s="572" t="s">
        <v>353</v>
      </c>
      <c r="D665" s="342"/>
      <c r="E665" s="195"/>
      <c r="G665" s="817">
        <f>$G$10</f>
        <v>3</v>
      </c>
      <c r="H665" s="817">
        <f>$H$10</f>
        <v>4</v>
      </c>
      <c r="I665" s="817">
        <f>$I$10</f>
        <v>5</v>
      </c>
    </row>
    <row r="666" spans="1:11" ht="13">
      <c r="A666" s="331">
        <v>1</v>
      </c>
      <c r="B666" s="330" t="s">
        <v>84</v>
      </c>
      <c r="D666" s="342"/>
      <c r="E666" s="195"/>
    </row>
    <row r="667" spans="1:11" ht="13">
      <c r="A667" s="331">
        <v>2</v>
      </c>
      <c r="B667" s="330" t="s">
        <v>85</v>
      </c>
      <c r="D667" s="342"/>
      <c r="E667" s="195"/>
      <c r="G667" s="513" t="s">
        <v>339</v>
      </c>
    </row>
    <row r="668" spans="1:11" ht="13">
      <c r="A668" s="331">
        <v>3</v>
      </c>
      <c r="C668" s="330" t="str">
        <f>'FR-16(7)(v)-1 Functional'!C668</f>
        <v>LONG TERM DEBT</v>
      </c>
      <c r="D668" s="342"/>
      <c r="E668" s="195"/>
      <c r="F668" s="473">
        <f>'FR-16(7)(v)-1 Functional'!$F$668</f>
        <v>794320510</v>
      </c>
      <c r="G668" s="348">
        <f>IF($F$673=0,0,ROUND(F668/$F$673,5))</f>
        <v>0.46721000000000001</v>
      </c>
    </row>
    <row r="669" spans="1:11" ht="13">
      <c r="A669" s="331">
        <v>4</v>
      </c>
      <c r="C669" s="330" t="str">
        <f>'FR-16(7)(v)-1 Functional'!C669</f>
        <v>PREFERRED STOCK</v>
      </c>
      <c r="D669" s="342"/>
      <c r="E669" s="195"/>
      <c r="F669" s="473">
        <f>'FR-16(7)(v)-1 Functional'!$F$669</f>
        <v>0</v>
      </c>
      <c r="G669" s="348">
        <f>IF($F$673=0,0,ROUND(F669/$F$673,5))</f>
        <v>0</v>
      </c>
    </row>
    <row r="670" spans="1:11" ht="13">
      <c r="A670" s="331">
        <v>5</v>
      </c>
      <c r="C670" s="330" t="str">
        <f>'FR-16(7)(v)-1 Functional'!C670</f>
        <v>COMMON STOCK</v>
      </c>
      <c r="D670" s="342"/>
      <c r="E670" s="195"/>
      <c r="F670" s="473">
        <f>'FR-16(7)(v)-1 Functional'!$F$670</f>
        <v>861861344</v>
      </c>
      <c r="G670" s="348">
        <f>1-G668-G669-G671-G672</f>
        <v>0.50695000000000001</v>
      </c>
    </row>
    <row r="671" spans="1:11" ht="13">
      <c r="A671" s="331">
        <v>6</v>
      </c>
      <c r="C671" s="330" t="str">
        <f>'FR-16(7)(v)-1 Functional'!C671</f>
        <v>SHORT TERM DEBT</v>
      </c>
      <c r="D671" s="342"/>
      <c r="E671" s="195"/>
      <c r="F671" s="473">
        <f>'FR-16(7)(v)-1 Functional'!$F$671</f>
        <v>43936209</v>
      </c>
      <c r="G671" s="348">
        <f>IF($F$673=0,0,ROUND(F671/$F$673,5))</f>
        <v>2.5839999999999998E-2</v>
      </c>
    </row>
    <row r="672" spans="1:11" ht="13">
      <c r="A672" s="331">
        <v>7</v>
      </c>
      <c r="C672" s="330" t="str">
        <f>'FR-16(7)(v)-1 Functional'!C672</f>
        <v>UNAMORTIZED DISCOUNT</v>
      </c>
      <c r="D672" s="342"/>
      <c r="E672" s="195"/>
      <c r="F672" s="473">
        <f>'FR-16(7)(v)-1 Functional'!$F$672</f>
        <v>0</v>
      </c>
      <c r="G672" s="348">
        <f>IF($F$673=0,0,ROUND(F672/$F$673,5))</f>
        <v>0</v>
      </c>
    </row>
    <row r="673" spans="1:9" ht="13">
      <c r="A673" s="331">
        <v>8</v>
      </c>
      <c r="C673" s="330" t="str">
        <f>'FR-16(7)(v)-1 Functional'!C673</f>
        <v xml:space="preserve">  TOTAL</v>
      </c>
      <c r="D673" s="342"/>
      <c r="E673" s="195"/>
      <c r="F673" s="474">
        <f>SUM(F667:F672)</f>
        <v>1700118063</v>
      </c>
      <c r="G673" s="515">
        <f>SUM(G668:G672)</f>
        <v>1</v>
      </c>
    </row>
    <row r="674" spans="1:9" ht="13">
      <c r="A674" s="331">
        <v>9</v>
      </c>
      <c r="D674" s="342"/>
      <c r="E674" s="195"/>
    </row>
    <row r="675" spans="1:9" ht="13">
      <c r="A675" s="331">
        <v>10</v>
      </c>
      <c r="B675" s="330" t="s">
        <v>86</v>
      </c>
      <c r="D675" s="342"/>
      <c r="E675" s="195"/>
    </row>
    <row r="676" spans="1:9" ht="13">
      <c r="A676" s="331">
        <v>11</v>
      </c>
      <c r="C676" s="330" t="str">
        <f>'FR-16(7)(v)-1 Functional'!C676</f>
        <v>LONG TERM DEBT</v>
      </c>
      <c r="D676" s="342"/>
      <c r="E676" s="195"/>
      <c r="F676" s="580">
        <f>'FR-16(7)(v)-1 Functional'!$F$676</f>
        <v>3.8429999999999999E-2</v>
      </c>
      <c r="G676" s="516"/>
      <c r="H676" s="516"/>
      <c r="I676" s="516"/>
    </row>
    <row r="677" spans="1:9" ht="13">
      <c r="A677" s="331">
        <v>12</v>
      </c>
      <c r="C677" s="330" t="str">
        <f>'FR-16(7)(v)-1 Functional'!C677</f>
        <v>PREFERRED STOCK</v>
      </c>
      <c r="D677" s="342"/>
      <c r="E677" s="195"/>
      <c r="F677" s="580">
        <f>'FR-16(7)(v)-1 Functional'!$F$677</f>
        <v>0</v>
      </c>
      <c r="G677" s="516"/>
      <c r="H677" s="516"/>
      <c r="I677" s="516"/>
    </row>
    <row r="678" spans="1:9" ht="13">
      <c r="A678" s="331">
        <v>13</v>
      </c>
      <c r="C678" s="330" t="str">
        <f>'FR-16(7)(v)-1 Functional'!C678</f>
        <v>COMMON STOCK</v>
      </c>
      <c r="D678" s="342"/>
      <c r="E678" s="195"/>
      <c r="F678" s="580">
        <f>'FR-16(7)(v)-1 Functional'!$F$678</f>
        <v>0.10299999999999999</v>
      </c>
      <c r="G678" s="516"/>
      <c r="H678" s="516"/>
      <c r="I678" s="516"/>
    </row>
    <row r="679" spans="1:9" ht="13">
      <c r="A679" s="331">
        <v>14</v>
      </c>
      <c r="C679" s="330" t="str">
        <f>'FR-16(7)(v)-1 Functional'!C679</f>
        <v>SHORT TERM DEBT</v>
      </c>
      <c r="D679" s="342"/>
      <c r="E679" s="195"/>
      <c r="F679" s="580">
        <f>'FR-16(7)(v)-1 Functional'!$F$679</f>
        <v>1.6670000000000001E-2</v>
      </c>
      <c r="G679" s="516"/>
      <c r="H679" s="516"/>
      <c r="I679" s="516"/>
    </row>
    <row r="680" spans="1:9" ht="13">
      <c r="A680" s="331">
        <v>15</v>
      </c>
      <c r="C680" s="330" t="str">
        <f>'FR-16(7)(v)-1 Functional'!C680</f>
        <v>UNAMORTIZED DISCOUNT</v>
      </c>
      <c r="D680" s="342"/>
      <c r="E680" s="195"/>
      <c r="F680" s="580">
        <f>'FR-16(7)(v)-1 Functional'!$F$680</f>
        <v>0</v>
      </c>
      <c r="G680" s="516"/>
      <c r="H680" s="516"/>
      <c r="I680" s="516"/>
    </row>
    <row r="681" spans="1:9" ht="13">
      <c r="A681" s="331">
        <v>16</v>
      </c>
      <c r="D681" s="342"/>
      <c r="E681" s="195"/>
    </row>
    <row r="682" spans="1:9" ht="13">
      <c r="A682" s="331">
        <v>17</v>
      </c>
      <c r="B682" s="330" t="s">
        <v>87</v>
      </c>
      <c r="D682" s="342"/>
      <c r="E682" s="195"/>
    </row>
    <row r="683" spans="1:9" ht="13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G683" s="514"/>
      <c r="H683" s="514"/>
      <c r="I683" s="514"/>
    </row>
    <row r="684" spans="1:9" ht="13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G684" s="514"/>
      <c r="H684" s="514"/>
      <c r="I684" s="514"/>
    </row>
    <row r="685" spans="1:9" ht="13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G685" s="514"/>
      <c r="H685" s="514"/>
      <c r="I685" s="514"/>
    </row>
    <row r="686" spans="1:9" ht="13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G686" s="514"/>
      <c r="H686" s="514"/>
      <c r="I686" s="514"/>
    </row>
    <row r="687" spans="1:9" ht="13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G687" s="514"/>
      <c r="H687" s="514"/>
      <c r="I687" s="514"/>
    </row>
    <row r="688" spans="1:9" ht="13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7">
        <f>SUM(F683:F687)</f>
        <v>7.060000000000001E-2</v>
      </c>
      <c r="G688" s="518"/>
      <c r="H688" s="518"/>
      <c r="I688" s="518"/>
    </row>
    <row r="689" spans="1:15" ht="13">
      <c r="A689" s="331">
        <v>24</v>
      </c>
      <c r="D689" s="342"/>
      <c r="E689" s="195"/>
    </row>
    <row r="690" spans="1:15" ht="13">
      <c r="A690" s="331">
        <v>25</v>
      </c>
      <c r="B690" s="330" t="s">
        <v>88</v>
      </c>
      <c r="D690" s="342"/>
      <c r="E690" s="195"/>
      <c r="F690" s="363"/>
    </row>
    <row r="691" spans="1:15" ht="13">
      <c r="A691" s="331">
        <v>26</v>
      </c>
      <c r="C691" s="330" t="str">
        <f>'FR-16(7)(v)-1 Functional'!C691</f>
        <v>SHORT TERM DEBT COST</v>
      </c>
      <c r="D691" s="342"/>
      <c r="E691" s="195"/>
      <c r="F691" s="760">
        <v>0</v>
      </c>
      <c r="G691" s="519">
        <f>$F$691</f>
        <v>0</v>
      </c>
      <c r="H691" s="519">
        <f>$F$691</f>
        <v>0</v>
      </c>
      <c r="I691" s="519">
        <f>$F$691</f>
        <v>0</v>
      </c>
      <c r="J691" s="519">
        <f>$F$691</f>
        <v>0</v>
      </c>
      <c r="K691" s="519">
        <f>$F$691</f>
        <v>0</v>
      </c>
    </row>
    <row r="692" spans="1:15" ht="13">
      <c r="A692" s="331">
        <v>27</v>
      </c>
      <c r="C692" s="330" t="str">
        <f>'FR-16(7)(v)-1 Functional'!C692</f>
        <v>FEDERAL INCOME TAX RATE</v>
      </c>
      <c r="D692" s="342"/>
      <c r="E692" s="195"/>
      <c r="F692" s="519">
        <f t="shared" ref="F692:K692" si="158">FIT</f>
        <v>0.21</v>
      </c>
      <c r="G692" s="519">
        <f t="shared" si="158"/>
        <v>0.21</v>
      </c>
      <c r="H692" s="519">
        <f t="shared" si="158"/>
        <v>0.21</v>
      </c>
      <c r="I692" s="519">
        <f t="shared" si="158"/>
        <v>0.21</v>
      </c>
      <c r="J692" s="519">
        <f t="shared" si="158"/>
        <v>0.21</v>
      </c>
      <c r="K692" s="519">
        <f t="shared" si="158"/>
        <v>0.21</v>
      </c>
    </row>
    <row r="693" spans="1:15" ht="13">
      <c r="A693" s="331">
        <v>28</v>
      </c>
      <c r="C693" s="330" t="str">
        <f>'FR-16(7)(v)-1 Functional'!C693</f>
        <v>STATE INCOME TAX RATE</v>
      </c>
      <c r="D693" s="342"/>
      <c r="E693" s="195"/>
      <c r="F693" s="519">
        <f t="shared" ref="F693:K693" si="159">SIT</f>
        <v>4.9685000000000007E-2</v>
      </c>
      <c r="G693" s="519">
        <f t="shared" si="159"/>
        <v>4.9685000000000007E-2</v>
      </c>
      <c r="H693" s="519">
        <f t="shared" si="159"/>
        <v>4.9685000000000007E-2</v>
      </c>
      <c r="I693" s="519">
        <f t="shared" si="159"/>
        <v>4.9685000000000007E-2</v>
      </c>
      <c r="J693" s="519">
        <f t="shared" si="159"/>
        <v>4.9685000000000007E-2</v>
      </c>
      <c r="K693" s="519">
        <f t="shared" si="159"/>
        <v>4.9685000000000007E-2</v>
      </c>
    </row>
    <row r="694" spans="1:15" ht="13">
      <c r="A694" s="331">
        <v>29</v>
      </c>
      <c r="C694" s="330" t="str">
        <f>'FR-16(7)(v)-1 Functional'!C694</f>
        <v>REVENUE TAX RATE</v>
      </c>
      <c r="D694" s="342"/>
      <c r="E694" s="195"/>
      <c r="F694" s="516">
        <v>0</v>
      </c>
      <c r="G694" s="519">
        <f>RevTax</f>
        <v>0</v>
      </c>
      <c r="H694" s="519">
        <f>RevTax</f>
        <v>0</v>
      </c>
      <c r="I694" s="519">
        <f>RevTax</f>
        <v>0</v>
      </c>
      <c r="J694" s="519">
        <f>RevTax</f>
        <v>0</v>
      </c>
      <c r="K694" s="519">
        <f>RevTax</f>
        <v>0</v>
      </c>
    </row>
    <row r="696" spans="1:15" ht="13">
      <c r="A696" s="341" t="str">
        <f>co_name</f>
        <v>DUKE ENERGY KENTUCKY, INC.</v>
      </c>
      <c r="C696" s="195"/>
      <c r="D696" s="342"/>
      <c r="E696" s="195"/>
      <c r="F696" s="195"/>
      <c r="G696" s="195"/>
      <c r="H696" s="195"/>
      <c r="I696" s="195"/>
      <c r="J696" s="195" t="str">
        <f>$J$1</f>
        <v>FR-16(7)(v)-4</v>
      </c>
      <c r="K696" s="195"/>
    </row>
    <row r="697" spans="1:15" ht="13">
      <c r="A697" s="341" t="str">
        <f>$A$2</f>
        <v>DISTRIBUTION CLASSIFIED - GAS COST OF SERVICE</v>
      </c>
      <c r="C697" s="195"/>
      <c r="D697" s="342"/>
      <c r="E697" s="195"/>
      <c r="F697" s="195"/>
      <c r="G697" s="195"/>
      <c r="H697" s="195"/>
      <c r="I697" s="195"/>
      <c r="J697" s="195" t="str">
        <f>$J$2</f>
        <v>WITNESS RESPONSIBLE:</v>
      </c>
      <c r="K697" s="195"/>
    </row>
    <row r="698" spans="1:15" ht="13">
      <c r="A698" s="341" t="str">
        <f>case_name</f>
        <v>CASE NO: 2021-00190</v>
      </c>
      <c r="C698" s="195"/>
      <c r="D698" s="342"/>
      <c r="E698" s="195"/>
      <c r="F698" s="195"/>
      <c r="G698" s="195"/>
      <c r="H698" s="195"/>
      <c r="I698" s="195"/>
      <c r="J698" s="195" t="str">
        <f>Witness</f>
        <v>JAMES E. ZIOLKOWSKI</v>
      </c>
      <c r="K698" s="195"/>
    </row>
    <row r="699" spans="1:15" ht="13">
      <c r="A699" s="341" t="str">
        <f>data_filing</f>
        <v>DATA: 12 MONTH FORECASTED PERIOD</v>
      </c>
      <c r="C699" s="195"/>
      <c r="D699" s="342"/>
      <c r="E699" s="195"/>
      <c r="F699" s="195"/>
      <c r="G699" s="195"/>
      <c r="H699" s="195"/>
      <c r="I699" s="195"/>
      <c r="J699" s="195" t="str">
        <f>"PAGE "&amp;Pages-2&amp;" OF "&amp;Pages</f>
        <v>PAGE 16 OF 18</v>
      </c>
      <c r="K699" s="195"/>
    </row>
    <row r="700" spans="1:15" ht="13">
      <c r="A700" s="341" t="str">
        <f>type</f>
        <v xml:space="preserve">TYPE OF FILING: "X" ORIGINAL   UPDATED    REVISED  </v>
      </c>
      <c r="C700" s="195"/>
      <c r="D700" s="342"/>
      <c r="E700" s="195"/>
      <c r="F700" s="195"/>
      <c r="G700" s="195"/>
      <c r="H700" s="195"/>
      <c r="I700" s="195"/>
      <c r="J700" s="195"/>
      <c r="K700" s="195"/>
    </row>
    <row r="702" spans="1:15" ht="13" thickBot="1"/>
    <row r="703" spans="1:15" ht="13">
      <c r="A703" s="342" t="s">
        <v>907</v>
      </c>
      <c r="B703" s="195"/>
      <c r="C703" s="195"/>
      <c r="D703" s="342"/>
      <c r="E703" s="342"/>
      <c r="F703" s="583" t="s">
        <v>229</v>
      </c>
      <c r="G703" s="665" t="s">
        <v>995</v>
      </c>
      <c r="H703" s="666"/>
      <c r="I703" s="667"/>
      <c r="J703" s="342" t="s">
        <v>229</v>
      </c>
      <c r="K703" s="342" t="s">
        <v>342</v>
      </c>
      <c r="O703" s="745" t="s">
        <v>995</v>
      </c>
    </row>
    <row r="704" spans="1:15" ht="13">
      <c r="A704" s="344" t="s">
        <v>908</v>
      </c>
      <c r="B704" s="584" t="s">
        <v>89</v>
      </c>
      <c r="C704" s="343"/>
      <c r="D704" s="585" t="s">
        <v>1001</v>
      </c>
      <c r="E704" s="819" t="s">
        <v>337</v>
      </c>
      <c r="F704" s="353" t="s">
        <v>839</v>
      </c>
      <c r="G704" s="668" t="s">
        <v>840</v>
      </c>
      <c r="H704" s="669" t="s">
        <v>841</v>
      </c>
      <c r="I704" s="670" t="s">
        <v>842</v>
      </c>
      <c r="J704" s="344" t="s">
        <v>341</v>
      </c>
      <c r="K704" s="344" t="s">
        <v>340</v>
      </c>
      <c r="O704" s="746" t="s">
        <v>998</v>
      </c>
    </row>
    <row r="705" spans="1:15" ht="13">
      <c r="A705" s="195"/>
      <c r="B705" s="588"/>
      <c r="C705" s="838" t="s">
        <v>558</v>
      </c>
      <c r="D705" s="712"/>
      <c r="E705" s="780">
        <v>1</v>
      </c>
      <c r="F705" s="780">
        <v>2</v>
      </c>
      <c r="G705" s="816">
        <f>$G$10</f>
        <v>3</v>
      </c>
      <c r="H705" s="817">
        <f>$H$10</f>
        <v>4</v>
      </c>
      <c r="I705" s="818">
        <f>$I$10</f>
        <v>5</v>
      </c>
      <c r="O705" s="747"/>
    </row>
    <row r="706" spans="1:15" ht="13">
      <c r="A706" s="342">
        <v>1</v>
      </c>
      <c r="B706" s="591" t="s">
        <v>90</v>
      </c>
      <c r="C706" s="484"/>
      <c r="D706" s="706"/>
      <c r="E706" s="706"/>
      <c r="F706" s="504"/>
      <c r="G706" s="671"/>
      <c r="H706" s="672"/>
      <c r="I706" s="673"/>
      <c r="O706" s="748"/>
    </row>
    <row r="707" spans="1:15" ht="13">
      <c r="A707" s="342">
        <v>2</v>
      </c>
      <c r="C707" s="592" t="s">
        <v>221</v>
      </c>
      <c r="D707" s="717" t="s">
        <v>1002</v>
      </c>
      <c r="E707" s="707"/>
      <c r="F707" s="473">
        <f>'Alloc Factors Summary'!$D$16</f>
        <v>11107573</v>
      </c>
      <c r="G707" s="674">
        <f>'Alloc Factors Summary'!D16</f>
        <v>11107573</v>
      </c>
      <c r="H707" s="675">
        <v>0</v>
      </c>
      <c r="I707" s="676">
        <v>0</v>
      </c>
      <c r="J707" s="732">
        <f>SUM(G707:I707)</f>
        <v>11107573</v>
      </c>
      <c r="K707" s="495">
        <f>F707-J707</f>
        <v>0</v>
      </c>
      <c r="O707" s="747"/>
    </row>
    <row r="708" spans="1:15" ht="13">
      <c r="A708" s="342">
        <v>3</v>
      </c>
      <c r="B708" s="195"/>
      <c r="C708" s="491" t="s">
        <v>355</v>
      </c>
      <c r="D708" s="583"/>
      <c r="E708" s="708" t="str">
        <f>'FR-16(7)(v)-1 Functional'!$E$708</f>
        <v>K201</v>
      </c>
      <c r="F708" s="643">
        <v>1</v>
      </c>
      <c r="G708" s="677">
        <f>ROUND(G707/(G707+H707+I707),5)</f>
        <v>1</v>
      </c>
      <c r="H708" s="678">
        <f>ROUND(H707/(G707+H707+I707),5)</f>
        <v>0</v>
      </c>
      <c r="I708" s="679">
        <f>ROUND(I707/(G707+H707+I707),5)</f>
        <v>0</v>
      </c>
      <c r="J708" s="733">
        <f t="shared" ref="J708:J742" si="160">SUM(G708:I708)</f>
        <v>1</v>
      </c>
      <c r="K708" s="731">
        <f t="shared" ref="K708:K742" si="161">F708-J708</f>
        <v>0</v>
      </c>
      <c r="O708" s="749">
        <f>SUM(G708:I708)</f>
        <v>1</v>
      </c>
    </row>
    <row r="709" spans="1:15" ht="13">
      <c r="A709" s="342">
        <v>4</v>
      </c>
      <c r="C709" s="592" t="s">
        <v>855</v>
      </c>
      <c r="D709" s="717" t="s">
        <v>1002</v>
      </c>
      <c r="E709" s="723"/>
      <c r="F709" s="598">
        <v>100</v>
      </c>
      <c r="G709" s="744">
        <f>ROUND('Alloc Factors Summary'!$D$25*100,3)</f>
        <v>100</v>
      </c>
      <c r="H709" s="675">
        <v>0</v>
      </c>
      <c r="I709" s="676">
        <v>0</v>
      </c>
      <c r="J709" s="734">
        <f t="shared" si="160"/>
        <v>100</v>
      </c>
      <c r="K709" s="737">
        <f t="shared" si="161"/>
        <v>0</v>
      </c>
      <c r="O709" s="748"/>
    </row>
    <row r="710" spans="1:15" ht="13">
      <c r="A710" s="342">
        <v>5</v>
      </c>
      <c r="B710" s="195"/>
      <c r="C710" s="491" t="s">
        <v>355</v>
      </c>
      <c r="D710" s="583"/>
      <c r="E710" s="708" t="str">
        <f>'FR-16(7)(v)-1 Functional'!$E$710</f>
        <v>K203</v>
      </c>
      <c r="F710" s="643">
        <v>1</v>
      </c>
      <c r="G710" s="677">
        <f>ROUND(G709/(G709+H709+I709),5)</f>
        <v>1</v>
      </c>
      <c r="H710" s="678">
        <f>ROUND(H709/(G709+H709+I709),5)</f>
        <v>0</v>
      </c>
      <c r="I710" s="679">
        <f>ROUND(I709/(G709+H709+I709),5)</f>
        <v>0</v>
      </c>
      <c r="J710" s="733">
        <f t="shared" si="160"/>
        <v>1</v>
      </c>
      <c r="K710" s="731">
        <f t="shared" si="161"/>
        <v>0</v>
      </c>
      <c r="O710" s="749">
        <f>SUM(G710:I710)</f>
        <v>1</v>
      </c>
    </row>
    <row r="711" spans="1:15" ht="13">
      <c r="A711" s="342">
        <v>6</v>
      </c>
      <c r="C711" s="592" t="s">
        <v>856</v>
      </c>
      <c r="D711" s="717" t="s">
        <v>1002</v>
      </c>
      <c r="E711" s="723"/>
      <c r="F711" s="598">
        <v>100</v>
      </c>
      <c r="G711" s="744">
        <f>ROUND('Alloc Factors Summary'!$E25*100,3)</f>
        <v>100</v>
      </c>
      <c r="H711" s="675">
        <v>0</v>
      </c>
      <c r="I711" s="676">
        <v>0</v>
      </c>
      <c r="J711" s="734">
        <f t="shared" si="160"/>
        <v>100</v>
      </c>
      <c r="K711" s="737">
        <f t="shared" si="161"/>
        <v>0</v>
      </c>
      <c r="O711" s="748"/>
    </row>
    <row r="712" spans="1:15" ht="13">
      <c r="A712" s="342">
        <v>7</v>
      </c>
      <c r="B712" s="195"/>
      <c r="C712" s="491" t="s">
        <v>355</v>
      </c>
      <c r="D712" s="583"/>
      <c r="E712" s="708" t="str">
        <f>'FR-16(7)(v)-1 Functional'!$E$712</f>
        <v>K205</v>
      </c>
      <c r="F712" s="643">
        <v>1</v>
      </c>
      <c r="G712" s="677">
        <f>ROUND(G711/(G711+H711+I711),5)</f>
        <v>1</v>
      </c>
      <c r="H712" s="678">
        <f>ROUND(H711/(G711+H711+I711),5)</f>
        <v>0</v>
      </c>
      <c r="I712" s="679">
        <f>ROUND(I711/(G711+H711+I711),5)</f>
        <v>0</v>
      </c>
      <c r="J712" s="733">
        <f t="shared" si="160"/>
        <v>1</v>
      </c>
      <c r="K712" s="731">
        <f t="shared" si="161"/>
        <v>0</v>
      </c>
      <c r="O712" s="749">
        <f>SUM(G712:I712)</f>
        <v>1</v>
      </c>
    </row>
    <row r="713" spans="1:15" ht="13">
      <c r="A713" s="342">
        <v>8</v>
      </c>
      <c r="B713" s="195"/>
      <c r="C713" s="592" t="s">
        <v>405</v>
      </c>
      <c r="D713" s="717" t="s">
        <v>1002</v>
      </c>
      <c r="E713" s="723"/>
      <c r="F713" s="473">
        <f>'Alloc Factors Summary'!$D$34</f>
        <v>12746023</v>
      </c>
      <c r="G713" s="680">
        <v>0</v>
      </c>
      <c r="H713" s="681">
        <f>'Alloc Factors Summary'!$D34</f>
        <v>12746023</v>
      </c>
      <c r="I713" s="676">
        <v>0</v>
      </c>
      <c r="J713" s="732">
        <f t="shared" si="160"/>
        <v>12746023</v>
      </c>
      <c r="K713" s="495">
        <f t="shared" si="161"/>
        <v>0</v>
      </c>
      <c r="O713" s="747"/>
    </row>
    <row r="714" spans="1:15" ht="13">
      <c r="A714" s="342">
        <v>9</v>
      </c>
      <c r="B714" s="195"/>
      <c r="C714" s="491" t="s">
        <v>355</v>
      </c>
      <c r="D714" s="583"/>
      <c r="E714" s="708" t="str">
        <f>'FR-16(7)(v)-1 Functional'!$E$714</f>
        <v>K300</v>
      </c>
      <c r="F714" s="643">
        <v>1</v>
      </c>
      <c r="G714" s="677">
        <f>ROUND(G713/(G713+H713+I713),5)</f>
        <v>0</v>
      </c>
      <c r="H714" s="678">
        <f>ROUND(H713/(G713+H713+I713),5)</f>
        <v>1</v>
      </c>
      <c r="I714" s="679">
        <f>ROUND(I713/(G713+H713+I713),5)</f>
        <v>0</v>
      </c>
      <c r="J714" s="733">
        <f t="shared" si="160"/>
        <v>1</v>
      </c>
      <c r="K714" s="731">
        <f t="shared" si="161"/>
        <v>0</v>
      </c>
      <c r="O714" s="749">
        <f>SUM(G714:I714)</f>
        <v>1</v>
      </c>
    </row>
    <row r="715" spans="1:15" ht="13">
      <c r="A715" s="342">
        <v>10</v>
      </c>
      <c r="C715" s="592" t="s">
        <v>375</v>
      </c>
      <c r="D715" s="717" t="s">
        <v>1002</v>
      </c>
      <c r="E715" s="723"/>
      <c r="F715" s="473">
        <f>'Alloc Factors Summary'!$D$43</f>
        <v>8817610</v>
      </c>
      <c r="G715" s="680">
        <v>0</v>
      </c>
      <c r="H715" s="681">
        <f>'Alloc Factors Summary'!D43</f>
        <v>8817610</v>
      </c>
      <c r="I715" s="676">
        <v>0</v>
      </c>
      <c r="J715" s="732">
        <f t="shared" si="160"/>
        <v>8817610</v>
      </c>
      <c r="K715" s="495">
        <f t="shared" si="161"/>
        <v>0</v>
      </c>
      <c r="O715" s="748"/>
    </row>
    <row r="716" spans="1:15" ht="13">
      <c r="A716" s="342">
        <v>11</v>
      </c>
      <c r="B716" s="195"/>
      <c r="C716" s="491" t="s">
        <v>355</v>
      </c>
      <c r="D716" s="583"/>
      <c r="E716" s="708" t="str">
        <f>'FR-16(7)(v)-1 Functional'!$E$716</f>
        <v>K301</v>
      </c>
      <c r="F716" s="643">
        <v>1</v>
      </c>
      <c r="G716" s="677">
        <f>ROUND(G715/(G715+H715+I715),5)</f>
        <v>0</v>
      </c>
      <c r="H716" s="678">
        <f>ROUND(H715/(G715+H715+I715),5)</f>
        <v>1</v>
      </c>
      <c r="I716" s="679">
        <f>ROUND(I715/(G715+H715+I715),5)</f>
        <v>0</v>
      </c>
      <c r="J716" s="733">
        <f t="shared" si="160"/>
        <v>1</v>
      </c>
      <c r="K716" s="731">
        <f t="shared" si="161"/>
        <v>0</v>
      </c>
      <c r="O716" s="749">
        <f>SUM(G716:I716)</f>
        <v>1</v>
      </c>
    </row>
    <row r="717" spans="1:15" ht="13">
      <c r="A717" s="342">
        <v>12</v>
      </c>
      <c r="C717" s="592" t="s">
        <v>222</v>
      </c>
      <c r="D717" s="717" t="s">
        <v>1002</v>
      </c>
      <c r="E717" s="723"/>
      <c r="F717" s="473">
        <f>'Alloc Factors Summary'!$D$64</f>
        <v>101373</v>
      </c>
      <c r="G717" s="680">
        <v>0</v>
      </c>
      <c r="H717" s="675">
        <v>0</v>
      </c>
      <c r="I717" s="682">
        <f>'Alloc Factors Summary'!D64</f>
        <v>101373</v>
      </c>
      <c r="J717" s="734">
        <f t="shared" si="160"/>
        <v>101373</v>
      </c>
      <c r="K717" s="737">
        <f t="shared" si="161"/>
        <v>0</v>
      </c>
      <c r="O717" s="748"/>
    </row>
    <row r="718" spans="1:15" ht="13">
      <c r="A718" s="342">
        <v>13</v>
      </c>
      <c r="B718" s="195"/>
      <c r="C718" s="491" t="s">
        <v>355</v>
      </c>
      <c r="D718" s="583"/>
      <c r="E718" s="708" t="str">
        <f>'FR-16(7)(v)-1 Functional'!$E$718</f>
        <v>K401</v>
      </c>
      <c r="F718" s="643">
        <v>1</v>
      </c>
      <c r="G718" s="677">
        <f>ROUND(G717/(G717+H717+I717),5)</f>
        <v>0</v>
      </c>
      <c r="H718" s="678">
        <f>ROUND(H717/(G717+H717+I717),5)</f>
        <v>0</v>
      </c>
      <c r="I718" s="679">
        <f>ROUND(I717/(G717+H717+I717),5)</f>
        <v>1</v>
      </c>
      <c r="J718" s="733">
        <f t="shared" si="160"/>
        <v>1</v>
      </c>
      <c r="K718" s="731">
        <f t="shared" si="161"/>
        <v>0</v>
      </c>
      <c r="O718" s="749">
        <f>SUM(G718:I718)</f>
        <v>1</v>
      </c>
    </row>
    <row r="719" spans="1:15" ht="13">
      <c r="A719" s="342">
        <v>14</v>
      </c>
      <c r="C719" s="592" t="s">
        <v>223</v>
      </c>
      <c r="D719" s="717" t="s">
        <v>1002</v>
      </c>
      <c r="E719" s="723"/>
      <c r="F719" s="473">
        <f>'Alloc Factors Summary'!$F$76</f>
        <v>106848</v>
      </c>
      <c r="G719" s="680">
        <v>0</v>
      </c>
      <c r="H719" s="675">
        <v>0</v>
      </c>
      <c r="I719" s="682">
        <f>'Alloc Factors Summary'!F76</f>
        <v>106848</v>
      </c>
      <c r="J719" s="734">
        <f t="shared" si="160"/>
        <v>106848</v>
      </c>
      <c r="K719" s="737">
        <f t="shared" si="161"/>
        <v>0</v>
      </c>
      <c r="O719" s="748"/>
    </row>
    <row r="720" spans="1:15" ht="13">
      <c r="A720" s="342">
        <v>15</v>
      </c>
      <c r="B720" s="195"/>
      <c r="C720" s="491" t="s">
        <v>355</v>
      </c>
      <c r="D720" s="583"/>
      <c r="E720" s="708" t="str">
        <f>'FR-16(7)(v)-1 Functional'!$E$720</f>
        <v>K403</v>
      </c>
      <c r="F720" s="643">
        <v>1</v>
      </c>
      <c r="G720" s="677">
        <f>ROUND(G719/(G719+H719+I719),5)</f>
        <v>0</v>
      </c>
      <c r="H720" s="678">
        <f>ROUND(H719/(G719+H719+I719),5)</f>
        <v>0</v>
      </c>
      <c r="I720" s="679">
        <f>ROUND(I719/(G719+H719+I719),5)</f>
        <v>1</v>
      </c>
      <c r="J720" s="733">
        <f t="shared" si="160"/>
        <v>1</v>
      </c>
      <c r="K720" s="731">
        <f t="shared" si="161"/>
        <v>0</v>
      </c>
      <c r="O720" s="749">
        <f>SUM(G720:I720)</f>
        <v>1</v>
      </c>
    </row>
    <row r="721" spans="1:15" ht="13">
      <c r="A721" s="342">
        <v>16</v>
      </c>
      <c r="C721" s="592" t="s">
        <v>385</v>
      </c>
      <c r="D721" s="717" t="s">
        <v>1002</v>
      </c>
      <c r="E721" s="723"/>
      <c r="F721" s="473">
        <f>'Alloc Factors Summary'!$G$88</f>
        <v>2925179.9999999995</v>
      </c>
      <c r="G721" s="680">
        <v>0</v>
      </c>
      <c r="H721" s="675">
        <v>0</v>
      </c>
      <c r="I721" s="682">
        <f>'Alloc Factors Summary'!G88</f>
        <v>2925179.9999999995</v>
      </c>
      <c r="J721" s="734">
        <f t="shared" si="160"/>
        <v>2925179.9999999995</v>
      </c>
      <c r="K721" s="737">
        <f t="shared" si="161"/>
        <v>0</v>
      </c>
      <c r="O721" s="748"/>
    </row>
    <row r="722" spans="1:15" ht="13">
      <c r="A722" s="342">
        <v>17</v>
      </c>
      <c r="B722" s="195"/>
      <c r="C722" s="491" t="s">
        <v>355</v>
      </c>
      <c r="D722" s="583"/>
      <c r="E722" s="708" t="str">
        <f>'FR-16(7)(v)-1 Functional'!$E$722</f>
        <v>K405</v>
      </c>
      <c r="F722" s="643">
        <v>1</v>
      </c>
      <c r="G722" s="677">
        <f>ROUND(G721/(G721+H721+I721),5)</f>
        <v>0</v>
      </c>
      <c r="H722" s="678">
        <f>ROUND(H721/(G721+H721+I721),5)</f>
        <v>0</v>
      </c>
      <c r="I722" s="679">
        <f>ROUND(I721/(G721+H721+I721),5)</f>
        <v>1</v>
      </c>
      <c r="J722" s="733">
        <f t="shared" si="160"/>
        <v>1</v>
      </c>
      <c r="K722" s="731">
        <f t="shared" si="161"/>
        <v>0</v>
      </c>
      <c r="O722" s="749">
        <f>SUM(G722:I722)</f>
        <v>1</v>
      </c>
    </row>
    <row r="723" spans="1:15" ht="13">
      <c r="A723" s="342">
        <v>18</v>
      </c>
      <c r="C723" s="592" t="s">
        <v>373</v>
      </c>
      <c r="D723" s="717" t="s">
        <v>1002</v>
      </c>
      <c r="E723" s="723"/>
      <c r="F723" s="473">
        <f>'Alloc Factors Summary'!$D$98</f>
        <v>6856</v>
      </c>
      <c r="G723" s="680">
        <v>0</v>
      </c>
      <c r="H723" s="675">
        <v>0</v>
      </c>
      <c r="I723" s="682">
        <f>'Alloc Factors Summary'!D98</f>
        <v>6856</v>
      </c>
      <c r="J723" s="734">
        <f t="shared" si="160"/>
        <v>6856</v>
      </c>
      <c r="K723" s="737">
        <f t="shared" si="161"/>
        <v>0</v>
      </c>
      <c r="O723" s="748"/>
    </row>
    <row r="724" spans="1:15" ht="13">
      <c r="A724" s="342">
        <v>19</v>
      </c>
      <c r="B724" s="195"/>
      <c r="C724" s="491" t="s">
        <v>355</v>
      </c>
      <c r="D724" s="583"/>
      <c r="E724" s="708" t="str">
        <f>'FR-16(7)(v)-1 Functional'!$E$724</f>
        <v>K406</v>
      </c>
      <c r="F724" s="643">
        <v>1</v>
      </c>
      <c r="G724" s="677">
        <f>ROUND(G723/(G723+H723+I723),5)</f>
        <v>0</v>
      </c>
      <c r="H724" s="678">
        <f>ROUND(H723/(G723+H723+I723),5)</f>
        <v>0</v>
      </c>
      <c r="I724" s="679">
        <f>ROUND(I723/(G723+H723+I723),5)</f>
        <v>1</v>
      </c>
      <c r="J724" s="733">
        <f t="shared" si="160"/>
        <v>1</v>
      </c>
      <c r="K724" s="731">
        <f t="shared" si="161"/>
        <v>0</v>
      </c>
      <c r="O724" s="749">
        <f>SUM(G724:I724)</f>
        <v>1</v>
      </c>
    </row>
    <row r="725" spans="1:15" ht="13">
      <c r="A725" s="342">
        <v>20</v>
      </c>
      <c r="C725" s="592" t="s">
        <v>1025</v>
      </c>
      <c r="D725" s="717" t="s">
        <v>1002</v>
      </c>
      <c r="E725" s="723"/>
      <c r="F725" s="473">
        <f>'Alloc Factors Summary'!$G$108</f>
        <v>108184.00000000001</v>
      </c>
      <c r="G725" s="680">
        <v>0</v>
      </c>
      <c r="H725" s="675">
        <v>0</v>
      </c>
      <c r="I725" s="682">
        <f>'Alloc Factors Summary'!G108</f>
        <v>108184.00000000001</v>
      </c>
      <c r="J725" s="734">
        <f t="shared" si="160"/>
        <v>108184.00000000001</v>
      </c>
      <c r="K725" s="737">
        <f t="shared" si="161"/>
        <v>0</v>
      </c>
      <c r="O725" s="748"/>
    </row>
    <row r="726" spans="1:15" ht="13">
      <c r="A726" s="342">
        <v>21</v>
      </c>
      <c r="B726" s="195"/>
      <c r="C726" s="491" t="s">
        <v>355</v>
      </c>
      <c r="D726" s="583"/>
      <c r="E726" s="708" t="str">
        <f>'FR-16(7)(v)-1 Functional'!$E$726</f>
        <v>K407</v>
      </c>
      <c r="F726" s="643">
        <v>1</v>
      </c>
      <c r="G726" s="677">
        <f>ROUND(G725/(G725+H725+I725),5)</f>
        <v>0</v>
      </c>
      <c r="H726" s="678">
        <f>ROUND(H725/(G725+H725+I725),5)</f>
        <v>0</v>
      </c>
      <c r="I726" s="679">
        <f>ROUND(I725/(G725+H725+I725),5)</f>
        <v>1</v>
      </c>
      <c r="J726" s="733">
        <f t="shared" si="160"/>
        <v>1</v>
      </c>
      <c r="K726" s="731">
        <f t="shared" si="161"/>
        <v>0</v>
      </c>
      <c r="O726" s="749">
        <f>SUM(G726:I726)</f>
        <v>1</v>
      </c>
    </row>
    <row r="727" spans="1:15" ht="13">
      <c r="A727" s="342">
        <v>22</v>
      </c>
      <c r="C727" s="592" t="s">
        <v>1026</v>
      </c>
      <c r="D727" s="717" t="s">
        <v>1002</v>
      </c>
      <c r="E727" s="723"/>
      <c r="F727" s="473">
        <f>'Alloc Factors Summary'!$F$118</f>
        <v>2602</v>
      </c>
      <c r="G727" s="680">
        <v>0</v>
      </c>
      <c r="H727" s="675">
        <v>0</v>
      </c>
      <c r="I727" s="682">
        <f>'Alloc Factors Summary'!F118</f>
        <v>2602</v>
      </c>
      <c r="J727" s="734">
        <f t="shared" si="160"/>
        <v>2602</v>
      </c>
      <c r="K727" s="737">
        <f t="shared" si="161"/>
        <v>0</v>
      </c>
      <c r="O727" s="748"/>
    </row>
    <row r="728" spans="1:15" ht="13">
      <c r="A728" s="342">
        <v>23</v>
      </c>
      <c r="B728" s="195"/>
      <c r="C728" s="491" t="s">
        <v>355</v>
      </c>
      <c r="D728" s="583"/>
      <c r="E728" s="708" t="str">
        <f>'FR-16(7)(v)-1 Functional'!$E$728</f>
        <v>K408</v>
      </c>
      <c r="F728" s="643">
        <v>1</v>
      </c>
      <c r="G728" s="677">
        <f>ROUND(G727/(G727+H727+I727),5)</f>
        <v>0</v>
      </c>
      <c r="H728" s="678">
        <f>ROUND(H727/(G727+H727+I727),5)</f>
        <v>0</v>
      </c>
      <c r="I728" s="679">
        <f>ROUND(I727/(G727+H727+I727),5)</f>
        <v>1</v>
      </c>
      <c r="J728" s="733">
        <f t="shared" si="160"/>
        <v>1</v>
      </c>
      <c r="K728" s="731">
        <f t="shared" si="161"/>
        <v>0</v>
      </c>
      <c r="O728" s="749">
        <f>SUM(G728:I728)</f>
        <v>1</v>
      </c>
    </row>
    <row r="729" spans="1:15" ht="13">
      <c r="A729" s="342">
        <v>24</v>
      </c>
      <c r="C729" s="592" t="s">
        <v>224</v>
      </c>
      <c r="D729" s="717" t="s">
        <v>1002</v>
      </c>
      <c r="E729" s="723"/>
      <c r="F729" s="473">
        <f>'Alloc Factors Summary'!$D$141</f>
        <v>8662854</v>
      </c>
      <c r="G729" s="680">
        <v>0</v>
      </c>
      <c r="H729" s="675">
        <v>0</v>
      </c>
      <c r="I729" s="682">
        <f>'Alloc Factors Summary'!D141</f>
        <v>8662854</v>
      </c>
      <c r="J729" s="734">
        <f t="shared" si="160"/>
        <v>8662854</v>
      </c>
      <c r="K729" s="737">
        <f t="shared" si="161"/>
        <v>0</v>
      </c>
      <c r="O729" s="748"/>
    </row>
    <row r="730" spans="1:15" ht="13">
      <c r="A730" s="342">
        <v>25</v>
      </c>
      <c r="B730" s="195"/>
      <c r="C730" s="491" t="s">
        <v>355</v>
      </c>
      <c r="D730" s="583"/>
      <c r="E730" s="708" t="str">
        <f>'FR-16(7)(v)-1 Functional'!$E$730</f>
        <v>K413</v>
      </c>
      <c r="F730" s="643">
        <v>1</v>
      </c>
      <c r="G730" s="677">
        <f>ROUND(G729/(G729+H729+I729),5)</f>
        <v>0</v>
      </c>
      <c r="H730" s="678">
        <f>ROUND(H729/(G729+H729+I729),5)</f>
        <v>0</v>
      </c>
      <c r="I730" s="679">
        <f>ROUND(I729/(G729+H729+I729),5)</f>
        <v>1</v>
      </c>
      <c r="J730" s="733">
        <f t="shared" si="160"/>
        <v>1</v>
      </c>
      <c r="K730" s="731">
        <f t="shared" si="161"/>
        <v>0</v>
      </c>
      <c r="O730" s="749">
        <f>SUM(G730:I730)</f>
        <v>1</v>
      </c>
    </row>
    <row r="731" spans="1:15" ht="13">
      <c r="A731" s="342">
        <v>26</v>
      </c>
      <c r="C731" s="663" t="s">
        <v>1004</v>
      </c>
      <c r="D731" s="717" t="s">
        <v>1002</v>
      </c>
      <c r="E731" s="723"/>
      <c r="F731" s="603">
        <f>ROUND('Alloc Factors Summary'!H171*100,0)</f>
        <v>100</v>
      </c>
      <c r="G731" s="674">
        <f>ROUND('WP FR-16(7)(v)-Mains (Plastic)'!H39*100,0)</f>
        <v>100</v>
      </c>
      <c r="H731" s="675">
        <v>0</v>
      </c>
      <c r="I731" s="682">
        <f>ROUND('WP FR-16(7)(v)-Mains (Plastic)'!H37*100,0)</f>
        <v>0</v>
      </c>
      <c r="J731" s="734">
        <f t="shared" si="160"/>
        <v>100</v>
      </c>
      <c r="K731" s="737">
        <f t="shared" si="161"/>
        <v>0</v>
      </c>
      <c r="O731" s="748"/>
    </row>
    <row r="732" spans="1:15" ht="13">
      <c r="A732" s="342">
        <v>27</v>
      </c>
      <c r="B732" s="195"/>
      <c r="C732" s="491" t="s">
        <v>355</v>
      </c>
      <c r="D732" s="583"/>
      <c r="E732" s="708" t="str">
        <f>'FR-16(7)(v)-1 Functional'!$E$732</f>
        <v>K415</v>
      </c>
      <c r="F732" s="643">
        <v>1</v>
      </c>
      <c r="G732" s="677">
        <f>ROUND(G731/(G731+H731+I731),5)</f>
        <v>1</v>
      </c>
      <c r="H732" s="678">
        <f>ROUND(H731/(G731+H731+I731),5)</f>
        <v>0</v>
      </c>
      <c r="I732" s="679">
        <f>ROUND(I731/(G731+H731+I731),5)</f>
        <v>0</v>
      </c>
      <c r="J732" s="733">
        <f t="shared" si="160"/>
        <v>1</v>
      </c>
      <c r="K732" s="731">
        <f t="shared" si="161"/>
        <v>0</v>
      </c>
      <c r="O732" s="749">
        <f>SUM(G732:I732)</f>
        <v>1</v>
      </c>
    </row>
    <row r="733" spans="1:15" ht="13">
      <c r="A733" s="342">
        <v>28</v>
      </c>
      <c r="C733" s="592" t="s">
        <v>376</v>
      </c>
      <c r="D733" s="717" t="s">
        <v>1002</v>
      </c>
      <c r="E733" s="723"/>
      <c r="F733" s="473">
        <f>'Alloc Factors Summary'!$D$151</f>
        <v>151324</v>
      </c>
      <c r="G733" s="680">
        <v>0</v>
      </c>
      <c r="H733" s="675">
        <v>0</v>
      </c>
      <c r="I733" s="682">
        <f>'Alloc Factors Summary'!D151</f>
        <v>151324</v>
      </c>
      <c r="J733" s="734">
        <f t="shared" si="160"/>
        <v>151324</v>
      </c>
      <c r="K733" s="737">
        <f t="shared" si="161"/>
        <v>0</v>
      </c>
      <c r="O733" s="748"/>
    </row>
    <row r="734" spans="1:15" ht="13">
      <c r="A734" s="342">
        <v>29</v>
      </c>
      <c r="B734" s="195"/>
      <c r="C734" s="491" t="s">
        <v>355</v>
      </c>
      <c r="D734" s="583"/>
      <c r="E734" s="708" t="str">
        <f>'FR-16(7)(v)-1 Functional'!$E$734</f>
        <v>K417</v>
      </c>
      <c r="F734" s="643">
        <v>1</v>
      </c>
      <c r="G734" s="677">
        <f>ROUND(G733/(G733+H733+I733),5)</f>
        <v>0</v>
      </c>
      <c r="H734" s="678">
        <f>ROUND(H733/(G733+H733+I733),5)</f>
        <v>0</v>
      </c>
      <c r="I734" s="679">
        <f>ROUND(I733/(G733+H733+I733),5)</f>
        <v>1</v>
      </c>
      <c r="J734" s="733">
        <f t="shared" si="160"/>
        <v>1</v>
      </c>
      <c r="K734" s="731">
        <f t="shared" si="161"/>
        <v>0</v>
      </c>
      <c r="O734" s="749">
        <f>SUM(G734:I734)</f>
        <v>1</v>
      </c>
    </row>
    <row r="735" spans="1:15" ht="13">
      <c r="A735" s="342">
        <v>30</v>
      </c>
      <c r="B735" s="485"/>
      <c r="C735" s="592" t="s">
        <v>226</v>
      </c>
      <c r="D735" s="717" t="s">
        <v>1002</v>
      </c>
      <c r="E735" s="739"/>
      <c r="F735" s="347">
        <f>'Alloc Factors Summary'!$D$62+'Alloc Factors Summary'!$D$63</f>
        <v>128</v>
      </c>
      <c r="G735" s="680">
        <v>0</v>
      </c>
      <c r="H735" s="675">
        <v>0</v>
      </c>
      <c r="I735" s="676">
        <f>F735</f>
        <v>128</v>
      </c>
      <c r="J735" s="734">
        <f t="shared" si="160"/>
        <v>128</v>
      </c>
      <c r="K735" s="737">
        <f t="shared" si="161"/>
        <v>0</v>
      </c>
      <c r="O735" s="750"/>
    </row>
    <row r="736" spans="1:15" ht="13">
      <c r="A736" s="342">
        <v>31</v>
      </c>
      <c r="B736" s="195"/>
      <c r="C736" s="491" t="str">
        <f>C734</f>
        <v>RATIO TO TOTAL GAS</v>
      </c>
      <c r="D736" s="583"/>
      <c r="E736" s="708" t="str">
        <f>'FR-16(7)(v)-1 Functional'!$E$736</f>
        <v>K431</v>
      </c>
      <c r="F736" s="348">
        <v>1</v>
      </c>
      <c r="G736" s="677">
        <f>ROUND(G735/(G735+H735+I735),5)</f>
        <v>0</v>
      </c>
      <c r="H736" s="678">
        <f>ROUND(H735/(G735+H735+I735),5)</f>
        <v>0</v>
      </c>
      <c r="I736" s="679">
        <f>ROUND(I735/(G735+H735+I735),5)</f>
        <v>1</v>
      </c>
      <c r="J736" s="733">
        <f t="shared" si="160"/>
        <v>1</v>
      </c>
      <c r="K736" s="731">
        <f t="shared" si="161"/>
        <v>0</v>
      </c>
      <c r="O736" s="749">
        <f>SUM(G736:I736)</f>
        <v>1</v>
      </c>
    </row>
    <row r="737" spans="1:15" ht="13">
      <c r="A737" s="342">
        <v>32</v>
      </c>
      <c r="C737" s="602" t="s">
        <v>406</v>
      </c>
      <c r="D737" s="717" t="s">
        <v>1002</v>
      </c>
      <c r="E737" s="723"/>
      <c r="F737" s="473">
        <f>'Alloc Factors Summary'!$D$159</f>
        <v>3928413</v>
      </c>
      <c r="G737" s="674">
        <f>'Alloc Factors Summary'!D159</f>
        <v>3928413</v>
      </c>
      <c r="H737" s="675">
        <v>0</v>
      </c>
      <c r="I737" s="676">
        <v>0</v>
      </c>
      <c r="J737" s="734">
        <f t="shared" si="160"/>
        <v>3928413</v>
      </c>
      <c r="K737" s="737">
        <f t="shared" si="161"/>
        <v>0</v>
      </c>
      <c r="O737" s="751"/>
    </row>
    <row r="738" spans="1:15" ht="13">
      <c r="A738" s="342">
        <v>33</v>
      </c>
      <c r="B738" s="195"/>
      <c r="C738" s="491" t="s">
        <v>355</v>
      </c>
      <c r="D738" s="583"/>
      <c r="E738" s="708" t="str">
        <f>'FR-16(7)(v)-1 Functional'!$E$738</f>
        <v>K595</v>
      </c>
      <c r="F738" s="643">
        <v>1</v>
      </c>
      <c r="G738" s="677">
        <f>ROUND(G737/(G737+H737+I737),5)</f>
        <v>1</v>
      </c>
      <c r="H738" s="678">
        <f>ROUND(H737/(G737+H737+I737),5)</f>
        <v>0</v>
      </c>
      <c r="I738" s="679">
        <f>ROUND(I737/(G737+H737+I737),5)</f>
        <v>0</v>
      </c>
      <c r="J738" s="733">
        <f t="shared" si="160"/>
        <v>1</v>
      </c>
      <c r="K738" s="731">
        <f t="shared" si="161"/>
        <v>0</v>
      </c>
      <c r="O738" s="749">
        <f>SUM(G738:I738)</f>
        <v>1</v>
      </c>
    </row>
    <row r="739" spans="1:15" ht="13">
      <c r="A739" s="342">
        <v>34</v>
      </c>
      <c r="B739" s="593"/>
      <c r="C739" s="592" t="s">
        <v>225</v>
      </c>
      <c r="D739" s="717" t="s">
        <v>1002</v>
      </c>
      <c r="E739" s="723"/>
      <c r="F739" s="470">
        <v>1</v>
      </c>
      <c r="G739" s="683">
        <v>1</v>
      </c>
      <c r="H739" s="675">
        <v>0</v>
      </c>
      <c r="I739" s="676">
        <v>0</v>
      </c>
      <c r="J739" s="734">
        <f t="shared" si="160"/>
        <v>1</v>
      </c>
      <c r="K739" s="737">
        <f t="shared" si="161"/>
        <v>0</v>
      </c>
      <c r="O739" s="751"/>
    </row>
    <row r="740" spans="1:15" ht="13">
      <c r="A740" s="342">
        <v>35</v>
      </c>
      <c r="B740" s="195"/>
      <c r="C740" s="491" t="s">
        <v>355</v>
      </c>
      <c r="D740" s="583"/>
      <c r="E740" s="708" t="str">
        <f>'FR-16(7)(v)-1 Functional'!$E$740</f>
        <v>K597</v>
      </c>
      <c r="F740" s="643">
        <v>1</v>
      </c>
      <c r="G740" s="677">
        <f>ROUND(G739/(G739+H739+I739),5)</f>
        <v>1</v>
      </c>
      <c r="H740" s="678">
        <f>ROUND(H739/(G739+H739+I739),5)</f>
        <v>0</v>
      </c>
      <c r="I740" s="679">
        <f>ROUND(I739/(G739+H739+I739),5)</f>
        <v>0</v>
      </c>
      <c r="J740" s="733">
        <f t="shared" si="160"/>
        <v>1</v>
      </c>
      <c r="K740" s="731">
        <f t="shared" si="161"/>
        <v>0</v>
      </c>
      <c r="O740" s="749">
        <f>SUM(G740:I740)</f>
        <v>1</v>
      </c>
    </row>
    <row r="741" spans="1:15" ht="13">
      <c r="A741" s="342">
        <v>36</v>
      </c>
      <c r="C741" s="592" t="s">
        <v>431</v>
      </c>
      <c r="D741" s="621"/>
      <c r="E741" s="740"/>
      <c r="F741" s="488">
        <v>1</v>
      </c>
      <c r="G741" s="683">
        <v>1</v>
      </c>
      <c r="H741" s="675">
        <v>0</v>
      </c>
      <c r="I741" s="676">
        <v>0</v>
      </c>
      <c r="J741" s="734">
        <f t="shared" si="160"/>
        <v>1</v>
      </c>
      <c r="K741" s="737">
        <f t="shared" si="161"/>
        <v>0</v>
      </c>
      <c r="O741" s="748"/>
    </row>
    <row r="742" spans="1:15" ht="13">
      <c r="A742" s="342">
        <v>37</v>
      </c>
      <c r="C742" s="491" t="s">
        <v>355</v>
      </c>
      <c r="D742" s="583"/>
      <c r="E742" s="708" t="str">
        <f>'FR-16(7)(v)-1 Functional'!$E$742</f>
        <v>K903</v>
      </c>
      <c r="F742" s="642">
        <v>1</v>
      </c>
      <c r="G742" s="677">
        <f>ROUND(G741/(G741+H741+I741),5)</f>
        <v>1</v>
      </c>
      <c r="H742" s="678">
        <f>ROUND(H741/(G741+H741+I741),5)</f>
        <v>0</v>
      </c>
      <c r="I742" s="679">
        <f>ROUND(I741/(G741+H741+I741),5)</f>
        <v>0</v>
      </c>
      <c r="J742" s="733">
        <f t="shared" si="160"/>
        <v>1</v>
      </c>
      <c r="K742" s="731">
        <f t="shared" si="161"/>
        <v>0</v>
      </c>
      <c r="O742" s="749">
        <f>SUM(G742:I742)</f>
        <v>1</v>
      </c>
    </row>
    <row r="743" spans="1:15" ht="13">
      <c r="A743" s="342">
        <v>38</v>
      </c>
      <c r="B743" s="363"/>
      <c r="C743" s="363"/>
      <c r="D743" s="718"/>
      <c r="E743" s="331"/>
      <c r="G743" s="684"/>
      <c r="H743" s="685"/>
      <c r="I743" s="686"/>
      <c r="J743" s="735"/>
      <c r="K743" s="526"/>
      <c r="O743" s="752"/>
    </row>
    <row r="744" spans="1:15" ht="13">
      <c r="A744" s="342">
        <v>39</v>
      </c>
      <c r="C744" s="592" t="s">
        <v>108</v>
      </c>
      <c r="D744" s="342" t="str">
        <f>'FR-16(7)(v)-1 Functional'!$D$744</f>
        <v>CS09</v>
      </c>
      <c r="E744" s="708" t="str">
        <f>'FR-16(7)(v)-1 Functional'!$E$744</f>
        <v>R600</v>
      </c>
      <c r="F744" s="473">
        <f>'FR-16(7)(v)-1 Functional'!I744</f>
        <v>70232711</v>
      </c>
      <c r="G744" s="690">
        <f>ROUND(F744*VLOOKUP(D744,Alloctable_Classified_Distribution,$G$10,FALSE),0)</f>
        <v>41410611</v>
      </c>
      <c r="H744" s="691">
        <f>ROUND(F744*VLOOKUP(D744,Alloctable_Classified_Distribution,$H$10,FALSE),0)</f>
        <v>0</v>
      </c>
      <c r="I744" s="692">
        <f>ROUND(F744*VLOOKUP(D744,Alloctable_Classified_Distribution,$I$10,FALSE),0)</f>
        <v>28822100</v>
      </c>
      <c r="J744" s="736">
        <f>SUM(G744:I744)</f>
        <v>70232711</v>
      </c>
      <c r="K744" s="664">
        <f>F744-J744</f>
        <v>0</v>
      </c>
      <c r="M744" s="653" t="s">
        <v>1182</v>
      </c>
      <c r="O744" s="748"/>
    </row>
    <row r="745" spans="1:15" ht="13">
      <c r="A745" s="342">
        <v>40</v>
      </c>
      <c r="C745" s="592" t="s">
        <v>843</v>
      </c>
      <c r="D745" s="342" t="str">
        <f>'FR-16(7)(v)-1 Functional'!$D$745</f>
        <v>CS09</v>
      </c>
      <c r="E745" s="708" t="str">
        <f>'FR-16(7)(v)-1 Functional'!$E$745</f>
        <v>R602</v>
      </c>
      <c r="F745" s="473">
        <f>'FR-16(7)(v)-1 Functional'!I745</f>
        <v>79895282</v>
      </c>
      <c r="G745" s="693">
        <f>ROUND(F745*VLOOKUP(D745,Alloctable_Classified_Distribution,$G$10,FALSE),0)</f>
        <v>47107856</v>
      </c>
      <c r="H745" s="694">
        <f>ROUND(F745*VLOOKUP(D745,Alloctable_Classified_Distribution,$H$10,FALSE),0)</f>
        <v>0</v>
      </c>
      <c r="I745" s="695">
        <f>ROUND(F745*VLOOKUP(D745,Alloctable_Classified_Distribution,$I$10,FALSE),0)</f>
        <v>32787426</v>
      </c>
      <c r="J745" s="736">
        <f>SUM(G745:I745)</f>
        <v>79895282</v>
      </c>
      <c r="K745" s="664">
        <f>F745-J745</f>
        <v>0</v>
      </c>
      <c r="M745" s="653" t="s">
        <v>1183</v>
      </c>
      <c r="O745" s="749"/>
    </row>
    <row r="746" spans="1:15" ht="13">
      <c r="E746" s="331"/>
      <c r="O746" s="749"/>
    </row>
    <row r="747" spans="1:15" ht="13">
      <c r="A747" s="341" t="str">
        <f>co_name</f>
        <v>DUKE ENERGY KENTUCKY, INC.</v>
      </c>
      <c r="C747" s="195"/>
      <c r="D747" s="342"/>
      <c r="E747" s="195"/>
      <c r="F747" s="195"/>
      <c r="G747" s="195"/>
      <c r="H747" s="195"/>
      <c r="I747" s="195"/>
      <c r="J747" s="195" t="str">
        <f>$J$1</f>
        <v>FR-16(7)(v)-4</v>
      </c>
      <c r="K747" s="195"/>
      <c r="O747" s="748"/>
    </row>
    <row r="748" spans="1:15" ht="13">
      <c r="A748" s="341" t="str">
        <f>$A$2</f>
        <v>DISTRIBUTION CLASSIFIED - GAS COST OF SERVICE</v>
      </c>
      <c r="C748" s="195"/>
      <c r="D748" s="342"/>
      <c r="E748" s="195"/>
      <c r="F748" s="195"/>
      <c r="G748" s="195"/>
      <c r="H748" s="195"/>
      <c r="I748" s="195"/>
      <c r="J748" s="195" t="str">
        <f>$J$2</f>
        <v>WITNESS RESPONSIBLE:</v>
      </c>
      <c r="K748" s="195"/>
      <c r="O748" s="748"/>
    </row>
    <row r="749" spans="1:15" ht="13">
      <c r="A749" s="341" t="str">
        <f>case_name</f>
        <v>CASE NO: 2021-00190</v>
      </c>
      <c r="C749" s="195"/>
      <c r="D749" s="342"/>
      <c r="E749" s="195"/>
      <c r="F749" s="195"/>
      <c r="G749" s="195"/>
      <c r="H749" s="195"/>
      <c r="I749" s="195"/>
      <c r="J749" s="195" t="str">
        <f>Witness</f>
        <v>JAMES E. ZIOLKOWSKI</v>
      </c>
      <c r="K749" s="195"/>
      <c r="O749" s="748"/>
    </row>
    <row r="750" spans="1:15" ht="13">
      <c r="A750" s="341" t="str">
        <f>data_filing</f>
        <v>DATA: 12 MONTH FORECASTED PERIOD</v>
      </c>
      <c r="C750" s="195"/>
      <c r="D750" s="342"/>
      <c r="E750" s="195"/>
      <c r="F750" s="195"/>
      <c r="G750" s="195"/>
      <c r="H750" s="195"/>
      <c r="I750" s="195"/>
      <c r="J750" s="195" t="str">
        <f>"PAGE "&amp;Pages-1&amp;" OF "&amp;Pages</f>
        <v>PAGE 17 OF 18</v>
      </c>
      <c r="K750" s="195"/>
      <c r="O750" s="748"/>
    </row>
    <row r="751" spans="1:15" ht="13">
      <c r="A751" s="341" t="str">
        <f>type</f>
        <v xml:space="preserve">TYPE OF FILING: "X" ORIGINAL   UPDATED    REVISED  </v>
      </c>
      <c r="C751" s="195"/>
      <c r="D751" s="342"/>
      <c r="E751" s="195"/>
      <c r="F751" s="195"/>
      <c r="G751" s="195"/>
      <c r="H751" s="195"/>
      <c r="I751" s="195"/>
      <c r="J751" s="195"/>
      <c r="K751" s="195"/>
      <c r="O751" s="748"/>
    </row>
    <row r="752" spans="1:15" ht="13">
      <c r="B752" s="195"/>
      <c r="E752" s="331"/>
      <c r="G752" s="526"/>
      <c r="H752" s="526"/>
      <c r="I752" s="526"/>
      <c r="O752" s="748"/>
    </row>
    <row r="753" spans="1:15" ht="13">
      <c r="B753" s="195"/>
      <c r="E753" s="331"/>
      <c r="G753" s="526"/>
      <c r="H753" s="526"/>
      <c r="I753" s="526"/>
      <c r="O753" s="748"/>
    </row>
    <row r="754" spans="1:15" ht="13">
      <c r="A754" s="342" t="s">
        <v>907</v>
      </c>
      <c r="B754" s="195"/>
      <c r="C754" s="195"/>
      <c r="D754" s="342"/>
      <c r="E754" s="342"/>
      <c r="F754" s="583" t="s">
        <v>229</v>
      </c>
      <c r="G754" s="539" t="s">
        <v>995</v>
      </c>
      <c r="H754" s="527"/>
      <c r="I754" s="528"/>
      <c r="J754" s="342" t="s">
        <v>229</v>
      </c>
      <c r="K754" s="342" t="s">
        <v>342</v>
      </c>
      <c r="O754" s="747"/>
    </row>
    <row r="755" spans="1:15" ht="13">
      <c r="A755" s="344" t="s">
        <v>908</v>
      </c>
      <c r="B755" s="584" t="s">
        <v>89</v>
      </c>
      <c r="C755" s="343"/>
      <c r="D755" s="585" t="s">
        <v>1001</v>
      </c>
      <c r="E755" s="585" t="s">
        <v>337</v>
      </c>
      <c r="F755" s="344" t="s">
        <v>839</v>
      </c>
      <c r="G755" s="652" t="s">
        <v>840</v>
      </c>
      <c r="H755" s="649" t="s">
        <v>841</v>
      </c>
      <c r="I755" s="650" t="s">
        <v>842</v>
      </c>
      <c r="J755" s="344" t="s">
        <v>341</v>
      </c>
      <c r="K755" s="344" t="s">
        <v>340</v>
      </c>
      <c r="O755" s="747"/>
    </row>
    <row r="756" spans="1:15" ht="13">
      <c r="C756" s="839" t="s">
        <v>559</v>
      </c>
      <c r="E756" s="627">
        <v>1</v>
      </c>
      <c r="F756" s="627">
        <v>2</v>
      </c>
      <c r="G756" s="793">
        <f>$G$10</f>
        <v>3</v>
      </c>
      <c r="H756" s="794">
        <f>$H$10</f>
        <v>4</v>
      </c>
      <c r="I756" s="795">
        <f>$I$10</f>
        <v>5</v>
      </c>
      <c r="O756" s="748"/>
    </row>
    <row r="757" spans="1:15" ht="13">
      <c r="A757" s="342">
        <v>1</v>
      </c>
      <c r="B757" s="599"/>
      <c r="C757" s="654" t="s">
        <v>1012</v>
      </c>
      <c r="D757" s="719" t="s">
        <v>1003</v>
      </c>
      <c r="E757" s="710"/>
      <c r="F757" s="345">
        <f>F771</f>
        <v>448302289</v>
      </c>
      <c r="G757" s="690">
        <f>G771</f>
        <v>283495888</v>
      </c>
      <c r="H757" s="691">
        <f>H771</f>
        <v>0</v>
      </c>
      <c r="I757" s="692">
        <f>I771</f>
        <v>164806401</v>
      </c>
      <c r="J757" s="736">
        <f t="shared" ref="J757:J762" si="162">SUM(G757:I757)</f>
        <v>448302289</v>
      </c>
      <c r="K757" s="664">
        <f t="shared" ref="K757:K762" si="163">F757-J757</f>
        <v>0</v>
      </c>
      <c r="O757" s="751"/>
    </row>
    <row r="758" spans="1:15" ht="13">
      <c r="A758" s="342">
        <v>2</v>
      </c>
      <c r="B758" s="195"/>
      <c r="C758" s="491" t="s">
        <v>355</v>
      </c>
      <c r="D758" s="583"/>
      <c r="E758" s="708" t="str">
        <f>'FR-16(7)(v)-1 Functional'!$E$758</f>
        <v>K667</v>
      </c>
      <c r="F758" s="642">
        <v>1</v>
      </c>
      <c r="G758" s="677">
        <f>ROUND(G757/(G757+H757+I757),5)</f>
        <v>0.63238000000000005</v>
      </c>
      <c r="H758" s="678">
        <f>ROUND(H757/(G757+H757+I757),5)</f>
        <v>0</v>
      </c>
      <c r="I758" s="679">
        <f>ROUND(I757/(G757+H757+I757),5)</f>
        <v>0.36762</v>
      </c>
      <c r="J758" s="731">
        <f t="shared" si="162"/>
        <v>1</v>
      </c>
      <c r="K758" s="731">
        <f t="shared" si="163"/>
        <v>0</v>
      </c>
      <c r="O758" s="749">
        <f>SUM(G758:I758)</f>
        <v>1</v>
      </c>
    </row>
    <row r="759" spans="1:15" ht="13">
      <c r="A759" s="342">
        <v>3</v>
      </c>
      <c r="B759" s="599"/>
      <c r="C759" s="654" t="s">
        <v>1021</v>
      </c>
      <c r="D759" s="719" t="s">
        <v>1003</v>
      </c>
      <c r="E759" s="723"/>
      <c r="F759" s="345">
        <f>F778</f>
        <v>40444763</v>
      </c>
      <c r="G759" s="690">
        <f>G778</f>
        <v>0</v>
      </c>
      <c r="H759" s="691">
        <f>H778</f>
        <v>0</v>
      </c>
      <c r="I759" s="692">
        <f>I778</f>
        <v>40444763</v>
      </c>
      <c r="J759" s="664">
        <f t="shared" si="162"/>
        <v>40444763</v>
      </c>
      <c r="K759" s="664">
        <f t="shared" si="163"/>
        <v>0</v>
      </c>
      <c r="O759" s="748"/>
    </row>
    <row r="760" spans="1:15" ht="13">
      <c r="A760" s="342">
        <v>4</v>
      </c>
      <c r="B760" s="195"/>
      <c r="C760" s="491" t="s">
        <v>355</v>
      </c>
      <c r="D760" s="583"/>
      <c r="E760" s="708" t="str">
        <f>'FR-16(7)(v)-1 Functional'!$E$760</f>
        <v>K697</v>
      </c>
      <c r="F760" s="642">
        <v>1</v>
      </c>
      <c r="G760" s="677">
        <f>ROUND(G759/(G759+H759+I759),5)</f>
        <v>0</v>
      </c>
      <c r="H760" s="678">
        <f>ROUND(H759/(G759+H759+I759),5)</f>
        <v>0</v>
      </c>
      <c r="I760" s="679">
        <f>ROUND(I759/(G759+H759+I759),5)</f>
        <v>1</v>
      </c>
      <c r="J760" s="731">
        <f t="shared" si="162"/>
        <v>1</v>
      </c>
      <c r="K760" s="731">
        <f t="shared" si="163"/>
        <v>0</v>
      </c>
      <c r="O760" s="749">
        <f>SUM(G760:I760)</f>
        <v>1</v>
      </c>
    </row>
    <row r="761" spans="1:15" ht="13">
      <c r="A761" s="342">
        <v>5</v>
      </c>
      <c r="B761" s="600"/>
      <c r="C761" s="654" t="s">
        <v>108</v>
      </c>
      <c r="D761" s="719" t="s">
        <v>1003</v>
      </c>
      <c r="E761" s="723"/>
      <c r="F761" s="345">
        <f>F744</f>
        <v>70232711</v>
      </c>
      <c r="G761" s="690">
        <f>G744</f>
        <v>41410611</v>
      </c>
      <c r="H761" s="691">
        <f>H744</f>
        <v>0</v>
      </c>
      <c r="I761" s="692">
        <f>I744</f>
        <v>28822100</v>
      </c>
      <c r="J761" s="664">
        <f t="shared" si="162"/>
        <v>70232711</v>
      </c>
      <c r="K761" s="664">
        <f t="shared" si="163"/>
        <v>0</v>
      </c>
      <c r="O761" s="748"/>
    </row>
    <row r="762" spans="1:15" ht="13">
      <c r="A762" s="342">
        <v>6</v>
      </c>
      <c r="B762" s="195"/>
      <c r="C762" s="491" t="s">
        <v>355</v>
      </c>
      <c r="D762" s="583"/>
      <c r="E762" s="708" t="str">
        <f>'FR-16(7)(v)-1 Functional'!$E$762</f>
        <v>K901</v>
      </c>
      <c r="F762" s="642">
        <v>1</v>
      </c>
      <c r="G762" s="677">
        <f>ROUND(G761/(G761+H761+I761),5)</f>
        <v>0.58962000000000003</v>
      </c>
      <c r="H762" s="678">
        <f>ROUND(H761/(G761+H761+I761),5)</f>
        <v>0</v>
      </c>
      <c r="I762" s="679">
        <f>1-SUM(G762:H762)</f>
        <v>0.41037999999999997</v>
      </c>
      <c r="J762" s="731">
        <f t="shared" si="162"/>
        <v>1</v>
      </c>
      <c r="K762" s="731">
        <f t="shared" si="163"/>
        <v>0</v>
      </c>
      <c r="O762" s="749">
        <f>SUM(G762:I762)</f>
        <v>1</v>
      </c>
    </row>
    <row r="763" spans="1:15" ht="13">
      <c r="A763" s="342">
        <v>7</v>
      </c>
      <c r="C763" s="654" t="s">
        <v>843</v>
      </c>
      <c r="D763" s="719" t="s">
        <v>1003</v>
      </c>
      <c r="E763" s="723"/>
      <c r="F763" s="345">
        <f>F745</f>
        <v>79895282</v>
      </c>
      <c r="G763" s="690">
        <f>G745</f>
        <v>47107856</v>
      </c>
      <c r="H763" s="691">
        <f>H745</f>
        <v>0</v>
      </c>
      <c r="I763" s="692">
        <f>I745</f>
        <v>32787426</v>
      </c>
      <c r="J763" s="664">
        <f>SUM(G763:I763)</f>
        <v>79895282</v>
      </c>
      <c r="K763" s="664">
        <f>F763-J763</f>
        <v>0</v>
      </c>
      <c r="O763" s="752"/>
    </row>
    <row r="764" spans="1:15" ht="13">
      <c r="A764" s="342">
        <v>8</v>
      </c>
      <c r="C764" s="491" t="s">
        <v>355</v>
      </c>
      <c r="D764" s="583"/>
      <c r="E764" s="708" t="s">
        <v>1179</v>
      </c>
      <c r="F764" s="642">
        <v>1</v>
      </c>
      <c r="G764" s="677">
        <f>ROUND(G763/(G763+H763+I763),5)</f>
        <v>0.58962000000000003</v>
      </c>
      <c r="H764" s="678">
        <f>ROUND(H763/(G763+H763+I763),5)</f>
        <v>0</v>
      </c>
      <c r="I764" s="679">
        <f>1-SUM(G764:H764)</f>
        <v>0.41037999999999997</v>
      </c>
      <c r="J764" s="731">
        <f>SUM(G764:I764)</f>
        <v>1</v>
      </c>
      <c r="K764" s="731">
        <f>F764-J764</f>
        <v>0</v>
      </c>
      <c r="O764" s="752"/>
    </row>
    <row r="765" spans="1:15" ht="13">
      <c r="A765" s="342">
        <v>9</v>
      </c>
      <c r="E765" s="740"/>
      <c r="G765" s="684"/>
      <c r="H765" s="685"/>
      <c r="I765" s="686"/>
      <c r="J765" s="526"/>
      <c r="K765" s="526"/>
      <c r="O765" s="752"/>
    </row>
    <row r="766" spans="1:15" ht="13">
      <c r="A766" s="342">
        <v>10</v>
      </c>
      <c r="B766" s="702" t="s">
        <v>92</v>
      </c>
      <c r="C766" s="703"/>
      <c r="D766" s="720"/>
      <c r="E766" s="723"/>
      <c r="F766" s="615"/>
      <c r="G766" s="687"/>
      <c r="H766" s="688"/>
      <c r="I766" s="689"/>
      <c r="J766" s="738"/>
      <c r="K766" s="738"/>
      <c r="O766" s="753"/>
    </row>
    <row r="767" spans="1:15" ht="13">
      <c r="A767" s="342">
        <v>11</v>
      </c>
      <c r="B767" s="653"/>
      <c r="C767" s="654" t="s">
        <v>1015</v>
      </c>
      <c r="D767" s="719"/>
      <c r="E767" s="723"/>
      <c r="F767" s="345">
        <f>'FR-16(7)(v)-1 Functional'!$F$71</f>
        <v>396995775</v>
      </c>
      <c r="G767" s="690">
        <f t="shared" ref="G767:I768" si="164">G71</f>
        <v>396995775</v>
      </c>
      <c r="H767" s="691">
        <f t="shared" si="164"/>
        <v>0</v>
      </c>
      <c r="I767" s="692">
        <f t="shared" si="164"/>
        <v>0</v>
      </c>
      <c r="J767" s="664">
        <f>SUM(G767:I767)</f>
        <v>396995775</v>
      </c>
      <c r="K767" s="664">
        <f>F767-J767</f>
        <v>0</v>
      </c>
      <c r="O767" s="753"/>
    </row>
    <row r="768" spans="1:15" ht="13">
      <c r="A768" s="342">
        <v>12</v>
      </c>
      <c r="B768" s="653"/>
      <c r="C768" s="654" t="s">
        <v>1016</v>
      </c>
      <c r="D768" s="719"/>
      <c r="E768" s="707"/>
      <c r="F768" s="345">
        <f>'FR-16(7)(v)-1 Functional'!$F$72</f>
        <v>226116720</v>
      </c>
      <c r="G768" s="690">
        <f t="shared" si="164"/>
        <v>0</v>
      </c>
      <c r="H768" s="691">
        <f t="shared" si="164"/>
        <v>0</v>
      </c>
      <c r="I768" s="692">
        <f t="shared" si="164"/>
        <v>226116720</v>
      </c>
      <c r="J768" s="664">
        <f>SUM(G768:I768)</f>
        <v>226116720</v>
      </c>
      <c r="K768" s="664">
        <f>F768-J768</f>
        <v>0</v>
      </c>
      <c r="O768" s="753"/>
    </row>
    <row r="769" spans="1:15" ht="13">
      <c r="A769" s="342">
        <v>13</v>
      </c>
      <c r="B769" s="653"/>
      <c r="C769" s="654" t="s">
        <v>1013</v>
      </c>
      <c r="D769" s="719"/>
      <c r="E769" s="707"/>
      <c r="F769" s="345">
        <f>-'FR-16(7)(v)-1 Functional'!$F$125</f>
        <v>-113499887</v>
      </c>
      <c r="G769" s="690">
        <f t="shared" ref="G769:I770" si="165">-G125</f>
        <v>-113499887</v>
      </c>
      <c r="H769" s="691">
        <f t="shared" si="165"/>
        <v>0</v>
      </c>
      <c r="I769" s="692">
        <f t="shared" si="165"/>
        <v>0</v>
      </c>
      <c r="J769" s="664">
        <f>SUM(G769:I769)</f>
        <v>-113499887</v>
      </c>
      <c r="K769" s="664">
        <f>F769-J769</f>
        <v>0</v>
      </c>
      <c r="O769" s="753"/>
    </row>
    <row r="770" spans="1:15" ht="13">
      <c r="A770" s="342">
        <v>14</v>
      </c>
      <c r="B770" s="653"/>
      <c r="C770" s="654" t="s">
        <v>1014</v>
      </c>
      <c r="D770" s="719"/>
      <c r="E770" s="711"/>
      <c r="F770" s="496">
        <f>-'FR-16(7)(v)-1 Functional'!$F$126</f>
        <v>-61310319</v>
      </c>
      <c r="G770" s="693">
        <f t="shared" si="165"/>
        <v>0</v>
      </c>
      <c r="H770" s="694">
        <f t="shared" si="165"/>
        <v>0</v>
      </c>
      <c r="I770" s="695">
        <f t="shared" si="165"/>
        <v>-61310319</v>
      </c>
      <c r="J770" s="620">
        <f>SUM(G770:I770)</f>
        <v>-61310319</v>
      </c>
      <c r="K770" s="620">
        <f>F770-J770</f>
        <v>0</v>
      </c>
      <c r="O770" s="753"/>
    </row>
    <row r="771" spans="1:15" ht="13">
      <c r="A771" s="342">
        <v>15</v>
      </c>
      <c r="B771" s="653"/>
      <c r="C771" s="704" t="s">
        <v>1023</v>
      </c>
      <c r="D771" s="719"/>
      <c r="E771" s="707"/>
      <c r="F771" s="345">
        <f>SUM(F767:F770)</f>
        <v>448302289</v>
      </c>
      <c r="G771" s="690">
        <f>SUM(G767:G770)</f>
        <v>283495888</v>
      </c>
      <c r="H771" s="691">
        <f>SUM(H767:H770)</f>
        <v>0</v>
      </c>
      <c r="I771" s="692">
        <f>SUM(I767:I770)</f>
        <v>164806401</v>
      </c>
      <c r="J771" s="664">
        <f>SUM(G771:I771)</f>
        <v>448302289</v>
      </c>
      <c r="K771" s="664">
        <f>F771-J771</f>
        <v>0</v>
      </c>
      <c r="O771" s="753"/>
    </row>
    <row r="772" spans="1:15" ht="13">
      <c r="A772" s="342">
        <v>16</v>
      </c>
      <c r="B772" s="653"/>
      <c r="C772" s="653"/>
      <c r="D772" s="707"/>
      <c r="E772" s="707"/>
      <c r="G772" s="684"/>
      <c r="H772" s="685"/>
      <c r="I772" s="686"/>
      <c r="J772" s="526"/>
      <c r="K772" s="526"/>
      <c r="O772" s="753"/>
    </row>
    <row r="773" spans="1:15" ht="13">
      <c r="A773" s="342">
        <v>17</v>
      </c>
      <c r="B773" s="705" t="s">
        <v>93</v>
      </c>
      <c r="C773" s="610"/>
      <c r="D773" s="707"/>
      <c r="E773" s="707"/>
      <c r="G773" s="684"/>
      <c r="H773" s="685"/>
      <c r="I773" s="686"/>
      <c r="J773" s="526"/>
      <c r="K773" s="526"/>
      <c r="O773" s="753"/>
    </row>
    <row r="774" spans="1:15" ht="13">
      <c r="A774" s="342">
        <v>18</v>
      </c>
      <c r="B774" s="653"/>
      <c r="C774" s="654" t="s">
        <v>1017</v>
      </c>
      <c r="D774" s="707"/>
      <c r="E774" s="707"/>
      <c r="F774" s="345">
        <f>'FR-16(7)(v)-1 Functional'!$F$73</f>
        <v>30766213</v>
      </c>
      <c r="G774" s="690">
        <f>G73</f>
        <v>0</v>
      </c>
      <c r="H774" s="691">
        <f>H73</f>
        <v>0</v>
      </c>
      <c r="I774" s="692">
        <f>I73</f>
        <v>30766213</v>
      </c>
      <c r="J774" s="664">
        <f>SUM(G774:I774)</f>
        <v>30766213</v>
      </c>
      <c r="K774" s="664">
        <f>F774-J774</f>
        <v>0</v>
      </c>
      <c r="O774" s="753"/>
    </row>
    <row r="775" spans="1:15" ht="13">
      <c r="A775" s="342">
        <v>19</v>
      </c>
      <c r="B775" s="653"/>
      <c r="C775" s="654" t="s">
        <v>1018</v>
      </c>
      <c r="D775" s="707"/>
      <c r="E775" s="707"/>
      <c r="F775" s="345">
        <f>'FR-16(7)(v)-1 Functional'!$F$75</f>
        <v>14731367</v>
      </c>
      <c r="G775" s="690">
        <f>G75</f>
        <v>0</v>
      </c>
      <c r="H775" s="691">
        <f>H75</f>
        <v>0</v>
      </c>
      <c r="I775" s="692">
        <f>I75</f>
        <v>14731367</v>
      </c>
      <c r="J775" s="664">
        <f>SUM(G775:I775)</f>
        <v>14731367</v>
      </c>
      <c r="K775" s="664">
        <f>F775-J775</f>
        <v>0</v>
      </c>
      <c r="O775" s="753"/>
    </row>
    <row r="776" spans="1:15" ht="13">
      <c r="A776" s="342">
        <v>20</v>
      </c>
      <c r="B776" s="653"/>
      <c r="C776" s="654" t="s">
        <v>1019</v>
      </c>
      <c r="D776" s="707"/>
      <c r="E776" s="707"/>
      <c r="F776" s="345">
        <f>-'FR-16(7)(v)-1 Functional'!$F$127</f>
        <v>895430</v>
      </c>
      <c r="G776" s="690">
        <f>-G127</f>
        <v>0</v>
      </c>
      <c r="H776" s="691">
        <f>-H127</f>
        <v>0</v>
      </c>
      <c r="I776" s="692">
        <f>-I127</f>
        <v>895430</v>
      </c>
      <c r="J776" s="664">
        <f>SUM(G776:I776)</f>
        <v>895430</v>
      </c>
      <c r="K776" s="664">
        <f>F776-J776</f>
        <v>0</v>
      </c>
      <c r="O776" s="753"/>
    </row>
    <row r="777" spans="1:15" ht="13">
      <c r="A777" s="342">
        <v>21</v>
      </c>
      <c r="B777" s="653"/>
      <c r="C777" s="654" t="s">
        <v>1020</v>
      </c>
      <c r="D777" s="707"/>
      <c r="E777" s="707"/>
      <c r="F777" s="496">
        <f>-'FR-16(7)(v)-1 Functional'!$F$129</f>
        <v>-5948247</v>
      </c>
      <c r="G777" s="693">
        <f>-G129</f>
        <v>0</v>
      </c>
      <c r="H777" s="694">
        <f>-H129</f>
        <v>0</v>
      </c>
      <c r="I777" s="695">
        <f>-I129</f>
        <v>-5948247</v>
      </c>
      <c r="J777" s="620">
        <f>SUM(G777:I777)</f>
        <v>-5948247</v>
      </c>
      <c r="K777" s="620">
        <f>F777-J777</f>
        <v>0</v>
      </c>
      <c r="O777" s="753"/>
    </row>
    <row r="778" spans="1:15" ht="13">
      <c r="A778" s="342">
        <v>22</v>
      </c>
      <c r="B778" s="653"/>
      <c r="C778" s="704" t="s">
        <v>1024</v>
      </c>
      <c r="D778" s="707"/>
      <c r="E778" s="707"/>
      <c r="F778" s="345">
        <f>SUM(F774:F777)</f>
        <v>40444763</v>
      </c>
      <c r="G778" s="690">
        <f>SUM(G774:G777)</f>
        <v>0</v>
      </c>
      <c r="H778" s="691">
        <f>SUM(H774:H777)</f>
        <v>0</v>
      </c>
      <c r="I778" s="692">
        <f>SUM(I774:I777)</f>
        <v>40444763</v>
      </c>
      <c r="J778" s="664">
        <f>SUM(G778:I778)</f>
        <v>40444763</v>
      </c>
      <c r="K778" s="664">
        <f>F778-J778</f>
        <v>0</v>
      </c>
      <c r="O778" s="753"/>
    </row>
    <row r="779" spans="1:15" ht="13">
      <c r="A779" s="342">
        <v>23</v>
      </c>
      <c r="E779" s="331"/>
      <c r="G779" s="684"/>
      <c r="H779" s="685"/>
      <c r="I779" s="686"/>
      <c r="O779" s="752"/>
    </row>
    <row r="780" spans="1:15" ht="13">
      <c r="A780" s="342">
        <v>24</v>
      </c>
      <c r="B780" s="625" t="s">
        <v>94</v>
      </c>
      <c r="C780" s="195"/>
      <c r="D780" s="712"/>
      <c r="E780" s="712"/>
      <c r="F780" s="626"/>
      <c r="G780" s="700"/>
      <c r="H780" s="696"/>
      <c r="I780" s="697"/>
      <c r="O780" s="747"/>
    </row>
    <row r="781" spans="1:15" ht="13">
      <c r="A781" s="342">
        <v>25</v>
      </c>
      <c r="B781" s="591" t="s">
        <v>95</v>
      </c>
      <c r="C781" s="628"/>
      <c r="D781" s="713"/>
      <c r="E781" s="713"/>
      <c r="F781" s="504"/>
      <c r="G781" s="671"/>
      <c r="H781" s="672"/>
      <c r="I781" s="673"/>
      <c r="O781" s="747"/>
    </row>
    <row r="782" spans="1:15" ht="13">
      <c r="A782" s="342">
        <v>26</v>
      </c>
      <c r="B782" s="195"/>
      <c r="C782" s="581" t="s">
        <v>230</v>
      </c>
      <c r="D782" s="719" t="s">
        <v>1003</v>
      </c>
      <c r="E782" s="708" t="str">
        <f>'FR-16(7)(v)-1 Functional'!$E$782</f>
        <v>P129</v>
      </c>
      <c r="F782" s="642">
        <v>1</v>
      </c>
      <c r="G782" s="677">
        <f>ROUND(IF($F$59=0,0,$G$59/$F$59),5)</f>
        <v>0</v>
      </c>
      <c r="H782" s="678">
        <f>ROUND(IF($F$59=0,0,$H$59/$F$59),5)</f>
        <v>0</v>
      </c>
      <c r="I782" s="679">
        <f>ROUND(IF($F$59=0,0,$I$59/$F$59),5)</f>
        <v>0</v>
      </c>
      <c r="J782" s="731">
        <f t="shared" ref="J782:J789" si="166">SUM(G782:I782)</f>
        <v>0</v>
      </c>
      <c r="K782" s="731">
        <f t="shared" ref="K782:K789" si="167">F782-J782</f>
        <v>1</v>
      </c>
      <c r="O782" s="749">
        <f t="shared" ref="O782:O789" si="168">SUM(G782:I782)</f>
        <v>0</v>
      </c>
    </row>
    <row r="783" spans="1:15" ht="13">
      <c r="A783" s="342">
        <v>27</v>
      </c>
      <c r="B783" s="195"/>
      <c r="C783" s="581" t="s">
        <v>231</v>
      </c>
      <c r="D783" s="719" t="s">
        <v>1003</v>
      </c>
      <c r="E783" s="708" t="str">
        <f>'FR-16(7)(v)-1 Functional'!$E$783</f>
        <v>D149</v>
      </c>
      <c r="F783" s="642">
        <v>1</v>
      </c>
      <c r="G783" s="677">
        <f>ROUND(IF($F$78=0,0,G78/$F$78),5)</f>
        <v>0.62529999999999997</v>
      </c>
      <c r="H783" s="678">
        <f>ROUND(IF($F$78=0,0,H78/$F$78),5)</f>
        <v>0</v>
      </c>
      <c r="I783" s="679">
        <f t="shared" ref="I783:I789" si="169">1-SUM(G783:H783)</f>
        <v>0.37470000000000003</v>
      </c>
      <c r="J783" s="731">
        <f t="shared" si="166"/>
        <v>1</v>
      </c>
      <c r="K783" s="731">
        <f t="shared" si="167"/>
        <v>0</v>
      </c>
      <c r="O783" s="749">
        <f t="shared" si="168"/>
        <v>1</v>
      </c>
    </row>
    <row r="784" spans="1:15" ht="13">
      <c r="A784" s="342">
        <v>28</v>
      </c>
      <c r="B784" s="195"/>
      <c r="C784" s="581" t="s">
        <v>232</v>
      </c>
      <c r="D784" s="719" t="s">
        <v>1003</v>
      </c>
      <c r="E784" s="708" t="str">
        <f>'FR-16(7)(v)-1 Functional'!$E$784</f>
        <v>PD29</v>
      </c>
      <c r="F784" s="642">
        <v>1</v>
      </c>
      <c r="G784" s="677">
        <f>ROUND(IF($F$81=0,0,G81/$F$81),5)</f>
        <v>0.62529999999999997</v>
      </c>
      <c r="H784" s="678">
        <f>ROUND(IF($F$81=0,0,H81/$F$81),5)</f>
        <v>0</v>
      </c>
      <c r="I784" s="679">
        <f t="shared" si="169"/>
        <v>0.37470000000000003</v>
      </c>
      <c r="J784" s="731">
        <f t="shared" si="166"/>
        <v>1</v>
      </c>
      <c r="K784" s="731">
        <f t="shared" si="167"/>
        <v>0</v>
      </c>
      <c r="O784" s="749">
        <f t="shared" si="168"/>
        <v>1</v>
      </c>
    </row>
    <row r="785" spans="1:15" ht="13">
      <c r="A785" s="342">
        <v>29</v>
      </c>
      <c r="B785" s="195"/>
      <c r="C785" s="581" t="s">
        <v>233</v>
      </c>
      <c r="D785" s="719" t="s">
        <v>1003</v>
      </c>
      <c r="E785" s="708" t="str">
        <f>'FR-16(7)(v)-1 Functional'!$E$785</f>
        <v>G129</v>
      </c>
      <c r="F785" s="642">
        <v>1</v>
      </c>
      <c r="G785" s="677">
        <f>ROUND(IF($F$90=0,0,G90/$F$90),5)</f>
        <v>0.54844999999999999</v>
      </c>
      <c r="H785" s="678">
        <f>ROUND(IF($F$90=0,0,H90/$F$90),5)</f>
        <v>0</v>
      </c>
      <c r="I785" s="679">
        <f t="shared" si="169"/>
        <v>0.45155000000000001</v>
      </c>
      <c r="J785" s="731">
        <f t="shared" si="166"/>
        <v>1</v>
      </c>
      <c r="K785" s="731">
        <f t="shared" si="167"/>
        <v>0</v>
      </c>
      <c r="O785" s="749">
        <f t="shared" si="168"/>
        <v>1</v>
      </c>
    </row>
    <row r="786" spans="1:15" ht="13">
      <c r="A786" s="342">
        <v>30</v>
      </c>
      <c r="B786" s="195"/>
      <c r="C786" s="581" t="s">
        <v>234</v>
      </c>
      <c r="D786" s="719" t="s">
        <v>1003</v>
      </c>
      <c r="E786" s="708" t="str">
        <f>'FR-16(7)(v)-1 Functional'!$E$786</f>
        <v>C129</v>
      </c>
      <c r="F786" s="642">
        <v>1</v>
      </c>
      <c r="G786" s="677">
        <f>ROUND(IF($F$99=0,0,G99/$F$99),5)</f>
        <v>0.54844999999999999</v>
      </c>
      <c r="H786" s="678">
        <f>ROUND(IF($F$99=0,0,H99/$F$99),5)</f>
        <v>0</v>
      </c>
      <c r="I786" s="679">
        <f t="shared" si="169"/>
        <v>0.45155000000000001</v>
      </c>
      <c r="J786" s="731">
        <f t="shared" si="166"/>
        <v>1</v>
      </c>
      <c r="K786" s="731">
        <f t="shared" si="167"/>
        <v>0</v>
      </c>
      <c r="O786" s="749">
        <f t="shared" si="168"/>
        <v>1</v>
      </c>
    </row>
    <row r="787" spans="1:15" ht="13">
      <c r="A787" s="342">
        <v>31</v>
      </c>
      <c r="B787" s="195"/>
      <c r="C787" s="581" t="s">
        <v>235</v>
      </c>
      <c r="D787" s="719" t="s">
        <v>1003</v>
      </c>
      <c r="E787" s="708" t="str">
        <f>'FR-16(7)(v)-1 Functional'!$E$787</f>
        <v>GP19</v>
      </c>
      <c r="F787" s="642">
        <v>1</v>
      </c>
      <c r="G787" s="677">
        <f>ROUND(IF($F$101=0,0,G101/$F$101),5)</f>
        <v>0.62168999999999996</v>
      </c>
      <c r="H787" s="678">
        <f>ROUND(IF($F$101=0,0,H101/$F$101),5)</f>
        <v>0</v>
      </c>
      <c r="I787" s="679">
        <f t="shared" si="169"/>
        <v>0.37831000000000004</v>
      </c>
      <c r="J787" s="731">
        <f t="shared" si="166"/>
        <v>1</v>
      </c>
      <c r="K787" s="731">
        <f t="shared" si="167"/>
        <v>0</v>
      </c>
      <c r="O787" s="749">
        <f t="shared" si="168"/>
        <v>1</v>
      </c>
    </row>
    <row r="788" spans="1:15" ht="13">
      <c r="A788" s="342">
        <v>32</v>
      </c>
      <c r="B788" s="195"/>
      <c r="C788" s="581" t="s">
        <v>236</v>
      </c>
      <c r="D788" s="719" t="s">
        <v>1003</v>
      </c>
      <c r="E788" s="708" t="str">
        <f>'FR-16(7)(v)-1 Functional'!$E$788</f>
        <v>D199</v>
      </c>
      <c r="F788" s="642">
        <v>1</v>
      </c>
      <c r="G788" s="677">
        <f>ROUND(IF($F$131=0,0,G131/$F$131),5)</f>
        <v>0.63414000000000004</v>
      </c>
      <c r="H788" s="678">
        <f>ROUND(IF($F$131=0,0,H131/$F$131),5)</f>
        <v>0</v>
      </c>
      <c r="I788" s="679">
        <f t="shared" si="169"/>
        <v>0.36585999999999996</v>
      </c>
      <c r="J788" s="731">
        <f t="shared" si="166"/>
        <v>1</v>
      </c>
      <c r="K788" s="731">
        <f t="shared" si="167"/>
        <v>0</v>
      </c>
      <c r="O788" s="749">
        <f t="shared" si="168"/>
        <v>1</v>
      </c>
    </row>
    <row r="789" spans="1:15" ht="13">
      <c r="A789" s="342">
        <v>33</v>
      </c>
      <c r="B789" s="195"/>
      <c r="C789" s="581" t="s">
        <v>237</v>
      </c>
      <c r="D789" s="719" t="s">
        <v>1003</v>
      </c>
      <c r="E789" s="708" t="str">
        <f>'FR-16(7)(v)-1 Functional'!$E$789</f>
        <v>DR19</v>
      </c>
      <c r="F789" s="642">
        <v>1</v>
      </c>
      <c r="G789" s="677">
        <f>ROUND(IF($F$151=0,0,G151/$F$151),5)</f>
        <v>0.62587000000000004</v>
      </c>
      <c r="H789" s="678">
        <f>ROUND(IF($F$151=0,0,H151/$F$151),5)</f>
        <v>0</v>
      </c>
      <c r="I789" s="679">
        <f t="shared" si="169"/>
        <v>0.37412999999999996</v>
      </c>
      <c r="J789" s="731">
        <f t="shared" si="166"/>
        <v>1</v>
      </c>
      <c r="K789" s="731">
        <f t="shared" si="167"/>
        <v>0</v>
      </c>
      <c r="O789" s="749">
        <f t="shared" si="168"/>
        <v>1</v>
      </c>
    </row>
    <row r="790" spans="1:15" ht="13">
      <c r="A790" s="342">
        <v>34</v>
      </c>
      <c r="B790" s="195"/>
      <c r="C790" s="195"/>
      <c r="D790" s="342"/>
      <c r="E790" s="723"/>
      <c r="F790" s="642"/>
      <c r="G790" s="677"/>
      <c r="H790" s="678"/>
      <c r="I790" s="679"/>
      <c r="J790" s="731"/>
      <c r="K790" s="731"/>
      <c r="O790" s="747"/>
    </row>
    <row r="791" spans="1:15" ht="13">
      <c r="A791" s="342">
        <v>35</v>
      </c>
      <c r="B791" s="581" t="s">
        <v>96</v>
      </c>
      <c r="C791" s="195"/>
      <c r="D791" s="342"/>
      <c r="E791" s="723"/>
      <c r="F791" s="642"/>
      <c r="G791" s="677"/>
      <c r="H791" s="678"/>
      <c r="I791" s="679"/>
      <c r="J791" s="731"/>
      <c r="K791" s="731"/>
      <c r="O791" s="747"/>
    </row>
    <row r="792" spans="1:15" ht="13">
      <c r="A792" s="342">
        <v>36</v>
      </c>
      <c r="B792" s="195"/>
      <c r="C792" s="581" t="s">
        <v>238</v>
      </c>
      <c r="D792" s="719" t="s">
        <v>1003</v>
      </c>
      <c r="E792" s="708" t="str">
        <f>'FR-16(7)(v)-1 Functional'!$E$792</f>
        <v>P229</v>
      </c>
      <c r="F792" s="642">
        <v>1</v>
      </c>
      <c r="G792" s="677">
        <f>ROUND(IF($F$166=0,0,G166/$F$166),5)</f>
        <v>0</v>
      </c>
      <c r="H792" s="678">
        <f>ROUND(IF($F$166=0,0,H166/$F$166),5)</f>
        <v>0</v>
      </c>
      <c r="I792" s="679">
        <f>ROUND(IF($F$166=0,0,I166/$F$166),5)</f>
        <v>0</v>
      </c>
      <c r="J792" s="731">
        <f>SUM(G792:I792)</f>
        <v>0</v>
      </c>
      <c r="K792" s="731">
        <f>F792-J792</f>
        <v>1</v>
      </c>
      <c r="O792" s="749">
        <f>SUM(G792:I792)</f>
        <v>0</v>
      </c>
    </row>
    <row r="793" spans="1:15" ht="13">
      <c r="A793" s="342">
        <v>37</v>
      </c>
      <c r="B793" s="195"/>
      <c r="C793" s="581" t="s">
        <v>239</v>
      </c>
      <c r="D793" s="719" t="s">
        <v>1003</v>
      </c>
      <c r="E793" s="708" t="str">
        <f>'FR-16(7)(v)-1 Functional'!$E$793</f>
        <v>D249</v>
      </c>
      <c r="F793" s="642">
        <v>1</v>
      </c>
      <c r="G793" s="677">
        <f>ROUND(IF($F$176=0,0,G176/$F$176),5)</f>
        <v>0.62234999999999996</v>
      </c>
      <c r="H793" s="678">
        <f>ROUND(IF($F$176=0,0,H176/$F$176),5)</f>
        <v>0</v>
      </c>
      <c r="I793" s="679">
        <f>1-SUM(G793:H793)</f>
        <v>0.37765000000000004</v>
      </c>
      <c r="J793" s="731">
        <f>SUM(G793:I793)</f>
        <v>1</v>
      </c>
      <c r="K793" s="731">
        <f>F793-J793</f>
        <v>0</v>
      </c>
      <c r="O793" s="749">
        <f>SUM(G793:I793)</f>
        <v>1</v>
      </c>
    </row>
    <row r="794" spans="1:15" ht="13">
      <c r="A794" s="342">
        <v>38</v>
      </c>
      <c r="B794" s="195"/>
      <c r="C794" s="581" t="s">
        <v>240</v>
      </c>
      <c r="D794" s="719" t="s">
        <v>1003</v>
      </c>
      <c r="E794" s="708" t="str">
        <f>'FR-16(7)(v)-1 Functional'!$E$794</f>
        <v>G229</v>
      </c>
      <c r="F794" s="642">
        <v>1</v>
      </c>
      <c r="G794" s="677">
        <f>ROUND(IF($F$184=0,0,G184/$F$184),5)</f>
        <v>0.54844999999999999</v>
      </c>
      <c r="H794" s="678">
        <f>ROUND(IF($F$184=0,0,H184/$F$184),5)</f>
        <v>0</v>
      </c>
      <c r="I794" s="679">
        <f>1-SUM(G794:H794)</f>
        <v>0.45155000000000001</v>
      </c>
      <c r="J794" s="731">
        <f>SUM(G794:I794)</f>
        <v>1</v>
      </c>
      <c r="K794" s="731">
        <f>F794-J794</f>
        <v>0</v>
      </c>
      <c r="O794" s="749">
        <f>SUM(G794:I794)</f>
        <v>1</v>
      </c>
    </row>
    <row r="795" spans="1:15" ht="13">
      <c r="A795" s="342">
        <v>39</v>
      </c>
      <c r="B795" s="195"/>
      <c r="C795" s="581" t="s">
        <v>241</v>
      </c>
      <c r="D795" s="719" t="s">
        <v>1003</v>
      </c>
      <c r="E795" s="708" t="str">
        <f>'FR-16(7)(v)-1 Functional'!$E$795</f>
        <v>C229</v>
      </c>
      <c r="F795" s="642">
        <v>1</v>
      </c>
      <c r="G795" s="677">
        <f>ROUND(IF($F$189=0,0,G189/$F$189),5)</f>
        <v>0.54844999999999999</v>
      </c>
      <c r="H795" s="678">
        <f>ROUND(IF($F$189=0,0,H189/$F$189),5)</f>
        <v>0</v>
      </c>
      <c r="I795" s="679">
        <f>1-SUM(G795:H795)</f>
        <v>0.45155000000000001</v>
      </c>
      <c r="J795" s="731">
        <f>SUM(G795:I795)</f>
        <v>1</v>
      </c>
      <c r="K795" s="731">
        <f>F795-J795</f>
        <v>0</v>
      </c>
      <c r="O795" s="749">
        <f>SUM(G795:I795)</f>
        <v>1</v>
      </c>
    </row>
    <row r="796" spans="1:15" ht="13">
      <c r="A796" s="342">
        <v>40</v>
      </c>
      <c r="B796" s="195"/>
      <c r="C796" s="581" t="s">
        <v>242</v>
      </c>
      <c r="D796" s="719" t="s">
        <v>1003</v>
      </c>
      <c r="E796" s="708" t="str">
        <f>'FR-16(7)(v)-1 Functional'!$E$796</f>
        <v>NP29</v>
      </c>
      <c r="F796" s="642">
        <v>1</v>
      </c>
      <c r="G796" s="677">
        <f>ROUND(IF($F$191=0,0,G191/$F$191),5)</f>
        <v>0.62019999999999997</v>
      </c>
      <c r="H796" s="678">
        <f>ROUND(IF($F$191=0,0,H191/$F$191),5)</f>
        <v>0</v>
      </c>
      <c r="I796" s="679">
        <f>1-SUM(G796:H796)</f>
        <v>0.37980000000000003</v>
      </c>
      <c r="J796" s="731">
        <f>SUM(G796:I796)</f>
        <v>1</v>
      </c>
      <c r="K796" s="731">
        <f>F796-J796</f>
        <v>0</v>
      </c>
      <c r="O796" s="747"/>
    </row>
    <row r="797" spans="1:15" ht="13">
      <c r="A797" s="342">
        <v>41</v>
      </c>
      <c r="B797" s="195"/>
      <c r="C797" s="581"/>
      <c r="D797" s="708"/>
      <c r="E797" s="728"/>
      <c r="F797" s="348"/>
      <c r="G797" s="677"/>
      <c r="H797" s="678"/>
      <c r="I797" s="679"/>
      <c r="J797" s="731"/>
      <c r="K797" s="731"/>
      <c r="O797" s="747"/>
    </row>
    <row r="798" spans="1:15" ht="13">
      <c r="A798" s="342">
        <v>42</v>
      </c>
      <c r="B798" s="581" t="s">
        <v>32</v>
      </c>
      <c r="C798" s="195"/>
      <c r="D798" s="342"/>
      <c r="E798" s="723"/>
      <c r="F798" s="348"/>
      <c r="G798" s="677"/>
      <c r="H798" s="678"/>
      <c r="I798" s="679"/>
      <c r="J798" s="731"/>
      <c r="K798" s="731"/>
      <c r="O798" s="747"/>
    </row>
    <row r="799" spans="1:15" ht="13">
      <c r="A799" s="342">
        <v>43</v>
      </c>
      <c r="B799" s="195"/>
      <c r="C799" s="581" t="s">
        <v>243</v>
      </c>
      <c r="D799" s="719" t="s">
        <v>1003</v>
      </c>
      <c r="E799" s="708" t="str">
        <f>'FR-16(7)(v)-1 Functional'!$E$799</f>
        <v>W669</v>
      </c>
      <c r="F799" s="642">
        <v>1</v>
      </c>
      <c r="G799" s="677">
        <f>ROUND(IF($F$304=0,0,G304/$F$304),5)</f>
        <v>0.62019999999999997</v>
      </c>
      <c r="H799" s="678">
        <f>ROUND(IF($F$304=0,0,H304/$F$304),5)</f>
        <v>0</v>
      </c>
      <c r="I799" s="679">
        <f>ROUND(IF($F$304=0,0,I304/$F$304),5)</f>
        <v>0.37980000000000003</v>
      </c>
      <c r="J799" s="731">
        <f>SUM(G799:I799)</f>
        <v>1</v>
      </c>
      <c r="K799" s="731">
        <f>F799-J799</f>
        <v>0</v>
      </c>
      <c r="O799" s="749">
        <f>SUM(G799:I799)</f>
        <v>1</v>
      </c>
    </row>
    <row r="800" spans="1:15" ht="13">
      <c r="A800" s="342">
        <v>44</v>
      </c>
      <c r="B800" s="195"/>
      <c r="C800" s="581" t="s">
        <v>244</v>
      </c>
      <c r="D800" s="719" t="s">
        <v>1003</v>
      </c>
      <c r="E800" s="708" t="str">
        <f>'FR-16(7)(v)-1 Functional'!$E$800</f>
        <v>W689</v>
      </c>
      <c r="F800" s="642">
        <v>1</v>
      </c>
      <c r="G800" s="677">
        <f>ROUND(IF($F$310=0,0,G310/$F$310),5)</f>
        <v>0.50512000000000001</v>
      </c>
      <c r="H800" s="678">
        <f>ROUND(IF($F$310=0,0,H310/$F$310),5)</f>
        <v>0</v>
      </c>
      <c r="I800" s="679">
        <f>ROUND(IF($F$310=0,0,I310/$F$310),5)</f>
        <v>0.49487999999999999</v>
      </c>
      <c r="J800" s="731">
        <f>SUM(G800:I800)</f>
        <v>1</v>
      </c>
      <c r="K800" s="731">
        <f>F800-J800</f>
        <v>0</v>
      </c>
      <c r="O800" s="749">
        <f>SUM(G800:I800)</f>
        <v>1</v>
      </c>
    </row>
    <row r="801" spans="1:15" ht="13">
      <c r="A801" s="342">
        <v>45</v>
      </c>
      <c r="B801" s="195"/>
      <c r="C801" s="581" t="s">
        <v>245</v>
      </c>
      <c r="D801" s="719" t="s">
        <v>1003</v>
      </c>
      <c r="E801" s="708" t="str">
        <f>'FR-16(7)(v)-1 Functional'!$E$801</f>
        <v>W729</v>
      </c>
      <c r="F801" s="642">
        <v>1</v>
      </c>
      <c r="G801" s="677">
        <f>ROUND(IF($F$313=0,0,G313/$F$313),5)</f>
        <v>0</v>
      </c>
      <c r="H801" s="678">
        <f>ROUND(IF($F$313=0,0,H313/$F$313),5)</f>
        <v>0</v>
      </c>
      <c r="I801" s="679">
        <f>ROUND(IF($F$313=0,0,I313/$F$313),5)</f>
        <v>0</v>
      </c>
      <c r="J801" s="731">
        <f>SUM(G801:I801)</f>
        <v>0</v>
      </c>
      <c r="K801" s="731">
        <f>F801-J801</f>
        <v>1</v>
      </c>
      <c r="O801" s="749">
        <f>SUM(G801:I801)</f>
        <v>0</v>
      </c>
    </row>
    <row r="802" spans="1:15" ht="13">
      <c r="A802" s="342">
        <v>46</v>
      </c>
      <c r="B802" s="195"/>
      <c r="C802" s="581" t="s">
        <v>246</v>
      </c>
      <c r="D802" s="719" t="s">
        <v>1003</v>
      </c>
      <c r="E802" s="708" t="str">
        <f>'FR-16(7)(v)-1 Functional'!$E$802</f>
        <v>W749</v>
      </c>
      <c r="F802" s="642">
        <v>1</v>
      </c>
      <c r="G802" s="677">
        <f>ROUND(IF($F$319=0,0,G319/$F$319),5)</f>
        <v>0</v>
      </c>
      <c r="H802" s="678">
        <f>ROUND(IF($F$319=0,0,H319/$F$319),5)</f>
        <v>0</v>
      </c>
      <c r="I802" s="679">
        <f>ROUND(IF($F$319=0,0,I319/$F$319),5)</f>
        <v>0</v>
      </c>
      <c r="J802" s="731">
        <f>SUM(G802:I802)</f>
        <v>0</v>
      </c>
      <c r="K802" s="731">
        <f>F802-J802</f>
        <v>1</v>
      </c>
      <c r="O802" s="749">
        <f>SUM(G802:I802)</f>
        <v>0</v>
      </c>
    </row>
    <row r="803" spans="1:15" ht="13">
      <c r="A803" s="342">
        <v>47</v>
      </c>
      <c r="B803" s="195"/>
      <c r="C803" s="581" t="s">
        <v>247</v>
      </c>
      <c r="D803" s="719" t="s">
        <v>1003</v>
      </c>
      <c r="E803" s="708" t="str">
        <f>'FR-16(7)(v)-1 Functional'!$E$803</f>
        <v>WC79</v>
      </c>
      <c r="F803" s="642">
        <v>1</v>
      </c>
      <c r="G803" s="701">
        <f>ROUND(IF($F$321=0,0,G321/$F$321),5)</f>
        <v>0.61219999999999997</v>
      </c>
      <c r="H803" s="698">
        <f>ROUND(IF($F$321=0,0,H321/$F$321),5)</f>
        <v>0</v>
      </c>
      <c r="I803" s="699">
        <f>ROUND(IF($F$321=0,0,I321/$F$321),5)</f>
        <v>0.38779999999999998</v>
      </c>
      <c r="J803" s="731">
        <f>SUM(G803:I803)</f>
        <v>1</v>
      </c>
      <c r="K803" s="731">
        <f>F803-J803</f>
        <v>0</v>
      </c>
      <c r="O803" s="749">
        <f>SUM(G803:I803)</f>
        <v>1</v>
      </c>
    </row>
    <row r="804" spans="1:15" ht="13">
      <c r="A804" s="342"/>
      <c r="B804" s="195"/>
      <c r="C804" s="195"/>
      <c r="D804" s="342"/>
      <c r="E804" s="723"/>
      <c r="F804" s="642"/>
      <c r="G804" s="731"/>
      <c r="H804" s="731"/>
      <c r="I804" s="731"/>
      <c r="J804" s="731"/>
      <c r="K804" s="731"/>
      <c r="O804" s="747"/>
    </row>
    <row r="805" spans="1:15" ht="13">
      <c r="A805" s="341" t="str">
        <f>co_name</f>
        <v>DUKE ENERGY KENTUCKY, INC.</v>
      </c>
      <c r="C805" s="195"/>
      <c r="D805" s="342"/>
      <c r="E805" s="195"/>
      <c r="F805" s="195"/>
      <c r="G805" s="195"/>
      <c r="H805" s="195"/>
      <c r="I805" s="195"/>
      <c r="J805" s="195" t="str">
        <f>$J$1</f>
        <v>FR-16(7)(v)-4</v>
      </c>
      <c r="K805" s="195"/>
      <c r="O805" s="748"/>
    </row>
    <row r="806" spans="1:15" ht="13">
      <c r="A806" s="341" t="str">
        <f>$A$2</f>
        <v>DISTRIBUTION CLASSIFIED - GAS COST OF SERVICE</v>
      </c>
      <c r="C806" s="195"/>
      <c r="D806" s="342"/>
      <c r="E806" s="195"/>
      <c r="F806" s="195"/>
      <c r="G806" s="195"/>
      <c r="H806" s="195"/>
      <c r="I806" s="195"/>
      <c r="J806" s="195" t="str">
        <f>$J$2</f>
        <v>WITNESS RESPONSIBLE:</v>
      </c>
      <c r="K806" s="195"/>
      <c r="O806" s="748"/>
    </row>
    <row r="807" spans="1:15" ht="13">
      <c r="A807" s="341" t="str">
        <f>case_name</f>
        <v>CASE NO: 2021-00190</v>
      </c>
      <c r="C807" s="195"/>
      <c r="D807" s="342"/>
      <c r="E807" s="195"/>
      <c r="F807" s="195"/>
      <c r="G807" s="195"/>
      <c r="H807" s="195"/>
      <c r="I807" s="195"/>
      <c r="J807" s="195" t="str">
        <f>Witness</f>
        <v>JAMES E. ZIOLKOWSKI</v>
      </c>
      <c r="K807" s="195"/>
      <c r="O807" s="748"/>
    </row>
    <row r="808" spans="1:15" ht="13">
      <c r="A808" s="341" t="str">
        <f>data_filing</f>
        <v>DATA: 12 MONTH FORECASTED PERIOD</v>
      </c>
      <c r="C808" s="195"/>
      <c r="D808" s="342"/>
      <c r="E808" s="195"/>
      <c r="F808" s="195"/>
      <c r="G808" s="195"/>
      <c r="H808" s="195"/>
      <c r="I808" s="195"/>
      <c r="J808" s="195" t="str">
        <f>"PAGE "&amp;Pages&amp;" OF "&amp;Pages</f>
        <v>PAGE 18 OF 18</v>
      </c>
      <c r="K808" s="195"/>
      <c r="O808" s="748"/>
    </row>
    <row r="809" spans="1:15" ht="13">
      <c r="A809" s="341" t="str">
        <f>type</f>
        <v xml:space="preserve">TYPE OF FILING: "X" ORIGINAL   UPDATED    REVISED  </v>
      </c>
      <c r="C809" s="195"/>
      <c r="D809" s="342"/>
      <c r="E809" s="195"/>
      <c r="F809" s="195"/>
      <c r="G809" s="195"/>
      <c r="H809" s="195"/>
      <c r="I809" s="195"/>
      <c r="J809" s="195"/>
      <c r="K809" s="195"/>
      <c r="O809" s="748"/>
    </row>
    <row r="810" spans="1:15" ht="13">
      <c r="B810" s="195"/>
      <c r="E810" s="331"/>
      <c r="G810" s="526"/>
      <c r="H810" s="526"/>
      <c r="I810" s="526"/>
      <c r="O810" s="748"/>
    </row>
    <row r="811" spans="1:15" ht="13">
      <c r="B811" s="195"/>
      <c r="E811" s="331"/>
      <c r="G811" s="526"/>
      <c r="H811" s="526"/>
      <c r="I811" s="526"/>
      <c r="O811" s="748"/>
    </row>
    <row r="812" spans="1:15" ht="13">
      <c r="A812" s="342" t="s">
        <v>907</v>
      </c>
      <c r="B812" s="195"/>
      <c r="C812" s="195"/>
      <c r="D812" s="342"/>
      <c r="E812" s="342"/>
      <c r="F812" s="583" t="s">
        <v>229</v>
      </c>
      <c r="G812" s="539" t="s">
        <v>995</v>
      </c>
      <c r="H812" s="527"/>
      <c r="I812" s="528"/>
      <c r="J812" s="342" t="s">
        <v>229</v>
      </c>
      <c r="K812" s="342" t="s">
        <v>342</v>
      </c>
      <c r="O812" s="747"/>
    </row>
    <row r="813" spans="1:15" ht="13">
      <c r="A813" s="344" t="s">
        <v>908</v>
      </c>
      <c r="B813" s="584" t="s">
        <v>89</v>
      </c>
      <c r="C813" s="343"/>
      <c r="D813" s="585" t="s">
        <v>1001</v>
      </c>
      <c r="E813" s="585" t="s">
        <v>337</v>
      </c>
      <c r="F813" s="344" t="s">
        <v>839</v>
      </c>
      <c r="G813" s="652" t="s">
        <v>840</v>
      </c>
      <c r="H813" s="649" t="s">
        <v>841</v>
      </c>
      <c r="I813" s="650" t="s">
        <v>842</v>
      </c>
      <c r="J813" s="344" t="s">
        <v>341</v>
      </c>
      <c r="K813" s="344" t="s">
        <v>340</v>
      </c>
      <c r="O813" s="747"/>
    </row>
    <row r="814" spans="1:15" ht="13">
      <c r="C814" s="839" t="s">
        <v>1036</v>
      </c>
      <c r="E814" s="627">
        <v>1</v>
      </c>
      <c r="F814" s="627">
        <v>2</v>
      </c>
      <c r="G814" s="793">
        <f>$G$10</f>
        <v>3</v>
      </c>
      <c r="H814" s="794">
        <f>$H$10</f>
        <v>4</v>
      </c>
      <c r="I814" s="795">
        <f>$I$10</f>
        <v>5</v>
      </c>
      <c r="O814" s="748"/>
    </row>
    <row r="815" spans="1:15" ht="13">
      <c r="A815" s="342">
        <v>1</v>
      </c>
      <c r="B815" s="581" t="s">
        <v>25</v>
      </c>
      <c r="C815" s="195"/>
      <c r="D815" s="342"/>
      <c r="E815" s="723"/>
      <c r="F815" s="642"/>
      <c r="G815" s="560"/>
      <c r="H815" s="561"/>
      <c r="I815" s="562"/>
      <c r="J815" s="731"/>
      <c r="K815" s="731"/>
      <c r="O815" s="747"/>
    </row>
    <row r="816" spans="1:15" ht="13">
      <c r="A816" s="342">
        <v>2</v>
      </c>
      <c r="B816" s="195"/>
      <c r="C816" s="581" t="s">
        <v>248</v>
      </c>
      <c r="D816" s="719" t="s">
        <v>1003</v>
      </c>
      <c r="E816" s="708" t="str">
        <f>'FR-16(7)(v)-1 Functional'!$E$816</f>
        <v>RB29</v>
      </c>
      <c r="F816" s="642">
        <v>1</v>
      </c>
      <c r="G816" s="560">
        <f>ROUND(IF($F$296=0,0,G296/$F$296),5)</f>
        <v>0.62004999999999999</v>
      </c>
      <c r="H816" s="561">
        <f>ROUND(IF($F$296=0,0,H296/$F$296),5)</f>
        <v>0</v>
      </c>
      <c r="I816" s="562">
        <f>ROUND(IF($F$296=0,0,I296/$F$296),5)</f>
        <v>0.37995000000000001</v>
      </c>
      <c r="J816" s="731">
        <f>SUM(G816:I816)</f>
        <v>1</v>
      </c>
      <c r="K816" s="731">
        <f>F816-J816</f>
        <v>0</v>
      </c>
      <c r="O816" s="749">
        <f>SUM(G816:I816)</f>
        <v>1</v>
      </c>
    </row>
    <row r="817" spans="1:15" ht="13">
      <c r="A817" s="342">
        <v>3</v>
      </c>
      <c r="B817" s="195"/>
      <c r="C817" s="581" t="s">
        <v>249</v>
      </c>
      <c r="D817" s="719" t="s">
        <v>1003</v>
      </c>
      <c r="E817" s="708" t="str">
        <f>'FR-16(7)(v)-1 Functional'!$E$817</f>
        <v>RB99</v>
      </c>
      <c r="F817" s="642">
        <v>1</v>
      </c>
      <c r="G817" s="560">
        <f>ROUND(IF($F$331=0,0,G331/$F$331),5)</f>
        <v>0.62004000000000004</v>
      </c>
      <c r="H817" s="561">
        <f>ROUND(IF($F$331=0,0,H331/$F$331),5)</f>
        <v>0</v>
      </c>
      <c r="I817" s="562">
        <f>ROUND(IF($F$331=0,0,I331/$F$331),5)</f>
        <v>0.37996000000000002</v>
      </c>
      <c r="J817" s="731">
        <f>SUM(G817:I817)</f>
        <v>1</v>
      </c>
      <c r="K817" s="731">
        <f>F817-J817</f>
        <v>0</v>
      </c>
      <c r="O817" s="749">
        <f>SUM(G817:I817)</f>
        <v>1</v>
      </c>
    </row>
    <row r="818" spans="1:15" ht="13">
      <c r="A818" s="342">
        <v>4</v>
      </c>
      <c r="B818" s="195"/>
      <c r="C818" s="581" t="s">
        <v>383</v>
      </c>
      <c r="D818" s="719" t="s">
        <v>1003</v>
      </c>
      <c r="E818" s="708" t="str">
        <f>'FR-16(7)(v)-1 Functional'!$E$818</f>
        <v>CW29</v>
      </c>
      <c r="F818" s="642">
        <v>0</v>
      </c>
      <c r="G818" s="804">
        <v>0</v>
      </c>
      <c r="H818" s="805">
        <v>0</v>
      </c>
      <c r="I818" s="806">
        <v>0</v>
      </c>
      <c r="J818" s="645">
        <f>SUM(G818:I818)</f>
        <v>0</v>
      </c>
      <c r="K818" s="645">
        <f>F818-J818</f>
        <v>0</v>
      </c>
      <c r="O818" s="749">
        <f>SUM(G818:I818)</f>
        <v>0</v>
      </c>
    </row>
    <row r="819" spans="1:15" ht="13">
      <c r="A819" s="342">
        <v>5</v>
      </c>
      <c r="B819" s="629"/>
      <c r="C819" s="366"/>
      <c r="D819" s="579"/>
      <c r="E819" s="743"/>
      <c r="F819" s="644"/>
      <c r="G819" s="807"/>
      <c r="H819" s="808"/>
      <c r="I819" s="809"/>
      <c r="J819" s="631"/>
      <c r="K819" s="631"/>
      <c r="O819" s="747"/>
    </row>
    <row r="820" spans="1:15" ht="13">
      <c r="A820" s="342">
        <v>6</v>
      </c>
      <c r="B820" s="591" t="s">
        <v>1011</v>
      </c>
      <c r="C820" s="628"/>
      <c r="D820" s="713"/>
      <c r="E820" s="739"/>
      <c r="F820" s="645"/>
      <c r="G820" s="810"/>
      <c r="H820" s="811"/>
      <c r="I820" s="812"/>
      <c r="J820" s="635"/>
      <c r="K820" s="635"/>
      <c r="O820" s="747"/>
    </row>
    <row r="821" spans="1:15" ht="13">
      <c r="A821" s="342">
        <v>7</v>
      </c>
      <c r="B821" s="195"/>
      <c r="C821" s="581" t="s">
        <v>1006</v>
      </c>
      <c r="D821" s="719" t="s">
        <v>1003</v>
      </c>
      <c r="E821" s="708" t="str">
        <f>'FR-16(7)(v)-1 Functional'!$E$821</f>
        <v>P349</v>
      </c>
      <c r="F821" s="642">
        <v>1</v>
      </c>
      <c r="G821" s="560">
        <f>ROUND(IF($F$350=0,0,G350/$F$350),5)</f>
        <v>0</v>
      </c>
      <c r="H821" s="561">
        <f>ROUND(IF($F$350=0,0,H350/$F$350),5)</f>
        <v>0</v>
      </c>
      <c r="I821" s="562">
        <f>ROUND(IF($F$350=0,0,I350/$F$350),5)</f>
        <v>0</v>
      </c>
      <c r="J821" s="731">
        <f t="shared" ref="J821:J828" si="170">SUM(G821:I821)</f>
        <v>0</v>
      </c>
      <c r="K821" s="731">
        <f t="shared" ref="K821:K828" si="171">F821-J821</f>
        <v>1</v>
      </c>
      <c r="O821" s="749">
        <f>SUM(G821:I821)</f>
        <v>0</v>
      </c>
    </row>
    <row r="822" spans="1:15" ht="13">
      <c r="A822" s="342">
        <v>8</v>
      </c>
      <c r="B822" s="195"/>
      <c r="C822" s="581" t="s">
        <v>264</v>
      </c>
      <c r="D822" s="719" t="s">
        <v>1003</v>
      </c>
      <c r="E822" s="708" t="str">
        <f>'FR-16(7)(v)-1 Functional'!$E$822</f>
        <v>P459</v>
      </c>
      <c r="F822" s="642">
        <v>1</v>
      </c>
      <c r="G822" s="560">
        <f>ROUND(IF($F$360=0,0,G360/$F$360),5)</f>
        <v>0</v>
      </c>
      <c r="H822" s="561">
        <f>ROUND(IF($F$360=0,0,H360/$F$360),5)</f>
        <v>0</v>
      </c>
      <c r="I822" s="562">
        <f>ROUND(IF($F$360=0,0,I360/$F$360),5)</f>
        <v>0</v>
      </c>
      <c r="J822" s="731">
        <f t="shared" si="170"/>
        <v>0</v>
      </c>
      <c r="K822" s="731">
        <f t="shared" si="171"/>
        <v>1</v>
      </c>
      <c r="O822" s="749">
        <f>SUM(G822:I822)</f>
        <v>0</v>
      </c>
    </row>
    <row r="823" spans="1:15" ht="13">
      <c r="A823" s="342">
        <v>9</v>
      </c>
      <c r="B823" s="195"/>
      <c r="C823" s="581" t="s">
        <v>250</v>
      </c>
      <c r="D823" s="719" t="s">
        <v>1003</v>
      </c>
      <c r="E823" s="708" t="str">
        <f>'FR-16(7)(v)-1 Functional'!$E$823</f>
        <v>D349</v>
      </c>
      <c r="F823" s="642">
        <v>1</v>
      </c>
      <c r="G823" s="560">
        <f>ROUND(IF($F$378=0,0,G378/$F$378),5)</f>
        <v>0.78652</v>
      </c>
      <c r="H823" s="561">
        <f>ROUND(IF($F$378=0,0,H378/$F$378),5)</f>
        <v>0</v>
      </c>
      <c r="I823" s="562">
        <f>1-SUM(G823:H823)</f>
        <v>0.21348</v>
      </c>
      <c r="J823" s="731">
        <f t="shared" si="170"/>
        <v>1</v>
      </c>
      <c r="K823" s="731">
        <f t="shared" si="171"/>
        <v>0</v>
      </c>
      <c r="O823" s="749">
        <f>SUM(G823:I823)</f>
        <v>1</v>
      </c>
    </row>
    <row r="824" spans="1:15" ht="13">
      <c r="A824" s="342">
        <v>10</v>
      </c>
      <c r="B824" s="195"/>
      <c r="C824" s="581" t="s">
        <v>251</v>
      </c>
      <c r="D824" s="719" t="s">
        <v>1003</v>
      </c>
      <c r="E824" s="708" t="str">
        <f>'FR-16(7)(v)-1 Functional'!$E$824</f>
        <v>CA19</v>
      </c>
      <c r="F824" s="642">
        <v>1</v>
      </c>
      <c r="G824" s="560">
        <f>ROUND(IF($F$389=0,0,G389/$F$389),5)</f>
        <v>0</v>
      </c>
      <c r="H824" s="561">
        <f>ROUND(IF($F$389=0,0,H389/$F$389),5)</f>
        <v>0</v>
      </c>
      <c r="I824" s="562">
        <f>1-SUM(G824:H824)</f>
        <v>1</v>
      </c>
      <c r="J824" s="731">
        <f t="shared" si="170"/>
        <v>1</v>
      </c>
      <c r="K824" s="731">
        <f t="shared" si="171"/>
        <v>0</v>
      </c>
      <c r="O824" s="749">
        <f>SUM(G824:I824)</f>
        <v>1</v>
      </c>
    </row>
    <row r="825" spans="1:15" ht="13">
      <c r="A825" s="342">
        <v>11</v>
      </c>
      <c r="B825" s="195"/>
      <c r="C825" s="581" t="s">
        <v>1009</v>
      </c>
      <c r="D825" s="719" t="s">
        <v>1003</v>
      </c>
      <c r="E825" s="708" t="str">
        <f>'FR-16(7)(v)-1 Functional'!$E$825</f>
        <v>CS19</v>
      </c>
      <c r="F825" s="642">
        <v>1</v>
      </c>
      <c r="G825" s="560">
        <f>ROUND(IF($F$403=0,0,G403/$F$403),5)</f>
        <v>0</v>
      </c>
      <c r="H825" s="561">
        <f>ROUND(IF($F$403=0,0,H403/$F$403),5)</f>
        <v>0</v>
      </c>
      <c r="I825" s="562">
        <f>1-SUM(G825:H825)</f>
        <v>1</v>
      </c>
      <c r="J825" s="731">
        <f t="shared" si="170"/>
        <v>1</v>
      </c>
      <c r="K825" s="731">
        <f t="shared" si="171"/>
        <v>0</v>
      </c>
      <c r="O825" s="749"/>
    </row>
    <row r="826" spans="1:15" ht="13">
      <c r="A826" s="342">
        <v>12</v>
      </c>
      <c r="B826" s="195"/>
      <c r="C826" s="581" t="s">
        <v>252</v>
      </c>
      <c r="D826" s="719" t="s">
        <v>1003</v>
      </c>
      <c r="E826" s="708" t="str">
        <f>'FR-16(7)(v)-1 Functional'!$E$826</f>
        <v>SE19</v>
      </c>
      <c r="F826" s="642">
        <v>1</v>
      </c>
      <c r="G826" s="560">
        <f>ROUND(IF($F$407=0,0,G407/$F$407),5)</f>
        <v>0</v>
      </c>
      <c r="H826" s="561">
        <f>ROUND(IF($F$407=0,0,H407/$F$407),5)</f>
        <v>0</v>
      </c>
      <c r="I826" s="562">
        <f>ROUND(IF($F$407=0,0,I407/$F$407),5)</f>
        <v>1</v>
      </c>
      <c r="J826" s="731">
        <f t="shared" si="170"/>
        <v>1</v>
      </c>
      <c r="K826" s="731">
        <f t="shared" si="171"/>
        <v>0</v>
      </c>
      <c r="O826" s="749">
        <f>SUM(G826:I826)</f>
        <v>1</v>
      </c>
    </row>
    <row r="827" spans="1:15" ht="13">
      <c r="A827" s="342">
        <v>13</v>
      </c>
      <c r="B827" s="195"/>
      <c r="C827" s="581" t="s">
        <v>253</v>
      </c>
      <c r="D827" s="719" t="s">
        <v>1003</v>
      </c>
      <c r="E827" s="708" t="str">
        <f>'FR-16(7)(v)-1 Functional'!$E$827</f>
        <v>AG39</v>
      </c>
      <c r="F827" s="642">
        <v>1</v>
      </c>
      <c r="G827" s="560">
        <f>ROUND(IF($F$416=0,0,G416/$F$416),5)</f>
        <v>0.54844999999999999</v>
      </c>
      <c r="H827" s="561">
        <f>ROUND(IF($F$416=0,0,H416/$F$416),5)</f>
        <v>0</v>
      </c>
      <c r="I827" s="562">
        <f>1-SUM(G827:H827)</f>
        <v>0.45155000000000001</v>
      </c>
      <c r="J827" s="731">
        <f t="shared" si="170"/>
        <v>1</v>
      </c>
      <c r="K827" s="731">
        <f t="shared" si="171"/>
        <v>0</v>
      </c>
      <c r="O827" s="749">
        <f>SUM(G827:I827)</f>
        <v>1</v>
      </c>
    </row>
    <row r="828" spans="1:15" ht="13">
      <c r="A828" s="342">
        <v>14</v>
      </c>
      <c r="B828" s="195"/>
      <c r="C828" s="581" t="s">
        <v>254</v>
      </c>
      <c r="D828" s="719" t="s">
        <v>1003</v>
      </c>
      <c r="E828" s="708" t="str">
        <f>'FR-16(7)(v)-1 Functional'!$E$828</f>
        <v>OM39</v>
      </c>
      <c r="F828" s="642">
        <v>1</v>
      </c>
      <c r="G828" s="560">
        <f>ROUND(IF($F$433=0,0,G433/$F$433),5)</f>
        <v>0.50510999999999995</v>
      </c>
      <c r="H828" s="561">
        <f>ROUND(IF($F$433=0,0,H433/$F$433),5)</f>
        <v>0</v>
      </c>
      <c r="I828" s="562">
        <f>1-SUM(G828:H828)</f>
        <v>0.49489000000000005</v>
      </c>
      <c r="J828" s="731">
        <f t="shared" si="170"/>
        <v>1</v>
      </c>
      <c r="K828" s="731">
        <f t="shared" si="171"/>
        <v>0</v>
      </c>
      <c r="O828" s="749">
        <f>SUM(G828:I828)</f>
        <v>1</v>
      </c>
    </row>
    <row r="829" spans="1:15" ht="13">
      <c r="A829" s="342">
        <v>15</v>
      </c>
      <c r="B829" s="195"/>
      <c r="C829" s="195"/>
      <c r="D829" s="342"/>
      <c r="E829" s="723"/>
      <c r="F829" s="642"/>
      <c r="G829" s="560"/>
      <c r="H829" s="561"/>
      <c r="I829" s="562"/>
      <c r="J829" s="731"/>
      <c r="K829" s="731"/>
      <c r="O829" s="747"/>
    </row>
    <row r="830" spans="1:15" ht="13">
      <c r="A830" s="342">
        <v>16</v>
      </c>
      <c r="B830" s="581" t="s">
        <v>97</v>
      </c>
      <c r="C830" s="195"/>
      <c r="D830" s="342"/>
      <c r="E830" s="723"/>
      <c r="F830" s="642"/>
      <c r="G830" s="560"/>
      <c r="H830" s="561"/>
      <c r="I830" s="562"/>
      <c r="J830" s="731"/>
      <c r="K830" s="731"/>
      <c r="O830" s="747"/>
    </row>
    <row r="831" spans="1:15" ht="13">
      <c r="A831" s="342">
        <v>17</v>
      </c>
      <c r="B831" s="195"/>
      <c r="C831" s="581" t="s">
        <v>255</v>
      </c>
      <c r="D831" s="719" t="s">
        <v>1003</v>
      </c>
      <c r="E831" s="708" t="str">
        <f>'FR-16(7)(v)-1 Functional'!$E$831</f>
        <v>P489</v>
      </c>
      <c r="F831" s="642">
        <v>1</v>
      </c>
      <c r="G831" s="560">
        <f>ROUND(IF($F$447=0,0,G447/$F$447),5)</f>
        <v>0</v>
      </c>
      <c r="H831" s="561">
        <f>ROUND(IF($F$447=0,0,H447/$F$447),5)</f>
        <v>0</v>
      </c>
      <c r="I831" s="562">
        <f>ROUND(IF($F$447=0,0,I447/$F$447),5)</f>
        <v>0</v>
      </c>
      <c r="J831" s="731">
        <f>SUM(G831:I831)</f>
        <v>0</v>
      </c>
      <c r="K831" s="731">
        <f>F831-J831</f>
        <v>1</v>
      </c>
      <c r="O831" s="749">
        <f>SUM(G831:I831)</f>
        <v>0</v>
      </c>
    </row>
    <row r="832" spans="1:15" ht="13">
      <c r="A832" s="342">
        <v>18</v>
      </c>
      <c r="B832" s="195"/>
      <c r="C832" s="581" t="s">
        <v>256</v>
      </c>
      <c r="D832" s="719" t="s">
        <v>1003</v>
      </c>
      <c r="E832" s="708" t="str">
        <f>'FR-16(7)(v)-1 Functional'!$E$832</f>
        <v>D489</v>
      </c>
      <c r="F832" s="642">
        <v>1</v>
      </c>
      <c r="G832" s="560">
        <f>ROUND(IF($F$454=0,0,G454/$F$454),5)</f>
        <v>0.62234999999999996</v>
      </c>
      <c r="H832" s="561">
        <f>ROUND(IF($F$454=0,0,H454/$F$454),5)</f>
        <v>0</v>
      </c>
      <c r="I832" s="562">
        <f>1-SUM(G832:H832)</f>
        <v>0.37765000000000004</v>
      </c>
      <c r="J832" s="731">
        <f>SUM(G832:I832)</f>
        <v>1</v>
      </c>
      <c r="K832" s="731">
        <f>F832-J832</f>
        <v>0</v>
      </c>
      <c r="O832" s="749">
        <f>SUM(G832:I832)</f>
        <v>1</v>
      </c>
    </row>
    <row r="833" spans="1:15" ht="13">
      <c r="A833" s="342">
        <v>19</v>
      </c>
      <c r="B833" s="195"/>
      <c r="C833" s="581" t="s">
        <v>257</v>
      </c>
      <c r="D833" s="719" t="s">
        <v>1003</v>
      </c>
      <c r="E833" s="708" t="str">
        <f>'FR-16(7)(v)-1 Functional'!$E$833</f>
        <v>G489</v>
      </c>
      <c r="F833" s="642">
        <v>1</v>
      </c>
      <c r="G833" s="560">
        <f>ROUND(IF($F$458=0,0,G458/$F$458),5)</f>
        <v>0.54844999999999999</v>
      </c>
      <c r="H833" s="561">
        <f>ROUND(IF($F$458=0,0,H458/$F$458),5)</f>
        <v>0</v>
      </c>
      <c r="I833" s="562">
        <f>1-SUM(G833:H833)</f>
        <v>0.45155000000000001</v>
      </c>
      <c r="J833" s="731">
        <f>SUM(G833:I833)</f>
        <v>1</v>
      </c>
      <c r="K833" s="731">
        <f>F833-J833</f>
        <v>0</v>
      </c>
      <c r="O833" s="749">
        <f>SUM(G833:I833)</f>
        <v>1</v>
      </c>
    </row>
    <row r="834" spans="1:15" ht="13">
      <c r="A834" s="342">
        <v>20</v>
      </c>
      <c r="B834" s="195"/>
      <c r="C834" s="581" t="s">
        <v>258</v>
      </c>
      <c r="D834" s="719" t="s">
        <v>1003</v>
      </c>
      <c r="E834" s="708" t="str">
        <f>'FR-16(7)(v)-1 Functional'!$E$834</f>
        <v>C489</v>
      </c>
      <c r="F834" s="642">
        <v>1</v>
      </c>
      <c r="G834" s="560">
        <f>ROUND(IF($F$462=0,0,G462/$F$462),5)</f>
        <v>0.54844999999999999</v>
      </c>
      <c r="H834" s="561">
        <f>ROUND(IF($F$462=0,0,H462/$F$462),5)</f>
        <v>0</v>
      </c>
      <c r="I834" s="562">
        <f>1-SUM(G834:H834)</f>
        <v>0.45155000000000001</v>
      </c>
      <c r="J834" s="731">
        <f>SUM(G834:I834)</f>
        <v>1</v>
      </c>
      <c r="K834" s="731">
        <f>F834-J834</f>
        <v>0</v>
      </c>
      <c r="O834" s="749">
        <f>SUM(G834:I834)</f>
        <v>1</v>
      </c>
    </row>
    <row r="835" spans="1:15" ht="13">
      <c r="A835" s="342">
        <v>21</v>
      </c>
      <c r="B835" s="195"/>
      <c r="C835" s="581" t="s">
        <v>259</v>
      </c>
      <c r="D835" s="719" t="s">
        <v>1003</v>
      </c>
      <c r="E835" s="708" t="str">
        <f>'FR-16(7)(v)-1 Functional'!$E$835</f>
        <v>DE49</v>
      </c>
      <c r="F835" s="642">
        <v>1</v>
      </c>
      <c r="G835" s="560">
        <f>ROUND(IF($F$465=0,0,G465/$F$465),5)</f>
        <v>0.61036999999999997</v>
      </c>
      <c r="H835" s="561">
        <f>ROUND(IF($F$465=0,0,H465/$F$465),5)</f>
        <v>0</v>
      </c>
      <c r="I835" s="562">
        <f>1-SUM(G835:H835)</f>
        <v>0.38963000000000003</v>
      </c>
      <c r="J835" s="731">
        <f>SUM(G835:I835)</f>
        <v>1</v>
      </c>
      <c r="K835" s="731">
        <f>F835-J835</f>
        <v>0</v>
      </c>
      <c r="O835" s="749">
        <f>SUM(G835:I835)</f>
        <v>1</v>
      </c>
    </row>
    <row r="836" spans="1:15" ht="13">
      <c r="A836" s="342">
        <v>22</v>
      </c>
      <c r="B836" s="195"/>
      <c r="C836" s="195"/>
      <c r="D836" s="342"/>
      <c r="E836" s="723"/>
      <c r="F836" s="646"/>
      <c r="G836" s="541"/>
      <c r="H836" s="531"/>
      <c r="I836" s="532"/>
      <c r="J836" s="526"/>
      <c r="K836" s="526"/>
      <c r="O836" s="747"/>
    </row>
    <row r="837" spans="1:15" ht="13">
      <c r="A837" s="342">
        <v>23</v>
      </c>
      <c r="B837" s="581" t="s">
        <v>62</v>
      </c>
      <c r="C837" s="195"/>
      <c r="D837" s="342"/>
      <c r="E837" s="723"/>
      <c r="F837" s="487"/>
      <c r="G837" s="542"/>
      <c r="H837" s="533"/>
      <c r="I837" s="534"/>
      <c r="J837" s="664"/>
      <c r="K837" s="664"/>
      <c r="O837" s="747"/>
    </row>
    <row r="838" spans="1:15" ht="13">
      <c r="A838" s="342">
        <v>24</v>
      </c>
      <c r="B838" s="195"/>
      <c r="C838" s="581" t="s">
        <v>260</v>
      </c>
      <c r="D838" s="719" t="s">
        <v>1003</v>
      </c>
      <c r="E838" s="708" t="str">
        <f>'FR-16(7)(v)-1 Functional'!$E$838</f>
        <v>L529</v>
      </c>
      <c r="F838" s="642">
        <v>1</v>
      </c>
      <c r="G838" s="560">
        <f>ROUND(IF($F$481=0,0,$G$481/$F$481),5)</f>
        <v>0.62019999999999997</v>
      </c>
      <c r="H838" s="561">
        <f>ROUND(IF($F$481=0,0,$H$481/$F$481),5)</f>
        <v>0</v>
      </c>
      <c r="I838" s="562">
        <f>1-SUM(G838:H838)</f>
        <v>0.37980000000000003</v>
      </c>
      <c r="J838" s="731">
        <f>SUM(G838:I838)</f>
        <v>1</v>
      </c>
      <c r="K838" s="731">
        <f>F838-J838</f>
        <v>0</v>
      </c>
      <c r="O838" s="749">
        <f>SUM(G838:I838)</f>
        <v>1</v>
      </c>
    </row>
    <row r="839" spans="1:15" ht="13">
      <c r="A839" s="342">
        <v>25</v>
      </c>
      <c r="B839" s="195"/>
      <c r="C839" s="581" t="s">
        <v>261</v>
      </c>
      <c r="D839" s="719" t="s">
        <v>1003</v>
      </c>
      <c r="E839" s="708" t="str">
        <f>'FR-16(7)(v)-1 Functional'!$E$839</f>
        <v>L589</v>
      </c>
      <c r="F839" s="642">
        <v>1</v>
      </c>
      <c r="G839" s="560">
        <f>ROUND(IF($F$488=0,0,$G$488/$F$488),5)</f>
        <v>0.54844999999999999</v>
      </c>
      <c r="H839" s="561">
        <f>ROUND(IF($F$488=0,0,$H$488/$F$488),5)</f>
        <v>0</v>
      </c>
      <c r="I839" s="562">
        <f>1-SUM(G839:H839)</f>
        <v>0.45155000000000001</v>
      </c>
      <c r="J839" s="731">
        <f>SUM(G839:I839)</f>
        <v>1</v>
      </c>
      <c r="K839" s="731">
        <f>F839-J839</f>
        <v>0</v>
      </c>
      <c r="O839" s="749">
        <f>SUM(G839:I839)</f>
        <v>1</v>
      </c>
    </row>
    <row r="840" spans="1:15" ht="13">
      <c r="A840" s="342">
        <v>26</v>
      </c>
      <c r="B840" s="195"/>
      <c r="C840" s="581" t="s">
        <v>262</v>
      </c>
      <c r="D840" s="719" t="s">
        <v>1003</v>
      </c>
      <c r="E840" s="708" t="str">
        <f>'FR-16(7)(v)-1 Functional'!$E$840</f>
        <v>L599</v>
      </c>
      <c r="F840" s="642">
        <v>1</v>
      </c>
      <c r="G840" s="560">
        <f>ROUND(IF($F$500=0,0,$G$500/$F$500),5)</f>
        <v>0.61158999999999997</v>
      </c>
      <c r="H840" s="561">
        <f>ROUND(IF($F$500=0,0,$H$500/$F$500),5)</f>
        <v>0</v>
      </c>
      <c r="I840" s="562">
        <f>1-SUM(G840:H840)</f>
        <v>0.38841000000000003</v>
      </c>
      <c r="J840" s="731">
        <f>SUM(G840:I840)</f>
        <v>1</v>
      </c>
      <c r="K840" s="731">
        <f>F840-J840</f>
        <v>0</v>
      </c>
      <c r="O840" s="749">
        <f>SUM(G840:I840)</f>
        <v>1</v>
      </c>
    </row>
    <row r="841" spans="1:15" ht="13">
      <c r="A841" s="342">
        <v>27</v>
      </c>
      <c r="B841" s="195"/>
      <c r="C841" s="581" t="s">
        <v>263</v>
      </c>
      <c r="D841" s="719" t="s">
        <v>1003</v>
      </c>
      <c r="E841" s="708" t="str">
        <f>'FR-16(7)(v)-1 Functional'!$E$841</f>
        <v>OP69</v>
      </c>
      <c r="F841" s="642">
        <v>1</v>
      </c>
      <c r="G841" s="560">
        <f>ROUND(IF($F$501=0,0,$G$501/$F$501),5)</f>
        <v>0.56198999999999999</v>
      </c>
      <c r="H841" s="561">
        <f>ROUND(IF($F$501=0,0,$H$501/$F$501),5)</f>
        <v>0</v>
      </c>
      <c r="I841" s="562">
        <f>1-SUM(G841:H841)</f>
        <v>0.43801000000000001</v>
      </c>
      <c r="J841" s="731">
        <f>SUM(G841:I841)</f>
        <v>1</v>
      </c>
      <c r="K841" s="731">
        <f>F841-J841</f>
        <v>0</v>
      </c>
      <c r="O841" s="749">
        <f>SUM(G841:I841)</f>
        <v>1</v>
      </c>
    </row>
    <row r="842" spans="1:15" ht="13">
      <c r="A842" s="342">
        <v>28</v>
      </c>
      <c r="B842" s="195"/>
      <c r="C842" s="195"/>
      <c r="D842" s="342"/>
      <c r="E842" s="723"/>
      <c r="F842" s="642"/>
      <c r="G842" s="560"/>
      <c r="H842" s="561"/>
      <c r="I842" s="562"/>
      <c r="J842" s="731"/>
      <c r="K842" s="731"/>
      <c r="O842" s="747"/>
    </row>
    <row r="843" spans="1:15" ht="13">
      <c r="A843" s="342">
        <v>29</v>
      </c>
      <c r="B843" s="581" t="s">
        <v>1157</v>
      </c>
      <c r="C843" s="195"/>
      <c r="D843" s="342"/>
      <c r="E843" s="723"/>
      <c r="F843" s="642"/>
      <c r="G843" s="560"/>
      <c r="H843" s="561"/>
      <c r="I843" s="562"/>
      <c r="J843" s="731"/>
      <c r="K843" s="731"/>
      <c r="O843" s="747"/>
    </row>
    <row r="844" spans="1:15" ht="13.5" thickBot="1">
      <c r="A844" s="342">
        <v>30</v>
      </c>
      <c r="B844" s="195"/>
      <c r="C844" s="581" t="s">
        <v>1031</v>
      </c>
      <c r="D844" s="719" t="s">
        <v>1003</v>
      </c>
      <c r="E844" s="708" t="str">
        <f>'FR-16(7)(v)-1 Functional'!$E$844</f>
        <v>CS09</v>
      </c>
      <c r="F844" s="642">
        <v>1</v>
      </c>
      <c r="G844" s="569">
        <f>ROUND(IF($F$647=0,0,G647/$F$647),5)</f>
        <v>0.58962000000000003</v>
      </c>
      <c r="H844" s="570">
        <f>ROUND(IF($F$647=0,0,H647/$F$647),5)</f>
        <v>0</v>
      </c>
      <c r="I844" s="571">
        <f>1-SUM(G844:H844)</f>
        <v>0.41037999999999997</v>
      </c>
      <c r="J844" s="733">
        <f>SUM(G844:I844)</f>
        <v>1</v>
      </c>
      <c r="K844" s="731">
        <f>F844-J844</f>
        <v>0</v>
      </c>
      <c r="O844" s="754">
        <f>SUM(G844:I844)</f>
        <v>1</v>
      </c>
    </row>
    <row r="848" spans="1:15" ht="13">
      <c r="A848" s="342">
        <v>1</v>
      </c>
      <c r="B848" s="611" t="s">
        <v>91</v>
      </c>
      <c r="C848" s="612"/>
      <c r="D848" s="721"/>
      <c r="E848" s="714"/>
      <c r="F848" s="348"/>
      <c r="G848" s="345"/>
      <c r="J848" s="351"/>
      <c r="K848" s="351"/>
    </row>
    <row r="849" spans="1:11" ht="13">
      <c r="A849" s="342">
        <v>2</v>
      </c>
      <c r="B849" s="613"/>
      <c r="C849" s="614" t="s">
        <v>227</v>
      </c>
      <c r="D849" s="722"/>
      <c r="E849" s="708" t="str">
        <f>'FR-16(7)(v)-1 Functional'!$E$849</f>
        <v>K597</v>
      </c>
      <c r="F849" s="471">
        <f>ROUND(0.06889*0,0)</f>
        <v>0</v>
      </c>
      <c r="G849" s="609">
        <f t="shared" ref="G849:G854" si="172">ROUND(F849*VLOOKUP(E849,Alloctable_Classified_Distribution,$H$10,FALSE),0)</f>
        <v>0</v>
      </c>
      <c r="H849" s="609">
        <f t="shared" ref="H849:H854" si="173">ROUND(F849*VLOOKUP(E849,Alloctable_Classified_Distribution,$H$10,FALSE),0)</f>
        <v>0</v>
      </c>
      <c r="I849" s="609">
        <f t="shared" ref="I849:I854" si="174">ROUND(F849*VLOOKUP(E849,Alloctable_Classified_Distribution,$I$10,FALSE),0)</f>
        <v>0</v>
      </c>
      <c r="J849" s="731">
        <f t="shared" ref="J849:J854" si="175">SUM(G849:I849)</f>
        <v>0</v>
      </c>
      <c r="K849" s="731">
        <f t="shared" ref="K849:K854" si="176">F849-J849</f>
        <v>0</v>
      </c>
    </row>
    <row r="850" spans="1:11" ht="13">
      <c r="A850" s="342">
        <v>3</v>
      </c>
      <c r="B850" s="612"/>
      <c r="C850" s="291" t="s">
        <v>228</v>
      </c>
      <c r="D850" s="716"/>
      <c r="E850" s="708" t="str">
        <f>'FR-16(7)(v)-1 Functional'!$E$850</f>
        <v>AG39</v>
      </c>
      <c r="F850" s="488">
        <v>0</v>
      </c>
      <c r="G850" s="609">
        <f t="shared" si="172"/>
        <v>0</v>
      </c>
      <c r="H850" s="609">
        <f t="shared" si="173"/>
        <v>0</v>
      </c>
      <c r="I850" s="609">
        <f t="shared" si="174"/>
        <v>0</v>
      </c>
      <c r="J850" s="731">
        <f t="shared" si="175"/>
        <v>0</v>
      </c>
      <c r="K850" s="731">
        <f t="shared" si="176"/>
        <v>0</v>
      </c>
    </row>
    <row r="851" spans="1:11" ht="13">
      <c r="A851" s="342">
        <v>4</v>
      </c>
      <c r="B851" s="612"/>
      <c r="C851" s="291" t="s">
        <v>427</v>
      </c>
      <c r="D851" s="716"/>
      <c r="E851" s="708" t="str">
        <f>'FR-16(7)(v)-1 Functional'!$E$851</f>
        <v>AG39</v>
      </c>
      <c r="F851" s="488">
        <v>0</v>
      </c>
      <c r="G851" s="609">
        <f t="shared" si="172"/>
        <v>0</v>
      </c>
      <c r="H851" s="609">
        <f t="shared" si="173"/>
        <v>0</v>
      </c>
      <c r="I851" s="609">
        <f t="shared" si="174"/>
        <v>0</v>
      </c>
      <c r="J851" s="731">
        <f t="shared" si="175"/>
        <v>0</v>
      </c>
      <c r="K851" s="731">
        <f t="shared" si="176"/>
        <v>0</v>
      </c>
    </row>
    <row r="852" spans="1:11" ht="13">
      <c r="A852" s="342">
        <v>5</v>
      </c>
      <c r="B852" s="612"/>
      <c r="C852" s="291" t="s">
        <v>422</v>
      </c>
      <c r="D852" s="716" t="s">
        <v>343</v>
      </c>
      <c r="E852" s="708" t="str">
        <f>'FR-16(7)(v)-1 Functional'!$E$852</f>
        <v>K301</v>
      </c>
      <c r="F852" s="488">
        <v>0</v>
      </c>
      <c r="G852" s="609">
        <f t="shared" si="172"/>
        <v>0</v>
      </c>
      <c r="H852" s="609">
        <f t="shared" si="173"/>
        <v>0</v>
      </c>
      <c r="I852" s="609">
        <f t="shared" si="174"/>
        <v>0</v>
      </c>
      <c r="J852" s="731">
        <f t="shared" si="175"/>
        <v>0</v>
      </c>
      <c r="K852" s="731">
        <f t="shared" si="176"/>
        <v>0</v>
      </c>
    </row>
    <row r="853" spans="1:11" ht="13">
      <c r="A853" s="342">
        <v>6</v>
      </c>
      <c r="B853" s="612"/>
      <c r="C853" s="291" t="s">
        <v>408</v>
      </c>
      <c r="D853" s="716"/>
      <c r="E853" s="708" t="str">
        <f>'FR-16(7)(v)-1 Functional'!$E$853</f>
        <v>K415</v>
      </c>
      <c r="F853" s="488">
        <v>0</v>
      </c>
      <c r="G853" s="609">
        <f t="shared" si="172"/>
        <v>0</v>
      </c>
      <c r="H853" s="609">
        <f t="shared" si="173"/>
        <v>0</v>
      </c>
      <c r="I853" s="609">
        <f t="shared" si="174"/>
        <v>0</v>
      </c>
      <c r="J853" s="731">
        <f t="shared" si="175"/>
        <v>0</v>
      </c>
      <c r="K853" s="731">
        <f t="shared" si="176"/>
        <v>0</v>
      </c>
    </row>
    <row r="854" spans="1:11" ht="13">
      <c r="A854" s="342">
        <v>7</v>
      </c>
      <c r="B854" s="612"/>
      <c r="C854" s="291" t="s">
        <v>423</v>
      </c>
      <c r="D854" s="716" t="s">
        <v>343</v>
      </c>
      <c r="E854" s="708" t="str">
        <f>'FR-16(7)(v)-1 Functional'!$E$854</f>
        <v>NP29</v>
      </c>
      <c r="F854" s="488">
        <v>0</v>
      </c>
      <c r="G854" s="609">
        <f t="shared" si="172"/>
        <v>0</v>
      </c>
      <c r="H854" s="609">
        <f t="shared" si="173"/>
        <v>0</v>
      </c>
      <c r="I854" s="609">
        <f t="shared" si="174"/>
        <v>0</v>
      </c>
      <c r="J854" s="731">
        <f t="shared" si="175"/>
        <v>0</v>
      </c>
      <c r="K854" s="731">
        <f t="shared" si="176"/>
        <v>0</v>
      </c>
    </row>
    <row r="855" spans="1:11" ht="13">
      <c r="A855" s="342">
        <v>8</v>
      </c>
      <c r="C855" s="482" t="s">
        <v>229</v>
      </c>
      <c r="D855" s="583" t="s">
        <v>285</v>
      </c>
      <c r="E855" s="331"/>
      <c r="F855" s="346">
        <f t="shared" ref="F855:K855" si="177">SUM(F849:F854)</f>
        <v>0</v>
      </c>
      <c r="G855" s="346">
        <f t="shared" si="177"/>
        <v>0</v>
      </c>
      <c r="H855" s="346">
        <f t="shared" si="177"/>
        <v>0</v>
      </c>
      <c r="I855" s="346">
        <f t="shared" si="177"/>
        <v>0</v>
      </c>
      <c r="J855" s="346">
        <f t="shared" si="177"/>
        <v>0</v>
      </c>
      <c r="K855" s="346">
        <f t="shared" si="177"/>
        <v>0</v>
      </c>
    </row>
    <row r="861" spans="1:11" ht="20">
      <c r="A861" s="1184" t="s">
        <v>1193</v>
      </c>
    </row>
    <row r="863" spans="1:11" ht="13">
      <c r="A863" s="342" t="s">
        <v>907</v>
      </c>
      <c r="B863" s="195"/>
      <c r="C863" s="195"/>
      <c r="D863" s="342"/>
      <c r="E863" s="195"/>
      <c r="F863" s="342" t="s">
        <v>229</v>
      </c>
      <c r="G863" s="539" t="s">
        <v>995</v>
      </c>
      <c r="H863" s="527"/>
      <c r="I863" s="528"/>
      <c r="J863" s="342" t="s">
        <v>229</v>
      </c>
      <c r="K863" s="342" t="s">
        <v>342</v>
      </c>
    </row>
    <row r="864" spans="1:11" ht="13">
      <c r="A864" s="344" t="s">
        <v>908</v>
      </c>
      <c r="B864" s="343" t="s">
        <v>99</v>
      </c>
      <c r="C864" s="343"/>
      <c r="D864" s="344" t="s">
        <v>337</v>
      </c>
      <c r="E864" s="343"/>
      <c r="F864" s="344" t="s">
        <v>839</v>
      </c>
      <c r="G864" s="540" t="s">
        <v>840</v>
      </c>
      <c r="H864" s="529" t="s">
        <v>841</v>
      </c>
      <c r="I864" s="530" t="s">
        <v>842</v>
      </c>
      <c r="J864" s="344" t="s">
        <v>341</v>
      </c>
      <c r="K864" s="344" t="s">
        <v>340</v>
      </c>
    </row>
    <row r="865" spans="1:11" ht="13">
      <c r="B865" s="195"/>
      <c r="C865" s="572" t="s">
        <v>4</v>
      </c>
      <c r="D865" s="342"/>
      <c r="E865" s="195"/>
      <c r="G865" s="793">
        <f>$G$10</f>
        <v>3</v>
      </c>
      <c r="H865" s="794">
        <f>$H$10</f>
        <v>4</v>
      </c>
      <c r="I865" s="795">
        <f>$I$10</f>
        <v>5</v>
      </c>
    </row>
    <row r="866" spans="1:11" ht="13">
      <c r="A866" s="331">
        <v>1</v>
      </c>
      <c r="B866" s="330" t="s">
        <v>100</v>
      </c>
      <c r="D866" s="342"/>
      <c r="E866" s="195"/>
      <c r="G866" s="541"/>
      <c r="H866" s="531"/>
      <c r="I866" s="532"/>
    </row>
    <row r="867" spans="1:11" ht="13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K867" si="178">F647</f>
        <v>78904692</v>
      </c>
      <c r="G867" s="542">
        <f t="shared" si="178"/>
        <v>46523909</v>
      </c>
      <c r="H867" s="533">
        <f t="shared" si="178"/>
        <v>0</v>
      </c>
      <c r="I867" s="534">
        <f t="shared" si="178"/>
        <v>32380784</v>
      </c>
      <c r="J867" s="345">
        <f t="shared" si="178"/>
        <v>78904693</v>
      </c>
      <c r="K867" s="345">
        <f t="shared" si="178"/>
        <v>1</v>
      </c>
    </row>
    <row r="868" spans="1:11" ht="13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270119</v>
      </c>
      <c r="G868" s="542">
        <f>$G$630</f>
        <v>119630</v>
      </c>
      <c r="H868" s="533">
        <f>$H$630</f>
        <v>0</v>
      </c>
      <c r="I868" s="534">
        <f>$I$630</f>
        <v>150489</v>
      </c>
      <c r="J868" s="345">
        <f>$J$630</f>
        <v>270119</v>
      </c>
      <c r="K868" s="345">
        <f>$K$630</f>
        <v>0</v>
      </c>
    </row>
    <row r="869" spans="1:11" ht="13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K869" si="179">SUM(F866:F868)</f>
        <v>79174811</v>
      </c>
      <c r="G869" s="543">
        <f t="shared" si="179"/>
        <v>46643539</v>
      </c>
      <c r="H869" s="535">
        <f t="shared" si="179"/>
        <v>0</v>
      </c>
      <c r="I869" s="536">
        <f t="shared" si="179"/>
        <v>32531273</v>
      </c>
      <c r="J869" s="346">
        <f t="shared" si="179"/>
        <v>79174812</v>
      </c>
      <c r="K869" s="346">
        <f t="shared" si="179"/>
        <v>1</v>
      </c>
    </row>
    <row r="870" spans="1:11" ht="13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-42128234</v>
      </c>
      <c r="G870" s="542">
        <f>-$G$501</f>
        <v>-23675450</v>
      </c>
      <c r="H870" s="533">
        <f>-$H$501</f>
        <v>0</v>
      </c>
      <c r="I870" s="534">
        <f>-$I$501</f>
        <v>-18452784</v>
      </c>
      <c r="J870" s="506">
        <f>-$J$501</f>
        <v>-42128234</v>
      </c>
      <c r="K870" s="345">
        <f>-$K$501</f>
        <v>0</v>
      </c>
    </row>
    <row r="871" spans="1:11" ht="13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>-ROUND(F694*F867,0)</f>
        <v>0</v>
      </c>
      <c r="G871" s="542">
        <f>-ROUND(G694*G867,0)</f>
        <v>0</v>
      </c>
      <c r="H871" s="533">
        <f>-ROUND(H694*H867,0)</f>
        <v>0</v>
      </c>
      <c r="I871" s="534">
        <f>-ROUND(I694*I867,0)</f>
        <v>0</v>
      </c>
      <c r="J871" s="504">
        <f>SUM(G871:I871)</f>
        <v>0</v>
      </c>
      <c r="K871" s="345">
        <f>-ROUND('FR-16(7)(v)-1 Functional'!K694*K867,0)</f>
        <v>0</v>
      </c>
    </row>
    <row r="872" spans="1:11" ht="13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>SUM(F869:F871)</f>
        <v>37046577</v>
      </c>
      <c r="G872" s="543">
        <f>SUM(G869:G871)</f>
        <v>22968089</v>
      </c>
      <c r="H872" s="535">
        <f>SUM(H869:H871)</f>
        <v>0</v>
      </c>
      <c r="I872" s="536">
        <f>SUM(I869:I871)</f>
        <v>14078489</v>
      </c>
      <c r="J872" s="346">
        <f>SUM(G872:I872)</f>
        <v>37046578</v>
      </c>
      <c r="K872" s="346">
        <f>SUM(K869:K871)</f>
        <v>1</v>
      </c>
    </row>
    <row r="873" spans="1:11" ht="13">
      <c r="A873" s="331">
        <v>8</v>
      </c>
      <c r="D873" s="342"/>
      <c r="E873" s="195"/>
      <c r="G873" s="541"/>
      <c r="H873" s="531"/>
      <c r="I873" s="532"/>
    </row>
    <row r="874" spans="1:11" ht="13">
      <c r="A874" s="331">
        <v>9</v>
      </c>
      <c r="B874" s="330" t="s">
        <v>101</v>
      </c>
      <c r="D874" s="342"/>
      <c r="E874" s="195"/>
      <c r="G874" s="541"/>
      <c r="H874" s="531"/>
      <c r="I874" s="532"/>
    </row>
    <row r="875" spans="1:11" ht="13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-8465297</v>
      </c>
      <c r="G875" s="542">
        <f>-$G$516</f>
        <v>-5248823</v>
      </c>
      <c r="H875" s="533">
        <f>-$H$516</f>
        <v>0</v>
      </c>
      <c r="I875" s="534">
        <f>-$I$516</f>
        <v>-3216474</v>
      </c>
      <c r="J875" s="345">
        <f>-$J$516</f>
        <v>-8465297</v>
      </c>
      <c r="K875" s="345">
        <f>-$K$516</f>
        <v>0</v>
      </c>
    </row>
    <row r="876" spans="1:11" ht="13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-6916969</v>
      </c>
      <c r="G876" s="542">
        <f>-$G$522</f>
        <v>-4234181</v>
      </c>
      <c r="H876" s="533">
        <f>-$H$522</f>
        <v>0</v>
      </c>
      <c r="I876" s="534">
        <f>-$I$522</f>
        <v>-2682788</v>
      </c>
      <c r="J876" s="345">
        <f>-$J$522</f>
        <v>-6916969</v>
      </c>
      <c r="K876" s="345">
        <f>-$K$522</f>
        <v>0</v>
      </c>
    </row>
    <row r="877" spans="1:11" ht="13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>SUM(F874:F876)+F872</f>
        <v>21664311</v>
      </c>
      <c r="G877" s="543">
        <f>SUM(G874:G876)+G872</f>
        <v>13485085</v>
      </c>
      <c r="H877" s="535">
        <f>SUM(H874:H876)+H872</f>
        <v>0</v>
      </c>
      <c r="I877" s="536">
        <f>SUM(I874:I876)+I872</f>
        <v>8179227</v>
      </c>
      <c r="J877" s="346">
        <f>SUM(G877:I877)</f>
        <v>21664312</v>
      </c>
      <c r="K877" s="346">
        <f>SUM(K874:K876)+K872</f>
        <v>1</v>
      </c>
    </row>
    <row r="878" spans="1:11" ht="13">
      <c r="A878" s="331">
        <v>13</v>
      </c>
      <c r="D878" s="342"/>
      <c r="E878" s="195"/>
      <c r="G878" s="541"/>
      <c r="H878" s="531"/>
      <c r="I878" s="532"/>
    </row>
    <row r="879" spans="1:11" ht="13">
      <c r="A879" s="331">
        <v>14</v>
      </c>
      <c r="B879" s="330" t="s">
        <v>99</v>
      </c>
      <c r="D879" s="342"/>
      <c r="E879" s="195"/>
      <c r="G879" s="541"/>
      <c r="H879" s="531"/>
      <c r="I879" s="532"/>
    </row>
    <row r="880" spans="1:11" ht="13">
      <c r="A880" s="331">
        <v>15</v>
      </c>
      <c r="B880" s="330" t="s">
        <v>74</v>
      </c>
      <c r="D880" s="342"/>
      <c r="E880" s="195"/>
      <c r="G880" s="541"/>
      <c r="H880" s="531"/>
      <c r="I880" s="532"/>
    </row>
    <row r="881" spans="1:11" ht="13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K881" si="180">F877</f>
        <v>21664311</v>
      </c>
      <c r="G881" s="542">
        <f t="shared" si="180"/>
        <v>13485085</v>
      </c>
      <c r="H881" s="533">
        <f t="shared" si="180"/>
        <v>0</v>
      </c>
      <c r="I881" s="534">
        <f t="shared" si="180"/>
        <v>8179227</v>
      </c>
      <c r="J881" s="345">
        <f t="shared" si="180"/>
        <v>21664312</v>
      </c>
      <c r="K881" s="345">
        <f t="shared" si="180"/>
        <v>1</v>
      </c>
    </row>
    <row r="882" spans="1:11" ht="13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K882" si="181">SUM(F881:F881)</f>
        <v>21664311</v>
      </c>
      <c r="G882" s="542">
        <f t="shared" si="181"/>
        <v>13485085</v>
      </c>
      <c r="H882" s="533">
        <f t="shared" si="181"/>
        <v>0</v>
      </c>
      <c r="I882" s="534">
        <f t="shared" si="181"/>
        <v>8179227</v>
      </c>
      <c r="J882" s="345">
        <f t="shared" si="181"/>
        <v>21664312</v>
      </c>
      <c r="K882" s="345">
        <f t="shared" si="181"/>
        <v>1</v>
      </c>
    </row>
    <row r="883" spans="1:11" ht="13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560">
        <f>G692</f>
        <v>0.21</v>
      </c>
      <c r="H883" s="561">
        <f>H692</f>
        <v>0.21</v>
      </c>
      <c r="I883" s="562">
        <f>I692</f>
        <v>0.21</v>
      </c>
      <c r="J883" s="348"/>
      <c r="K883" s="348">
        <f>'FR-16(7)(v)-1 Functional'!K692</f>
        <v>0.21</v>
      </c>
    </row>
    <row r="884" spans="1:11" ht="13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>ROUND(F883*F882,0)</f>
        <v>4549505</v>
      </c>
      <c r="G884" s="542">
        <f>ROUND(G883*G882,0)</f>
        <v>2831868</v>
      </c>
      <c r="H884" s="533">
        <f>ROUND(H883*H882,0)</f>
        <v>0</v>
      </c>
      <c r="I884" s="534">
        <f>ROUND(I883*I882,0)</f>
        <v>1717638</v>
      </c>
      <c r="J884" s="345">
        <f>SUM(G884:I884)</f>
        <v>4549506</v>
      </c>
      <c r="K884" s="345">
        <f>ROUND(K883*K882,0)</f>
        <v>0</v>
      </c>
    </row>
    <row r="885" spans="1:11" ht="13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-80854</v>
      </c>
      <c r="G885" s="542">
        <f>$G$532</f>
        <v>-63346</v>
      </c>
      <c r="H885" s="533">
        <f>$H$532</f>
        <v>0</v>
      </c>
      <c r="I885" s="534">
        <f>$I$532</f>
        <v>-17508</v>
      </c>
      <c r="J885" s="345">
        <f>$J$532</f>
        <v>-80854</v>
      </c>
      <c r="K885" s="345">
        <f>$K$532</f>
        <v>0</v>
      </c>
    </row>
    <row r="886" spans="1:11" ht="13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-60201</v>
      </c>
      <c r="G886" s="542">
        <f>-$G$536</f>
        <v>-37337</v>
      </c>
      <c r="H886" s="533">
        <f>-$H$536</f>
        <v>0</v>
      </c>
      <c r="I886" s="534">
        <f>-$I$536</f>
        <v>-22864</v>
      </c>
      <c r="J886" s="345">
        <f>-$J$536</f>
        <v>-60201</v>
      </c>
      <c r="K886" s="345">
        <f>-$K$536</f>
        <v>0</v>
      </c>
    </row>
    <row r="887" spans="1:11" ht="13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K887" si="182">SUM(F884:F886)</f>
        <v>4408450</v>
      </c>
      <c r="G887" s="543">
        <f t="shared" si="182"/>
        <v>2731185</v>
      </c>
      <c r="H887" s="535">
        <f t="shared" si="182"/>
        <v>0</v>
      </c>
      <c r="I887" s="536">
        <f t="shared" si="182"/>
        <v>1677266</v>
      </c>
      <c r="J887" s="346">
        <f t="shared" si="182"/>
        <v>4408451</v>
      </c>
      <c r="K887" s="346">
        <f t="shared" si="182"/>
        <v>0</v>
      </c>
    </row>
    <row r="888" spans="1:11" ht="13">
      <c r="A888" s="331">
        <v>23</v>
      </c>
      <c r="D888" s="342"/>
      <c r="E888" s="195"/>
      <c r="G888" s="541"/>
      <c r="H888" s="531"/>
      <c r="I888" s="532"/>
    </row>
    <row r="889" spans="1:11" ht="13">
      <c r="A889" s="331">
        <v>24</v>
      </c>
      <c r="B889" s="330" t="s">
        <v>75</v>
      </c>
      <c r="D889" s="342"/>
      <c r="E889" s="195"/>
      <c r="G889" s="541"/>
      <c r="H889" s="531"/>
      <c r="I889" s="532"/>
    </row>
    <row r="890" spans="1:11" ht="13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K890" si="183">F884</f>
        <v>4549505</v>
      </c>
      <c r="G890" s="542">
        <f t="shared" si="183"/>
        <v>2831868</v>
      </c>
      <c r="H890" s="533">
        <f t="shared" si="183"/>
        <v>0</v>
      </c>
      <c r="I890" s="534">
        <f t="shared" si="183"/>
        <v>1717638</v>
      </c>
      <c r="J890" s="345">
        <f t="shared" si="183"/>
        <v>4549506</v>
      </c>
      <c r="K890" s="345">
        <f t="shared" si="183"/>
        <v>0</v>
      </c>
    </row>
    <row r="891" spans="1:11" ht="13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544">
        <f>-$G$540</f>
        <v>0</v>
      </c>
      <c r="H891" s="537">
        <f>-$H$540</f>
        <v>0</v>
      </c>
      <c r="I891" s="538">
        <f>-$I$540</f>
        <v>0</v>
      </c>
      <c r="J891" s="345">
        <f>-$J$540</f>
        <v>0</v>
      </c>
      <c r="K891" s="345">
        <f>-$K$540</f>
        <v>0</v>
      </c>
    </row>
    <row r="892" spans="1:11" ht="13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K892" si="184">SUM(F889:F891)</f>
        <v>4549505</v>
      </c>
      <c r="G892" s="543">
        <f t="shared" si="184"/>
        <v>2831868</v>
      </c>
      <c r="H892" s="535">
        <f t="shared" si="184"/>
        <v>0</v>
      </c>
      <c r="I892" s="536">
        <f t="shared" si="184"/>
        <v>1717638</v>
      </c>
      <c r="J892" s="346">
        <f t="shared" si="184"/>
        <v>4549506</v>
      </c>
      <c r="K892" s="346">
        <f t="shared" si="184"/>
        <v>0</v>
      </c>
    </row>
    <row r="893" spans="1:11" ht="13">
      <c r="A893" s="331">
        <v>28</v>
      </c>
      <c r="D893" s="342"/>
      <c r="E893" s="195"/>
      <c r="G893" s="541"/>
      <c r="H893" s="531"/>
      <c r="I893" s="532"/>
    </row>
    <row r="894" spans="1:11" ht="13">
      <c r="A894" s="331">
        <v>29</v>
      </c>
      <c r="B894" s="330" t="s">
        <v>40</v>
      </c>
      <c r="D894" s="342"/>
      <c r="E894" s="195"/>
      <c r="G894" s="541"/>
      <c r="H894" s="531"/>
      <c r="I894" s="532"/>
    </row>
    <row r="895" spans="1:11" ht="13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K895" si="185">F872</f>
        <v>37046577</v>
      </c>
      <c r="G895" s="542">
        <f t="shared" si="185"/>
        <v>22968089</v>
      </c>
      <c r="H895" s="533">
        <f t="shared" si="185"/>
        <v>0</v>
      </c>
      <c r="I895" s="534">
        <f t="shared" si="185"/>
        <v>14078489</v>
      </c>
      <c r="J895" s="345">
        <f t="shared" si="185"/>
        <v>37046578</v>
      </c>
      <c r="K895" s="345">
        <f t="shared" si="185"/>
        <v>1</v>
      </c>
    </row>
    <row r="896" spans="1:11" ht="13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K896" si="186">-F887</f>
        <v>-4408450</v>
      </c>
      <c r="G896" s="542">
        <f t="shared" si="186"/>
        <v>-2731185</v>
      </c>
      <c r="H896" s="533">
        <f t="shared" si="186"/>
        <v>0</v>
      </c>
      <c r="I896" s="534">
        <f t="shared" si="186"/>
        <v>-1677266</v>
      </c>
      <c r="J896" s="345">
        <f t="shared" si="186"/>
        <v>-4408451</v>
      </c>
      <c r="K896" s="345">
        <f t="shared" si="186"/>
        <v>0</v>
      </c>
    </row>
    <row r="897" spans="1:11" ht="13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K897" si="187">SUM(F894:F896)</f>
        <v>32638127</v>
      </c>
      <c r="G897" s="543">
        <f t="shared" si="187"/>
        <v>20236904</v>
      </c>
      <c r="H897" s="535">
        <f t="shared" si="187"/>
        <v>0</v>
      </c>
      <c r="I897" s="536">
        <f t="shared" si="187"/>
        <v>12401223</v>
      </c>
      <c r="J897" s="346">
        <f t="shared" si="187"/>
        <v>32638127</v>
      </c>
      <c r="K897" s="346">
        <f t="shared" si="187"/>
        <v>1</v>
      </c>
    </row>
    <row r="898" spans="1:11" ht="13">
      <c r="A898" s="331">
        <v>33</v>
      </c>
      <c r="D898" s="342"/>
      <c r="E898" s="195"/>
      <c r="G898" s="541"/>
      <c r="H898" s="531"/>
      <c r="I898" s="532"/>
    </row>
    <row r="899" spans="1:11" ht="13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K899" si="188">IF(F331=0,0,ROUND(F897/F331,5))</f>
        <v>7.0889999999999995E-2</v>
      </c>
      <c r="G899" s="569">
        <f t="shared" si="188"/>
        <v>7.0889999999999995E-2</v>
      </c>
      <c r="H899" s="570">
        <f t="shared" si="188"/>
        <v>0</v>
      </c>
      <c r="I899" s="571">
        <f t="shared" si="188"/>
        <v>7.0889999999999995E-2</v>
      </c>
      <c r="J899" s="348">
        <f t="shared" si="188"/>
        <v>7.0889999999999995E-2</v>
      </c>
      <c r="K899" s="348">
        <f t="shared" si="188"/>
        <v>0</v>
      </c>
    </row>
  </sheetData>
  <conditionalFormatting sqref="O766:O778 O708:O742 O744:O762 O780:O844">
    <cfRule type="cellIs" dxfId="3" priority="1" operator="notEqual">
      <formula>1</formula>
    </cfRule>
  </conditionalFormatting>
  <pageMargins left="1" right="1" top="1" bottom="1" header="1" footer="0.5"/>
  <pageSetup scale="67" orientation="landscape" blackAndWhite="1" r:id="rId1"/>
  <headerFooter alignWithMargins="0"/>
  <rowBreaks count="15" manualBreakCount="15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5" max="10" man="1"/>
    <brk id="694" max="10" man="1"/>
    <brk id="746" max="10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8">
    <tabColor rgb="FF7030A0"/>
    <pageSetUpPr fitToPage="1"/>
  </sheetPr>
  <dimension ref="A1:Q900"/>
  <sheetViews>
    <sheetView topLeftCell="A702" zoomScale="80" zoomScaleNormal="80" zoomScaleSheetLayoutView="80" workbookViewId="0">
      <selection activeCell="D731" sqref="D731"/>
    </sheetView>
  </sheetViews>
  <sheetFormatPr defaultColWidth="8.765625" defaultRowHeight="12.5"/>
  <cols>
    <col min="1" max="1" width="6.4609375" style="330" customWidth="1"/>
    <col min="2" max="2" width="3.53515625" style="330" customWidth="1"/>
    <col min="3" max="3" width="39.23046875" style="330" customWidth="1"/>
    <col min="4" max="4" width="7.53515625" style="331" customWidth="1"/>
    <col min="5" max="5" width="7.765625" style="330" customWidth="1"/>
    <col min="6" max="6" width="13.765625" style="330" customWidth="1"/>
    <col min="7" max="8" width="11.765625" style="330" customWidth="1"/>
    <col min="9" max="9" width="11.765625" style="351" customWidth="1"/>
    <col min="10" max="11" width="11.765625" style="330" customWidth="1"/>
    <col min="12" max="12" width="12.765625" style="330" customWidth="1"/>
    <col min="13" max="15" width="8.765625" style="330"/>
    <col min="16" max="16" width="9.765625" style="330" customWidth="1"/>
    <col min="17" max="16384" width="8.765625" style="330"/>
  </cols>
  <sheetData>
    <row r="1" spans="1:12" ht="13">
      <c r="A1" s="341" t="str">
        <f>co_name</f>
        <v>DUKE ENERGY KENTUCKY, INC.</v>
      </c>
      <c r="C1" s="195"/>
      <c r="D1" s="342"/>
      <c r="E1" s="195"/>
      <c r="G1" s="195"/>
      <c r="H1" s="195"/>
      <c r="I1" s="340"/>
      <c r="K1" s="1187" t="s">
        <v>1456</v>
      </c>
      <c r="L1" s="195"/>
    </row>
    <row r="2" spans="1:12" ht="13">
      <c r="A2" s="577" t="s">
        <v>1201</v>
      </c>
      <c r="C2" s="195"/>
      <c r="D2" s="342"/>
      <c r="E2" s="195"/>
      <c r="F2" s="342"/>
      <c r="G2" s="195"/>
      <c r="H2" s="195"/>
      <c r="I2" s="340"/>
      <c r="K2" s="1187" t="s">
        <v>435</v>
      </c>
      <c r="L2" s="195"/>
    </row>
    <row r="3" spans="1:12" ht="13">
      <c r="A3" s="341" t="str">
        <f>case_name</f>
        <v>CASE NO: 2021-00190</v>
      </c>
      <c r="C3" s="195"/>
      <c r="D3" s="342"/>
      <c r="E3" s="195"/>
      <c r="F3" s="342"/>
      <c r="G3" s="195"/>
      <c r="H3" s="195"/>
      <c r="I3" s="340"/>
      <c r="K3" s="359" t="str">
        <f>Witness</f>
        <v>JAMES E. ZIOLKOWSKI</v>
      </c>
      <c r="L3" s="195"/>
    </row>
    <row r="4" spans="1:12" ht="13">
      <c r="A4" s="341" t="str">
        <f>data_filing</f>
        <v>DATA: 12 MONTH FORECASTED PERIOD</v>
      </c>
      <c r="C4" s="195"/>
      <c r="D4" s="342"/>
      <c r="E4" s="195"/>
      <c r="F4" s="342"/>
      <c r="G4" s="195"/>
      <c r="H4" s="195"/>
      <c r="I4" s="340"/>
      <c r="K4" s="359" t="str">
        <f>"PAGE "&amp;Pages-17&amp;" OF "&amp;Pages</f>
        <v>PAGE 1 OF 18</v>
      </c>
      <c r="L4" s="195"/>
    </row>
    <row r="5" spans="1:12" ht="13">
      <c r="A5" s="341" t="str">
        <f>type</f>
        <v xml:space="preserve">TYPE OF FILING: "X" ORIGINAL   UPDATED    REVISED  </v>
      </c>
      <c r="C5" s="195"/>
      <c r="D5" s="342"/>
      <c r="E5" s="195"/>
      <c r="F5" s="342"/>
      <c r="G5" s="195"/>
      <c r="H5" s="195"/>
      <c r="I5" s="340"/>
      <c r="J5" s="342"/>
      <c r="K5" s="195"/>
      <c r="L5" s="195"/>
    </row>
    <row r="6" spans="1:12" ht="13">
      <c r="A6" s="341"/>
      <c r="C6" s="195"/>
      <c r="D6" s="342"/>
      <c r="E6" s="195"/>
      <c r="F6" s="342"/>
      <c r="G6" s="195"/>
      <c r="H6" s="195"/>
      <c r="I6" s="340"/>
      <c r="J6" s="342"/>
      <c r="K6" s="195"/>
      <c r="L6" s="195"/>
    </row>
    <row r="7" spans="1:12" ht="13">
      <c r="A7" s="341"/>
      <c r="C7" s="195"/>
      <c r="D7" s="342"/>
      <c r="E7" s="195"/>
      <c r="F7" s="342" t="s">
        <v>229</v>
      </c>
      <c r="G7" s="195"/>
      <c r="H7" s="195"/>
      <c r="I7" s="340"/>
      <c r="J7" s="342"/>
      <c r="K7" s="195"/>
      <c r="L7" s="195"/>
    </row>
    <row r="8" spans="1:12" ht="13">
      <c r="A8" s="342" t="s">
        <v>907</v>
      </c>
      <c r="B8" s="195"/>
      <c r="C8" s="195"/>
      <c r="D8" s="342"/>
      <c r="E8" s="195"/>
      <c r="F8" s="821" t="s">
        <v>839</v>
      </c>
      <c r="G8" s="352" t="s">
        <v>766</v>
      </c>
      <c r="H8" s="352" t="s">
        <v>1256</v>
      </c>
      <c r="I8" s="352" t="s">
        <v>974</v>
      </c>
      <c r="J8" s="352" t="s">
        <v>546</v>
      </c>
      <c r="K8" s="352" t="s">
        <v>229</v>
      </c>
      <c r="L8" s="342" t="s">
        <v>342</v>
      </c>
    </row>
    <row r="9" spans="1:12" ht="13">
      <c r="A9" s="344" t="s">
        <v>908</v>
      </c>
      <c r="B9" s="343" t="s">
        <v>102</v>
      </c>
      <c r="C9" s="343"/>
      <c r="D9" s="344" t="s">
        <v>337</v>
      </c>
      <c r="E9" s="343"/>
      <c r="F9" s="822" t="s">
        <v>840</v>
      </c>
      <c r="G9" s="353" t="s">
        <v>338</v>
      </c>
      <c r="H9" s="353" t="s">
        <v>404</v>
      </c>
      <c r="I9" s="353" t="s">
        <v>1257</v>
      </c>
      <c r="J9" s="353" t="s">
        <v>547</v>
      </c>
      <c r="K9" s="353" t="s">
        <v>341</v>
      </c>
      <c r="L9" s="344" t="s">
        <v>340</v>
      </c>
    </row>
    <row r="10" spans="1:12" ht="13">
      <c r="C10" s="572" t="s">
        <v>354</v>
      </c>
      <c r="D10" s="342"/>
      <c r="E10" s="195"/>
      <c r="G10" s="780">
        <v>3</v>
      </c>
      <c r="H10" s="780">
        <v>4</v>
      </c>
      <c r="I10" s="780">
        <v>5</v>
      </c>
      <c r="J10" s="780">
        <v>6</v>
      </c>
      <c r="K10" s="351"/>
    </row>
    <row r="11" spans="1:12" ht="13">
      <c r="A11" s="331">
        <v>1</v>
      </c>
      <c r="B11" s="330" t="s">
        <v>100</v>
      </c>
      <c r="D11" s="342"/>
      <c r="E11" s="195"/>
      <c r="G11" s="351"/>
      <c r="H11" s="351"/>
      <c r="J11" s="351"/>
      <c r="K11" s="351"/>
    </row>
    <row r="12" spans="1:12" ht="13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 t="shared" ref="F12:K12" si="0">F101</f>
        <v>472868189</v>
      </c>
      <c r="G12" s="347">
        <f t="shared" si="0"/>
        <v>241079082</v>
      </c>
      <c r="H12" s="347">
        <f t="shared" si="0"/>
        <v>146479260</v>
      </c>
      <c r="I12" s="347">
        <f t="shared" si="0"/>
        <v>64592422</v>
      </c>
      <c r="J12" s="347">
        <f t="shared" si="0"/>
        <v>20717425</v>
      </c>
      <c r="K12" s="347">
        <f t="shared" si="0"/>
        <v>472868189</v>
      </c>
      <c r="L12" s="347">
        <f>F12-K12</f>
        <v>0</v>
      </c>
    </row>
    <row r="13" spans="1:12" ht="13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 t="shared" ref="F13:K13" si="1">-F151</f>
        <v>-125663522</v>
      </c>
      <c r="G13" s="347">
        <f t="shared" si="1"/>
        <v>-65692443</v>
      </c>
      <c r="H13" s="347">
        <f t="shared" si="1"/>
        <v>-36412851</v>
      </c>
      <c r="I13" s="347">
        <f t="shared" si="1"/>
        <v>-17782799</v>
      </c>
      <c r="J13" s="347">
        <f t="shared" si="1"/>
        <v>-5775429</v>
      </c>
      <c r="K13" s="347">
        <f t="shared" si="1"/>
        <v>-125663522</v>
      </c>
      <c r="L13" s="347">
        <f>F13-K13</f>
        <v>0</v>
      </c>
    </row>
    <row r="14" spans="1:12" ht="13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 t="shared" ref="F14:K14" si="2">F326</f>
        <v>-61719658</v>
      </c>
      <c r="G14" s="347">
        <f t="shared" si="2"/>
        <v>-31171348</v>
      </c>
      <c r="H14" s="347">
        <f t="shared" si="2"/>
        <v>-19568221</v>
      </c>
      <c r="I14" s="347">
        <f t="shared" si="2"/>
        <v>-8322263</v>
      </c>
      <c r="J14" s="347">
        <f t="shared" si="2"/>
        <v>-2657826</v>
      </c>
      <c r="K14" s="347">
        <f t="shared" si="2"/>
        <v>-61719658</v>
      </c>
      <c r="L14" s="347">
        <f>F14-K14</f>
        <v>0</v>
      </c>
    </row>
    <row r="15" spans="1:12" ht="13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3">SUM(F12:F14)</f>
        <v>285485009</v>
      </c>
      <c r="G15" s="346">
        <f t="shared" si="3"/>
        <v>144215291</v>
      </c>
      <c r="H15" s="346">
        <f t="shared" si="3"/>
        <v>90498188</v>
      </c>
      <c r="I15" s="346">
        <f t="shared" si="3"/>
        <v>38487360</v>
      </c>
      <c r="J15" s="346">
        <f t="shared" si="3"/>
        <v>12284170</v>
      </c>
      <c r="K15" s="346">
        <f t="shared" si="3"/>
        <v>285485009</v>
      </c>
      <c r="L15" s="346">
        <f>F15-K15</f>
        <v>0</v>
      </c>
    </row>
    <row r="16" spans="1:12" ht="13">
      <c r="A16" s="331">
        <v>6</v>
      </c>
      <c r="D16" s="342"/>
      <c r="E16" s="195"/>
      <c r="G16" s="351"/>
      <c r="H16" s="351"/>
      <c r="J16" s="351"/>
      <c r="K16" s="351"/>
      <c r="L16" s="351"/>
    </row>
    <row r="17" spans="1:12" ht="13">
      <c r="A17" s="331">
        <v>7</v>
      </c>
      <c r="B17" s="330" t="s">
        <v>98</v>
      </c>
      <c r="D17" s="342"/>
      <c r="E17" s="195"/>
      <c r="G17" s="351"/>
      <c r="H17" s="351"/>
      <c r="J17" s="351"/>
      <c r="K17" s="351"/>
      <c r="L17" s="351"/>
    </row>
    <row r="18" spans="1:12" ht="13">
      <c r="A18" s="331">
        <v>8</v>
      </c>
      <c r="C18" s="330" t="str">
        <f>'FR-16(7)(v)-1 Functional'!C18</f>
        <v>TOTAL O&amp;M EXPENSE</v>
      </c>
      <c r="D18" s="342"/>
      <c r="E18" s="195"/>
      <c r="F18" s="345">
        <f t="shared" ref="F18:K18" si="4">F433</f>
        <v>9808594</v>
      </c>
      <c r="G18" s="347">
        <f t="shared" si="4"/>
        <v>5047060</v>
      </c>
      <c r="H18" s="347">
        <f t="shared" si="4"/>
        <v>3064689</v>
      </c>
      <c r="I18" s="347">
        <f t="shared" si="4"/>
        <v>1300301</v>
      </c>
      <c r="J18" s="347">
        <f t="shared" si="4"/>
        <v>396544</v>
      </c>
      <c r="K18" s="347">
        <f t="shared" si="4"/>
        <v>9808594</v>
      </c>
      <c r="L18" s="347">
        <f t="shared" ref="L18:L24" si="5">F18-K18</f>
        <v>0</v>
      </c>
    </row>
    <row r="19" spans="1:12" ht="13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 t="shared" ref="F19:K19" si="6">F465</f>
        <v>11066268</v>
      </c>
      <c r="G19" s="347">
        <f t="shared" si="6"/>
        <v>5602813</v>
      </c>
      <c r="H19" s="347">
        <f t="shared" si="6"/>
        <v>3501905</v>
      </c>
      <c r="I19" s="347">
        <f t="shared" si="6"/>
        <v>1488896</v>
      </c>
      <c r="J19" s="347">
        <f t="shared" si="6"/>
        <v>472654</v>
      </c>
      <c r="K19" s="347">
        <f t="shared" si="6"/>
        <v>11066268</v>
      </c>
      <c r="L19" s="347">
        <f t="shared" si="5"/>
        <v>0</v>
      </c>
    </row>
    <row r="20" spans="1:12" ht="13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2800588</v>
      </c>
      <c r="G20" s="347">
        <f>$G$495</f>
        <v>1417503</v>
      </c>
      <c r="H20" s="347">
        <f>$H$495</f>
        <v>886439</v>
      </c>
      <c r="I20" s="347">
        <f>$I$495</f>
        <v>376896</v>
      </c>
      <c r="J20" s="347">
        <f>$J$495</f>
        <v>119750</v>
      </c>
      <c r="K20" s="347">
        <f>$K$495</f>
        <v>2800588</v>
      </c>
      <c r="L20" s="347">
        <f t="shared" si="5"/>
        <v>0</v>
      </c>
    </row>
    <row r="21" spans="1:12" ht="13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 t="shared" ref="F21:K21" si="7">SUM(F17:F20)</f>
        <v>23675450</v>
      </c>
      <c r="G21" s="346">
        <f t="shared" si="7"/>
        <v>12067376</v>
      </c>
      <c r="H21" s="346">
        <f t="shared" si="7"/>
        <v>7453033</v>
      </c>
      <c r="I21" s="346">
        <f t="shared" si="7"/>
        <v>3166093</v>
      </c>
      <c r="J21" s="346">
        <f t="shared" si="7"/>
        <v>988948</v>
      </c>
      <c r="K21" s="346">
        <f t="shared" si="7"/>
        <v>23675450</v>
      </c>
      <c r="L21" s="346">
        <f t="shared" si="5"/>
        <v>0</v>
      </c>
    </row>
    <row r="22" spans="1:12" ht="13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>F557</f>
        <v>2812847</v>
      </c>
      <c r="G22" s="347">
        <f>$G$557</f>
        <v>1419133</v>
      </c>
      <c r="H22" s="347">
        <f>$H$557</f>
        <v>892530</v>
      </c>
      <c r="I22" s="347">
        <f>$I$557</f>
        <v>379648</v>
      </c>
      <c r="J22" s="347">
        <f>$J$557</f>
        <v>121535</v>
      </c>
      <c r="K22" s="347">
        <f>$K$557</f>
        <v>2812846</v>
      </c>
      <c r="L22" s="347">
        <f t="shared" si="5"/>
        <v>1</v>
      </c>
    </row>
    <row r="23" spans="1:12" ht="13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>F605</f>
        <v>896458</v>
      </c>
      <c r="G23" s="345">
        <f t="shared" ref="G23:K23" si="8">G605</f>
        <v>452548</v>
      </c>
      <c r="H23" s="345">
        <f t="shared" si="8"/>
        <v>284321</v>
      </c>
      <c r="I23" s="345">
        <f t="shared" si="8"/>
        <v>120930</v>
      </c>
      <c r="J23" s="345">
        <f t="shared" si="8"/>
        <v>38660</v>
      </c>
      <c r="K23" s="345">
        <f t="shared" si="8"/>
        <v>896458</v>
      </c>
      <c r="L23" s="347">
        <f t="shared" si="5"/>
        <v>0</v>
      </c>
    </row>
    <row r="24" spans="1:12" ht="13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 t="shared" ref="F24:K24" si="9">SUM(F21:F23)</f>
        <v>27384755</v>
      </c>
      <c r="G24" s="346">
        <f t="shared" si="9"/>
        <v>13939057</v>
      </c>
      <c r="H24" s="346">
        <f t="shared" si="9"/>
        <v>8629884</v>
      </c>
      <c r="I24" s="346">
        <f t="shared" si="9"/>
        <v>3666671</v>
      </c>
      <c r="J24" s="346">
        <f t="shared" si="9"/>
        <v>1149143</v>
      </c>
      <c r="K24" s="346">
        <f t="shared" si="9"/>
        <v>27384754</v>
      </c>
      <c r="L24" s="346">
        <f t="shared" si="5"/>
        <v>1</v>
      </c>
    </row>
    <row r="25" spans="1:12" ht="13">
      <c r="A25" s="331">
        <v>15</v>
      </c>
      <c r="D25" s="342"/>
      <c r="E25" s="195"/>
      <c r="G25" s="351"/>
      <c r="H25" s="351"/>
      <c r="J25" s="351"/>
      <c r="K25" s="351"/>
      <c r="L25" s="351"/>
    </row>
    <row r="26" spans="1:12" ht="13">
      <c r="A26" s="331">
        <v>16</v>
      </c>
      <c r="B26" s="330" t="s">
        <v>43</v>
      </c>
      <c r="D26" s="342"/>
      <c r="E26" s="195"/>
      <c r="F26" s="345">
        <f t="shared" ref="F26:K26" si="10">F334</f>
        <v>20155242</v>
      </c>
      <c r="G26" s="347">
        <f t="shared" si="10"/>
        <v>10181600</v>
      </c>
      <c r="H26" s="347">
        <f t="shared" si="10"/>
        <v>6389172</v>
      </c>
      <c r="I26" s="347">
        <f t="shared" si="10"/>
        <v>2717208</v>
      </c>
      <c r="J26" s="347">
        <f t="shared" si="10"/>
        <v>867262</v>
      </c>
      <c r="K26" s="347">
        <f t="shared" si="10"/>
        <v>20155242</v>
      </c>
      <c r="L26" s="347">
        <f t="shared" ref="L26:L31" si="11">F26-K26</f>
        <v>0</v>
      </c>
    </row>
    <row r="27" spans="1:12" ht="13">
      <c r="A27" s="331">
        <v>17</v>
      </c>
      <c r="B27" s="357" t="s">
        <v>103</v>
      </c>
      <c r="C27" s="357"/>
      <c r="D27" s="342"/>
      <c r="E27" s="195"/>
      <c r="F27" s="345">
        <f>-F630</f>
        <v>-119630</v>
      </c>
      <c r="G27" s="347">
        <f>-$G$630</f>
        <v>-61556</v>
      </c>
      <c r="H27" s="347">
        <f>-$H$630</f>
        <v>-37378</v>
      </c>
      <c r="I27" s="347">
        <f>-$I$630</f>
        <v>-15859</v>
      </c>
      <c r="J27" s="347">
        <f>-$J$630</f>
        <v>-4837</v>
      </c>
      <c r="K27" s="347">
        <f>-$K$630</f>
        <v>-119630</v>
      </c>
      <c r="L27" s="347">
        <f t="shared" si="11"/>
        <v>0</v>
      </c>
    </row>
    <row r="28" spans="1:12" ht="13">
      <c r="A28" s="331">
        <v>18</v>
      </c>
      <c r="C28" s="330" t="str">
        <f>'FR-16(7)(v)-1 Functional'!C28</f>
        <v>TOTAL GAS COST OF SERVICE</v>
      </c>
      <c r="D28" s="342"/>
      <c r="E28" s="195"/>
      <c r="F28" s="346">
        <f t="shared" ref="F28:K28" si="12">SUM(F24:F27)</f>
        <v>47420367</v>
      </c>
      <c r="G28" s="346">
        <f t="shared" si="12"/>
        <v>24059101</v>
      </c>
      <c r="H28" s="346">
        <f t="shared" si="12"/>
        <v>14981678</v>
      </c>
      <c r="I28" s="346">
        <f t="shared" si="12"/>
        <v>6368020</v>
      </c>
      <c r="J28" s="346">
        <f t="shared" si="12"/>
        <v>2011568</v>
      </c>
      <c r="K28" s="346">
        <f t="shared" si="12"/>
        <v>47420366</v>
      </c>
      <c r="L28" s="346">
        <f t="shared" si="11"/>
        <v>1</v>
      </c>
    </row>
    <row r="29" spans="1:12" ht="13">
      <c r="A29" s="1104">
        <v>19</v>
      </c>
      <c r="B29" s="1105" t="s">
        <v>1184</v>
      </c>
      <c r="C29" s="1106"/>
      <c r="D29" s="1107">
        <f>1-'WP FR-16(7)(v)Rate Incr (40.0%)'!I11</f>
        <v>0</v>
      </c>
      <c r="E29" s="1108"/>
      <c r="F29" s="1106"/>
      <c r="G29" s="1106"/>
      <c r="H29" s="1106"/>
      <c r="I29" s="1106"/>
      <c r="J29" s="1106"/>
      <c r="K29" s="1112"/>
      <c r="L29" s="1112">
        <f t="shared" si="11"/>
        <v>0</v>
      </c>
    </row>
    <row r="30" spans="1:12" ht="13">
      <c r="A30" s="1104">
        <v>20</v>
      </c>
      <c r="B30" s="1113" t="s">
        <v>1185</v>
      </c>
      <c r="C30" s="1017"/>
      <c r="D30" s="1114"/>
      <c r="E30" s="1108"/>
      <c r="F30" s="1115">
        <f t="shared" ref="F30:K30" si="13">F29+F28</f>
        <v>47420367</v>
      </c>
      <c r="G30" s="1115">
        <f t="shared" si="13"/>
        <v>24059101</v>
      </c>
      <c r="H30" s="1115">
        <f t="shared" si="13"/>
        <v>14981678</v>
      </c>
      <c r="I30" s="1115">
        <f t="shared" si="13"/>
        <v>6368020</v>
      </c>
      <c r="J30" s="1115">
        <f t="shared" si="13"/>
        <v>2011568</v>
      </c>
      <c r="K30" s="1115">
        <f t="shared" si="13"/>
        <v>47420366</v>
      </c>
      <c r="L30" s="1119">
        <f t="shared" si="11"/>
        <v>1</v>
      </c>
    </row>
    <row r="31" spans="1:12" ht="13">
      <c r="A31" s="1104">
        <v>21</v>
      </c>
      <c r="B31" s="1120" t="s">
        <v>843</v>
      </c>
      <c r="C31" s="1106"/>
      <c r="D31" s="1114"/>
      <c r="E31" s="1108"/>
      <c r="F31" s="1119">
        <f t="shared" ref="F31:K31" si="14">F745</f>
        <v>47107856</v>
      </c>
      <c r="G31" s="1119">
        <f t="shared" si="14"/>
        <v>31797068</v>
      </c>
      <c r="H31" s="1119">
        <f t="shared" si="14"/>
        <v>12197059</v>
      </c>
      <c r="I31" s="1119">
        <f t="shared" si="14"/>
        <v>2350389</v>
      </c>
      <c r="J31" s="1119">
        <f t="shared" si="14"/>
        <v>763340</v>
      </c>
      <c r="K31" s="1119">
        <f t="shared" si="14"/>
        <v>47107856</v>
      </c>
      <c r="L31" s="1119">
        <f t="shared" si="11"/>
        <v>0</v>
      </c>
    </row>
    <row r="32" spans="1:12" ht="13">
      <c r="A32" s="1104">
        <v>22</v>
      </c>
      <c r="B32" s="1121" t="s">
        <v>1186</v>
      </c>
      <c r="C32" s="1017"/>
      <c r="D32" s="1114"/>
      <c r="E32" s="1108"/>
      <c r="F32" s="1124">
        <f>F30-F31</f>
        <v>312511</v>
      </c>
      <c r="G32" s="1124">
        <f t="shared" ref="G32:L32" si="15">G30-G31</f>
        <v>-7737967</v>
      </c>
      <c r="H32" s="1124">
        <f t="shared" si="15"/>
        <v>2784619</v>
      </c>
      <c r="I32" s="1124">
        <f t="shared" si="15"/>
        <v>4017631</v>
      </c>
      <c r="J32" s="1124">
        <f t="shared" si="15"/>
        <v>1248228</v>
      </c>
      <c r="K32" s="1124">
        <f t="shared" si="15"/>
        <v>312510</v>
      </c>
      <c r="L32" s="1124">
        <f t="shared" si="15"/>
        <v>1</v>
      </c>
    </row>
    <row r="33" spans="1:15" ht="13">
      <c r="A33" s="1104">
        <v>23</v>
      </c>
      <c r="B33" s="1017"/>
      <c r="C33" s="1017"/>
      <c r="D33" s="1114"/>
      <c r="E33" s="1108"/>
      <c r="F33" s="1017"/>
      <c r="G33" s="1017"/>
      <c r="H33" s="1017"/>
      <c r="I33" s="1017"/>
      <c r="J33" s="1017"/>
      <c r="K33" s="1017"/>
      <c r="L33" s="1017"/>
    </row>
    <row r="34" spans="1:15" ht="13">
      <c r="A34" s="1104">
        <v>24</v>
      </c>
      <c r="B34" s="1017" t="s">
        <v>104</v>
      </c>
      <c r="C34" s="1017"/>
      <c r="D34" s="1114"/>
      <c r="E34" s="1108"/>
      <c r="F34" s="1119">
        <f t="shared" ref="F34:K34" si="16">F654+F26</f>
        <v>20593640</v>
      </c>
      <c r="G34" s="1119">
        <f t="shared" si="16"/>
        <v>16330625</v>
      </c>
      <c r="H34" s="1119">
        <f t="shared" si="16"/>
        <v>4512073</v>
      </c>
      <c r="I34" s="1119">
        <f t="shared" si="16"/>
        <v>-208236</v>
      </c>
      <c r="J34" s="1119">
        <f t="shared" si="16"/>
        <v>-40821</v>
      </c>
      <c r="K34" s="1119">
        <f t="shared" si="16"/>
        <v>20593641</v>
      </c>
      <c r="L34" s="1119">
        <f>F34-K34</f>
        <v>-1</v>
      </c>
    </row>
    <row r="35" spans="1:15" ht="13">
      <c r="A35" s="1104">
        <v>25</v>
      </c>
      <c r="B35" s="1017" t="s">
        <v>105</v>
      </c>
      <c r="C35" s="1017"/>
      <c r="D35" s="1114"/>
      <c r="E35" s="1108"/>
      <c r="F35" s="1129">
        <f t="shared" ref="F35:L35" si="17">IF(F331=0,0,ROUND(F34/F331,5))</f>
        <v>7.2139999999999996E-2</v>
      </c>
      <c r="G35" s="1129">
        <f t="shared" si="17"/>
        <v>0.11323999999999999</v>
      </c>
      <c r="H35" s="1129">
        <f t="shared" si="17"/>
        <v>4.9860000000000002E-2</v>
      </c>
      <c r="I35" s="1129">
        <f t="shared" si="17"/>
        <v>-5.4099999999999999E-3</v>
      </c>
      <c r="J35" s="1129">
        <f t="shared" si="17"/>
        <v>-3.32E-3</v>
      </c>
      <c r="K35" s="1129">
        <f t="shared" si="17"/>
        <v>7.2139999999999996E-2</v>
      </c>
      <c r="L35" s="1129">
        <f t="shared" si="17"/>
        <v>0</v>
      </c>
    </row>
    <row r="36" spans="1:15" ht="13">
      <c r="A36" s="1104">
        <v>26</v>
      </c>
      <c r="B36" s="1017" t="s">
        <v>42</v>
      </c>
      <c r="C36" s="1017"/>
      <c r="D36" s="1114"/>
      <c r="E36" s="1108"/>
      <c r="F36" s="1129">
        <f t="shared" ref="F36:L36" si="18">$F$688</f>
        <v>7.060000000000001E-2</v>
      </c>
      <c r="G36" s="1129">
        <f t="shared" si="18"/>
        <v>7.060000000000001E-2</v>
      </c>
      <c r="H36" s="1129">
        <f t="shared" si="18"/>
        <v>7.060000000000001E-2</v>
      </c>
      <c r="I36" s="1129">
        <f t="shared" si="18"/>
        <v>7.060000000000001E-2</v>
      </c>
      <c r="J36" s="1129">
        <f t="shared" si="18"/>
        <v>7.060000000000001E-2</v>
      </c>
      <c r="K36" s="1129">
        <f t="shared" si="18"/>
        <v>7.060000000000001E-2</v>
      </c>
      <c r="L36" s="1129">
        <f t="shared" si="18"/>
        <v>7.060000000000001E-2</v>
      </c>
      <c r="O36" s="653" t="s">
        <v>1188</v>
      </c>
    </row>
    <row r="37" spans="1:15" ht="13">
      <c r="A37" s="1104">
        <v>27</v>
      </c>
      <c r="B37" s="1017" t="s">
        <v>106</v>
      </c>
      <c r="C37" s="1017"/>
      <c r="D37" s="1114"/>
      <c r="E37" s="1108"/>
      <c r="F37" s="1129">
        <f t="shared" ref="F37:K38" si="19">IF($F$670=0,0,(F35-$F$683-$F$684-$F$686)*$F$673/$F$670)</f>
        <v>0.10604762320896015</v>
      </c>
      <c r="G37" s="1129">
        <f t="shared" si="19"/>
        <v>0.18712197800598884</v>
      </c>
      <c r="H37" s="1129">
        <f t="shared" si="19"/>
        <v>6.2097826983222956E-2</v>
      </c>
      <c r="I37" s="1129">
        <f t="shared" si="19"/>
        <v>-4.6928440404411499E-2</v>
      </c>
      <c r="J37" s="1129">
        <f t="shared" si="19"/>
        <v>-4.2805681243200069E-2</v>
      </c>
      <c r="K37" s="1129">
        <f t="shared" si="19"/>
        <v>0.10604762320896015</v>
      </c>
      <c r="L37" s="1129">
        <f>IF(F670=0,0,(L35-F683-F684-F686)*F673/F670)</f>
        <v>-3.6256609274194343E-2</v>
      </c>
      <c r="O37" s="653" t="s">
        <v>1189</v>
      </c>
    </row>
    <row r="38" spans="1:15" ht="13">
      <c r="A38" s="1104">
        <v>28</v>
      </c>
      <c r="B38" s="1017" t="s">
        <v>107</v>
      </c>
      <c r="C38" s="1017"/>
      <c r="D38" s="1114"/>
      <c r="E38" s="1108"/>
      <c r="F38" s="1129">
        <f t="shared" si="19"/>
        <v>0.10300980066912017</v>
      </c>
      <c r="G38" s="1129">
        <f t="shared" si="19"/>
        <v>0.10300980066912017</v>
      </c>
      <c r="H38" s="1129">
        <f t="shared" si="19"/>
        <v>0.10300980066912017</v>
      </c>
      <c r="I38" s="1129">
        <f t="shared" si="19"/>
        <v>0.10300980066912017</v>
      </c>
      <c r="J38" s="1129">
        <f t="shared" si="19"/>
        <v>0.10300980066912017</v>
      </c>
      <c r="K38" s="1129">
        <f t="shared" si="19"/>
        <v>0.10300980066912017</v>
      </c>
      <c r="L38" s="1129">
        <f>IF($F$670=0,0,(L36-$F$683-$F$684-$F$686)*$F$673/$F$670)</f>
        <v>0.10300980066912017</v>
      </c>
    </row>
    <row r="39" spans="1:15" ht="13">
      <c r="A39" s="1104">
        <v>29</v>
      </c>
      <c r="B39" s="1017"/>
      <c r="C39" s="1017"/>
      <c r="D39" s="1114"/>
      <c r="E39" s="1108"/>
      <c r="F39" s="1017" t="s">
        <v>343</v>
      </c>
      <c r="G39" s="1017"/>
      <c r="H39" s="1017"/>
      <c r="I39" s="1017"/>
      <c r="J39" s="1017"/>
      <c r="K39" s="1017"/>
      <c r="L39" s="1017"/>
    </row>
    <row r="40" spans="1:15" ht="13">
      <c r="A40" s="1104">
        <v>30</v>
      </c>
      <c r="B40" s="1017" t="s">
        <v>108</v>
      </c>
      <c r="C40" s="1017"/>
      <c r="D40" s="1114"/>
      <c r="E40" s="1108"/>
      <c r="F40" s="1119">
        <f t="shared" ref="F40:K40" si="20">F744</f>
        <v>41410611</v>
      </c>
      <c r="G40" s="1119">
        <f t="shared" si="20"/>
        <v>28086693</v>
      </c>
      <c r="H40" s="1119">
        <f t="shared" si="20"/>
        <v>10628306</v>
      </c>
      <c r="I40" s="1119">
        <f t="shared" si="20"/>
        <v>2031398</v>
      </c>
      <c r="J40" s="1119">
        <f t="shared" si="20"/>
        <v>664214</v>
      </c>
      <c r="K40" s="1119">
        <f t="shared" si="20"/>
        <v>41410611</v>
      </c>
      <c r="L40" s="1119">
        <f>F40-K40</f>
        <v>0</v>
      </c>
    </row>
    <row r="41" spans="1:15" ht="13">
      <c r="A41" s="1104">
        <v>31</v>
      </c>
      <c r="B41" s="1017" t="s">
        <v>109</v>
      </c>
      <c r="C41" s="1017"/>
      <c r="D41" s="1114"/>
      <c r="E41" s="1108"/>
      <c r="F41" s="1119">
        <f t="shared" ref="F41:L41" si="21">F28-F40</f>
        <v>6009756</v>
      </c>
      <c r="G41" s="1119">
        <f t="shared" si="21"/>
        <v>-4027592</v>
      </c>
      <c r="H41" s="1119">
        <f t="shared" si="21"/>
        <v>4353372</v>
      </c>
      <c r="I41" s="1119">
        <f t="shared" si="21"/>
        <v>4336622</v>
      </c>
      <c r="J41" s="1119">
        <f t="shared" si="21"/>
        <v>1347354</v>
      </c>
      <c r="K41" s="1119">
        <f t="shared" si="21"/>
        <v>6009755</v>
      </c>
      <c r="L41" s="1119">
        <f t="shared" si="21"/>
        <v>1</v>
      </c>
    </row>
    <row r="42" spans="1:15" ht="13">
      <c r="A42" s="1104">
        <v>32</v>
      </c>
      <c r="B42" s="1017"/>
      <c r="C42" s="1017" t="s">
        <v>283</v>
      </c>
      <c r="D42" s="1114"/>
      <c r="E42" s="1108"/>
      <c r="F42" s="1133">
        <f t="shared" ref="F42:L42" si="22">IF(F40=0,0,ROUND(F41/F40,5))</f>
        <v>0.14513000000000001</v>
      </c>
      <c r="G42" s="1133">
        <f t="shared" si="22"/>
        <v>-0.1434</v>
      </c>
      <c r="H42" s="1133">
        <f t="shared" si="22"/>
        <v>0.40960000000000002</v>
      </c>
      <c r="I42" s="1133">
        <f t="shared" si="22"/>
        <v>2.1347999999999998</v>
      </c>
      <c r="J42" s="1133">
        <f t="shared" si="22"/>
        <v>2.0284900000000001</v>
      </c>
      <c r="K42" s="1133">
        <f t="shared" si="22"/>
        <v>0.14513000000000001</v>
      </c>
      <c r="L42" s="1133">
        <f t="shared" si="22"/>
        <v>0</v>
      </c>
    </row>
    <row r="43" spans="1:15" ht="13">
      <c r="A43" s="1104">
        <v>33</v>
      </c>
      <c r="B43" s="1017" t="s">
        <v>110</v>
      </c>
      <c r="C43" s="1017"/>
      <c r="D43" s="1114"/>
      <c r="E43" s="1108"/>
      <c r="F43" s="1119">
        <f t="shared" ref="F43:L43" si="23">F31-F40</f>
        <v>5697245</v>
      </c>
      <c r="G43" s="1119">
        <f t="shared" si="23"/>
        <v>3710375</v>
      </c>
      <c r="H43" s="1119">
        <f t="shared" si="23"/>
        <v>1568753</v>
      </c>
      <c r="I43" s="1119">
        <f t="shared" si="23"/>
        <v>318991</v>
      </c>
      <c r="J43" s="1119">
        <f t="shared" si="23"/>
        <v>99126</v>
      </c>
      <c r="K43" s="1119">
        <f t="shared" si="23"/>
        <v>5697245</v>
      </c>
      <c r="L43" s="1119">
        <f t="shared" si="23"/>
        <v>0</v>
      </c>
    </row>
    <row r="44" spans="1:15" ht="13">
      <c r="A44" s="1104">
        <v>34</v>
      </c>
      <c r="B44" s="1017"/>
      <c r="C44" s="1017" t="s">
        <v>283</v>
      </c>
      <c r="D44" s="1114"/>
      <c r="E44" s="1108"/>
      <c r="F44" s="1133">
        <f t="shared" ref="F44:L44" si="24">IF(F40=0,0,ROUND(F43/F40,5))</f>
        <v>0.13758000000000001</v>
      </c>
      <c r="G44" s="1133">
        <f t="shared" si="24"/>
        <v>0.1321</v>
      </c>
      <c r="H44" s="1133">
        <f t="shared" si="24"/>
        <v>0.14760000000000001</v>
      </c>
      <c r="I44" s="1133">
        <f t="shared" si="24"/>
        <v>0.15703</v>
      </c>
      <c r="J44" s="1133">
        <f t="shared" si="24"/>
        <v>0.14924000000000001</v>
      </c>
      <c r="K44" s="1133">
        <f t="shared" si="24"/>
        <v>0.13758000000000001</v>
      </c>
      <c r="L44" s="1133">
        <f t="shared" si="24"/>
        <v>0</v>
      </c>
    </row>
    <row r="45" spans="1:15" ht="13">
      <c r="A45" s="341"/>
      <c r="C45" s="195"/>
      <c r="D45" s="342"/>
      <c r="E45" s="195"/>
      <c r="G45" s="340"/>
      <c r="H45" s="340"/>
      <c r="I45" s="195"/>
      <c r="J45" s="342"/>
      <c r="K45" s="195"/>
      <c r="L45" s="195"/>
    </row>
    <row r="46" spans="1:15" ht="13">
      <c r="A46" s="341" t="str">
        <f>co_name</f>
        <v>DUKE ENERGY KENTUCKY, INC.</v>
      </c>
      <c r="C46" s="195"/>
      <c r="D46" s="342"/>
      <c r="E46" s="195"/>
      <c r="F46" s="342"/>
      <c r="G46" s="340"/>
      <c r="H46" s="340"/>
      <c r="I46" s="195"/>
      <c r="K46" s="359" t="str">
        <f>$K$1</f>
        <v>FR-16(7)(v)-5</v>
      </c>
      <c r="L46" s="195"/>
    </row>
    <row r="47" spans="1:15" ht="13">
      <c r="A47" s="341" t="str">
        <f>$A$2</f>
        <v>DISTRIBUTION DEMAND ALLOCATED - GAS COST OF SERVICE</v>
      </c>
      <c r="C47" s="195"/>
      <c r="D47" s="342"/>
      <c r="E47" s="195"/>
      <c r="F47" s="342"/>
      <c r="G47" s="340"/>
      <c r="H47" s="340"/>
      <c r="I47" s="195"/>
      <c r="K47" s="359" t="str">
        <f>$K$2</f>
        <v>WITNESS RESPONSIBLE:</v>
      </c>
      <c r="L47" s="195"/>
    </row>
    <row r="48" spans="1:15" ht="13">
      <c r="A48" s="341" t="str">
        <f>case_name</f>
        <v>CASE NO: 2021-00190</v>
      </c>
      <c r="C48" s="195"/>
      <c r="D48" s="342"/>
      <c r="E48" s="195"/>
      <c r="F48" s="342"/>
      <c r="G48" s="340"/>
      <c r="H48" s="340"/>
      <c r="I48" s="195"/>
      <c r="K48" s="359" t="str">
        <f>Witness</f>
        <v>JAMES E. ZIOLKOWSKI</v>
      </c>
      <c r="L48" s="195"/>
    </row>
    <row r="49" spans="1:12" ht="13">
      <c r="A49" s="341" t="str">
        <f>data_filing</f>
        <v>DATA: 12 MONTH FORECASTED PERIOD</v>
      </c>
      <c r="C49" s="195"/>
      <c r="D49" s="342"/>
      <c r="E49" s="195"/>
      <c r="F49" s="342"/>
      <c r="G49" s="340"/>
      <c r="H49" s="340"/>
      <c r="I49" s="195"/>
      <c r="K49" s="359" t="str">
        <f>"PAGE "&amp;Pages-16&amp;" OF "&amp;Pages</f>
        <v>PAGE 2 OF 18</v>
      </c>
      <c r="L49" s="195"/>
    </row>
    <row r="50" spans="1:12" ht="13">
      <c r="A50" s="341" t="str">
        <f>type</f>
        <v xml:space="preserve">TYPE OF FILING: "X" ORIGINAL   UPDATED    REVISED  </v>
      </c>
      <c r="C50" s="195"/>
      <c r="D50" s="342"/>
      <c r="E50" s="195"/>
      <c r="F50" s="342"/>
      <c r="G50" s="340"/>
      <c r="H50" s="340"/>
      <c r="I50" s="195"/>
      <c r="J50" s="342"/>
      <c r="K50" s="195"/>
      <c r="L50" s="195"/>
    </row>
    <row r="51" spans="1:12" ht="13">
      <c r="A51" s="341"/>
      <c r="C51" s="195"/>
      <c r="D51" s="342"/>
      <c r="E51" s="195"/>
      <c r="F51" s="342"/>
      <c r="G51" s="340"/>
      <c r="H51" s="340"/>
      <c r="I51" s="195"/>
      <c r="J51" s="342"/>
      <c r="K51" s="195"/>
      <c r="L51" s="195"/>
    </row>
    <row r="52" spans="1:12" ht="13">
      <c r="A52" s="341"/>
      <c r="C52" s="195"/>
      <c r="D52" s="342"/>
      <c r="E52" s="195"/>
      <c r="F52" s="342" t="str">
        <f>$F$7</f>
        <v>TOTAL</v>
      </c>
      <c r="G52" s="340"/>
      <c r="H52" s="340"/>
      <c r="I52" s="195"/>
      <c r="J52" s="342"/>
      <c r="K52" s="195"/>
      <c r="L52" s="195"/>
    </row>
    <row r="53" spans="1:12" ht="13">
      <c r="A53" s="342" t="s">
        <v>907</v>
      </c>
      <c r="B53" s="195"/>
      <c r="C53" s="195"/>
      <c r="D53" s="342"/>
      <c r="E53" s="195"/>
      <c r="F53" s="342" t="str">
        <f>$F$8</f>
        <v>DISTRIBUTION</v>
      </c>
      <c r="G53" s="352" t="s">
        <v>859</v>
      </c>
      <c r="H53" s="352" t="s">
        <v>857</v>
      </c>
      <c r="I53" s="342" t="s">
        <v>858</v>
      </c>
      <c r="J53" s="342" t="s">
        <v>546</v>
      </c>
      <c r="K53" s="342" t="s">
        <v>229</v>
      </c>
      <c r="L53" s="342" t="s">
        <v>342</v>
      </c>
    </row>
    <row r="54" spans="1:12" ht="13">
      <c r="A54" s="344" t="s">
        <v>908</v>
      </c>
      <c r="B54" s="343" t="s">
        <v>95</v>
      </c>
      <c r="C54" s="343"/>
      <c r="D54" s="344" t="s">
        <v>337</v>
      </c>
      <c r="E54" s="343"/>
      <c r="F54" s="342" t="str">
        <f>$F$9</f>
        <v>DEMAND</v>
      </c>
      <c r="G54" s="353" t="s">
        <v>338</v>
      </c>
      <c r="H54" s="353" t="s">
        <v>404</v>
      </c>
      <c r="I54" s="344" t="s">
        <v>404</v>
      </c>
      <c r="J54" s="344" t="s">
        <v>547</v>
      </c>
      <c r="K54" s="344" t="s">
        <v>341</v>
      </c>
      <c r="L54" s="344" t="s">
        <v>340</v>
      </c>
    </row>
    <row r="55" spans="1:12" ht="13">
      <c r="C55" s="572" t="s">
        <v>344</v>
      </c>
      <c r="D55" s="342"/>
      <c r="E55" s="195"/>
      <c r="F55" s="755"/>
      <c r="G55" s="627">
        <f>$G$10</f>
        <v>3</v>
      </c>
      <c r="H55" s="627">
        <f>$H$10</f>
        <v>4</v>
      </c>
      <c r="I55" s="627">
        <f>$I$10</f>
        <v>5</v>
      </c>
      <c r="J55" s="627">
        <f>$J$10</f>
        <v>6</v>
      </c>
      <c r="L55" s="330" t="s">
        <v>343</v>
      </c>
    </row>
    <row r="56" spans="1:12" ht="13">
      <c r="A56" s="331">
        <v>1</v>
      </c>
      <c r="B56" s="330" t="s">
        <v>14</v>
      </c>
      <c r="E56" s="195"/>
      <c r="G56" s="351"/>
      <c r="H56" s="351"/>
      <c r="I56" s="330"/>
    </row>
    <row r="57" spans="1:12" ht="13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3">
        <f>'FR-16(7)(v)-4 DISTR Classified'!G57</f>
        <v>0</v>
      </c>
      <c r="G57" s="347">
        <f>F57-SUM(H57:J57)</f>
        <v>0</v>
      </c>
      <c r="H57" s="347">
        <f>ROUND($F$57*VLOOKUP($D$57,ALLOCTABLE_DISTR_DEMAND,$H$10,FALSE),0)</f>
        <v>0</v>
      </c>
      <c r="I57" s="345">
        <f>ROUND(F57*VLOOKUP(D57,ALLOCTABLE_DISTR_DEMAND,$I$10,FALSE),0)</f>
        <v>0</v>
      </c>
      <c r="J57" s="345">
        <f>ROUND(F57*VLOOKUP(D57,ALLOCTABLE_DISTR_DEMAND,$J$10,FALSE),0)</f>
        <v>0</v>
      </c>
      <c r="K57" s="345">
        <f>SUM($G$57:$J$57)</f>
        <v>0</v>
      </c>
      <c r="L57" s="345">
        <f>F57-$K$57</f>
        <v>0</v>
      </c>
    </row>
    <row r="58" spans="1:12" ht="13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3">
        <f>'FR-16(7)(v)-4 DISTR Classified'!G58</f>
        <v>0</v>
      </c>
      <c r="G58" s="347">
        <f>F58-SUM(H58:J58)</f>
        <v>0</v>
      </c>
      <c r="H58" s="347">
        <f>ROUND($F$58*VLOOKUP($D$58,ALLOCTABLE_DISTR_DEMAND,$H$10,FALSE),0)</f>
        <v>0</v>
      </c>
      <c r="I58" s="345">
        <f>ROUND(F58*VLOOKUP(D58,ALLOCTABLE_DISTR_DEMAND,$I$10,FALSE),0)</f>
        <v>0</v>
      </c>
      <c r="J58" s="345">
        <f>ROUND(F58*VLOOKUP(D58,ALLOCTABLE_DISTR_DEMAND,$J$10,FALSE),0)</f>
        <v>0</v>
      </c>
      <c r="K58" s="345">
        <f>SUM($G$58:$J$58)</f>
        <v>0</v>
      </c>
      <c r="L58" s="345">
        <f>F58-$K$58</f>
        <v>0</v>
      </c>
    </row>
    <row r="59" spans="1:12" ht="13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0</v>
      </c>
      <c r="G59" s="346">
        <f>SUM($G$57:$G$58)</f>
        <v>0</v>
      </c>
      <c r="H59" s="346">
        <f>SUM($H$57:$H$58)</f>
        <v>0</v>
      </c>
      <c r="I59" s="346">
        <f>SUM($I$57:$I$58)</f>
        <v>0</v>
      </c>
      <c r="J59" s="346">
        <f>SUM($J$57:$J$58)</f>
        <v>0</v>
      </c>
      <c r="K59" s="346">
        <f>SUM($K$57:$K$58)</f>
        <v>0</v>
      </c>
      <c r="L59" s="346">
        <f>SUM($L$57:$L$58)</f>
        <v>0</v>
      </c>
    </row>
    <row r="60" spans="1:12" ht="13">
      <c r="A60" s="331">
        <v>5</v>
      </c>
      <c r="D60" s="342"/>
      <c r="E60" s="195"/>
      <c r="G60" s="351"/>
      <c r="H60" s="351"/>
      <c r="I60" s="330"/>
    </row>
    <row r="61" spans="1:12" ht="13">
      <c r="A61" s="331">
        <v>6</v>
      </c>
      <c r="B61" s="330" t="s">
        <v>15</v>
      </c>
      <c r="D61" s="342"/>
      <c r="E61" s="195"/>
      <c r="G61" s="351"/>
      <c r="H61" s="351"/>
      <c r="I61" s="330"/>
    </row>
    <row r="62" spans="1:12" ht="13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1"/>
      <c r="G62" s="347"/>
      <c r="H62" s="347"/>
      <c r="I62" s="345"/>
      <c r="J62" s="345"/>
      <c r="K62" s="345"/>
      <c r="L62" s="345"/>
    </row>
    <row r="63" spans="1:12" ht="13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346">
        <f>SUM($G$62)</f>
        <v>0</v>
      </c>
      <c r="H63" s="346">
        <f>SUM($H$62)</f>
        <v>0</v>
      </c>
      <c r="I63" s="346">
        <f>SUM($I$62)</f>
        <v>0</v>
      </c>
      <c r="J63" s="346">
        <f>SUM($J$62)</f>
        <v>0</v>
      </c>
      <c r="K63" s="346">
        <f>SUM($K$62)</f>
        <v>0</v>
      </c>
      <c r="L63" s="346">
        <f>SUM($L$62)</f>
        <v>0</v>
      </c>
    </row>
    <row r="64" spans="1:12" ht="13">
      <c r="A64" s="331">
        <v>9</v>
      </c>
      <c r="D64" s="342"/>
      <c r="E64" s="195"/>
      <c r="G64" s="351"/>
      <c r="H64" s="351"/>
      <c r="I64" s="330"/>
    </row>
    <row r="65" spans="1:12" ht="13">
      <c r="A65" s="331">
        <v>10</v>
      </c>
      <c r="B65" s="330" t="s">
        <v>16</v>
      </c>
      <c r="D65" s="342"/>
      <c r="E65" s="195"/>
      <c r="F65" s="345">
        <f>F63+F59</f>
        <v>0</v>
      </c>
      <c r="G65" s="347">
        <f>$G$63+$G$59</f>
        <v>0</v>
      </c>
      <c r="H65" s="347">
        <f>$H$63+$H$59</f>
        <v>0</v>
      </c>
      <c r="I65" s="345">
        <f>$I$63+$I$59</f>
        <v>0</v>
      </c>
      <c r="J65" s="345">
        <f>$J$63+$J$59</f>
        <v>0</v>
      </c>
      <c r="K65" s="345">
        <f>$K$63+$K$59</f>
        <v>0</v>
      </c>
      <c r="L65" s="345">
        <f>$L$63+$L$59</f>
        <v>0</v>
      </c>
    </row>
    <row r="66" spans="1:12" ht="13">
      <c r="A66" s="331">
        <v>11</v>
      </c>
      <c r="D66" s="342"/>
      <c r="E66" s="195"/>
      <c r="G66" s="351"/>
      <c r="H66" s="351"/>
      <c r="I66" s="330"/>
    </row>
    <row r="67" spans="1:12" ht="13">
      <c r="A67" s="331">
        <v>12</v>
      </c>
      <c r="B67" s="330" t="s">
        <v>17</v>
      </c>
      <c r="D67" s="342"/>
      <c r="E67" s="195"/>
      <c r="G67" s="351"/>
      <c r="H67" s="351"/>
      <c r="I67" s="330"/>
    </row>
    <row r="68" spans="1:12" ht="13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3">
        <f>'FR-16(7)(v)-4 DISTR Classified'!G68</f>
        <v>41242292</v>
      </c>
      <c r="G68" s="347">
        <f t="shared" ref="G68:G77" si="25">F68-SUM(H68:J68)</f>
        <v>21048416</v>
      </c>
      <c r="H68" s="347">
        <f>ROUND($F$68*VLOOKUP($D$68,ALLOCTABLE_DISTR_DEMAND,$H$10,FALSE),0)</f>
        <v>12780986</v>
      </c>
      <c r="I68" s="345">
        <f t="shared" ref="I68:I77" si="26">ROUND(F68*VLOOKUP(D68,ALLOCTABLE_DISTR_DEMAND,$I$10,FALSE),0)</f>
        <v>5618850</v>
      </c>
      <c r="J68" s="345">
        <f t="shared" ref="J68:J77" si="27">ROUND(F68*VLOOKUP(D68,ALLOCTABLE_DISTR_DEMAND,$J$10,FALSE),0)</f>
        <v>1794040</v>
      </c>
      <c r="K68" s="345">
        <f t="shared" ref="K68:K77" si="28">SUM(G68:J68)</f>
        <v>41242292</v>
      </c>
      <c r="L68" s="345">
        <f t="shared" ref="L68:L77" si="29">F68-K68</f>
        <v>0</v>
      </c>
    </row>
    <row r="69" spans="1:12" ht="13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3">
        <f>'FR-16(7)(v)-4 DISTR Classified'!G69</f>
        <v>2724163</v>
      </c>
      <c r="G69" s="347">
        <f t="shared" si="25"/>
        <v>1390304</v>
      </c>
      <c r="H69" s="347">
        <f>ROUND($F$69*VLOOKUP($D$69,ALLOCTABLE_DISTR_DEMAND,$H$10,FALSE),0)</f>
        <v>844218</v>
      </c>
      <c r="I69" s="345">
        <f t="shared" si="26"/>
        <v>371140</v>
      </c>
      <c r="J69" s="345">
        <f t="shared" si="27"/>
        <v>118501</v>
      </c>
      <c r="K69" s="345">
        <f t="shared" si="28"/>
        <v>2724163</v>
      </c>
      <c r="L69" s="345">
        <f t="shared" si="29"/>
        <v>0</v>
      </c>
    </row>
    <row r="70" spans="1:12" ht="13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3">
        <f>'FR-16(7)(v)-4 DISTR Classified'!G70</f>
        <v>566920</v>
      </c>
      <c r="G70" s="347">
        <f t="shared" si="25"/>
        <v>0</v>
      </c>
      <c r="H70" s="347">
        <f>ROUND($F$70*VLOOKUP($D$70,ALLOCTABLE_DISTR_DEMAND,$H$10,FALSE),0)</f>
        <v>0</v>
      </c>
      <c r="I70" s="345">
        <f t="shared" si="26"/>
        <v>330469</v>
      </c>
      <c r="J70" s="345">
        <f t="shared" si="27"/>
        <v>236451</v>
      </c>
      <c r="K70" s="345">
        <f t="shared" si="28"/>
        <v>566920</v>
      </c>
      <c r="L70" s="345">
        <f t="shared" si="29"/>
        <v>0</v>
      </c>
    </row>
    <row r="71" spans="1:12" ht="13">
      <c r="A71" s="331">
        <v>16</v>
      </c>
      <c r="C71" s="330" t="str">
        <f>'FR-16(7)(v)-1 Functional'!C71</f>
        <v>MAINS - (2761, 2762, 2763, 2765)</v>
      </c>
      <c r="D71" s="342" t="s">
        <v>288</v>
      </c>
      <c r="E71" s="195"/>
      <c r="F71" s="473">
        <f>'FR-16(7)(v)-4 DISTR Classified'!G71</f>
        <v>396995775</v>
      </c>
      <c r="G71" s="347">
        <f t="shared" si="25"/>
        <v>202610764</v>
      </c>
      <c r="H71" s="347">
        <f>ROUND($F$71*VLOOKUP($D$71,ALLOCTABLE_DISTR_DEMAND,$H$10,FALSE),0)</f>
        <v>123028991</v>
      </c>
      <c r="I71" s="345">
        <f t="shared" si="26"/>
        <v>54086704</v>
      </c>
      <c r="J71" s="345">
        <f t="shared" si="27"/>
        <v>17269316</v>
      </c>
      <c r="K71" s="345">
        <f t="shared" si="28"/>
        <v>396995775</v>
      </c>
      <c r="L71" s="345">
        <f t="shared" si="29"/>
        <v>0</v>
      </c>
    </row>
    <row r="72" spans="1:12" ht="13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3">
        <f>'FR-16(7)(v)-4 DISTR Classified'!G72</f>
        <v>0</v>
      </c>
      <c r="G72" s="347">
        <f t="shared" si="25"/>
        <v>0</v>
      </c>
      <c r="H72" s="347">
        <f>ROUND($F$72*VLOOKUP($D$72,ALLOCTABLE_DISTR_DEMAND,$H$10,FALSE),0)</f>
        <v>0</v>
      </c>
      <c r="I72" s="345">
        <f t="shared" si="26"/>
        <v>0</v>
      </c>
      <c r="J72" s="345">
        <f t="shared" si="27"/>
        <v>0</v>
      </c>
      <c r="K72" s="345">
        <f t="shared" si="28"/>
        <v>0</v>
      </c>
      <c r="L72" s="345">
        <f t="shared" si="29"/>
        <v>0</v>
      </c>
    </row>
    <row r="73" spans="1:12" ht="13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3">
        <f>'FR-16(7)(v)-4 DISTR Classified'!G73</f>
        <v>0</v>
      </c>
      <c r="G73" s="347">
        <f t="shared" si="25"/>
        <v>0</v>
      </c>
      <c r="H73" s="347">
        <f>ROUND($F$73*VLOOKUP($D$73,ALLOCTABLE_DISTR_DEMAND,$H$10,FALSE),0)</f>
        <v>0</v>
      </c>
      <c r="I73" s="345">
        <f t="shared" si="26"/>
        <v>0</v>
      </c>
      <c r="J73" s="345">
        <f t="shared" si="27"/>
        <v>0</v>
      </c>
      <c r="K73" s="345">
        <f t="shared" si="28"/>
        <v>0</v>
      </c>
      <c r="L73" s="345">
        <f t="shared" si="29"/>
        <v>0</v>
      </c>
    </row>
    <row r="74" spans="1:12" ht="13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3">
        <f>'FR-16(7)(v)-4 DISTR Classified'!G74</f>
        <v>11654163</v>
      </c>
      <c r="G74" s="347">
        <f t="shared" si="25"/>
        <v>5947819</v>
      </c>
      <c r="H74" s="347">
        <f>ROUND($F$74*VLOOKUP($D$74,ALLOCTABLE_DISTR_DEMAND,$H$10,FALSE),0)</f>
        <v>3611625</v>
      </c>
      <c r="I74" s="345">
        <f t="shared" si="26"/>
        <v>1587763</v>
      </c>
      <c r="J74" s="345">
        <f t="shared" si="27"/>
        <v>506956</v>
      </c>
      <c r="K74" s="345">
        <f t="shared" si="28"/>
        <v>11654163</v>
      </c>
      <c r="L74" s="345">
        <f t="shared" si="29"/>
        <v>0</v>
      </c>
    </row>
    <row r="75" spans="1:12" ht="13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3">
        <f>'FR-16(7)(v)-4 DISTR Classified'!G75</f>
        <v>0</v>
      </c>
      <c r="G75" s="347">
        <f t="shared" si="25"/>
        <v>0</v>
      </c>
      <c r="H75" s="347">
        <f>ROUND($F$75*VLOOKUP($D$75,ALLOCTABLE_DISTR_DEMAND,$H$10,FALSE),0)</f>
        <v>0</v>
      </c>
      <c r="I75" s="345">
        <f t="shared" si="26"/>
        <v>0</v>
      </c>
      <c r="J75" s="345">
        <f t="shared" si="27"/>
        <v>0</v>
      </c>
      <c r="K75" s="345">
        <f t="shared" si="28"/>
        <v>0</v>
      </c>
      <c r="L75" s="345">
        <f t="shared" si="29"/>
        <v>0</v>
      </c>
    </row>
    <row r="76" spans="1:12" ht="13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3">
        <f>'FR-16(7)(v)-4 DISTR Classified'!G76</f>
        <v>91485</v>
      </c>
      <c r="G76" s="347">
        <f t="shared" si="25"/>
        <v>0</v>
      </c>
      <c r="H76" s="347">
        <f>ROUND($F$76*VLOOKUP($D$76,ALLOCTABLE_DISTR_DEMAND,$H$10,FALSE),0)</f>
        <v>91485</v>
      </c>
      <c r="I76" s="345">
        <f t="shared" si="26"/>
        <v>0</v>
      </c>
      <c r="J76" s="345">
        <f t="shared" si="27"/>
        <v>0</v>
      </c>
      <c r="K76" s="345">
        <f t="shared" si="28"/>
        <v>91485</v>
      </c>
      <c r="L76" s="345">
        <f t="shared" si="29"/>
        <v>0</v>
      </c>
    </row>
    <row r="77" spans="1:12" ht="13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3">
        <f>'FR-16(7)(v)-4 DISTR Classified'!G77</f>
        <v>0</v>
      </c>
      <c r="G77" s="347">
        <f t="shared" si="25"/>
        <v>0</v>
      </c>
      <c r="H77" s="347">
        <f>ROUND($F$77*VLOOKUP($D$77,ALLOCTABLE_DISTR_DEMAND,$H$10,FALSE),0)</f>
        <v>0</v>
      </c>
      <c r="I77" s="345">
        <f t="shared" si="26"/>
        <v>0</v>
      </c>
      <c r="J77" s="345">
        <f t="shared" si="27"/>
        <v>0</v>
      </c>
      <c r="K77" s="345">
        <f t="shared" si="28"/>
        <v>0</v>
      </c>
      <c r="L77" s="345">
        <f t="shared" si="29"/>
        <v>0</v>
      </c>
    </row>
    <row r="78" spans="1:12" ht="13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L78" si="30">SUM(F68:F77)</f>
        <v>453274798</v>
      </c>
      <c r="G78" s="346">
        <f>SUM(G68:G77)</f>
        <v>230997303</v>
      </c>
      <c r="H78" s="346">
        <f t="shared" si="30"/>
        <v>140357305</v>
      </c>
      <c r="I78" s="346">
        <f t="shared" si="30"/>
        <v>61994926</v>
      </c>
      <c r="J78" s="346">
        <f t="shared" si="30"/>
        <v>19925264</v>
      </c>
      <c r="K78" s="346">
        <f t="shared" si="30"/>
        <v>453274798</v>
      </c>
      <c r="L78" s="346">
        <f t="shared" si="30"/>
        <v>0</v>
      </c>
    </row>
    <row r="79" spans="1:12" ht="13">
      <c r="A79" s="331">
        <v>24</v>
      </c>
      <c r="D79" s="342"/>
      <c r="E79" s="195"/>
      <c r="G79" s="351"/>
      <c r="H79" s="351"/>
      <c r="I79" s="330"/>
    </row>
    <row r="80" spans="1:12" ht="13">
      <c r="A80" s="331">
        <v>25</v>
      </c>
      <c r="B80" s="330" t="s">
        <v>18</v>
      </c>
      <c r="D80" s="342"/>
      <c r="E80" s="195"/>
      <c r="F80" s="345">
        <f>F78+F63</f>
        <v>453274798</v>
      </c>
      <c r="G80" s="347">
        <f>G78+$G$63</f>
        <v>230997303</v>
      </c>
      <c r="H80" s="347">
        <f>H78+$H$63</f>
        <v>140357305</v>
      </c>
      <c r="I80" s="345">
        <f>I78+$I$63</f>
        <v>61994926</v>
      </c>
      <c r="J80" s="345">
        <f>J78+$J$63</f>
        <v>19925264</v>
      </c>
      <c r="K80" s="345">
        <f>K78+$K$63</f>
        <v>453274798</v>
      </c>
      <c r="L80" s="345">
        <f>L78+$L$63</f>
        <v>0</v>
      </c>
    </row>
    <row r="81" spans="1:12" ht="13">
      <c r="A81" s="331">
        <v>26</v>
      </c>
      <c r="B81" s="330" t="s">
        <v>19</v>
      </c>
      <c r="D81" s="342"/>
      <c r="E81" s="195"/>
      <c r="F81" s="345">
        <f t="shared" ref="F81:L81" si="31">F78+F65</f>
        <v>453274798</v>
      </c>
      <c r="G81" s="347">
        <f>G78+G65</f>
        <v>230997303</v>
      </c>
      <c r="H81" s="347">
        <f t="shared" si="31"/>
        <v>140357305</v>
      </c>
      <c r="I81" s="345">
        <f t="shared" si="31"/>
        <v>61994926</v>
      </c>
      <c r="J81" s="345">
        <f t="shared" si="31"/>
        <v>19925264</v>
      </c>
      <c r="K81" s="345">
        <f t="shared" si="31"/>
        <v>453274798</v>
      </c>
      <c r="L81" s="345">
        <f t="shared" si="31"/>
        <v>0</v>
      </c>
    </row>
    <row r="82" spans="1:12" ht="13">
      <c r="A82" s="331">
        <v>27</v>
      </c>
      <c r="D82" s="342"/>
      <c r="E82" s="195"/>
      <c r="G82" s="351"/>
      <c r="H82" s="351"/>
      <c r="I82" s="330"/>
    </row>
    <row r="83" spans="1:12" ht="13">
      <c r="A83" s="331">
        <v>28</v>
      </c>
      <c r="B83" s="330" t="s">
        <v>20</v>
      </c>
      <c r="D83" s="342"/>
      <c r="E83" s="195"/>
      <c r="G83" s="351"/>
      <c r="H83" s="351"/>
      <c r="I83" s="330"/>
    </row>
    <row r="84" spans="1:12" ht="13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3">
        <f>'FR-16(7)(v)-4 DISTR Classified'!G84</f>
        <v>0</v>
      </c>
      <c r="G84" s="347">
        <f t="shared" ref="G84:G89" si="32">F84-SUM(H84:J84)</f>
        <v>0</v>
      </c>
      <c r="H84" s="347">
        <f>ROUND($F$84*VLOOKUP($D$84,ALLOCTABLE_DISTR_DEMAND,$H$10,FALSE),0)</f>
        <v>0</v>
      </c>
      <c r="I84" s="345">
        <f t="shared" ref="I84:I89" si="33">ROUND(F84*VLOOKUP(D84,ALLOCTABLE_DISTR_DEMAND,$I$10,FALSE),0)</f>
        <v>0</v>
      </c>
      <c r="J84" s="345">
        <f t="shared" ref="J84:J89" si="34">ROUND(F84*VLOOKUP(D84,ALLOCTABLE_DISTR_DEMAND,$J$10,FALSE),0)</f>
        <v>0</v>
      </c>
      <c r="K84" s="345">
        <f t="shared" ref="K84:K89" si="35">SUM(G84:J84)</f>
        <v>0</v>
      </c>
      <c r="L84" s="345">
        <f t="shared" ref="L84:L89" si="36">F84-K84</f>
        <v>0</v>
      </c>
    </row>
    <row r="85" spans="1:12" ht="13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3">
        <f>'FR-16(7)(v)-4 DISTR Classified'!G85</f>
        <v>0</v>
      </c>
      <c r="G85" s="347">
        <f t="shared" si="32"/>
        <v>0</v>
      </c>
      <c r="H85" s="347">
        <f>ROUND($F$85*VLOOKUP($D$85,ALLOCTABLE_DISTR_DEMAND,$H$10,FALSE),0)</f>
        <v>0</v>
      </c>
      <c r="I85" s="345">
        <f t="shared" si="33"/>
        <v>0</v>
      </c>
      <c r="J85" s="345">
        <f t="shared" si="34"/>
        <v>0</v>
      </c>
      <c r="K85" s="345">
        <f t="shared" si="35"/>
        <v>0</v>
      </c>
      <c r="L85" s="345">
        <f t="shared" si="36"/>
        <v>0</v>
      </c>
    </row>
    <row r="86" spans="1:12" ht="13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3">
        <f>'FR-16(7)(v)-4 DISTR Classified'!G86</f>
        <v>14825307</v>
      </c>
      <c r="G86" s="347">
        <f t="shared" si="32"/>
        <v>7628362</v>
      </c>
      <c r="H86" s="347">
        <f>ROUND($F$86*VLOOKUP($D$86,ALLOCTABLE_DISTR_DEMAND,$H$10,FALSE),0)</f>
        <v>4632167</v>
      </c>
      <c r="I86" s="345">
        <f t="shared" si="33"/>
        <v>1965391</v>
      </c>
      <c r="J86" s="345">
        <f t="shared" si="34"/>
        <v>599387</v>
      </c>
      <c r="K86" s="345">
        <f t="shared" si="35"/>
        <v>14825307</v>
      </c>
      <c r="L86" s="345">
        <f t="shared" si="36"/>
        <v>0</v>
      </c>
    </row>
    <row r="87" spans="1:12" ht="13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3">
        <f>'FR-16(7)(v)-4 DISTR Classified'!G87</f>
        <v>0</v>
      </c>
      <c r="G87" s="347">
        <f t="shared" si="32"/>
        <v>0</v>
      </c>
      <c r="H87" s="347">
        <f>ROUND($F$87*VLOOKUP($D$87,ALLOCTABLE_DISTR_DEMAND,$H$10,FALSE),0)</f>
        <v>0</v>
      </c>
      <c r="I87" s="345">
        <f t="shared" si="33"/>
        <v>0</v>
      </c>
      <c r="J87" s="345">
        <f t="shared" si="34"/>
        <v>0</v>
      </c>
      <c r="K87" s="345">
        <f t="shared" si="35"/>
        <v>0</v>
      </c>
      <c r="L87" s="345">
        <f t="shared" si="36"/>
        <v>0</v>
      </c>
    </row>
    <row r="88" spans="1:12" ht="13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3">
        <f>'FR-16(7)(v)-4 DISTR Classified'!G88</f>
        <v>0</v>
      </c>
      <c r="G88" s="347">
        <f t="shared" si="32"/>
        <v>0</v>
      </c>
      <c r="H88" s="347">
        <f>ROUND($F$88*VLOOKUP($D$88,ALLOCTABLE_DISTR_DEMAND,$H$10,FALSE),0)</f>
        <v>0</v>
      </c>
      <c r="I88" s="345">
        <f t="shared" si="33"/>
        <v>0</v>
      </c>
      <c r="J88" s="345">
        <f t="shared" si="34"/>
        <v>0</v>
      </c>
      <c r="K88" s="345">
        <f t="shared" si="35"/>
        <v>0</v>
      </c>
      <c r="L88" s="345">
        <f t="shared" si="36"/>
        <v>0</v>
      </c>
    </row>
    <row r="89" spans="1:12" ht="13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3">
        <f>'FR-16(7)(v)-4 DISTR Classified'!G89</f>
        <v>0</v>
      </c>
      <c r="G89" s="347">
        <f t="shared" si="32"/>
        <v>0</v>
      </c>
      <c r="H89" s="347">
        <f>ROUND($F$89*VLOOKUP($D$89,ALLOCTABLE_DISTR_DEMAND,$H$10,FALSE),0)</f>
        <v>0</v>
      </c>
      <c r="I89" s="345">
        <f t="shared" si="33"/>
        <v>0</v>
      </c>
      <c r="J89" s="345">
        <f t="shared" si="34"/>
        <v>0</v>
      </c>
      <c r="K89" s="345">
        <f t="shared" si="35"/>
        <v>0</v>
      </c>
      <c r="L89" s="345">
        <f t="shared" si="36"/>
        <v>0</v>
      </c>
    </row>
    <row r="90" spans="1:12" ht="13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4">
        <f t="shared" ref="F90:L90" si="37">SUM(F84:F89)</f>
        <v>14825307</v>
      </c>
      <c r="G90" s="346">
        <f>SUM(G84:G89)</f>
        <v>7628362</v>
      </c>
      <c r="H90" s="346">
        <f t="shared" si="37"/>
        <v>4632167</v>
      </c>
      <c r="I90" s="346">
        <f t="shared" si="37"/>
        <v>1965391</v>
      </c>
      <c r="J90" s="346">
        <f t="shared" si="37"/>
        <v>599387</v>
      </c>
      <c r="K90" s="346">
        <f t="shared" si="37"/>
        <v>14825307</v>
      </c>
      <c r="L90" s="346">
        <f t="shared" si="37"/>
        <v>0</v>
      </c>
    </row>
    <row r="91" spans="1:12" ht="13">
      <c r="A91" s="331">
        <v>36</v>
      </c>
      <c r="D91" s="342"/>
      <c r="E91" s="195"/>
      <c r="G91" s="351"/>
      <c r="H91" s="351"/>
      <c r="I91" s="330"/>
    </row>
    <row r="92" spans="1:12" ht="13">
      <c r="A92" s="331">
        <v>37</v>
      </c>
      <c r="B92" s="330" t="s">
        <v>21</v>
      </c>
      <c r="D92" s="342"/>
      <c r="E92" s="195"/>
      <c r="G92" s="351"/>
      <c r="H92" s="351"/>
      <c r="I92" s="330"/>
    </row>
    <row r="93" spans="1:12" ht="13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3">
        <f>'FR-16(7)(v)-4 DISTR Classified'!G93</f>
        <v>0</v>
      </c>
      <c r="G93" s="347">
        <f t="shared" ref="G93:G98" si="38">F93-SUM(H93:J93)</f>
        <v>0</v>
      </c>
      <c r="H93" s="347">
        <f>ROUND($F$93*VLOOKUP($D$93,ALLOCTABLE_DISTR_DEMAND,$H$10,FALSE),0)</f>
        <v>0</v>
      </c>
      <c r="I93" s="345">
        <f t="shared" ref="I93:I98" si="39">ROUND(F93*VLOOKUP(D93,ALLOCTABLE_DISTR_DEMAND,$I$10,FALSE),0)</f>
        <v>0</v>
      </c>
      <c r="J93" s="345">
        <f t="shared" ref="J93:J98" si="40">ROUND(F93*VLOOKUP(D93,ALLOCTABLE_DISTR_DEMAND,$J$10,FALSE),0)</f>
        <v>0</v>
      </c>
      <c r="K93" s="345">
        <f t="shared" ref="K93:K98" si="41">SUM(G93:J93)</f>
        <v>0</v>
      </c>
      <c r="L93" s="345">
        <f t="shared" ref="L93:L98" si="42">F93-K93</f>
        <v>0</v>
      </c>
    </row>
    <row r="94" spans="1:12" ht="13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3">
        <f>'FR-16(7)(v)-4 DISTR Classified'!G94</f>
        <v>0</v>
      </c>
      <c r="G94" s="347">
        <f t="shared" si="38"/>
        <v>0</v>
      </c>
      <c r="H94" s="347">
        <f>ROUND($F$94*VLOOKUP($D$94,ALLOCTABLE_DISTR_DEMAND,$H$10,FALSE),0)</f>
        <v>0</v>
      </c>
      <c r="I94" s="345">
        <f t="shared" si="39"/>
        <v>0</v>
      </c>
      <c r="J94" s="345">
        <f t="shared" si="40"/>
        <v>0</v>
      </c>
      <c r="K94" s="345">
        <f t="shared" si="41"/>
        <v>0</v>
      </c>
      <c r="L94" s="345">
        <f t="shared" si="42"/>
        <v>0</v>
      </c>
    </row>
    <row r="95" spans="1:12" ht="13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3">
        <f>'FR-16(7)(v)-4 DISTR Classified'!G95</f>
        <v>4768084</v>
      </c>
      <c r="G95" s="347">
        <f t="shared" si="38"/>
        <v>2453417</v>
      </c>
      <c r="H95" s="347">
        <f>ROUND($F$95*VLOOKUP($D$95,ALLOCTABLE_DISTR_DEMAND,$H$10,FALSE),0)</f>
        <v>1489788</v>
      </c>
      <c r="I95" s="345">
        <f t="shared" si="39"/>
        <v>632105</v>
      </c>
      <c r="J95" s="345">
        <f t="shared" si="40"/>
        <v>192774</v>
      </c>
      <c r="K95" s="345">
        <f t="shared" si="41"/>
        <v>4768084</v>
      </c>
      <c r="L95" s="345">
        <f t="shared" si="42"/>
        <v>0</v>
      </c>
    </row>
    <row r="96" spans="1:12" ht="13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3">
        <f>'FR-16(7)(v)-4 DISTR Classified'!G96</f>
        <v>0</v>
      </c>
      <c r="G96" s="347">
        <f t="shared" si="38"/>
        <v>0</v>
      </c>
      <c r="H96" s="347">
        <f>ROUND($F$96*VLOOKUP($D$96,ALLOCTABLE_DISTR_DEMAND,$H$10,FALSE),0)</f>
        <v>0</v>
      </c>
      <c r="I96" s="345">
        <f t="shared" si="39"/>
        <v>0</v>
      </c>
      <c r="J96" s="345">
        <f t="shared" si="40"/>
        <v>0</v>
      </c>
      <c r="K96" s="345">
        <f t="shared" si="41"/>
        <v>0</v>
      </c>
      <c r="L96" s="345">
        <f t="shared" si="42"/>
        <v>0</v>
      </c>
    </row>
    <row r="97" spans="1:12" ht="13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3">
        <f>'FR-16(7)(v)-4 DISTR Classified'!G97</f>
        <v>0</v>
      </c>
      <c r="G97" s="347">
        <f t="shared" si="38"/>
        <v>0</v>
      </c>
      <c r="H97" s="347">
        <f>ROUND($F$97*VLOOKUP($D$97,ALLOCTABLE_DISTR_DEMAND,$H$10,FALSE),0)</f>
        <v>0</v>
      </c>
      <c r="I97" s="345">
        <f t="shared" si="39"/>
        <v>0</v>
      </c>
      <c r="J97" s="345">
        <f t="shared" si="40"/>
        <v>0</v>
      </c>
      <c r="K97" s="345">
        <f t="shared" si="41"/>
        <v>0</v>
      </c>
      <c r="L97" s="345">
        <f t="shared" si="42"/>
        <v>0</v>
      </c>
    </row>
    <row r="98" spans="1:12" ht="13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3">
        <f>'FR-16(7)(v)-4 DISTR Classified'!G98</f>
        <v>0</v>
      </c>
      <c r="G98" s="347">
        <f t="shared" si="38"/>
        <v>0</v>
      </c>
      <c r="H98" s="347">
        <f>ROUND($F$98*VLOOKUP($D$98,ALLOCTABLE_DISTR_DEMAND,$H$10,FALSE),0)</f>
        <v>0</v>
      </c>
      <c r="I98" s="345">
        <f t="shared" si="39"/>
        <v>0</v>
      </c>
      <c r="J98" s="345">
        <f t="shared" si="40"/>
        <v>0</v>
      </c>
      <c r="K98" s="345">
        <f t="shared" si="41"/>
        <v>0</v>
      </c>
      <c r="L98" s="345">
        <f t="shared" si="42"/>
        <v>0</v>
      </c>
    </row>
    <row r="99" spans="1:12" ht="13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L99" si="43">SUM(F93:F98)</f>
        <v>4768084</v>
      </c>
      <c r="G99" s="346">
        <f>SUM(G93:G98)</f>
        <v>2453417</v>
      </c>
      <c r="H99" s="346">
        <f t="shared" si="43"/>
        <v>1489788</v>
      </c>
      <c r="I99" s="346">
        <f t="shared" si="43"/>
        <v>632105</v>
      </c>
      <c r="J99" s="346">
        <f t="shared" si="43"/>
        <v>192774</v>
      </c>
      <c r="K99" s="346">
        <f t="shared" si="43"/>
        <v>4768084</v>
      </c>
      <c r="L99" s="346">
        <f t="shared" si="43"/>
        <v>0</v>
      </c>
    </row>
    <row r="100" spans="1:12" ht="13">
      <c r="A100" s="331">
        <v>45</v>
      </c>
      <c r="E100" s="195"/>
      <c r="G100" s="351"/>
      <c r="H100" s="351"/>
      <c r="I100" s="330"/>
    </row>
    <row r="101" spans="1:12" ht="13">
      <c r="A101" s="331">
        <v>46</v>
      </c>
      <c r="B101" s="330" t="s">
        <v>95</v>
      </c>
      <c r="E101" s="195"/>
      <c r="F101" s="345">
        <f t="shared" ref="F101:L101" si="44">F81+F90+F99</f>
        <v>472868189</v>
      </c>
      <c r="G101" s="347">
        <f>G81+G90+G99</f>
        <v>241079082</v>
      </c>
      <c r="H101" s="347">
        <f t="shared" si="44"/>
        <v>146479260</v>
      </c>
      <c r="I101" s="345">
        <f t="shared" si="44"/>
        <v>64592422</v>
      </c>
      <c r="J101" s="345">
        <f t="shared" si="44"/>
        <v>20717425</v>
      </c>
      <c r="K101" s="345">
        <f t="shared" si="44"/>
        <v>472868189</v>
      </c>
      <c r="L101" s="345">
        <f t="shared" si="44"/>
        <v>0</v>
      </c>
    </row>
    <row r="102" spans="1:12" ht="13">
      <c r="B102" s="341"/>
      <c r="C102" s="195"/>
      <c r="D102" s="342"/>
      <c r="E102" s="195"/>
      <c r="G102" s="195"/>
      <c r="H102" s="195"/>
      <c r="I102" s="195"/>
      <c r="J102" s="342"/>
      <c r="K102" s="195"/>
      <c r="L102" s="195"/>
    </row>
    <row r="103" spans="1:12" ht="13">
      <c r="A103" s="341" t="str">
        <f>co_name</f>
        <v>DUKE ENERGY KENTUCKY, INC.</v>
      </c>
      <c r="C103" s="195"/>
      <c r="D103" s="342"/>
      <c r="E103" s="195"/>
      <c r="F103" s="342"/>
      <c r="G103" s="340"/>
      <c r="H103" s="340"/>
      <c r="I103" s="195"/>
      <c r="K103" s="359" t="str">
        <f>$K$1</f>
        <v>FR-16(7)(v)-5</v>
      </c>
      <c r="L103" s="195"/>
    </row>
    <row r="104" spans="1:12" ht="13">
      <c r="A104" s="341" t="str">
        <f>$A$2</f>
        <v>DISTRIBUTION DEMAND ALLOCATED - GAS COST OF SERVICE</v>
      </c>
      <c r="C104" s="195"/>
      <c r="D104" s="342"/>
      <c r="E104" s="195"/>
      <c r="F104" s="342"/>
      <c r="G104" s="340"/>
      <c r="H104" s="340"/>
      <c r="I104" s="195"/>
      <c r="K104" s="359" t="str">
        <f>$K$2</f>
        <v>WITNESS RESPONSIBLE:</v>
      </c>
      <c r="L104" s="195"/>
    </row>
    <row r="105" spans="1:12" ht="13">
      <c r="A105" s="341" t="str">
        <f>case_name</f>
        <v>CASE NO: 2021-00190</v>
      </c>
      <c r="C105" s="195"/>
      <c r="D105" s="342"/>
      <c r="E105" s="195"/>
      <c r="F105" s="342"/>
      <c r="G105" s="340"/>
      <c r="H105" s="340"/>
      <c r="I105" s="195"/>
      <c r="K105" s="359" t="str">
        <f>Witness</f>
        <v>JAMES E. ZIOLKOWSKI</v>
      </c>
      <c r="L105" s="195"/>
    </row>
    <row r="106" spans="1:12" ht="13">
      <c r="A106" s="341" t="str">
        <f>data_filing</f>
        <v>DATA: 12 MONTH FORECASTED PERIOD</v>
      </c>
      <c r="C106" s="195"/>
      <c r="D106" s="342"/>
      <c r="E106" s="195"/>
      <c r="F106" s="342"/>
      <c r="G106" s="340"/>
      <c r="H106" s="340"/>
      <c r="I106" s="195"/>
      <c r="K106" s="359" t="str">
        <f>"PAGE "&amp;Pages-15&amp;" OF "&amp;Pages</f>
        <v>PAGE 3 OF 18</v>
      </c>
      <c r="L106" s="195"/>
    </row>
    <row r="107" spans="1:12" ht="13">
      <c r="A107" s="341" t="str">
        <f>type</f>
        <v xml:space="preserve">TYPE OF FILING: "X" ORIGINAL   UPDATED    REVISED  </v>
      </c>
      <c r="C107" s="195"/>
      <c r="D107" s="342"/>
      <c r="E107" s="195"/>
      <c r="F107" s="342"/>
      <c r="G107" s="340"/>
      <c r="H107" s="340"/>
      <c r="I107" s="195"/>
      <c r="J107" s="342"/>
      <c r="K107" s="195"/>
      <c r="L107" s="195"/>
    </row>
    <row r="108" spans="1:12" ht="13">
      <c r="A108" s="341"/>
      <c r="C108" s="195"/>
      <c r="D108" s="342"/>
      <c r="E108" s="195"/>
      <c r="F108" s="342"/>
      <c r="G108" s="340"/>
      <c r="H108" s="340"/>
      <c r="I108" s="195"/>
      <c r="J108" s="342"/>
      <c r="K108" s="195"/>
      <c r="L108" s="195"/>
    </row>
    <row r="109" spans="1:12" ht="13">
      <c r="B109" s="341"/>
      <c r="C109" s="195"/>
      <c r="D109" s="342"/>
      <c r="E109" s="195"/>
      <c r="F109" s="342" t="str">
        <f>$F$7</f>
        <v>TOTAL</v>
      </c>
      <c r="G109" s="195"/>
      <c r="H109" s="195"/>
      <c r="I109" s="195"/>
      <c r="J109" s="342"/>
      <c r="K109" s="195"/>
      <c r="L109" s="195"/>
    </row>
    <row r="110" spans="1:12" ht="13">
      <c r="A110" s="342" t="s">
        <v>907</v>
      </c>
      <c r="B110" s="195"/>
      <c r="C110" s="195"/>
      <c r="D110" s="342"/>
      <c r="E110" s="195"/>
      <c r="F110" s="342" t="str">
        <f>$F$8</f>
        <v>DISTRIBUTION</v>
      </c>
      <c r="G110" s="342" t="s">
        <v>417</v>
      </c>
      <c r="H110" s="342" t="s">
        <v>857</v>
      </c>
      <c r="I110" s="342" t="s">
        <v>858</v>
      </c>
      <c r="J110" s="342" t="s">
        <v>546</v>
      </c>
      <c r="K110" s="342" t="s">
        <v>229</v>
      </c>
      <c r="L110" s="342" t="s">
        <v>342</v>
      </c>
    </row>
    <row r="111" spans="1:12" ht="13">
      <c r="A111" s="344" t="s">
        <v>908</v>
      </c>
      <c r="B111" s="343" t="s">
        <v>22</v>
      </c>
      <c r="C111" s="343"/>
      <c r="D111" s="344" t="s">
        <v>337</v>
      </c>
      <c r="E111" s="343"/>
      <c r="F111" s="342" t="str">
        <f>$F$9</f>
        <v>DEMAND</v>
      </c>
      <c r="G111" s="344" t="s">
        <v>338</v>
      </c>
      <c r="H111" s="344" t="s">
        <v>404</v>
      </c>
      <c r="I111" s="344" t="s">
        <v>404</v>
      </c>
      <c r="J111" s="344" t="s">
        <v>547</v>
      </c>
      <c r="K111" s="344" t="s">
        <v>341</v>
      </c>
      <c r="L111" s="344" t="s">
        <v>340</v>
      </c>
    </row>
    <row r="112" spans="1:12" ht="13">
      <c r="C112" s="572" t="s">
        <v>345</v>
      </c>
      <c r="D112" s="342"/>
      <c r="E112" s="195"/>
      <c r="F112" s="755"/>
      <c r="G112" s="627">
        <f>$G$10</f>
        <v>3</v>
      </c>
      <c r="H112" s="627">
        <f>$H$10</f>
        <v>4</v>
      </c>
      <c r="I112" s="627">
        <f>$I$10</f>
        <v>5</v>
      </c>
      <c r="J112" s="627">
        <f>$J$10</f>
        <v>6</v>
      </c>
    </row>
    <row r="113" spans="1:12" ht="13">
      <c r="A113" s="331">
        <v>1</v>
      </c>
      <c r="B113" s="330" t="s">
        <v>14</v>
      </c>
      <c r="D113" s="342"/>
      <c r="E113" s="195"/>
      <c r="I113" s="330"/>
    </row>
    <row r="114" spans="1:12" ht="13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3">
        <f>'FR-16(7)(v)-4 DISTR Classified'!G114</f>
        <v>0</v>
      </c>
      <c r="G114" s="347">
        <f>F114-SUM(H114:J114)</f>
        <v>0</v>
      </c>
      <c r="H114" s="345">
        <f>ROUND($F$114*VLOOKUP($D$114,ALLOCTABLE_DISTR_DEMAND,$H$10,FALSE),0)</f>
        <v>0</v>
      </c>
      <c r="I114" s="345">
        <f>ROUND(F114*VLOOKUP(D114,ALLOCTABLE_DISTR_DEMAND,$I$10,FALSE),0)</f>
        <v>0</v>
      </c>
      <c r="J114" s="345">
        <f>ROUND(F114*VLOOKUP(D114,ALLOCTABLE_DISTR_DEMAND,$J$10,FALSE),0)</f>
        <v>0</v>
      </c>
      <c r="K114" s="345">
        <f>SUM(G114:J114)</f>
        <v>0</v>
      </c>
      <c r="L114" s="345">
        <f>F114-K114</f>
        <v>0</v>
      </c>
    </row>
    <row r="115" spans="1:12" ht="13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L115" si="45">SUM(F114:F114)</f>
        <v>0</v>
      </c>
      <c r="G115" s="346">
        <f>SUM(G114:G114)</f>
        <v>0</v>
      </c>
      <c r="H115" s="346">
        <f t="shared" si="45"/>
        <v>0</v>
      </c>
      <c r="I115" s="346">
        <f t="shared" si="45"/>
        <v>0</v>
      </c>
      <c r="J115" s="346">
        <f t="shared" si="45"/>
        <v>0</v>
      </c>
      <c r="K115" s="346">
        <f t="shared" si="45"/>
        <v>0</v>
      </c>
      <c r="L115" s="346">
        <f t="shared" si="45"/>
        <v>0</v>
      </c>
    </row>
    <row r="116" spans="1:12" ht="13">
      <c r="A116" s="331">
        <v>4</v>
      </c>
      <c r="D116" s="342"/>
      <c r="E116" s="195"/>
      <c r="I116" s="330"/>
    </row>
    <row r="117" spans="1:12" ht="13">
      <c r="A117" s="331">
        <v>5</v>
      </c>
      <c r="B117" s="330" t="s">
        <v>15</v>
      </c>
      <c r="D117" s="342"/>
      <c r="E117" s="195"/>
      <c r="I117" s="330"/>
    </row>
    <row r="118" spans="1:12" ht="13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1"/>
      <c r="G118" s="345"/>
      <c r="H118" s="345"/>
      <c r="I118" s="345"/>
      <c r="J118" s="345"/>
      <c r="K118" s="345"/>
      <c r="L118" s="345"/>
    </row>
    <row r="119" spans="1:12" ht="13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L119" si="46">SUM(F118:F118)</f>
        <v>0</v>
      </c>
      <c r="G119" s="346">
        <f>SUM(G118:G118)</f>
        <v>0</v>
      </c>
      <c r="H119" s="346">
        <f t="shared" si="46"/>
        <v>0</v>
      </c>
      <c r="I119" s="346">
        <f t="shared" si="46"/>
        <v>0</v>
      </c>
      <c r="J119" s="346">
        <f t="shared" si="46"/>
        <v>0</v>
      </c>
      <c r="K119" s="346">
        <f t="shared" si="46"/>
        <v>0</v>
      </c>
      <c r="L119" s="346">
        <f t="shared" si="46"/>
        <v>0</v>
      </c>
    </row>
    <row r="120" spans="1:12" ht="13">
      <c r="A120" s="331">
        <v>8</v>
      </c>
      <c r="D120" s="342"/>
      <c r="E120" s="195"/>
      <c r="I120" s="330"/>
    </row>
    <row r="121" spans="1:12" ht="13">
      <c r="A121" s="331">
        <v>9</v>
      </c>
      <c r="B121" s="330" t="s">
        <v>17</v>
      </c>
      <c r="D121" s="342"/>
      <c r="E121" s="195"/>
      <c r="I121" s="330"/>
    </row>
    <row r="122" spans="1:12" ht="13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3">
        <f>'FR-16(7)(v)-4 DISTR Classified'!G122</f>
        <v>2581527</v>
      </c>
      <c r="G122" s="347">
        <f t="shared" ref="G122:G130" si="47">F122-SUM(H122:J122)</f>
        <v>1317509</v>
      </c>
      <c r="H122" s="345">
        <f>ROUND($F$122*VLOOKUP($D$122,ALLOCTABLE_DISTR_DEMAND,$H$10,FALSE),0)</f>
        <v>800015</v>
      </c>
      <c r="I122" s="345">
        <f t="shared" ref="I122:I130" si="48">ROUND(F122*VLOOKUP(D122,ALLOCTABLE_DISTR_DEMAND,$I$10,FALSE),0)</f>
        <v>351707</v>
      </c>
      <c r="J122" s="345">
        <f t="shared" ref="J122:J130" si="49">ROUND(F122*VLOOKUP(D122,ALLOCTABLE_DISTR_DEMAND,$J$10,FALSE),0)</f>
        <v>112296</v>
      </c>
      <c r="K122" s="345">
        <f t="shared" ref="K122:K130" si="50">SUM(G122:J122)</f>
        <v>2581527</v>
      </c>
      <c r="L122" s="345">
        <f t="shared" ref="L122:L130" si="51">F122-K122</f>
        <v>0</v>
      </c>
    </row>
    <row r="123" spans="1:12" ht="13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3">
        <f>'FR-16(7)(v)-4 DISTR Classified'!G123</f>
        <v>1211353</v>
      </c>
      <c r="G123" s="347">
        <f t="shared" si="47"/>
        <v>618226</v>
      </c>
      <c r="H123" s="345">
        <f>ROUND($F$123*VLOOKUP($D$123,ALLOCTABLE_DISTR_DEMAND,$H$10,FALSE),0)</f>
        <v>375398</v>
      </c>
      <c r="I123" s="345">
        <f t="shared" si="48"/>
        <v>165035</v>
      </c>
      <c r="J123" s="345">
        <f t="shared" si="49"/>
        <v>52694</v>
      </c>
      <c r="K123" s="345">
        <f t="shared" si="50"/>
        <v>1211353</v>
      </c>
      <c r="L123" s="345">
        <f t="shared" si="51"/>
        <v>0</v>
      </c>
    </row>
    <row r="124" spans="1:12" ht="13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3">
        <f>'FR-16(7)(v)-4 DISTR Classified'!G124</f>
        <v>509867</v>
      </c>
      <c r="G124" s="347">
        <f t="shared" si="47"/>
        <v>0</v>
      </c>
      <c r="H124" s="345">
        <f>ROUND($F$124*VLOOKUP($D$124,ALLOCTABLE_DISTR_DEMAND,$H$10,FALSE),0)</f>
        <v>0</v>
      </c>
      <c r="I124" s="345">
        <f t="shared" si="48"/>
        <v>297212</v>
      </c>
      <c r="J124" s="345">
        <f t="shared" si="49"/>
        <v>212655</v>
      </c>
      <c r="K124" s="345">
        <f t="shared" si="50"/>
        <v>509867</v>
      </c>
      <c r="L124" s="345">
        <f t="shared" si="51"/>
        <v>0</v>
      </c>
    </row>
    <row r="125" spans="1:12" ht="13">
      <c r="A125" s="331">
        <v>13</v>
      </c>
      <c r="C125" s="330" t="str">
        <f>'FR-16(7)(v)-1 Functional'!C125</f>
        <v>MAINS - (2761, 2762, 2763, 2765)</v>
      </c>
      <c r="D125" s="342" t="str">
        <f>D71</f>
        <v>K203</v>
      </c>
      <c r="E125" s="195"/>
      <c r="F125" s="473">
        <f>'FR-16(7)(v)-4 DISTR Classified'!G125</f>
        <v>113499887</v>
      </c>
      <c r="G125" s="347">
        <f t="shared" si="47"/>
        <v>57925802</v>
      </c>
      <c r="H125" s="345">
        <f>ROUND($F$125*VLOOKUP($D$125,ALLOCTABLE_DISTR_DEMAND,$H$10,FALSE),0)</f>
        <v>35173615</v>
      </c>
      <c r="I125" s="345">
        <f t="shared" si="48"/>
        <v>15463225</v>
      </c>
      <c r="J125" s="345">
        <f t="shared" si="49"/>
        <v>4937245</v>
      </c>
      <c r="K125" s="345">
        <f t="shared" si="50"/>
        <v>113499887</v>
      </c>
      <c r="L125" s="345">
        <f t="shared" si="51"/>
        <v>0</v>
      </c>
    </row>
    <row r="126" spans="1:12" ht="13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3">
        <f>'FR-16(7)(v)-4 DISTR Classified'!G126</f>
        <v>0</v>
      </c>
      <c r="G126" s="347">
        <f t="shared" si="47"/>
        <v>0</v>
      </c>
      <c r="H126" s="345">
        <f>ROUND($F$126*VLOOKUP($D$126,ALLOCTABLE_DISTR_DEMAND,$H$10,FALSE),0)</f>
        <v>0</v>
      </c>
      <c r="I126" s="345">
        <f t="shared" si="48"/>
        <v>0</v>
      </c>
      <c r="J126" s="345">
        <f t="shared" si="49"/>
        <v>0</v>
      </c>
      <c r="K126" s="345">
        <f t="shared" si="50"/>
        <v>0</v>
      </c>
      <c r="L126" s="345">
        <f t="shared" si="51"/>
        <v>0</v>
      </c>
    </row>
    <row r="127" spans="1:12" ht="13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3">
        <f>'FR-16(7)(v)-4 DISTR Classified'!G127</f>
        <v>0</v>
      </c>
      <c r="G127" s="347">
        <f t="shared" si="47"/>
        <v>0</v>
      </c>
      <c r="H127" s="345">
        <f>ROUND($F$127*VLOOKUP($D$127,ALLOCTABLE_DISTR_DEMAND,$H$10,FALSE),0)</f>
        <v>0</v>
      </c>
      <c r="I127" s="345">
        <f t="shared" si="48"/>
        <v>0</v>
      </c>
      <c r="J127" s="345">
        <f t="shared" si="49"/>
        <v>0</v>
      </c>
      <c r="K127" s="345">
        <f t="shared" si="50"/>
        <v>0</v>
      </c>
      <c r="L127" s="345">
        <f t="shared" si="51"/>
        <v>0</v>
      </c>
    </row>
    <row r="128" spans="1:12" ht="13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3">
        <f>'FR-16(7)(v)-4 DISTR Classified'!G128</f>
        <v>701479</v>
      </c>
      <c r="G128" s="347">
        <f t="shared" si="47"/>
        <v>358008</v>
      </c>
      <c r="H128" s="345">
        <f>ROUND($F$128*VLOOKUP($D$128,ALLOCTABLE_DISTR_DEMAND,$H$10,FALSE),0)</f>
        <v>217388</v>
      </c>
      <c r="I128" s="345">
        <f t="shared" si="48"/>
        <v>95569</v>
      </c>
      <c r="J128" s="345">
        <f t="shared" si="49"/>
        <v>30514</v>
      </c>
      <c r="K128" s="345">
        <f t="shared" si="50"/>
        <v>701479</v>
      </c>
      <c r="L128" s="345">
        <f t="shared" si="51"/>
        <v>0</v>
      </c>
    </row>
    <row r="129" spans="1:12" ht="13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3">
        <f>'FR-16(7)(v)-4 DISTR Classified'!G129</f>
        <v>0</v>
      </c>
      <c r="G129" s="347">
        <f t="shared" si="47"/>
        <v>0</v>
      </c>
      <c r="H129" s="345">
        <f>ROUND($F$129*VLOOKUP($D$129,ALLOCTABLE_DISTR_DEMAND,$H$10,FALSE),0)</f>
        <v>0</v>
      </c>
      <c r="I129" s="345">
        <f t="shared" si="48"/>
        <v>0</v>
      </c>
      <c r="J129" s="345">
        <f t="shared" si="49"/>
        <v>0</v>
      </c>
      <c r="K129" s="345">
        <f t="shared" si="50"/>
        <v>0</v>
      </c>
      <c r="L129" s="345">
        <f t="shared" si="51"/>
        <v>0</v>
      </c>
    </row>
    <row r="130" spans="1:12" ht="13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3">
        <f>'FR-16(7)(v)-4 DISTR Classified'!G130</f>
        <v>-3476871</v>
      </c>
      <c r="G130" s="347">
        <f t="shared" si="47"/>
        <v>0</v>
      </c>
      <c r="H130" s="345">
        <f>ROUND($F$130*VLOOKUP($D$130,ALLOCTABLE_DISTR_DEMAND,$H$10,FALSE),0)</f>
        <v>-3476871</v>
      </c>
      <c r="I130" s="345">
        <f t="shared" si="48"/>
        <v>0</v>
      </c>
      <c r="J130" s="345">
        <f t="shared" si="49"/>
        <v>0</v>
      </c>
      <c r="K130" s="345">
        <f t="shared" si="50"/>
        <v>-3476871</v>
      </c>
      <c r="L130" s="345">
        <f t="shared" si="51"/>
        <v>0</v>
      </c>
    </row>
    <row r="131" spans="1:12" ht="13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L131" si="52">SUM(F121:F130)</f>
        <v>115027242</v>
      </c>
      <c r="G131" s="346">
        <f>SUM(G121:G130)</f>
        <v>60219545</v>
      </c>
      <c r="H131" s="346">
        <f t="shared" si="52"/>
        <v>33089545</v>
      </c>
      <c r="I131" s="346">
        <f t="shared" si="52"/>
        <v>16372748</v>
      </c>
      <c r="J131" s="346">
        <f t="shared" si="52"/>
        <v>5345404</v>
      </c>
      <c r="K131" s="346">
        <f t="shared" si="52"/>
        <v>115027242</v>
      </c>
      <c r="L131" s="346">
        <f t="shared" si="52"/>
        <v>0</v>
      </c>
    </row>
    <row r="132" spans="1:12" ht="13">
      <c r="A132" s="331">
        <v>20</v>
      </c>
      <c r="D132" s="342"/>
      <c r="E132" s="195"/>
      <c r="I132" s="330"/>
    </row>
    <row r="133" spans="1:12" ht="13">
      <c r="A133" s="331">
        <v>21</v>
      </c>
      <c r="B133" s="330" t="s">
        <v>20</v>
      </c>
      <c r="D133" s="342"/>
      <c r="E133" s="195"/>
      <c r="I133" s="330"/>
    </row>
    <row r="134" spans="1:12" ht="13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3">
        <f>'FR-16(7)(v)-4 DISTR Classified'!G134</f>
        <v>0</v>
      </c>
      <c r="G134" s="347">
        <f t="shared" ref="G134:G139" si="53">F134-SUM(H134:J134)</f>
        <v>0</v>
      </c>
      <c r="H134" s="345">
        <f>ROUND($F$134*VLOOKUP($D$134,ALLOCTABLE_DISTR_DEMAND,$H$10,FALSE),0)</f>
        <v>0</v>
      </c>
      <c r="I134" s="345">
        <f t="shared" ref="I134:I139" si="54">ROUND(F134*VLOOKUP(D134,ALLOCTABLE_DISTR_DEMAND,$I$10,FALSE),0)</f>
        <v>0</v>
      </c>
      <c r="J134" s="345">
        <f t="shared" ref="J134:J139" si="55">ROUND(F134*VLOOKUP(D134,ALLOCTABLE_DISTR_DEMAND,$J$10,FALSE),0)</f>
        <v>0</v>
      </c>
      <c r="K134" s="345">
        <f t="shared" ref="K134:K139" si="56">SUM(G134:J134)</f>
        <v>0</v>
      </c>
      <c r="L134" s="345">
        <f t="shared" ref="L134:L139" si="57">F134-K134</f>
        <v>0</v>
      </c>
    </row>
    <row r="135" spans="1:12" ht="13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3">
        <f>'FR-16(7)(v)-4 DISTR Classified'!G135</f>
        <v>0</v>
      </c>
      <c r="G135" s="347">
        <f t="shared" si="53"/>
        <v>0</v>
      </c>
      <c r="H135" s="345">
        <f>ROUND($F$135*VLOOKUP($D$135,ALLOCTABLE_DISTR_DEMAND,$H$10,FALSE),0)</f>
        <v>0</v>
      </c>
      <c r="I135" s="345">
        <f t="shared" si="54"/>
        <v>0</v>
      </c>
      <c r="J135" s="345">
        <f t="shared" si="55"/>
        <v>0</v>
      </c>
      <c r="K135" s="345">
        <f t="shared" si="56"/>
        <v>0</v>
      </c>
      <c r="L135" s="345">
        <f t="shared" si="57"/>
        <v>0</v>
      </c>
    </row>
    <row r="136" spans="1:12" ht="13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3">
        <f>'FR-16(7)(v)-4 DISTR Classified'!G136</f>
        <v>7298389</v>
      </c>
      <c r="G136" s="347">
        <f t="shared" si="53"/>
        <v>3755386</v>
      </c>
      <c r="H136" s="345">
        <f>ROUND($F$136*VLOOKUP($D$136,ALLOCTABLE_DISTR_DEMAND,$H$10,FALSE),0)</f>
        <v>2280382</v>
      </c>
      <c r="I136" s="345">
        <f t="shared" si="54"/>
        <v>967547</v>
      </c>
      <c r="J136" s="345">
        <f t="shared" si="55"/>
        <v>295074</v>
      </c>
      <c r="K136" s="345">
        <f t="shared" si="56"/>
        <v>7298389</v>
      </c>
      <c r="L136" s="345">
        <f t="shared" si="57"/>
        <v>0</v>
      </c>
    </row>
    <row r="137" spans="1:12" ht="13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3">
        <f>'FR-16(7)(v)-4 DISTR Classified'!G137</f>
        <v>0</v>
      </c>
      <c r="G137" s="347">
        <f t="shared" si="53"/>
        <v>0</v>
      </c>
      <c r="H137" s="345">
        <f>ROUND($F$137*VLOOKUP($D$137,ALLOCTABLE_DISTR_DEMAND,$H$10,FALSE),0)</f>
        <v>0</v>
      </c>
      <c r="I137" s="345">
        <f t="shared" si="54"/>
        <v>0</v>
      </c>
      <c r="J137" s="345">
        <f t="shared" si="55"/>
        <v>0</v>
      </c>
      <c r="K137" s="345">
        <f t="shared" si="56"/>
        <v>0</v>
      </c>
      <c r="L137" s="345">
        <f t="shared" si="57"/>
        <v>0</v>
      </c>
    </row>
    <row r="138" spans="1:12" ht="13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3">
        <f>'FR-16(7)(v)-4 DISTR Classified'!G138</f>
        <v>0</v>
      </c>
      <c r="G138" s="347">
        <f t="shared" si="53"/>
        <v>0</v>
      </c>
      <c r="H138" s="345">
        <f>ROUND($F$138*VLOOKUP($D$138,ALLOCTABLE_DISTR_DEMAND,$H$10,FALSE),0)</f>
        <v>0</v>
      </c>
      <c r="I138" s="345">
        <f t="shared" si="54"/>
        <v>0</v>
      </c>
      <c r="J138" s="345">
        <f t="shared" si="55"/>
        <v>0</v>
      </c>
      <c r="K138" s="345">
        <f t="shared" si="56"/>
        <v>0</v>
      </c>
      <c r="L138" s="345">
        <f t="shared" si="57"/>
        <v>0</v>
      </c>
    </row>
    <row r="139" spans="1:12" ht="13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3">
        <f>'FR-16(7)(v)-4 DISTR Classified'!G139</f>
        <v>0</v>
      </c>
      <c r="G139" s="347">
        <f t="shared" si="53"/>
        <v>0</v>
      </c>
      <c r="H139" s="345">
        <f>ROUND($F$139*VLOOKUP($D$139,ALLOCTABLE_DISTR_DEMAND,$H$10,FALSE),0)</f>
        <v>0</v>
      </c>
      <c r="I139" s="345">
        <f t="shared" si="54"/>
        <v>0</v>
      </c>
      <c r="J139" s="345">
        <f t="shared" si="55"/>
        <v>0</v>
      </c>
      <c r="K139" s="345">
        <f t="shared" si="56"/>
        <v>0</v>
      </c>
      <c r="L139" s="345">
        <f t="shared" si="57"/>
        <v>0</v>
      </c>
    </row>
    <row r="140" spans="1:12" ht="13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L140" si="58">SUM(F133:F139)</f>
        <v>7298389</v>
      </c>
      <c r="G140" s="346">
        <f>SUM(G133:G139)</f>
        <v>3755386</v>
      </c>
      <c r="H140" s="346">
        <f t="shared" si="58"/>
        <v>2280382</v>
      </c>
      <c r="I140" s="346">
        <f t="shared" si="58"/>
        <v>967547</v>
      </c>
      <c r="J140" s="346">
        <f t="shared" si="58"/>
        <v>295074</v>
      </c>
      <c r="K140" s="346">
        <f t="shared" si="58"/>
        <v>7298389</v>
      </c>
      <c r="L140" s="346">
        <f t="shared" si="58"/>
        <v>0</v>
      </c>
    </row>
    <row r="141" spans="1:12" ht="13">
      <c r="A141" s="331">
        <v>29</v>
      </c>
      <c r="C141" s="363"/>
      <c r="D141" s="342"/>
      <c r="E141" s="195"/>
      <c r="I141" s="330"/>
    </row>
    <row r="142" spans="1:12" ht="13">
      <c r="A142" s="331">
        <v>30</v>
      </c>
      <c r="B142" s="330" t="s">
        <v>21</v>
      </c>
      <c r="C142" s="363"/>
      <c r="D142" s="342"/>
      <c r="E142" s="195"/>
      <c r="I142" s="330"/>
    </row>
    <row r="143" spans="1:12" ht="13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3">
        <f>'FR-16(7)(v)-4 DISTR Classified'!G143</f>
        <v>0</v>
      </c>
      <c r="G143" s="347">
        <f t="shared" ref="G143:G148" si="59">F143-SUM(H143:J143)</f>
        <v>0</v>
      </c>
      <c r="H143" s="345">
        <f>ROUND($F$143*VLOOKUP($D$143,ALLOCTABLE_DISTR_DEMAND,$H$10,FALSE),0)</f>
        <v>0</v>
      </c>
      <c r="I143" s="345">
        <f t="shared" ref="I143:I148" si="60">ROUND(F143*VLOOKUP(D143,ALLOCTABLE_DISTR_DEMAND,$I$10,FALSE),0)</f>
        <v>0</v>
      </c>
      <c r="J143" s="345">
        <f t="shared" ref="J143:J148" si="61">ROUND(F143*VLOOKUP(D143,ALLOCTABLE_DISTR_DEMAND,$J$10,FALSE),0)</f>
        <v>0</v>
      </c>
      <c r="K143" s="345">
        <f t="shared" ref="K143:K148" si="62">SUM(G143:J143)</f>
        <v>0</v>
      </c>
      <c r="L143" s="345">
        <f t="shared" ref="L143:L148" si="63">F143-K143</f>
        <v>0</v>
      </c>
    </row>
    <row r="144" spans="1:12" ht="13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3">
        <f>'FR-16(7)(v)-4 DISTR Classified'!G144</f>
        <v>0</v>
      </c>
      <c r="G144" s="347">
        <f t="shared" si="59"/>
        <v>0</v>
      </c>
      <c r="H144" s="345">
        <f>ROUND($F$144*VLOOKUP($D$144,ALLOCTABLE_DISTR_DEMAND,$H$10,FALSE),0)</f>
        <v>0</v>
      </c>
      <c r="I144" s="345">
        <f t="shared" si="60"/>
        <v>0</v>
      </c>
      <c r="J144" s="345">
        <f t="shared" si="61"/>
        <v>0</v>
      </c>
      <c r="K144" s="345">
        <f t="shared" si="62"/>
        <v>0</v>
      </c>
      <c r="L144" s="345">
        <f t="shared" si="63"/>
        <v>0</v>
      </c>
    </row>
    <row r="145" spans="1:12" ht="13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3">
        <f>'FR-16(7)(v)-4 DISTR Classified'!G145</f>
        <v>3337891</v>
      </c>
      <c r="G145" s="347">
        <f t="shared" si="59"/>
        <v>1717512</v>
      </c>
      <c r="H145" s="345">
        <f>ROUND($F$145*VLOOKUP($D$145,ALLOCTABLE_DISTR_DEMAND,$H$10,FALSE),0)</f>
        <v>1042924</v>
      </c>
      <c r="I145" s="345">
        <f t="shared" si="60"/>
        <v>442504</v>
      </c>
      <c r="J145" s="345">
        <f t="shared" si="61"/>
        <v>134951</v>
      </c>
      <c r="K145" s="345">
        <f t="shared" si="62"/>
        <v>3337891</v>
      </c>
      <c r="L145" s="345">
        <f t="shared" si="63"/>
        <v>0</v>
      </c>
    </row>
    <row r="146" spans="1:12" ht="13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3">
        <f>'FR-16(7)(v)-4 DISTR Classified'!G146</f>
        <v>0</v>
      </c>
      <c r="G146" s="347">
        <f t="shared" si="59"/>
        <v>0</v>
      </c>
      <c r="H146" s="345">
        <f>ROUND($F$146*VLOOKUP($D$146,ALLOCTABLE_DISTR_DEMAND,$H$10,FALSE),0)</f>
        <v>0</v>
      </c>
      <c r="I146" s="345">
        <f t="shared" si="60"/>
        <v>0</v>
      </c>
      <c r="J146" s="345">
        <f t="shared" si="61"/>
        <v>0</v>
      </c>
      <c r="K146" s="345">
        <f t="shared" si="62"/>
        <v>0</v>
      </c>
      <c r="L146" s="345">
        <f t="shared" si="63"/>
        <v>0</v>
      </c>
    </row>
    <row r="147" spans="1:12" ht="13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3">
        <f>'FR-16(7)(v)-4 DISTR Classified'!G147</f>
        <v>0</v>
      </c>
      <c r="G147" s="347">
        <f t="shared" si="59"/>
        <v>0</v>
      </c>
      <c r="H147" s="345">
        <f>ROUND($F$147*VLOOKUP($D$147,ALLOCTABLE_DISTR_DEMAND,$H$10,FALSE),0)</f>
        <v>0</v>
      </c>
      <c r="I147" s="345">
        <f t="shared" si="60"/>
        <v>0</v>
      </c>
      <c r="J147" s="345">
        <f t="shared" si="61"/>
        <v>0</v>
      </c>
      <c r="K147" s="345">
        <f t="shared" si="62"/>
        <v>0</v>
      </c>
      <c r="L147" s="345">
        <f t="shared" si="63"/>
        <v>0</v>
      </c>
    </row>
    <row r="148" spans="1:12" ht="13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3">
        <f>'FR-16(7)(v)-4 DISTR Classified'!G148</f>
        <v>0</v>
      </c>
      <c r="G148" s="347">
        <f t="shared" si="59"/>
        <v>0</v>
      </c>
      <c r="H148" s="345">
        <f>ROUND($F$148*VLOOKUP($D$148,ALLOCTABLE_DISTR_DEMAND,$H$10,FALSE),0)</f>
        <v>0</v>
      </c>
      <c r="I148" s="345">
        <f t="shared" si="60"/>
        <v>0</v>
      </c>
      <c r="J148" s="345">
        <f t="shared" si="61"/>
        <v>0</v>
      </c>
      <c r="K148" s="345">
        <f t="shared" si="62"/>
        <v>0</v>
      </c>
      <c r="L148" s="345">
        <f t="shared" si="63"/>
        <v>0</v>
      </c>
    </row>
    <row r="149" spans="1:12" ht="13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3337891</v>
      </c>
      <c r="G149" s="346">
        <f t="shared" ref="G149:L149" si="64">SUM(G142:G148)</f>
        <v>1717512</v>
      </c>
      <c r="H149" s="346">
        <f t="shared" si="64"/>
        <v>1042924</v>
      </c>
      <c r="I149" s="346">
        <f t="shared" si="64"/>
        <v>442504</v>
      </c>
      <c r="J149" s="346">
        <f t="shared" si="64"/>
        <v>134951</v>
      </c>
      <c r="K149" s="346">
        <f t="shared" si="64"/>
        <v>3337891</v>
      </c>
      <c r="L149" s="346">
        <f t="shared" si="64"/>
        <v>0</v>
      </c>
    </row>
    <row r="150" spans="1:12" ht="13">
      <c r="A150" s="331">
        <v>38</v>
      </c>
      <c r="D150" s="342"/>
      <c r="E150" s="195"/>
      <c r="I150" s="330"/>
    </row>
    <row r="151" spans="1:12" ht="13">
      <c r="A151" s="331">
        <v>39</v>
      </c>
      <c r="B151" s="330" t="s">
        <v>23</v>
      </c>
      <c r="D151" s="342"/>
      <c r="E151" s="195"/>
      <c r="F151" s="345">
        <f t="shared" ref="F151:L151" si="65">F149+F140+F131+F119+F115</f>
        <v>125663522</v>
      </c>
      <c r="G151" s="345">
        <f>G149+G140+G131+G119+G115</f>
        <v>65692443</v>
      </c>
      <c r="H151" s="345">
        <f t="shared" si="65"/>
        <v>36412851</v>
      </c>
      <c r="I151" s="345">
        <f t="shared" si="65"/>
        <v>17782799</v>
      </c>
      <c r="J151" s="345">
        <f t="shared" si="65"/>
        <v>5775429</v>
      </c>
      <c r="K151" s="345">
        <f t="shared" si="65"/>
        <v>125663522</v>
      </c>
      <c r="L151" s="345">
        <f t="shared" si="65"/>
        <v>0</v>
      </c>
    </row>
    <row r="152" spans="1:12" ht="13">
      <c r="B152" s="341"/>
      <c r="C152" s="195"/>
      <c r="D152" s="342"/>
      <c r="E152" s="195"/>
      <c r="G152" s="195"/>
      <c r="H152" s="195"/>
      <c r="I152" s="195"/>
      <c r="J152" s="342"/>
      <c r="K152" s="195"/>
    </row>
    <row r="153" spans="1:12" ht="13">
      <c r="A153" s="341" t="str">
        <f>co_name</f>
        <v>DUKE ENERGY KENTUCKY, INC.</v>
      </c>
      <c r="C153" s="195"/>
      <c r="D153" s="342"/>
      <c r="E153" s="195"/>
      <c r="F153" s="342"/>
      <c r="G153" s="340"/>
      <c r="H153" s="340"/>
      <c r="I153" s="195"/>
      <c r="K153" s="359" t="str">
        <f>$K$1</f>
        <v>FR-16(7)(v)-5</v>
      </c>
    </row>
    <row r="154" spans="1:12" ht="13">
      <c r="A154" s="341" t="str">
        <f>$A$2</f>
        <v>DISTRIBUTION DEMAND ALLOCATED - GAS COST OF SERVICE</v>
      </c>
      <c r="C154" s="195"/>
      <c r="D154" s="342"/>
      <c r="E154" s="195"/>
      <c r="F154" s="342"/>
      <c r="G154" s="340"/>
      <c r="H154" s="340"/>
      <c r="I154" s="195"/>
      <c r="K154" s="359" t="str">
        <f>$K$2</f>
        <v>WITNESS RESPONSIBLE:</v>
      </c>
    </row>
    <row r="155" spans="1:12" ht="13">
      <c r="A155" s="341" t="str">
        <f>case_name</f>
        <v>CASE NO: 2021-00190</v>
      </c>
      <c r="C155" s="195"/>
      <c r="D155" s="342"/>
      <c r="E155" s="195"/>
      <c r="F155" s="342"/>
      <c r="G155" s="340"/>
      <c r="H155" s="340"/>
      <c r="I155" s="195"/>
      <c r="K155" s="359" t="str">
        <f>Witness</f>
        <v>JAMES E. ZIOLKOWSKI</v>
      </c>
    </row>
    <row r="156" spans="1:12" ht="13">
      <c r="A156" s="341" t="str">
        <f>data_filing</f>
        <v>DATA: 12 MONTH FORECASTED PERIOD</v>
      </c>
      <c r="C156" s="195"/>
      <c r="D156" s="342"/>
      <c r="E156" s="195"/>
      <c r="F156" s="342"/>
      <c r="G156" s="340"/>
      <c r="H156" s="340"/>
      <c r="I156" s="195"/>
      <c r="K156" s="359" t="str">
        <f>"PAGE "&amp;Pages-14&amp;" OF "&amp;Pages</f>
        <v>PAGE 4 OF 18</v>
      </c>
    </row>
    <row r="157" spans="1:12" ht="13">
      <c r="A157" s="341" t="str">
        <f>type</f>
        <v xml:space="preserve">TYPE OF FILING: "X" ORIGINAL   UPDATED    REVISED  </v>
      </c>
      <c r="C157" s="195"/>
      <c r="D157" s="342"/>
      <c r="E157" s="195"/>
      <c r="F157" s="342"/>
      <c r="G157" s="340"/>
      <c r="H157" s="340"/>
      <c r="I157" s="195"/>
      <c r="J157" s="342"/>
      <c r="K157" s="195"/>
    </row>
    <row r="158" spans="1:12" ht="13">
      <c r="A158" s="341"/>
      <c r="C158" s="195"/>
      <c r="D158" s="342"/>
      <c r="E158" s="195"/>
      <c r="F158" s="342"/>
      <c r="G158" s="340"/>
      <c r="H158" s="340"/>
      <c r="I158" s="195"/>
      <c r="J158" s="342"/>
      <c r="K158" s="195"/>
    </row>
    <row r="159" spans="1:12" ht="13">
      <c r="B159" s="341"/>
      <c r="C159" s="195"/>
      <c r="D159" s="342"/>
      <c r="E159" s="195"/>
      <c r="F159" s="342" t="str">
        <f>$F$7</f>
        <v>TOTAL</v>
      </c>
      <c r="G159" s="195"/>
      <c r="H159" s="195"/>
      <c r="I159" s="195"/>
      <c r="J159" s="342"/>
      <c r="K159" s="195"/>
    </row>
    <row r="160" spans="1:12" ht="13">
      <c r="A160" s="342" t="s">
        <v>907</v>
      </c>
      <c r="B160" s="195"/>
      <c r="C160" s="195"/>
      <c r="D160" s="342"/>
      <c r="E160" s="195"/>
      <c r="F160" s="342" t="str">
        <f>$F$8</f>
        <v>DISTRIBUTION</v>
      </c>
      <c r="G160" s="342" t="s">
        <v>417</v>
      </c>
      <c r="H160" s="342" t="s">
        <v>857</v>
      </c>
      <c r="I160" s="342" t="s">
        <v>858</v>
      </c>
      <c r="J160" s="342" t="s">
        <v>546</v>
      </c>
      <c r="K160" s="342" t="s">
        <v>229</v>
      </c>
      <c r="L160" s="342" t="s">
        <v>342</v>
      </c>
    </row>
    <row r="161" spans="1:12" ht="13">
      <c r="A161" s="344" t="s">
        <v>908</v>
      </c>
      <c r="B161" s="343" t="str">
        <f>"NET GAS PLANT"</f>
        <v>NET GAS PLANT</v>
      </c>
      <c r="C161" s="343"/>
      <c r="D161" s="344" t="s">
        <v>337</v>
      </c>
      <c r="E161" s="343"/>
      <c r="F161" s="342" t="str">
        <f>$F$9</f>
        <v>DEMAND</v>
      </c>
      <c r="G161" s="344" t="s">
        <v>338</v>
      </c>
      <c r="H161" s="344" t="s">
        <v>404</v>
      </c>
      <c r="I161" s="344" t="s">
        <v>404</v>
      </c>
      <c r="J161" s="344" t="s">
        <v>547</v>
      </c>
      <c r="K161" s="344" t="s">
        <v>341</v>
      </c>
      <c r="L161" s="344" t="s">
        <v>340</v>
      </c>
    </row>
    <row r="162" spans="1:12" ht="13">
      <c r="C162" s="572" t="s">
        <v>346</v>
      </c>
      <c r="D162" s="342"/>
      <c r="E162" s="195"/>
      <c r="F162" s="755"/>
      <c r="G162" s="627">
        <f>$G$10</f>
        <v>3</v>
      </c>
      <c r="H162" s="627">
        <f>$H$10</f>
        <v>4</v>
      </c>
      <c r="I162" s="627">
        <f>$I$10</f>
        <v>5</v>
      </c>
      <c r="J162" s="627">
        <f>$J$10</f>
        <v>6</v>
      </c>
    </row>
    <row r="163" spans="1:12" ht="13">
      <c r="A163" s="331">
        <v>1</v>
      </c>
      <c r="B163" s="330" t="s">
        <v>14</v>
      </c>
      <c r="D163" s="342"/>
      <c r="E163" s="195"/>
      <c r="I163" s="330"/>
    </row>
    <row r="164" spans="1:12" ht="13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0</v>
      </c>
      <c r="G164" s="345">
        <f>$G$59</f>
        <v>0</v>
      </c>
      <c r="H164" s="345">
        <f>$H$59</f>
        <v>0</v>
      </c>
      <c r="I164" s="345">
        <f>$I$59</f>
        <v>0</v>
      </c>
      <c r="J164" s="345">
        <f>$J$59</f>
        <v>0</v>
      </c>
      <c r="K164" s="345">
        <f>$K$59</f>
        <v>0</v>
      </c>
      <c r="L164" s="345">
        <f>F164-K164</f>
        <v>0</v>
      </c>
    </row>
    <row r="165" spans="1:12" ht="13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 t="shared" ref="F165:K165" si="66">-F115</f>
        <v>0</v>
      </c>
      <c r="G165" s="345">
        <f t="shared" si="66"/>
        <v>0</v>
      </c>
      <c r="H165" s="345">
        <f t="shared" si="66"/>
        <v>0</v>
      </c>
      <c r="I165" s="345">
        <f t="shared" si="66"/>
        <v>0</v>
      </c>
      <c r="J165" s="345">
        <f t="shared" si="66"/>
        <v>0</v>
      </c>
      <c r="K165" s="345">
        <f t="shared" si="66"/>
        <v>0</v>
      </c>
      <c r="L165" s="345">
        <f>F165-K165</f>
        <v>0</v>
      </c>
    </row>
    <row r="166" spans="1:12" ht="13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L166" si="67">SUM(F164:F165)</f>
        <v>0</v>
      </c>
      <c r="G166" s="346">
        <f t="shared" si="67"/>
        <v>0</v>
      </c>
      <c r="H166" s="346">
        <f t="shared" si="67"/>
        <v>0</v>
      </c>
      <c r="I166" s="346">
        <f t="shared" si="67"/>
        <v>0</v>
      </c>
      <c r="J166" s="346">
        <f t="shared" si="67"/>
        <v>0</v>
      </c>
      <c r="K166" s="346">
        <f t="shared" si="67"/>
        <v>0</v>
      </c>
      <c r="L166" s="346">
        <f t="shared" si="67"/>
        <v>0</v>
      </c>
    </row>
    <row r="167" spans="1:12" ht="13">
      <c r="A167" s="331">
        <v>5</v>
      </c>
      <c r="D167" s="342"/>
      <c r="E167" s="195"/>
      <c r="I167" s="330"/>
    </row>
    <row r="168" spans="1:12" ht="13">
      <c r="A168" s="331">
        <v>6</v>
      </c>
      <c r="B168" s="357" t="s">
        <v>15</v>
      </c>
      <c r="C168" s="357"/>
      <c r="D168" s="342"/>
      <c r="E168" s="195"/>
      <c r="F168" s="345"/>
      <c r="G168" s="345"/>
      <c r="H168" s="345"/>
      <c r="I168" s="345"/>
      <c r="J168" s="345"/>
      <c r="K168" s="345"/>
    </row>
    <row r="169" spans="1:12" ht="13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345">
        <f>$G$63</f>
        <v>0</v>
      </c>
      <c r="H169" s="345">
        <f>$H$63</f>
        <v>0</v>
      </c>
      <c r="I169" s="345">
        <f>$I$63</f>
        <v>0</v>
      </c>
      <c r="J169" s="345">
        <f>$J$63</f>
        <v>0</v>
      </c>
      <c r="K169" s="345">
        <f>$K$63</f>
        <v>0</v>
      </c>
      <c r="L169" s="345">
        <f>F169-K169</f>
        <v>0</v>
      </c>
    </row>
    <row r="170" spans="1:12" ht="13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 t="shared" ref="F170:K170" si="68">-F119</f>
        <v>0</v>
      </c>
      <c r="G170" s="345">
        <f t="shared" si="68"/>
        <v>0</v>
      </c>
      <c r="H170" s="345">
        <f t="shared" si="68"/>
        <v>0</v>
      </c>
      <c r="I170" s="345">
        <f t="shared" si="68"/>
        <v>0</v>
      </c>
      <c r="J170" s="345">
        <f t="shared" si="68"/>
        <v>0</v>
      </c>
      <c r="K170" s="345">
        <f t="shared" si="68"/>
        <v>0</v>
      </c>
      <c r="L170" s="345">
        <f>F170-K170</f>
        <v>0</v>
      </c>
    </row>
    <row r="171" spans="1:12" ht="13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L171" si="69">SUM(F168:F170)</f>
        <v>0</v>
      </c>
      <c r="G171" s="346">
        <f t="shared" si="69"/>
        <v>0</v>
      </c>
      <c r="H171" s="346">
        <f t="shared" si="69"/>
        <v>0</v>
      </c>
      <c r="I171" s="346">
        <f t="shared" si="69"/>
        <v>0</v>
      </c>
      <c r="J171" s="346">
        <f t="shared" si="69"/>
        <v>0</v>
      </c>
      <c r="K171" s="346">
        <f t="shared" si="69"/>
        <v>0</v>
      </c>
      <c r="L171" s="346">
        <f t="shared" si="69"/>
        <v>0</v>
      </c>
    </row>
    <row r="172" spans="1:12" ht="13">
      <c r="A172" s="331">
        <v>10</v>
      </c>
      <c r="D172" s="342"/>
      <c r="E172" s="195"/>
      <c r="I172" s="330"/>
    </row>
    <row r="173" spans="1:12" ht="13">
      <c r="A173" s="331">
        <v>11</v>
      </c>
      <c r="B173" s="330" t="s">
        <v>17</v>
      </c>
      <c r="D173" s="342"/>
      <c r="E173" s="195"/>
      <c r="I173" s="330"/>
    </row>
    <row r="174" spans="1:12" ht="13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 t="shared" ref="F174:K174" si="70">F78</f>
        <v>453274798</v>
      </c>
      <c r="G174" s="345">
        <f t="shared" si="70"/>
        <v>230997303</v>
      </c>
      <c r="H174" s="345">
        <f t="shared" si="70"/>
        <v>140357305</v>
      </c>
      <c r="I174" s="345">
        <f t="shared" si="70"/>
        <v>61994926</v>
      </c>
      <c r="J174" s="345">
        <f t="shared" si="70"/>
        <v>19925264</v>
      </c>
      <c r="K174" s="345">
        <f t="shared" si="70"/>
        <v>453274798</v>
      </c>
      <c r="L174" s="345">
        <f>F174-K174</f>
        <v>0</v>
      </c>
    </row>
    <row r="175" spans="1:12" ht="13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 t="shared" ref="F175:K175" si="71">-F131</f>
        <v>-115027242</v>
      </c>
      <c r="G175" s="345">
        <f t="shared" si="71"/>
        <v>-60219545</v>
      </c>
      <c r="H175" s="345">
        <f t="shared" si="71"/>
        <v>-33089545</v>
      </c>
      <c r="I175" s="345">
        <f t="shared" si="71"/>
        <v>-16372748</v>
      </c>
      <c r="J175" s="345">
        <f t="shared" si="71"/>
        <v>-5345404</v>
      </c>
      <c r="K175" s="345">
        <f t="shared" si="71"/>
        <v>-115027242</v>
      </c>
      <c r="L175" s="345">
        <f>F175-K175</f>
        <v>0</v>
      </c>
    </row>
    <row r="176" spans="1:12" ht="13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L176" si="72">SUM(F173:F175)</f>
        <v>338247556</v>
      </c>
      <c r="G176" s="346">
        <f t="shared" si="72"/>
        <v>170777758</v>
      </c>
      <c r="H176" s="346">
        <f t="shared" si="72"/>
        <v>107267760</v>
      </c>
      <c r="I176" s="346">
        <f t="shared" si="72"/>
        <v>45622178</v>
      </c>
      <c r="J176" s="346">
        <f t="shared" si="72"/>
        <v>14579860</v>
      </c>
      <c r="K176" s="346">
        <f t="shared" si="72"/>
        <v>338247556</v>
      </c>
      <c r="L176" s="346">
        <f t="shared" si="72"/>
        <v>0</v>
      </c>
    </row>
    <row r="177" spans="1:12" ht="13">
      <c r="A177" s="331">
        <v>15</v>
      </c>
      <c r="D177" s="342"/>
      <c r="E177" s="195"/>
      <c r="I177" s="330"/>
    </row>
    <row r="178" spans="1:12" ht="13">
      <c r="A178" s="331">
        <v>16</v>
      </c>
      <c r="B178" s="330" t="s">
        <v>429</v>
      </c>
      <c r="D178" s="342"/>
      <c r="E178" s="195"/>
      <c r="F178" s="345">
        <f t="shared" ref="F178:L178" si="73">F176+F171+F166</f>
        <v>338247556</v>
      </c>
      <c r="G178" s="345">
        <f t="shared" si="73"/>
        <v>170777758</v>
      </c>
      <c r="H178" s="345">
        <f t="shared" si="73"/>
        <v>107267760</v>
      </c>
      <c r="I178" s="345">
        <f t="shared" si="73"/>
        <v>45622178</v>
      </c>
      <c r="J178" s="345">
        <f t="shared" si="73"/>
        <v>14579860</v>
      </c>
      <c r="K178" s="345">
        <f t="shared" si="73"/>
        <v>338247556</v>
      </c>
      <c r="L178" s="345">
        <f t="shared" si="73"/>
        <v>0</v>
      </c>
    </row>
    <row r="179" spans="1:12" ht="13">
      <c r="A179" s="331">
        <v>17</v>
      </c>
      <c r="B179" s="330" t="s">
        <v>24</v>
      </c>
      <c r="D179" s="342"/>
      <c r="E179" s="195"/>
      <c r="F179" s="345">
        <f t="shared" ref="F179:L179" si="74">F176+F171</f>
        <v>338247556</v>
      </c>
      <c r="G179" s="345">
        <f t="shared" si="74"/>
        <v>170777758</v>
      </c>
      <c r="H179" s="345">
        <f t="shared" si="74"/>
        <v>107267760</v>
      </c>
      <c r="I179" s="345">
        <f t="shared" si="74"/>
        <v>45622178</v>
      </c>
      <c r="J179" s="345">
        <f t="shared" si="74"/>
        <v>14579860</v>
      </c>
      <c r="K179" s="345">
        <f t="shared" si="74"/>
        <v>338247556</v>
      </c>
      <c r="L179" s="345">
        <f t="shared" si="74"/>
        <v>0</v>
      </c>
    </row>
    <row r="180" spans="1:12" ht="13">
      <c r="A180" s="331">
        <v>18</v>
      </c>
      <c r="D180" s="342"/>
      <c r="E180" s="195"/>
      <c r="I180" s="330"/>
    </row>
    <row r="181" spans="1:12" ht="13">
      <c r="A181" s="331">
        <v>19</v>
      </c>
      <c r="B181" s="330" t="s">
        <v>20</v>
      </c>
      <c r="D181" s="342"/>
      <c r="E181" s="195"/>
      <c r="I181" s="330"/>
    </row>
    <row r="182" spans="1:12" ht="13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 t="shared" ref="F182:K182" si="75">F90</f>
        <v>14825307</v>
      </c>
      <c r="G182" s="345">
        <f t="shared" si="75"/>
        <v>7628362</v>
      </c>
      <c r="H182" s="345">
        <f t="shared" si="75"/>
        <v>4632167</v>
      </c>
      <c r="I182" s="345">
        <f t="shared" si="75"/>
        <v>1965391</v>
      </c>
      <c r="J182" s="345">
        <f t="shared" si="75"/>
        <v>599387</v>
      </c>
      <c r="K182" s="345">
        <f t="shared" si="75"/>
        <v>14825307</v>
      </c>
      <c r="L182" s="345">
        <f>F182-K182</f>
        <v>0</v>
      </c>
    </row>
    <row r="183" spans="1:12" ht="13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 t="shared" ref="F183:K183" si="76">-F140</f>
        <v>-7298389</v>
      </c>
      <c r="G183" s="345">
        <f t="shared" si="76"/>
        <v>-3755386</v>
      </c>
      <c r="H183" s="345">
        <f t="shared" si="76"/>
        <v>-2280382</v>
      </c>
      <c r="I183" s="345">
        <f t="shared" si="76"/>
        <v>-967547</v>
      </c>
      <c r="J183" s="345">
        <f t="shared" si="76"/>
        <v>-295074</v>
      </c>
      <c r="K183" s="345">
        <f t="shared" si="76"/>
        <v>-7298389</v>
      </c>
      <c r="L183" s="345">
        <f>F183-K183</f>
        <v>0</v>
      </c>
    </row>
    <row r="184" spans="1:12" ht="13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L184" si="77">SUM(F181:F183)</f>
        <v>7526918</v>
      </c>
      <c r="G184" s="346">
        <f t="shared" si="77"/>
        <v>3872976</v>
      </c>
      <c r="H184" s="346">
        <f t="shared" si="77"/>
        <v>2351785</v>
      </c>
      <c r="I184" s="346">
        <f t="shared" si="77"/>
        <v>997844</v>
      </c>
      <c r="J184" s="346">
        <f t="shared" si="77"/>
        <v>304313</v>
      </c>
      <c r="K184" s="346">
        <f t="shared" si="77"/>
        <v>7526918</v>
      </c>
      <c r="L184" s="346">
        <f t="shared" si="77"/>
        <v>0</v>
      </c>
    </row>
    <row r="185" spans="1:12" ht="13">
      <c r="A185" s="331">
        <v>23</v>
      </c>
      <c r="D185" s="342"/>
      <c r="E185" s="195"/>
      <c r="F185" s="345"/>
      <c r="G185" s="345"/>
      <c r="H185" s="345"/>
      <c r="I185" s="345"/>
      <c r="J185" s="345"/>
      <c r="K185" s="345"/>
    </row>
    <row r="186" spans="1:12" ht="13">
      <c r="A186" s="331">
        <v>24</v>
      </c>
      <c r="B186" s="330" t="s">
        <v>21</v>
      </c>
      <c r="D186" s="342"/>
      <c r="E186" s="195"/>
      <c r="F186" s="345"/>
      <c r="G186" s="345"/>
      <c r="H186" s="345"/>
      <c r="I186" s="345"/>
      <c r="J186" s="345"/>
      <c r="K186" s="345"/>
    </row>
    <row r="187" spans="1:12" ht="13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 t="shared" ref="F187:K187" si="78">F99</f>
        <v>4768084</v>
      </c>
      <c r="G187" s="345">
        <f t="shared" si="78"/>
        <v>2453417</v>
      </c>
      <c r="H187" s="345">
        <f t="shared" si="78"/>
        <v>1489788</v>
      </c>
      <c r="I187" s="345">
        <f t="shared" si="78"/>
        <v>632105</v>
      </c>
      <c r="J187" s="345">
        <f t="shared" si="78"/>
        <v>192774</v>
      </c>
      <c r="K187" s="345">
        <f t="shared" si="78"/>
        <v>4768084</v>
      </c>
      <c r="L187" s="345">
        <f>F187-K187</f>
        <v>0</v>
      </c>
    </row>
    <row r="188" spans="1:12" ht="13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 t="shared" ref="F188:K188" si="79">-F149</f>
        <v>-3337891</v>
      </c>
      <c r="G188" s="345">
        <f t="shared" si="79"/>
        <v>-1717512</v>
      </c>
      <c r="H188" s="345">
        <f t="shared" si="79"/>
        <v>-1042924</v>
      </c>
      <c r="I188" s="345">
        <f t="shared" si="79"/>
        <v>-442504</v>
      </c>
      <c r="J188" s="345">
        <f t="shared" si="79"/>
        <v>-134951</v>
      </c>
      <c r="K188" s="345">
        <f t="shared" si="79"/>
        <v>-3337891</v>
      </c>
      <c r="L188" s="345">
        <f>F188-K188</f>
        <v>0</v>
      </c>
    </row>
    <row r="189" spans="1:12" ht="13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L189" si="80">SUM(F186:F188)</f>
        <v>1430193</v>
      </c>
      <c r="G189" s="346">
        <f t="shared" si="80"/>
        <v>735905</v>
      </c>
      <c r="H189" s="346">
        <f t="shared" si="80"/>
        <v>446864</v>
      </c>
      <c r="I189" s="346">
        <f t="shared" si="80"/>
        <v>189601</v>
      </c>
      <c r="J189" s="346">
        <f t="shared" si="80"/>
        <v>57823</v>
      </c>
      <c r="K189" s="346">
        <f t="shared" si="80"/>
        <v>1430193</v>
      </c>
      <c r="L189" s="346">
        <f t="shared" si="80"/>
        <v>0</v>
      </c>
    </row>
    <row r="190" spans="1:12" ht="13">
      <c r="A190" s="331">
        <v>28</v>
      </c>
      <c r="D190" s="342"/>
      <c r="E190" s="195"/>
      <c r="F190" s="345"/>
      <c r="G190" s="345"/>
      <c r="H190" s="345"/>
      <c r="I190" s="345"/>
      <c r="J190" s="345"/>
      <c r="K190" s="345"/>
      <c r="L190" s="345"/>
    </row>
    <row r="191" spans="1:12" ht="13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L191" si="81">F189+F184+F176+F171+F166</f>
        <v>347204667</v>
      </c>
      <c r="G191" s="345">
        <f t="shared" si="81"/>
        <v>175386639</v>
      </c>
      <c r="H191" s="345">
        <f t="shared" si="81"/>
        <v>110066409</v>
      </c>
      <c r="I191" s="345">
        <f t="shared" si="81"/>
        <v>46809623</v>
      </c>
      <c r="J191" s="345">
        <f t="shared" si="81"/>
        <v>14941996</v>
      </c>
      <c r="K191" s="345">
        <f t="shared" si="81"/>
        <v>347204667</v>
      </c>
      <c r="L191" s="345">
        <f t="shared" si="81"/>
        <v>0</v>
      </c>
    </row>
    <row r="192" spans="1:12" ht="13">
      <c r="B192" s="341"/>
      <c r="C192" s="195"/>
      <c r="D192" s="342"/>
      <c r="E192" s="195"/>
      <c r="G192" s="195"/>
      <c r="H192" s="195"/>
      <c r="I192" s="195"/>
      <c r="J192" s="342"/>
      <c r="K192" s="195"/>
      <c r="L192" s="195"/>
    </row>
    <row r="193" spans="1:12" ht="13">
      <c r="A193" s="341" t="str">
        <f>co_name</f>
        <v>DUKE ENERGY KENTUCKY, INC.</v>
      </c>
      <c r="C193" s="195"/>
      <c r="D193" s="342"/>
      <c r="E193" s="195"/>
      <c r="F193" s="342"/>
      <c r="G193" s="340"/>
      <c r="H193" s="340"/>
      <c r="I193" s="195"/>
      <c r="K193" s="359" t="str">
        <f>$K$1</f>
        <v>FR-16(7)(v)-5</v>
      </c>
      <c r="L193" s="195"/>
    </row>
    <row r="194" spans="1:12" ht="13">
      <c r="A194" s="341" t="str">
        <f>$A$2</f>
        <v>DISTRIBUTION DEMAND ALLOCATED - GAS COST OF SERVICE</v>
      </c>
      <c r="C194" s="195"/>
      <c r="D194" s="342"/>
      <c r="E194" s="195"/>
      <c r="F194" s="342"/>
      <c r="G194" s="340"/>
      <c r="H194" s="340"/>
      <c r="I194" s="195"/>
      <c r="K194" s="359" t="str">
        <f>$K$2</f>
        <v>WITNESS RESPONSIBLE:</v>
      </c>
      <c r="L194" s="195"/>
    </row>
    <row r="195" spans="1:12" ht="13">
      <c r="A195" s="341" t="str">
        <f>case_name</f>
        <v>CASE NO: 2021-00190</v>
      </c>
      <c r="C195" s="195"/>
      <c r="D195" s="342"/>
      <c r="E195" s="195"/>
      <c r="F195" s="342"/>
      <c r="G195" s="340"/>
      <c r="H195" s="340"/>
      <c r="I195" s="195"/>
      <c r="K195" s="359" t="str">
        <f>Witness</f>
        <v>JAMES E. ZIOLKOWSKI</v>
      </c>
      <c r="L195" s="195"/>
    </row>
    <row r="196" spans="1:12" ht="13">
      <c r="A196" s="341" t="str">
        <f>data_filing</f>
        <v>DATA: 12 MONTH FORECASTED PERIOD</v>
      </c>
      <c r="C196" s="195"/>
      <c r="D196" s="342"/>
      <c r="E196" s="195"/>
      <c r="F196" s="342"/>
      <c r="G196" s="340"/>
      <c r="H196" s="340"/>
      <c r="I196" s="195"/>
      <c r="K196" s="359" t="str">
        <f>"PAGE "&amp;Pages-13&amp;" OF "&amp;Pages</f>
        <v>PAGE 5 OF 18</v>
      </c>
      <c r="L196" s="195"/>
    </row>
    <row r="197" spans="1:12" ht="13">
      <c r="A197" s="341" t="str">
        <f>type</f>
        <v xml:space="preserve">TYPE OF FILING: "X" ORIGINAL   UPDATED    REVISED  </v>
      </c>
      <c r="C197" s="195"/>
      <c r="D197" s="342"/>
      <c r="E197" s="195"/>
      <c r="F197" s="342"/>
      <c r="G197" s="340"/>
      <c r="H197" s="340"/>
      <c r="I197" s="195"/>
      <c r="J197" s="342"/>
      <c r="K197" s="195"/>
      <c r="L197" s="195"/>
    </row>
    <row r="198" spans="1:12" ht="13">
      <c r="B198" s="341"/>
      <c r="C198" s="195"/>
      <c r="D198" s="342"/>
      <c r="E198" s="195"/>
      <c r="F198" s="342"/>
      <c r="G198" s="195"/>
      <c r="H198" s="195"/>
      <c r="I198" s="195"/>
      <c r="J198" s="342"/>
      <c r="K198" s="195"/>
      <c r="L198" s="195"/>
    </row>
    <row r="199" spans="1:12" ht="13">
      <c r="B199" s="341"/>
      <c r="C199" s="195"/>
      <c r="D199" s="342"/>
      <c r="E199" s="195"/>
      <c r="F199" s="342" t="str">
        <f>$F$7</f>
        <v>TOTAL</v>
      </c>
      <c r="G199" s="195"/>
      <c r="H199" s="195"/>
      <c r="I199" s="195"/>
      <c r="J199" s="342"/>
      <c r="K199" s="195"/>
      <c r="L199" s="195"/>
    </row>
    <row r="200" spans="1:12" ht="13">
      <c r="A200" s="342" t="s">
        <v>907</v>
      </c>
      <c r="B200" s="195"/>
      <c r="C200" s="195"/>
      <c r="D200" s="342"/>
      <c r="E200" s="195"/>
      <c r="F200" s="342" t="str">
        <f>$F$8</f>
        <v>DISTRIBUTION</v>
      </c>
      <c r="G200" s="342" t="s">
        <v>417</v>
      </c>
      <c r="H200" s="342" t="s">
        <v>857</v>
      </c>
      <c r="I200" s="342" t="s">
        <v>858</v>
      </c>
      <c r="J200" s="342" t="s">
        <v>546</v>
      </c>
      <c r="K200" s="342" t="s">
        <v>229</v>
      </c>
      <c r="L200" s="342" t="s">
        <v>342</v>
      </c>
    </row>
    <row r="201" spans="1:12" ht="13">
      <c r="A201" s="344" t="s">
        <v>908</v>
      </c>
      <c r="B201" s="343" t="s">
        <v>946</v>
      </c>
      <c r="C201" s="343"/>
      <c r="D201" s="344" t="s">
        <v>337</v>
      </c>
      <c r="E201" s="343"/>
      <c r="F201" s="342" t="str">
        <f>$F$9</f>
        <v>DEMAND</v>
      </c>
      <c r="G201" s="344" t="s">
        <v>338</v>
      </c>
      <c r="H201" s="344" t="s">
        <v>404</v>
      </c>
      <c r="I201" s="344" t="s">
        <v>404</v>
      </c>
      <c r="J201" s="344" t="s">
        <v>547</v>
      </c>
      <c r="K201" s="344" t="s">
        <v>341</v>
      </c>
      <c r="L201" s="344" t="s">
        <v>340</v>
      </c>
    </row>
    <row r="202" spans="1:12" ht="13">
      <c r="C202" s="572" t="s">
        <v>347</v>
      </c>
      <c r="D202" s="342"/>
      <c r="E202" s="195"/>
      <c r="F202" s="755"/>
      <c r="G202" s="627">
        <f>$G$10</f>
        <v>3</v>
      </c>
      <c r="H202" s="627">
        <f>$H$10</f>
        <v>4</v>
      </c>
      <c r="I202" s="627">
        <f>$I$10</f>
        <v>5</v>
      </c>
      <c r="J202" s="627">
        <f>$J$10</f>
        <v>6</v>
      </c>
    </row>
    <row r="203" spans="1:12" ht="13">
      <c r="A203" s="331">
        <v>1</v>
      </c>
      <c r="B203" s="330" t="s">
        <v>26</v>
      </c>
      <c r="D203" s="342"/>
      <c r="E203" s="195"/>
      <c r="I203" s="330"/>
    </row>
    <row r="204" spans="1:12" ht="13">
      <c r="A204" s="331">
        <v>2</v>
      </c>
      <c r="B204" s="330" t="s">
        <v>816</v>
      </c>
      <c r="D204" s="342"/>
      <c r="E204" s="195"/>
      <c r="I204" s="330"/>
    </row>
    <row r="205" spans="1:12" ht="13">
      <c r="A205" s="331">
        <v>3</v>
      </c>
      <c r="B205" s="330" t="s">
        <v>27</v>
      </c>
      <c r="D205" s="342"/>
      <c r="E205" s="195"/>
      <c r="I205" s="330"/>
    </row>
    <row r="206" spans="1:12" ht="13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3">
        <f>'FR-16(7)(v)-4 DISTR Classified'!G206</f>
        <v>40586164</v>
      </c>
      <c r="G206" s="347">
        <f t="shared" ref="G206:G214" si="82">F206-SUM(H206:J206)</f>
        <v>20501289</v>
      </c>
      <c r="H206" s="345">
        <f>ROUND($F$206*VLOOKUP($D$206,ALLOCTABLE_DISTR_DEMAND,$H$10,FALSE),0)</f>
        <v>12866220</v>
      </c>
      <c r="I206" s="345">
        <f t="shared" ref="I206:I214" si="83">ROUND(F206*VLOOKUP(D206,ALLOCTABLE_DISTR_DEMAND,$I$10,FALSE),0)</f>
        <v>5471827</v>
      </c>
      <c r="J206" s="345">
        <f t="shared" ref="J206:J214" si="84">ROUND(F206*VLOOKUP(D206,ALLOCTABLE_DISTR_DEMAND,$J$10,FALSE),0)</f>
        <v>1746828</v>
      </c>
      <c r="K206" s="345">
        <f t="shared" ref="K206:K214" si="85">SUM(G206:J206)</f>
        <v>40586164</v>
      </c>
      <c r="L206" s="345">
        <f t="shared" ref="L206:L214" si="86">F206-K206</f>
        <v>0</v>
      </c>
    </row>
    <row r="207" spans="1:12" ht="13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3">
        <f>'FR-16(7)(v)-4 DISTR Classified'!G207</f>
        <v>0</v>
      </c>
      <c r="G207" s="347">
        <f t="shared" si="82"/>
        <v>0</v>
      </c>
      <c r="H207" s="345">
        <f>ROUND($F$207*VLOOKUP($D$207,ALLOCTABLE_DISTR_DEMAND,$H$10,FALSE),0)</f>
        <v>0</v>
      </c>
      <c r="I207" s="345">
        <f t="shared" si="83"/>
        <v>0</v>
      </c>
      <c r="J207" s="345">
        <f t="shared" si="84"/>
        <v>0</v>
      </c>
      <c r="K207" s="345">
        <f t="shared" si="85"/>
        <v>0</v>
      </c>
      <c r="L207" s="345">
        <f t="shared" si="86"/>
        <v>0</v>
      </c>
    </row>
    <row r="208" spans="1:12" ht="13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3">
        <f>'FR-16(7)(v)-4 DISTR Classified'!G208</f>
        <v>-931683</v>
      </c>
      <c r="G208" s="347">
        <f t="shared" si="82"/>
        <v>-470397</v>
      </c>
      <c r="H208" s="345">
        <f>ROUND($F$208*VLOOKUP($D$208,ALLOCTABLE_DISTR_DEMAND,$H$10,FALSE),0)</f>
        <v>-295465</v>
      </c>
      <c r="I208" s="345">
        <f t="shared" si="83"/>
        <v>-125665</v>
      </c>
      <c r="J208" s="345">
        <f t="shared" si="84"/>
        <v>-40156</v>
      </c>
      <c r="K208" s="345">
        <f t="shared" si="85"/>
        <v>-931683</v>
      </c>
      <c r="L208" s="345">
        <f t="shared" si="86"/>
        <v>0</v>
      </c>
    </row>
    <row r="209" spans="1:12" ht="13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3">
        <f>'FR-16(7)(v)-4 DISTR Classified'!G209</f>
        <v>-956383</v>
      </c>
      <c r="G209" s="347">
        <f t="shared" si="82"/>
        <v>-483097</v>
      </c>
      <c r="H209" s="345">
        <f>ROUND($F$209*VLOOKUP($D$209,ALLOCTABLE_DISTR_DEMAND,$H$10,FALSE),0)</f>
        <v>-303183</v>
      </c>
      <c r="I209" s="345">
        <f t="shared" si="83"/>
        <v>-128940</v>
      </c>
      <c r="J209" s="345">
        <f t="shared" si="84"/>
        <v>-41163</v>
      </c>
      <c r="K209" s="345">
        <f t="shared" si="85"/>
        <v>-956383</v>
      </c>
      <c r="L209" s="345">
        <f t="shared" si="86"/>
        <v>0</v>
      </c>
    </row>
    <row r="210" spans="1:12" ht="13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3">
        <f>'FR-16(7)(v)-4 DISTR Classified'!G210</f>
        <v>0</v>
      </c>
      <c r="G210" s="347">
        <f t="shared" si="82"/>
        <v>0</v>
      </c>
      <c r="H210" s="345">
        <f>ROUND($F$210*VLOOKUP($D$210,ALLOCTABLE_DISTR_DEMAND,$H$10,FALSE),0)</f>
        <v>0</v>
      </c>
      <c r="I210" s="345">
        <f t="shared" si="83"/>
        <v>0</v>
      </c>
      <c r="J210" s="345">
        <f t="shared" si="84"/>
        <v>0</v>
      </c>
      <c r="K210" s="345">
        <f t="shared" si="85"/>
        <v>0</v>
      </c>
      <c r="L210" s="345">
        <f t="shared" si="86"/>
        <v>0</v>
      </c>
    </row>
    <row r="211" spans="1:12" ht="13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3">
        <f>'FR-16(7)(v)-4 DISTR Classified'!G211</f>
        <v>0</v>
      </c>
      <c r="G211" s="347">
        <f t="shared" si="82"/>
        <v>0</v>
      </c>
      <c r="H211" s="345">
        <f>ROUND($F$211*VLOOKUP($D$211,ALLOCTABLE_DISTR_DEMAND,$H$10,FALSE),0)</f>
        <v>0</v>
      </c>
      <c r="I211" s="345">
        <f t="shared" si="83"/>
        <v>0</v>
      </c>
      <c r="J211" s="345">
        <f t="shared" si="84"/>
        <v>0</v>
      </c>
      <c r="K211" s="345">
        <f t="shared" si="85"/>
        <v>0</v>
      </c>
      <c r="L211" s="345">
        <f t="shared" si="86"/>
        <v>0</v>
      </c>
    </row>
    <row r="212" spans="1:12" ht="13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3">
        <f>'FR-16(7)(v)-4 DISTR Classified'!G212</f>
        <v>-289151</v>
      </c>
      <c r="G212" s="347">
        <f t="shared" si="82"/>
        <v>-148783</v>
      </c>
      <c r="H212" s="345">
        <f>ROUND($F$212*VLOOKUP($D$212,ALLOCTABLE_DISTR_DEMAND,$H$10,FALSE),0)</f>
        <v>-90345</v>
      </c>
      <c r="I212" s="345">
        <f t="shared" si="83"/>
        <v>-38333</v>
      </c>
      <c r="J212" s="345">
        <f t="shared" si="84"/>
        <v>-11690</v>
      </c>
      <c r="K212" s="345">
        <f t="shared" si="85"/>
        <v>-289151</v>
      </c>
      <c r="L212" s="345">
        <f t="shared" si="86"/>
        <v>0</v>
      </c>
    </row>
    <row r="213" spans="1:12" ht="13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3">
        <f>'FR-16(7)(v)-4 DISTR Classified'!G213</f>
        <v>0</v>
      </c>
      <c r="G213" s="347">
        <f t="shared" si="82"/>
        <v>0</v>
      </c>
      <c r="H213" s="345">
        <f>ROUND($F$213*VLOOKUP($D$213,ALLOCTABLE_DISTR_DEMAND,$H$10,FALSE),0)</f>
        <v>0</v>
      </c>
      <c r="I213" s="345">
        <f t="shared" si="83"/>
        <v>0</v>
      </c>
      <c r="J213" s="345">
        <f t="shared" si="84"/>
        <v>0</v>
      </c>
      <c r="K213" s="345">
        <f t="shared" si="85"/>
        <v>0</v>
      </c>
      <c r="L213" s="345">
        <f t="shared" si="86"/>
        <v>0</v>
      </c>
    </row>
    <row r="214" spans="1:12" ht="13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3">
        <f>'FR-16(7)(v)-4 DISTR Classified'!G214</f>
        <v>4807900</v>
      </c>
      <c r="G214" s="347">
        <f t="shared" si="82"/>
        <v>2428615</v>
      </c>
      <c r="H214" s="345">
        <f>ROUND($F$214*VLOOKUP($D$214,ALLOCTABLE_DISTR_DEMAND,$H$10,FALSE),0)</f>
        <v>1524152</v>
      </c>
      <c r="I214" s="345">
        <f t="shared" si="83"/>
        <v>648201</v>
      </c>
      <c r="J214" s="345">
        <f t="shared" si="84"/>
        <v>206932</v>
      </c>
      <c r="K214" s="345">
        <f t="shared" si="85"/>
        <v>4807900</v>
      </c>
      <c r="L214" s="345">
        <f t="shared" si="86"/>
        <v>0</v>
      </c>
    </row>
    <row r="215" spans="1:12" ht="13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L215" si="87">SUM(F206:F214)</f>
        <v>43216847</v>
      </c>
      <c r="G215" s="346">
        <f>SUM(G206:G214)</f>
        <v>21827627</v>
      </c>
      <c r="H215" s="346">
        <f t="shared" si="87"/>
        <v>13701379</v>
      </c>
      <c r="I215" s="346">
        <f t="shared" si="87"/>
        <v>5827090</v>
      </c>
      <c r="J215" s="346">
        <f t="shared" si="87"/>
        <v>1860751</v>
      </c>
      <c r="K215" s="346">
        <f t="shared" si="87"/>
        <v>43216847</v>
      </c>
      <c r="L215" s="346">
        <f t="shared" si="87"/>
        <v>0</v>
      </c>
    </row>
    <row r="216" spans="1:12" ht="13">
      <c r="A216" s="331">
        <v>14</v>
      </c>
      <c r="D216" s="342"/>
      <c r="E216" s="195"/>
      <c r="I216" s="330"/>
    </row>
    <row r="217" spans="1:12" ht="13">
      <c r="A217" s="331">
        <v>15</v>
      </c>
      <c r="B217" s="330" t="s">
        <v>28</v>
      </c>
      <c r="D217" s="342"/>
      <c r="E217" s="195"/>
      <c r="I217" s="330"/>
    </row>
    <row r="218" spans="1:12" ht="13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3">
        <f>'FR-16(7)(v)-4 DISTR Classified'!G218</f>
        <v>0</v>
      </c>
      <c r="G218" s="347">
        <f t="shared" ref="G218:G228" si="88">F218-SUM(H218:J218)</f>
        <v>0</v>
      </c>
      <c r="H218" s="345">
        <f>ROUND($F$218*VLOOKUP($D$218,ALLOCTABLE_DISTR_DEMAND,$H$10,FALSE),0)</f>
        <v>0</v>
      </c>
      <c r="I218" s="345">
        <f t="shared" ref="I218:I225" si="89">ROUND(F218*VLOOKUP(D218,ALLOCTABLE_DISTR_DEMAND,$I$10,FALSE),0)</f>
        <v>0</v>
      </c>
      <c r="J218" s="345">
        <f t="shared" ref="J218:J225" si="90">ROUND(F218*VLOOKUP(D218,ALLOCTABLE_DISTR_DEMAND,$J$10,FALSE),0)</f>
        <v>0</v>
      </c>
      <c r="K218" s="345">
        <f t="shared" ref="K218:K228" si="91">SUM(G218:J218)</f>
        <v>0</v>
      </c>
      <c r="L218" s="345">
        <f t="shared" ref="L218:L228" si="92">F218-K218</f>
        <v>0</v>
      </c>
    </row>
    <row r="219" spans="1:12" ht="13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3">
        <f>'FR-16(7)(v)-4 DISTR Classified'!G219</f>
        <v>0</v>
      </c>
      <c r="G219" s="347">
        <f t="shared" si="88"/>
        <v>0</v>
      </c>
      <c r="H219" s="345">
        <f>ROUND($F$219*VLOOKUP($D$219,ALLOCTABLE_DISTR_DEMAND,$H$10,FALSE),0)</f>
        <v>0</v>
      </c>
      <c r="I219" s="345">
        <f t="shared" si="89"/>
        <v>0</v>
      </c>
      <c r="J219" s="345">
        <f t="shared" si="90"/>
        <v>0</v>
      </c>
      <c r="K219" s="345">
        <f t="shared" si="91"/>
        <v>0</v>
      </c>
      <c r="L219" s="345">
        <f t="shared" si="92"/>
        <v>0</v>
      </c>
    </row>
    <row r="220" spans="1:12" ht="13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3">
        <f>'FR-16(7)(v)-4 DISTR Classified'!G220</f>
        <v>0</v>
      </c>
      <c r="G220" s="347">
        <f t="shared" si="88"/>
        <v>0</v>
      </c>
      <c r="H220" s="345">
        <f>ROUND($F$220*VLOOKUP($D$220,ALLOCTABLE_DISTR_DEMAND,$H$10,FALSE),0)</f>
        <v>0</v>
      </c>
      <c r="I220" s="345">
        <f t="shared" si="89"/>
        <v>0</v>
      </c>
      <c r="J220" s="345">
        <f t="shared" si="90"/>
        <v>0</v>
      </c>
      <c r="K220" s="345">
        <f t="shared" si="91"/>
        <v>0</v>
      </c>
      <c r="L220" s="345">
        <f t="shared" si="92"/>
        <v>0</v>
      </c>
    </row>
    <row r="221" spans="1:12" ht="13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3">
        <f>'FR-16(7)(v)-4 DISTR Classified'!G221</f>
        <v>0</v>
      </c>
      <c r="G221" s="347">
        <f t="shared" si="88"/>
        <v>0</v>
      </c>
      <c r="H221" s="345">
        <f>ROUND($F$221*VLOOKUP($D$221,ALLOCTABLE_DISTR_DEMAND,$H$10,FALSE),0)</f>
        <v>0</v>
      </c>
      <c r="I221" s="345">
        <f t="shared" si="89"/>
        <v>0</v>
      </c>
      <c r="J221" s="345">
        <f t="shared" si="90"/>
        <v>0</v>
      </c>
      <c r="K221" s="345">
        <f t="shared" si="91"/>
        <v>0</v>
      </c>
      <c r="L221" s="345">
        <f t="shared" si="92"/>
        <v>0</v>
      </c>
    </row>
    <row r="222" spans="1:12" ht="13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3">
        <f>'FR-16(7)(v)-4 DISTR Classified'!G222</f>
        <v>0</v>
      </c>
      <c r="G222" s="347">
        <f t="shared" si="88"/>
        <v>0</v>
      </c>
      <c r="H222" s="345">
        <f>ROUND($F$222*VLOOKUP($D$222,ALLOCTABLE_DISTR_DEMAND,$H$10,FALSE),0)</f>
        <v>0</v>
      </c>
      <c r="I222" s="345">
        <f t="shared" si="89"/>
        <v>0</v>
      </c>
      <c r="J222" s="345">
        <f t="shared" si="90"/>
        <v>0</v>
      </c>
      <c r="K222" s="345">
        <f t="shared" si="91"/>
        <v>0</v>
      </c>
      <c r="L222" s="345">
        <f t="shared" si="92"/>
        <v>0</v>
      </c>
    </row>
    <row r="223" spans="1:12" ht="13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3">
        <f>'FR-16(7)(v)-4 DISTR Classified'!G223</f>
        <v>0</v>
      </c>
      <c r="G223" s="347">
        <f t="shared" si="88"/>
        <v>0</v>
      </c>
      <c r="H223" s="345">
        <f>ROUND($F$223*VLOOKUP($D$223,ALLOCTABLE_DISTR_DEMAND,$H$10,FALSE),0)</f>
        <v>0</v>
      </c>
      <c r="I223" s="345">
        <f t="shared" si="89"/>
        <v>0</v>
      </c>
      <c r="J223" s="345">
        <f t="shared" si="90"/>
        <v>0</v>
      </c>
      <c r="K223" s="345">
        <f t="shared" si="91"/>
        <v>0</v>
      </c>
      <c r="L223" s="345">
        <f t="shared" si="92"/>
        <v>0</v>
      </c>
    </row>
    <row r="224" spans="1:12" ht="13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3">
        <f>'FR-16(7)(v)-4 DISTR Classified'!G224</f>
        <v>0</v>
      </c>
      <c r="G224" s="347">
        <f t="shared" si="88"/>
        <v>0</v>
      </c>
      <c r="H224" s="345">
        <f>ROUND($F$224*VLOOKUP($D$224,ALLOCTABLE_DISTR_DEMAND,$H$10,FALSE),0)</f>
        <v>0</v>
      </c>
      <c r="I224" s="345">
        <f t="shared" si="89"/>
        <v>0</v>
      </c>
      <c r="J224" s="345">
        <f t="shared" si="90"/>
        <v>0</v>
      </c>
      <c r="K224" s="345">
        <f t="shared" si="91"/>
        <v>0</v>
      </c>
      <c r="L224" s="345">
        <f t="shared" si="92"/>
        <v>0</v>
      </c>
    </row>
    <row r="225" spans="1:12" ht="13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3">
        <f>'FR-16(7)(v)-4 DISTR Classified'!G225</f>
        <v>0</v>
      </c>
      <c r="G225" s="347">
        <f t="shared" si="88"/>
        <v>0</v>
      </c>
      <c r="H225" s="345">
        <f>ROUND($F$225*VLOOKUP($D$225,ALLOCTABLE_DISTR_DEMAND,$H$10,FALSE),0)</f>
        <v>0</v>
      </c>
      <c r="I225" s="345">
        <f t="shared" si="89"/>
        <v>0</v>
      </c>
      <c r="J225" s="345">
        <f t="shared" si="90"/>
        <v>0</v>
      </c>
      <c r="K225" s="345">
        <f t="shared" si="91"/>
        <v>0</v>
      </c>
      <c r="L225" s="345">
        <f t="shared" si="92"/>
        <v>0</v>
      </c>
    </row>
    <row r="226" spans="1:12" ht="13">
      <c r="A226" s="331">
        <v>24</v>
      </c>
      <c r="C226" s="612" t="str">
        <f>'FR-16(7)(v)-1 Functional'!C226</f>
        <v>RATE CASE EXPENSE AMORT</v>
      </c>
      <c r="D226" s="342" t="str">
        <f>'FR-16(7)(v)-1 Functional'!D226</f>
        <v>AG39</v>
      </c>
      <c r="F226" s="473">
        <f>'FR-16(7)(v)-4 DISTR Classified'!G226</f>
        <v>0</v>
      </c>
      <c r="G226" s="347">
        <f t="shared" si="88"/>
        <v>0</v>
      </c>
      <c r="H226" s="345">
        <f>ROUND($F$226*VLOOKUP($D$226,ALLOCTABLE_DISTR_DEMAND,$H$10,FALSE),0)</f>
        <v>0</v>
      </c>
      <c r="I226" s="345">
        <f>ROUND(F226*VLOOKUP(D226,ALLOCTABLE_DISTR_DEMAND,$I$10,FALSE),0)</f>
        <v>0</v>
      </c>
      <c r="J226" s="345">
        <f>ROUND(F226*VLOOKUP(D226,ALLOCTABLE_DISTR_DEMAND,$J$10,FALSE),0)</f>
        <v>0</v>
      </c>
      <c r="K226" s="345">
        <f>SUM(G226:J226)</f>
        <v>0</v>
      </c>
      <c r="L226" s="345">
        <f>F226-K226</f>
        <v>0</v>
      </c>
    </row>
    <row r="227" spans="1:12" ht="13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3">
        <f>'FR-16(7)(v)-4 DISTR Classified'!G227</f>
        <v>0</v>
      </c>
      <c r="G227" s="347">
        <f t="shared" si="88"/>
        <v>0</v>
      </c>
      <c r="H227" s="345">
        <f>ROUND($F$227*VLOOKUP($D$227,ALLOCTABLE_DISTR_DEMAND,$H$10,FALSE),0)</f>
        <v>0</v>
      </c>
      <c r="I227" s="345">
        <f>ROUND(F227*VLOOKUP(D227,ALLOCTABLE_DISTR_DEMAND,$I$10,FALSE),0)</f>
        <v>0</v>
      </c>
      <c r="J227" s="345">
        <f>ROUND(F227*VLOOKUP(D227,ALLOCTABLE_DISTR_DEMAND,$J$10,FALSE),0)</f>
        <v>0</v>
      </c>
      <c r="K227" s="345">
        <f>SUM(G227:J227)</f>
        <v>0</v>
      </c>
      <c r="L227" s="345">
        <f>F227-K227</f>
        <v>0</v>
      </c>
    </row>
    <row r="228" spans="1:12" ht="13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3">
        <f>'FR-16(7)(v)-4 DISTR Classified'!G228</f>
        <v>0</v>
      </c>
      <c r="G228" s="347">
        <f t="shared" si="88"/>
        <v>0</v>
      </c>
      <c r="H228" s="345">
        <f>ROUND($F$228*VLOOKUP($D$228,ALLOCTABLE_DISTR_DEMAND,$H$10,FALSE),0)</f>
        <v>0</v>
      </c>
      <c r="I228" s="345">
        <f>ROUND(F228*VLOOKUP(D228,ALLOCTABLE_DISTR_DEMAND,$I$10,FALSE),0)</f>
        <v>0</v>
      </c>
      <c r="J228" s="345">
        <f>ROUND(F228*VLOOKUP(D228,ALLOCTABLE_DISTR_DEMAND,$J$10,FALSE),0)</f>
        <v>0</v>
      </c>
      <c r="K228" s="345">
        <f t="shared" si="91"/>
        <v>0</v>
      </c>
      <c r="L228" s="345">
        <f t="shared" si="92"/>
        <v>0</v>
      </c>
    </row>
    <row r="229" spans="1:12" ht="13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L229" si="93">SUM(F217:F228)</f>
        <v>0</v>
      </c>
      <c r="G229" s="346">
        <f>SUM(G217:G228)</f>
        <v>0</v>
      </c>
      <c r="H229" s="346">
        <f t="shared" si="93"/>
        <v>0</v>
      </c>
      <c r="I229" s="346">
        <f t="shared" si="93"/>
        <v>0</v>
      </c>
      <c r="J229" s="346">
        <f t="shared" si="93"/>
        <v>0</v>
      </c>
      <c r="K229" s="346">
        <f t="shared" si="93"/>
        <v>0</v>
      </c>
      <c r="L229" s="346">
        <f t="shared" si="93"/>
        <v>0</v>
      </c>
    </row>
    <row r="230" spans="1:12" ht="13">
      <c r="A230" s="331">
        <v>28</v>
      </c>
      <c r="D230" s="342"/>
      <c r="E230" s="195"/>
      <c r="I230" s="330"/>
    </row>
    <row r="231" spans="1:12" ht="13">
      <c r="A231" s="331">
        <v>29</v>
      </c>
      <c r="B231" s="351" t="s">
        <v>817</v>
      </c>
      <c r="C231" s="351"/>
      <c r="D231" s="342"/>
      <c r="E231" s="195"/>
      <c r="I231" s="330"/>
    </row>
    <row r="232" spans="1:12" ht="13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3">
        <f>'FR-16(7)(v)-4 DISTR Classified'!G232</f>
        <v>1022532</v>
      </c>
      <c r="G232" s="347">
        <f>F232-SUM(H232:J232)</f>
        <v>516266</v>
      </c>
      <c r="H232" s="345">
        <f>ROUND($F$232*VLOOKUP($D$232,ALLOCTABLE_DISTR_DEMAND,$H$10,FALSE),0)</f>
        <v>324276</v>
      </c>
      <c r="I232" s="345">
        <f>ROUND(F232*VLOOKUP(D232,ALLOCTABLE_DISTR_DEMAND,$I$10,FALSE),0)</f>
        <v>137919</v>
      </c>
      <c r="J232" s="345">
        <f>ROUND(F232*VLOOKUP(D232,ALLOCTABLE_DISTR_DEMAND,$J$10,FALSE),0)</f>
        <v>44071</v>
      </c>
      <c r="K232" s="345">
        <f>SUM(G232:J232)</f>
        <v>1022532</v>
      </c>
      <c r="L232" s="345">
        <f>F232-K232</f>
        <v>0</v>
      </c>
    </row>
    <row r="233" spans="1:12" ht="13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3">
        <f>'FR-16(7)(v)-4 DISTR Classified'!G233</f>
        <v>0</v>
      </c>
      <c r="G233" s="347">
        <f>F233-SUM(H233:J233)</f>
        <v>0</v>
      </c>
      <c r="H233" s="345">
        <f>ROUND($F$233*VLOOKUP($D$233,ALLOCTABLE_DISTR_DEMAND,$H$10,FALSE),0)</f>
        <v>0</v>
      </c>
      <c r="I233" s="345">
        <f>ROUND(F233*VLOOKUP(D233,ALLOCTABLE_DISTR_DEMAND,$I$10,FALSE),0)</f>
        <v>0</v>
      </c>
      <c r="J233" s="345">
        <f>ROUND(F233*VLOOKUP(D233,ALLOCTABLE_DISTR_DEMAND,$J$10,FALSE),0)</f>
        <v>0</v>
      </c>
      <c r="K233" s="345">
        <f>SUM(G233:J233)</f>
        <v>0</v>
      </c>
      <c r="L233" s="345">
        <f>F233-K233</f>
        <v>0</v>
      </c>
    </row>
    <row r="234" spans="1:12" ht="13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3">
        <f>'FR-16(7)(v)-4 DISTR Classified'!G234</f>
        <v>0</v>
      </c>
      <c r="G234" s="347">
        <f>F234-SUM(H234:J234)</f>
        <v>0</v>
      </c>
      <c r="H234" s="345">
        <f>ROUND($F$234*VLOOKUP($D$234,ALLOCTABLE_DISTR_DEMAND,$H$10,FALSE),0)</f>
        <v>0</v>
      </c>
      <c r="I234" s="345">
        <f>ROUND(F234*VLOOKUP(D234,ALLOCTABLE_DISTR_DEMAND,$I$10,FALSE),0)</f>
        <v>0</v>
      </c>
      <c r="J234" s="345">
        <f>ROUND(F234*VLOOKUP(D234,ALLOCTABLE_DISTR_DEMAND,$J$10,FALSE),0)</f>
        <v>0</v>
      </c>
      <c r="K234" s="345">
        <f>SUM(G234:J234)</f>
        <v>0</v>
      </c>
      <c r="L234" s="345">
        <f>F234-K234</f>
        <v>0</v>
      </c>
    </row>
    <row r="235" spans="1:12" ht="13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3">
        <f>'FR-16(7)(v)-4 DISTR Classified'!G235</f>
        <v>17990223</v>
      </c>
      <c r="G235" s="347">
        <f>F235-SUM(H235:J235)</f>
        <v>9087401</v>
      </c>
      <c r="H235" s="345">
        <f>ROUND($F$235*VLOOKUP($D$235,ALLOCTABLE_DISTR_DEMAND,$H$10,FALSE),0)</f>
        <v>5703081</v>
      </c>
      <c r="I235" s="345">
        <f>ROUND(F235*VLOOKUP(D235,ALLOCTABLE_DISTR_DEMAND,$I$10,FALSE),0)</f>
        <v>2425442</v>
      </c>
      <c r="J235" s="345">
        <f>ROUND(F235*VLOOKUP(D235,ALLOCTABLE_DISTR_DEMAND,$J$10,FALSE),0)</f>
        <v>774299</v>
      </c>
      <c r="K235" s="345">
        <f>SUM(G235:J235)</f>
        <v>17990223</v>
      </c>
      <c r="L235" s="345">
        <f>F235-K235</f>
        <v>0</v>
      </c>
    </row>
    <row r="236" spans="1:12" ht="13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L236" si="94">SUM(F231:F235)</f>
        <v>19012755</v>
      </c>
      <c r="G236" s="346">
        <f>SUM(G231:G235)</f>
        <v>9603667</v>
      </c>
      <c r="H236" s="346">
        <f t="shared" si="94"/>
        <v>6027357</v>
      </c>
      <c r="I236" s="346">
        <f t="shared" si="94"/>
        <v>2563361</v>
      </c>
      <c r="J236" s="346">
        <f t="shared" si="94"/>
        <v>818370</v>
      </c>
      <c r="K236" s="346">
        <f t="shared" si="94"/>
        <v>19012755</v>
      </c>
      <c r="L236" s="346">
        <f t="shared" si="94"/>
        <v>0</v>
      </c>
    </row>
    <row r="237" spans="1:12" ht="13">
      <c r="A237" s="331">
        <v>35</v>
      </c>
      <c r="D237" s="342"/>
      <c r="E237" s="195"/>
      <c r="I237" s="330"/>
    </row>
    <row r="238" spans="1:12" ht="13">
      <c r="A238" s="331">
        <v>36</v>
      </c>
      <c r="B238" s="330" t="s">
        <v>821</v>
      </c>
      <c r="D238" s="342"/>
      <c r="E238" s="195"/>
      <c r="F238" s="345">
        <f t="shared" ref="F238:L238" si="95">F236+F229+F215</f>
        <v>62229602</v>
      </c>
      <c r="G238" s="345">
        <f>G236+G229+G215</f>
        <v>31431294</v>
      </c>
      <c r="H238" s="345">
        <f t="shared" si="95"/>
        <v>19728736</v>
      </c>
      <c r="I238" s="345">
        <f t="shared" si="95"/>
        <v>8390451</v>
      </c>
      <c r="J238" s="345">
        <f t="shared" si="95"/>
        <v>2679121</v>
      </c>
      <c r="K238" s="345">
        <f t="shared" si="95"/>
        <v>62229602</v>
      </c>
      <c r="L238" s="345">
        <f t="shared" si="95"/>
        <v>0</v>
      </c>
    </row>
    <row r="239" spans="1:12" ht="13">
      <c r="B239" s="341"/>
      <c r="C239" s="195"/>
      <c r="D239" s="342"/>
      <c r="E239" s="195"/>
      <c r="G239" s="195"/>
      <c r="H239" s="195"/>
      <c r="I239" s="195"/>
      <c r="J239" s="342"/>
      <c r="K239" s="195"/>
      <c r="L239" s="195"/>
    </row>
    <row r="240" spans="1:12" ht="13">
      <c r="A240" s="341" t="str">
        <f>co_name</f>
        <v>DUKE ENERGY KENTUCKY, INC.</v>
      </c>
      <c r="C240" s="195"/>
      <c r="D240" s="342"/>
      <c r="E240" s="195"/>
      <c r="F240" s="342"/>
      <c r="G240" s="340"/>
      <c r="H240" s="340"/>
      <c r="I240" s="195"/>
      <c r="K240" s="359" t="str">
        <f>$K$1</f>
        <v>FR-16(7)(v)-5</v>
      </c>
      <c r="L240" s="195"/>
    </row>
    <row r="241" spans="1:12" ht="13">
      <c r="A241" s="341" t="str">
        <f>$A$2</f>
        <v>DISTRIBUTION DEMAND ALLOCATED - GAS COST OF SERVICE</v>
      </c>
      <c r="C241" s="195"/>
      <c r="D241" s="342"/>
      <c r="E241" s="195"/>
      <c r="F241" s="342"/>
      <c r="G241" s="340"/>
      <c r="H241" s="340"/>
      <c r="I241" s="195"/>
      <c r="K241" s="359" t="str">
        <f>$K$2</f>
        <v>WITNESS RESPONSIBLE:</v>
      </c>
      <c r="L241" s="195"/>
    </row>
    <row r="242" spans="1:12" ht="13">
      <c r="A242" s="341" t="str">
        <f>case_name</f>
        <v>CASE NO: 2021-00190</v>
      </c>
      <c r="C242" s="195"/>
      <c r="D242" s="342"/>
      <c r="E242" s="195"/>
      <c r="F242" s="342"/>
      <c r="G242" s="340"/>
      <c r="H242" s="340"/>
      <c r="I242" s="195"/>
      <c r="K242" s="359" t="str">
        <f>Witness</f>
        <v>JAMES E. ZIOLKOWSKI</v>
      </c>
      <c r="L242" s="195"/>
    </row>
    <row r="243" spans="1:12" ht="13">
      <c r="A243" s="341" t="str">
        <f>data_filing</f>
        <v>DATA: 12 MONTH FORECASTED PERIOD</v>
      </c>
      <c r="C243" s="195"/>
      <c r="D243" s="342"/>
      <c r="E243" s="195"/>
      <c r="F243" s="342"/>
      <c r="G243" s="340"/>
      <c r="H243" s="340"/>
      <c r="I243" s="195"/>
      <c r="K243" s="359" t="str">
        <f>"PAGE "&amp;Pages-12&amp;" OF "&amp;Pages</f>
        <v>PAGE 6 OF 18</v>
      </c>
      <c r="L243" s="195"/>
    </row>
    <row r="244" spans="1:12" ht="13">
      <c r="A244" s="341" t="str">
        <f>type</f>
        <v xml:space="preserve">TYPE OF FILING: "X" ORIGINAL   UPDATED    REVISED  </v>
      </c>
      <c r="C244" s="195"/>
      <c r="D244" s="342"/>
      <c r="E244" s="195"/>
      <c r="F244" s="342"/>
      <c r="G244" s="340"/>
      <c r="H244" s="340"/>
      <c r="I244" s="195"/>
      <c r="J244" s="342"/>
      <c r="K244" s="195"/>
      <c r="L244" s="195"/>
    </row>
    <row r="245" spans="1:12" ht="13">
      <c r="B245" s="341"/>
      <c r="C245" s="195"/>
      <c r="D245" s="342"/>
      <c r="E245" s="195"/>
      <c r="F245" s="342"/>
      <c r="G245" s="195"/>
      <c r="H245" s="195"/>
      <c r="I245" s="195"/>
      <c r="J245" s="342"/>
      <c r="K245" s="195"/>
      <c r="L245" s="195"/>
    </row>
    <row r="246" spans="1:12" ht="13">
      <c r="B246" s="341"/>
      <c r="C246" s="195"/>
      <c r="D246" s="342"/>
      <c r="E246" s="195"/>
      <c r="F246" s="342" t="str">
        <f>$F$7</f>
        <v>TOTAL</v>
      </c>
      <c r="G246" s="195"/>
      <c r="H246" s="195"/>
      <c r="I246" s="195"/>
      <c r="J246" s="342"/>
      <c r="K246" s="195"/>
      <c r="L246" s="195"/>
    </row>
    <row r="247" spans="1:12" ht="13">
      <c r="A247" s="342" t="s">
        <v>907</v>
      </c>
      <c r="B247" s="195"/>
      <c r="C247" s="195"/>
      <c r="D247" s="342"/>
      <c r="E247" s="195"/>
      <c r="F247" s="342" t="str">
        <f>$F$8</f>
        <v>DISTRIBUTION</v>
      </c>
      <c r="G247" s="342" t="s">
        <v>417</v>
      </c>
      <c r="H247" s="342" t="s">
        <v>857</v>
      </c>
      <c r="I247" s="342" t="s">
        <v>858</v>
      </c>
      <c r="J247" s="342" t="s">
        <v>546</v>
      </c>
      <c r="K247" s="342" t="s">
        <v>229</v>
      </c>
      <c r="L247" s="342" t="s">
        <v>342</v>
      </c>
    </row>
    <row r="248" spans="1:12" ht="13">
      <c r="A248" s="344" t="s">
        <v>908</v>
      </c>
      <c r="B248" s="343" t="s">
        <v>947</v>
      </c>
      <c r="C248" s="343"/>
      <c r="D248" s="344" t="s">
        <v>337</v>
      </c>
      <c r="E248" s="343"/>
      <c r="F248" s="342" t="str">
        <f>$F$9</f>
        <v>DEMAND</v>
      </c>
      <c r="G248" s="344" t="s">
        <v>338</v>
      </c>
      <c r="H248" s="344" t="s">
        <v>404</v>
      </c>
      <c r="I248" s="344" t="s">
        <v>404</v>
      </c>
      <c r="J248" s="344" t="s">
        <v>547</v>
      </c>
      <c r="K248" s="344" t="s">
        <v>341</v>
      </c>
      <c r="L248" s="344" t="s">
        <v>340</v>
      </c>
    </row>
    <row r="249" spans="1:12" ht="13">
      <c r="C249" s="572" t="s">
        <v>555</v>
      </c>
      <c r="D249" s="342"/>
      <c r="E249" s="195"/>
      <c r="F249" s="755"/>
      <c r="G249" s="627">
        <f>$G$10</f>
        <v>3</v>
      </c>
      <c r="H249" s="627">
        <f>$H$10</f>
        <v>4</v>
      </c>
      <c r="I249" s="627">
        <f>$I$10</f>
        <v>5</v>
      </c>
      <c r="J249" s="627">
        <f>$J$10</f>
        <v>6</v>
      </c>
    </row>
    <row r="250" spans="1:12" ht="13">
      <c r="A250" s="331">
        <v>1</v>
      </c>
      <c r="B250" s="330" t="s">
        <v>819</v>
      </c>
      <c r="D250" s="342"/>
      <c r="E250" s="195"/>
      <c r="I250" s="330"/>
    </row>
    <row r="251" spans="1:12" ht="13">
      <c r="A251" s="331">
        <v>2</v>
      </c>
      <c r="B251" s="330" t="s">
        <v>29</v>
      </c>
      <c r="D251" s="342"/>
      <c r="E251" s="195"/>
      <c r="I251" s="330"/>
    </row>
    <row r="252" spans="1:12" ht="13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3">
        <f>'FR-16(7)(v)-4 DISTR Classified'!G252</f>
        <v>0</v>
      </c>
      <c r="G252" s="347">
        <f t="shared" ref="G252:G274" si="96">F252-SUM(H252:J252)</f>
        <v>0</v>
      </c>
      <c r="H252" s="345">
        <f>ROUND($F$252*VLOOKUP($D$252,ALLOCTABLE_DISTR_DEMAND,$H$10,FALSE),0)</f>
        <v>0</v>
      </c>
      <c r="I252" s="345">
        <f t="shared" ref="I252:I274" si="97">ROUND(F252*VLOOKUP(D252,ALLOCTABLE_DISTR_DEMAND,$I$10,FALSE),0)</f>
        <v>0</v>
      </c>
      <c r="J252" s="345">
        <f t="shared" ref="J252:J274" si="98">ROUND(F252*VLOOKUP(D252,ALLOCTABLE_DISTR_DEMAND,$J$10,FALSE),0)</f>
        <v>0</v>
      </c>
      <c r="K252" s="345">
        <f t="shared" ref="K252:K274" si="99">SUM(G252:J252)</f>
        <v>0</v>
      </c>
      <c r="L252" s="345">
        <f t="shared" ref="L252:L274" si="100">F252-K252</f>
        <v>0</v>
      </c>
    </row>
    <row r="253" spans="1:12" ht="13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3">
        <f>'FR-16(7)(v)-4 DISTR Classified'!G253</f>
        <v>0</v>
      </c>
      <c r="G253" s="347">
        <f t="shared" si="96"/>
        <v>0</v>
      </c>
      <c r="H253" s="345">
        <f>ROUND($F$253*VLOOKUP($D$253,ALLOCTABLE_DISTR_DEMAND,$H$10,FALSE),0)</f>
        <v>0</v>
      </c>
      <c r="I253" s="345">
        <f t="shared" si="97"/>
        <v>0</v>
      </c>
      <c r="J253" s="345">
        <f t="shared" si="98"/>
        <v>0</v>
      </c>
      <c r="K253" s="345">
        <f t="shared" si="99"/>
        <v>0</v>
      </c>
      <c r="L253" s="345">
        <f t="shared" si="100"/>
        <v>0</v>
      </c>
    </row>
    <row r="254" spans="1:12" ht="13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3">
        <f>'FR-16(7)(v)-4 DISTR Classified'!G254</f>
        <v>0</v>
      </c>
      <c r="G254" s="347">
        <f t="shared" si="96"/>
        <v>0</v>
      </c>
      <c r="H254" s="345">
        <f>ROUND($F$254*VLOOKUP($D$254,ALLOCTABLE_DISTR_DEMAND,$H$10,FALSE),0)</f>
        <v>0</v>
      </c>
      <c r="I254" s="345">
        <f t="shared" si="97"/>
        <v>0</v>
      </c>
      <c r="J254" s="345">
        <f t="shared" si="98"/>
        <v>0</v>
      </c>
      <c r="K254" s="345">
        <f t="shared" si="99"/>
        <v>0</v>
      </c>
      <c r="L254" s="345">
        <f t="shared" si="100"/>
        <v>0</v>
      </c>
    </row>
    <row r="255" spans="1:12" ht="13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3">
        <f>'FR-16(7)(v)-4 DISTR Classified'!G255</f>
        <v>0</v>
      </c>
      <c r="G255" s="347">
        <f t="shared" si="96"/>
        <v>0</v>
      </c>
      <c r="H255" s="345">
        <f>ROUND($F$255*VLOOKUP($D$255,ALLOCTABLE_DISTR_DEMAND,$H$10,FALSE),0)</f>
        <v>0</v>
      </c>
      <c r="I255" s="345">
        <f t="shared" si="97"/>
        <v>0</v>
      </c>
      <c r="J255" s="345">
        <f t="shared" si="98"/>
        <v>0</v>
      </c>
      <c r="K255" s="345">
        <f t="shared" si="99"/>
        <v>0</v>
      </c>
      <c r="L255" s="345">
        <f t="shared" si="100"/>
        <v>0</v>
      </c>
    </row>
    <row r="256" spans="1:12" ht="13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3">
        <f>'FR-16(7)(v)-4 DISTR Classified'!G256</f>
        <v>0</v>
      </c>
      <c r="G256" s="347">
        <f t="shared" si="96"/>
        <v>0</v>
      </c>
      <c r="H256" s="345">
        <f>ROUND($F$256*VLOOKUP($D$256,ALLOCTABLE_DISTR_DEMAND,$H$10,FALSE),0)</f>
        <v>0</v>
      </c>
      <c r="I256" s="345">
        <f t="shared" si="97"/>
        <v>0</v>
      </c>
      <c r="J256" s="345">
        <f t="shared" si="98"/>
        <v>0</v>
      </c>
      <c r="K256" s="345">
        <f t="shared" si="99"/>
        <v>0</v>
      </c>
      <c r="L256" s="345">
        <f t="shared" si="100"/>
        <v>0</v>
      </c>
    </row>
    <row r="257" spans="1:12" ht="13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3">
        <f>'FR-16(7)(v)-4 DISTR Classified'!G257</f>
        <v>0</v>
      </c>
      <c r="G257" s="347">
        <f t="shared" si="96"/>
        <v>0</v>
      </c>
      <c r="H257" s="345">
        <f>ROUND($F$257*VLOOKUP($D$257,ALLOCTABLE_DISTR_DEMAND,$H$10,FALSE),0)</f>
        <v>0</v>
      </c>
      <c r="I257" s="345">
        <f t="shared" si="97"/>
        <v>0</v>
      </c>
      <c r="J257" s="345">
        <f t="shared" si="98"/>
        <v>0</v>
      </c>
      <c r="K257" s="345">
        <f t="shared" si="99"/>
        <v>0</v>
      </c>
      <c r="L257" s="345">
        <f t="shared" si="100"/>
        <v>0</v>
      </c>
    </row>
    <row r="258" spans="1:12" ht="13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3">
        <f>'FR-16(7)(v)-4 DISTR Classified'!G258</f>
        <v>0</v>
      </c>
      <c r="G258" s="347">
        <f t="shared" si="96"/>
        <v>0</v>
      </c>
      <c r="H258" s="345">
        <f>ROUND($F$258*VLOOKUP($D$258,ALLOCTABLE_DISTR_DEMAND,$H$10,FALSE),0)</f>
        <v>0</v>
      </c>
      <c r="I258" s="345">
        <f t="shared" si="97"/>
        <v>0</v>
      </c>
      <c r="J258" s="345">
        <f t="shared" si="98"/>
        <v>0</v>
      </c>
      <c r="K258" s="345">
        <f t="shared" si="99"/>
        <v>0</v>
      </c>
      <c r="L258" s="345">
        <f t="shared" si="100"/>
        <v>0</v>
      </c>
    </row>
    <row r="259" spans="1:12" ht="13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3">
        <f>'FR-16(7)(v)-4 DISTR Classified'!G259</f>
        <v>0</v>
      </c>
      <c r="G259" s="347">
        <f t="shared" si="96"/>
        <v>0</v>
      </c>
      <c r="H259" s="345">
        <f>ROUND($F$259*VLOOKUP($D$259,ALLOCTABLE_DISTR_DEMAND,$H$10,FALSE),0)</f>
        <v>0</v>
      </c>
      <c r="I259" s="345">
        <f t="shared" si="97"/>
        <v>0</v>
      </c>
      <c r="J259" s="345">
        <f t="shared" si="98"/>
        <v>0</v>
      </c>
      <c r="K259" s="345">
        <f t="shared" si="99"/>
        <v>0</v>
      </c>
      <c r="L259" s="345">
        <f t="shared" si="100"/>
        <v>0</v>
      </c>
    </row>
    <row r="260" spans="1:12" ht="13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3">
        <f>'FR-16(7)(v)-4 DISTR Classified'!G260</f>
        <v>0</v>
      </c>
      <c r="G260" s="347">
        <f t="shared" si="96"/>
        <v>0</v>
      </c>
      <c r="H260" s="345">
        <f>ROUND($F$260*VLOOKUP($D$260,ALLOCTABLE_DISTR_DEMAND,$H$10,FALSE),0)</f>
        <v>0</v>
      </c>
      <c r="I260" s="345">
        <f t="shared" si="97"/>
        <v>0</v>
      </c>
      <c r="J260" s="345">
        <f t="shared" si="98"/>
        <v>0</v>
      </c>
      <c r="K260" s="345">
        <f t="shared" si="99"/>
        <v>0</v>
      </c>
      <c r="L260" s="345">
        <f t="shared" si="100"/>
        <v>0</v>
      </c>
    </row>
    <row r="261" spans="1:12" ht="13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3">
        <f>'FR-16(7)(v)-4 DISTR Classified'!G261</f>
        <v>0</v>
      </c>
      <c r="G261" s="347">
        <f t="shared" si="96"/>
        <v>0</v>
      </c>
      <c r="H261" s="345">
        <f>ROUND($F$261*VLOOKUP($D$261,ALLOCTABLE_DISTR_DEMAND,$H$10,FALSE),0)</f>
        <v>0</v>
      </c>
      <c r="I261" s="345">
        <f t="shared" si="97"/>
        <v>0</v>
      </c>
      <c r="J261" s="345">
        <f t="shared" si="98"/>
        <v>0</v>
      </c>
      <c r="K261" s="345">
        <f t="shared" si="99"/>
        <v>0</v>
      </c>
      <c r="L261" s="345">
        <f t="shared" si="100"/>
        <v>0</v>
      </c>
    </row>
    <row r="262" spans="1:12" ht="13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3">
        <f>'FR-16(7)(v)-4 DISTR Classified'!G262</f>
        <v>0</v>
      </c>
      <c r="G262" s="347">
        <f t="shared" si="96"/>
        <v>0</v>
      </c>
      <c r="H262" s="345">
        <f>ROUND($F$262*VLOOKUP($D$262,ALLOCTABLE_DISTR_DEMAND,$H$10,FALSE),0)</f>
        <v>0</v>
      </c>
      <c r="I262" s="345">
        <f t="shared" si="97"/>
        <v>0</v>
      </c>
      <c r="J262" s="345">
        <f t="shared" si="98"/>
        <v>0</v>
      </c>
      <c r="K262" s="345">
        <f t="shared" si="99"/>
        <v>0</v>
      </c>
      <c r="L262" s="345">
        <f t="shared" si="100"/>
        <v>0</v>
      </c>
    </row>
    <row r="263" spans="1:12" ht="13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3">
        <f>'FR-16(7)(v)-4 DISTR Classified'!G263</f>
        <v>0</v>
      </c>
      <c r="G263" s="347">
        <f t="shared" si="96"/>
        <v>0</v>
      </c>
      <c r="H263" s="345">
        <f>ROUND($F$263*VLOOKUP($D$263,ALLOCTABLE_DISTR_DEMAND,$H$10,FALSE),0)</f>
        <v>0</v>
      </c>
      <c r="I263" s="345">
        <f t="shared" si="97"/>
        <v>0</v>
      </c>
      <c r="J263" s="345">
        <f t="shared" si="98"/>
        <v>0</v>
      </c>
      <c r="K263" s="345">
        <f t="shared" si="99"/>
        <v>0</v>
      </c>
      <c r="L263" s="345">
        <f t="shared" si="100"/>
        <v>0</v>
      </c>
    </row>
    <row r="264" spans="1:12" ht="13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3">
        <f>'FR-16(7)(v)-4 DISTR Classified'!G264</f>
        <v>0</v>
      </c>
      <c r="G264" s="347">
        <f t="shared" si="96"/>
        <v>0</v>
      </c>
      <c r="H264" s="345">
        <f>ROUND($F$264*VLOOKUP($D$264,ALLOCTABLE_DISTR_DEMAND,$H$10,FALSE),0)</f>
        <v>0</v>
      </c>
      <c r="I264" s="345">
        <f t="shared" si="97"/>
        <v>0</v>
      </c>
      <c r="J264" s="345">
        <f t="shared" si="98"/>
        <v>0</v>
      </c>
      <c r="K264" s="345">
        <f t="shared" si="99"/>
        <v>0</v>
      </c>
      <c r="L264" s="345">
        <f t="shared" si="100"/>
        <v>0</v>
      </c>
    </row>
    <row r="265" spans="1:12" ht="13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3">
        <f>'FR-16(7)(v)-4 DISTR Classified'!G265</f>
        <v>0</v>
      </c>
      <c r="G265" s="347">
        <f t="shared" si="96"/>
        <v>0</v>
      </c>
      <c r="H265" s="345">
        <f>ROUND($F$265*VLOOKUP($D$265,ALLOCTABLE_DISTR_DEMAND,$H$10,FALSE),0)</f>
        <v>0</v>
      </c>
      <c r="I265" s="345">
        <f t="shared" si="97"/>
        <v>0</v>
      </c>
      <c r="J265" s="345">
        <f t="shared" si="98"/>
        <v>0</v>
      </c>
      <c r="K265" s="345">
        <f t="shared" si="99"/>
        <v>0</v>
      </c>
      <c r="L265" s="345">
        <f t="shared" si="100"/>
        <v>0</v>
      </c>
    </row>
    <row r="266" spans="1:12" ht="13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3">
        <f>'FR-16(7)(v)-4 DISTR Classified'!G266</f>
        <v>0</v>
      </c>
      <c r="G266" s="347">
        <f t="shared" si="96"/>
        <v>0</v>
      </c>
      <c r="H266" s="345">
        <f>ROUND($F$266*VLOOKUP($D$266,ALLOCTABLE_DISTR_DEMAND,$H$10,FALSE),0)</f>
        <v>0</v>
      </c>
      <c r="I266" s="345">
        <f t="shared" si="97"/>
        <v>0</v>
      </c>
      <c r="J266" s="345">
        <f t="shared" si="98"/>
        <v>0</v>
      </c>
      <c r="K266" s="345">
        <f t="shared" si="99"/>
        <v>0</v>
      </c>
      <c r="L266" s="345">
        <f t="shared" si="100"/>
        <v>0</v>
      </c>
    </row>
    <row r="267" spans="1:12" ht="13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3">
        <f>'FR-16(7)(v)-4 DISTR Classified'!G267</f>
        <v>0</v>
      </c>
      <c r="G267" s="347">
        <f t="shared" si="96"/>
        <v>0</v>
      </c>
      <c r="H267" s="345">
        <f>ROUND($F$267*VLOOKUP($D$267,ALLOCTABLE_DISTR_DEMAND,$H$10,FALSE),0)</f>
        <v>0</v>
      </c>
      <c r="I267" s="345">
        <f t="shared" si="97"/>
        <v>0</v>
      </c>
      <c r="J267" s="345">
        <f t="shared" si="98"/>
        <v>0</v>
      </c>
      <c r="K267" s="345">
        <f t="shared" si="99"/>
        <v>0</v>
      </c>
      <c r="L267" s="345">
        <f t="shared" si="100"/>
        <v>0</v>
      </c>
    </row>
    <row r="268" spans="1:12" ht="13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3">
        <f>'FR-16(7)(v)-4 DISTR Classified'!G268</f>
        <v>0</v>
      </c>
      <c r="G268" s="347">
        <f t="shared" si="96"/>
        <v>0</v>
      </c>
      <c r="H268" s="345">
        <f>ROUND($F$268*VLOOKUP($D$268,ALLOCTABLE_DISTR_DEMAND,$H$10,FALSE),0)</f>
        <v>0</v>
      </c>
      <c r="I268" s="345">
        <f t="shared" si="97"/>
        <v>0</v>
      </c>
      <c r="J268" s="345">
        <f t="shared" si="98"/>
        <v>0</v>
      </c>
      <c r="K268" s="345">
        <f t="shared" si="99"/>
        <v>0</v>
      </c>
      <c r="L268" s="345">
        <f t="shared" si="100"/>
        <v>0</v>
      </c>
    </row>
    <row r="269" spans="1:12" ht="13">
      <c r="A269" s="331">
        <v>20</v>
      </c>
      <c r="C269" s="483" t="str">
        <f>'FR-16(7)(v)-1 Functional'!C269</f>
        <v>401K INCENTIVE PLAN</v>
      </c>
      <c r="D269" s="342" t="str">
        <f>'FR-16(7)(v)-1 Functional'!D269</f>
        <v>AG39</v>
      </c>
      <c r="F269" s="473">
        <f>'FR-16(7)(v)-4 DISTR Classified'!G269</f>
        <v>0</v>
      </c>
      <c r="G269" s="347">
        <f t="shared" si="96"/>
        <v>0</v>
      </c>
      <c r="H269" s="345">
        <f>ROUND($F$269*VLOOKUP($D$269,ALLOCTABLE_DISTR_DEMAND,$H$10,FALSE),0)</f>
        <v>0</v>
      </c>
      <c r="I269" s="345">
        <f t="shared" si="97"/>
        <v>0</v>
      </c>
      <c r="J269" s="345">
        <f t="shared" si="98"/>
        <v>0</v>
      </c>
      <c r="K269" s="345">
        <f t="shared" si="99"/>
        <v>0</v>
      </c>
      <c r="L269" s="345">
        <f t="shared" si="100"/>
        <v>0</v>
      </c>
    </row>
    <row r="270" spans="1:12" ht="13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3">
        <f>'FR-16(7)(v)-4 DISTR Classified'!G270</f>
        <v>0</v>
      </c>
      <c r="G270" s="347">
        <f t="shared" si="96"/>
        <v>0</v>
      </c>
      <c r="H270" s="345">
        <f>ROUND($F$270*VLOOKUP($D$270,ALLOCTABLE_DISTR_DEMAND,$H$10,FALSE),0)</f>
        <v>0</v>
      </c>
      <c r="I270" s="345">
        <f t="shared" si="97"/>
        <v>0</v>
      </c>
      <c r="J270" s="345">
        <f t="shared" si="98"/>
        <v>0</v>
      </c>
      <c r="K270" s="345">
        <f t="shared" si="99"/>
        <v>0</v>
      </c>
      <c r="L270" s="345">
        <f t="shared" si="100"/>
        <v>0</v>
      </c>
    </row>
    <row r="271" spans="1:12" ht="13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3">
        <f>'FR-16(7)(v)-4 DISTR Classified'!G271</f>
        <v>0</v>
      </c>
      <c r="G271" s="347">
        <f t="shared" si="96"/>
        <v>0</v>
      </c>
      <c r="H271" s="345">
        <f>ROUND($F$271*VLOOKUP($D$271,ALLOCTABLE_DISTR_DEMAND,$H$10,FALSE),0)</f>
        <v>0</v>
      </c>
      <c r="I271" s="345">
        <f t="shared" si="97"/>
        <v>0</v>
      </c>
      <c r="J271" s="345">
        <f t="shared" si="98"/>
        <v>0</v>
      </c>
      <c r="K271" s="345">
        <f t="shared" si="99"/>
        <v>0</v>
      </c>
      <c r="L271" s="345">
        <f t="shared" si="100"/>
        <v>0</v>
      </c>
    </row>
    <row r="272" spans="1:12" ht="13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3">
        <f>'FR-16(7)(v)-4 DISTR Classified'!G272</f>
        <v>0</v>
      </c>
      <c r="G272" s="347">
        <f t="shared" si="96"/>
        <v>0</v>
      </c>
      <c r="H272" s="345">
        <f>ROUND($F$272*VLOOKUP($D$272,ALLOCTABLE_DISTR_DEMAND,$H$10,FALSE),0)</f>
        <v>0</v>
      </c>
      <c r="I272" s="345">
        <f t="shared" si="97"/>
        <v>0</v>
      </c>
      <c r="J272" s="345">
        <f t="shared" si="98"/>
        <v>0</v>
      </c>
      <c r="K272" s="345">
        <f t="shared" si="99"/>
        <v>0</v>
      </c>
      <c r="L272" s="345">
        <f t="shared" si="100"/>
        <v>0</v>
      </c>
    </row>
    <row r="273" spans="1:12" ht="13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3">
        <f>'FR-16(7)(v)-4 DISTR Classified'!G273</f>
        <v>0</v>
      </c>
      <c r="G273" s="347">
        <f t="shared" si="96"/>
        <v>0</v>
      </c>
      <c r="H273" s="345">
        <f>ROUND($F$273*VLOOKUP($D$273,ALLOCTABLE_DISTR_DEMAND,$H$10,FALSE),0)</f>
        <v>0</v>
      </c>
      <c r="I273" s="345">
        <f t="shared" si="97"/>
        <v>0</v>
      </c>
      <c r="J273" s="345">
        <f t="shared" si="98"/>
        <v>0</v>
      </c>
      <c r="K273" s="345">
        <f t="shared" si="99"/>
        <v>0</v>
      </c>
      <c r="L273" s="345">
        <f t="shared" si="100"/>
        <v>0</v>
      </c>
    </row>
    <row r="274" spans="1:12" ht="13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3">
        <f>'FR-16(7)(v)-4 DISTR Classified'!G274</f>
        <v>234666</v>
      </c>
      <c r="G274" s="347">
        <f t="shared" si="96"/>
        <v>120747</v>
      </c>
      <c r="H274" s="345">
        <f>ROUND($F$274*VLOOKUP($D$274,ALLOCTABLE_DISTR_DEMAND,$H$10,FALSE),0)</f>
        <v>73321</v>
      </c>
      <c r="I274" s="345">
        <f t="shared" si="97"/>
        <v>31110</v>
      </c>
      <c r="J274" s="345">
        <f t="shared" si="98"/>
        <v>9488</v>
      </c>
      <c r="K274" s="345">
        <f t="shared" si="99"/>
        <v>234666</v>
      </c>
      <c r="L274" s="345">
        <f t="shared" si="100"/>
        <v>0</v>
      </c>
    </row>
    <row r="275" spans="1:12" ht="13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L275" si="101">SUM(F251:F274)</f>
        <v>234666</v>
      </c>
      <c r="G275" s="346">
        <f>SUM(G251:G274)</f>
        <v>120747</v>
      </c>
      <c r="H275" s="346">
        <f t="shared" si="101"/>
        <v>73321</v>
      </c>
      <c r="I275" s="346">
        <f t="shared" si="101"/>
        <v>31110</v>
      </c>
      <c r="J275" s="346">
        <f t="shared" si="101"/>
        <v>9488</v>
      </c>
      <c r="K275" s="346">
        <f t="shared" si="101"/>
        <v>234666</v>
      </c>
      <c r="L275" s="346">
        <f t="shared" si="101"/>
        <v>0</v>
      </c>
    </row>
    <row r="276" spans="1:12" ht="13">
      <c r="A276" s="331">
        <v>27</v>
      </c>
      <c r="D276" s="342"/>
      <c r="E276" s="195"/>
      <c r="I276" s="330"/>
    </row>
    <row r="277" spans="1:12" ht="13">
      <c r="A277" s="331">
        <v>28</v>
      </c>
      <c r="B277" s="330" t="s">
        <v>30</v>
      </c>
      <c r="D277" s="342"/>
      <c r="E277" s="195"/>
      <c r="I277" s="330"/>
    </row>
    <row r="278" spans="1:12" ht="13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3">
        <f>'FR-16(7)(v)-4 DISTR Classified'!G278</f>
        <v>0</v>
      </c>
      <c r="G278" s="347">
        <f>F278-SUM(H278:J278)</f>
        <v>0</v>
      </c>
      <c r="H278" s="345">
        <f>ROUND($F$278*VLOOKUP($D$278,ALLOCTABLE_DISTR_DEMAND,$H$10,FALSE),0)</f>
        <v>0</v>
      </c>
      <c r="I278" s="345">
        <f>ROUND(F278*VLOOKUP(D278,ALLOCTABLE_DISTR_DEMAND,$I$10,FALSE),0)</f>
        <v>0</v>
      </c>
      <c r="J278" s="345">
        <f>ROUND(F278*VLOOKUP(D278,ALLOCTABLE_DISTR_DEMAND,$J$10,FALSE),0)</f>
        <v>0</v>
      </c>
      <c r="K278" s="345">
        <f>SUM(G278:J278)</f>
        <v>0</v>
      </c>
      <c r="L278" s="345">
        <f>F278-K278</f>
        <v>0</v>
      </c>
    </row>
    <row r="279" spans="1:12" ht="13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1">
        <f>'FR-16(7)(v)-4 DISTR Classified'!G279</f>
        <v>0</v>
      </c>
      <c r="G279" s="347">
        <f>F279-SUM(H279:J279)</f>
        <v>0</v>
      </c>
      <c r="H279" s="345">
        <f>ROUND($F$279*VLOOKUP($D$279,ALLOCTABLE_DISTR_DEMAND,$H$10,FALSE),0)</f>
        <v>0</v>
      </c>
      <c r="I279" s="345">
        <f>ROUND(F279*VLOOKUP(D279,ALLOCTABLE_DISTR_DEMAND,$I$10,FALSE),0)</f>
        <v>0</v>
      </c>
      <c r="J279" s="345">
        <f>ROUND(F279*VLOOKUP(D279,ALLOCTABLE_DISTR_DEMAND,$J$10,FALSE),0)</f>
        <v>0</v>
      </c>
      <c r="K279" s="345">
        <f>SUM(G279:J279)</f>
        <v>0</v>
      </c>
      <c r="L279" s="345">
        <f>F279-K279</f>
        <v>0</v>
      </c>
    </row>
    <row r="280" spans="1:12" ht="13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1">
        <v>0</v>
      </c>
      <c r="G280" s="347">
        <f>F280-SUM(H280:J280)</f>
        <v>0</v>
      </c>
      <c r="H280" s="345">
        <f>ROUND($F$280*VLOOKUP($D$280,ALLOCTABLE_DISTR_DEMAND,$H$10,FALSE),0)</f>
        <v>0</v>
      </c>
      <c r="I280" s="345">
        <f>ROUND(F280*VLOOKUP(D280,ALLOCTABLE_DISTR_DEMAND,$I$10,FALSE),0)</f>
        <v>0</v>
      </c>
      <c r="J280" s="345">
        <f>ROUND(F280*VLOOKUP(D280,ALLOCTABLE_DISTR_DEMAND,$J$10,FALSE),0)</f>
        <v>0</v>
      </c>
      <c r="K280" s="345">
        <f>SUM(G280:J280)</f>
        <v>0</v>
      </c>
      <c r="L280" s="345">
        <f>F280-K280</f>
        <v>0</v>
      </c>
    </row>
    <row r="281" spans="1:12" ht="13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346">
        <f t="shared" ref="G281:L281" si="102">SUM(G277:G280)</f>
        <v>0</v>
      </c>
      <c r="H281" s="346">
        <f t="shared" si="102"/>
        <v>0</v>
      </c>
      <c r="I281" s="346">
        <f t="shared" si="102"/>
        <v>0</v>
      </c>
      <c r="J281" s="346">
        <f t="shared" si="102"/>
        <v>0</v>
      </c>
      <c r="K281" s="346">
        <f t="shared" si="102"/>
        <v>0</v>
      </c>
      <c r="L281" s="346">
        <f t="shared" si="102"/>
        <v>0</v>
      </c>
    </row>
    <row r="282" spans="1:12" ht="13">
      <c r="A282" s="331">
        <v>33</v>
      </c>
      <c r="D282" s="342"/>
      <c r="F282" s="333" t="s">
        <v>343</v>
      </c>
      <c r="I282" s="330"/>
    </row>
    <row r="283" spans="1:12" ht="13">
      <c r="A283" s="331">
        <v>34</v>
      </c>
      <c r="B283" s="330" t="s">
        <v>818</v>
      </c>
      <c r="D283" s="342"/>
      <c r="F283" s="345">
        <f t="shared" ref="F283:L283" si="103">F275+F281</f>
        <v>234666</v>
      </c>
      <c r="G283" s="345">
        <f>G275+G281</f>
        <v>120747</v>
      </c>
      <c r="H283" s="345">
        <f t="shared" si="103"/>
        <v>73321</v>
      </c>
      <c r="I283" s="345">
        <f t="shared" si="103"/>
        <v>31110</v>
      </c>
      <c r="J283" s="345">
        <f t="shared" si="103"/>
        <v>9488</v>
      </c>
      <c r="K283" s="345">
        <f t="shared" si="103"/>
        <v>234666</v>
      </c>
      <c r="L283" s="345">
        <f t="shared" si="103"/>
        <v>0</v>
      </c>
    </row>
    <row r="284" spans="1:12" ht="13">
      <c r="B284" s="341"/>
      <c r="C284" s="195"/>
      <c r="D284" s="342"/>
      <c r="E284" s="195"/>
      <c r="G284" s="195"/>
      <c r="H284" s="195"/>
      <c r="I284" s="195"/>
      <c r="J284" s="342"/>
      <c r="K284" s="195"/>
      <c r="L284" s="195"/>
    </row>
    <row r="285" spans="1:12" ht="13">
      <c r="A285" s="341" t="str">
        <f>co_name</f>
        <v>DUKE ENERGY KENTUCKY, INC.</v>
      </c>
      <c r="C285" s="195"/>
      <c r="D285" s="342"/>
      <c r="E285" s="195"/>
      <c r="F285" s="342"/>
      <c r="G285" s="340"/>
      <c r="H285" s="340"/>
      <c r="I285" s="195"/>
      <c r="K285" s="359" t="str">
        <f>$K$1</f>
        <v>FR-16(7)(v)-5</v>
      </c>
      <c r="L285" s="195"/>
    </row>
    <row r="286" spans="1:12" ht="13">
      <c r="A286" s="341" t="str">
        <f>$A$2</f>
        <v>DISTRIBUTION DEMAND ALLOCATED - GAS COST OF SERVICE</v>
      </c>
      <c r="C286" s="195"/>
      <c r="D286" s="342"/>
      <c r="E286" s="195"/>
      <c r="F286" s="342"/>
      <c r="G286" s="340"/>
      <c r="H286" s="340"/>
      <c r="I286" s="195"/>
      <c r="K286" s="359" t="str">
        <f>$K$2</f>
        <v>WITNESS RESPONSIBLE:</v>
      </c>
      <c r="L286" s="195"/>
    </row>
    <row r="287" spans="1:12" ht="13">
      <c r="A287" s="341" t="str">
        <f>case_name</f>
        <v>CASE NO: 2021-00190</v>
      </c>
      <c r="C287" s="195"/>
      <c r="D287" s="342"/>
      <c r="E287" s="195"/>
      <c r="F287" s="342"/>
      <c r="G287" s="340"/>
      <c r="H287" s="340"/>
      <c r="I287" s="195"/>
      <c r="K287" s="359" t="str">
        <f>Witness</f>
        <v>JAMES E. ZIOLKOWSKI</v>
      </c>
      <c r="L287" s="195"/>
    </row>
    <row r="288" spans="1:12" ht="13">
      <c r="A288" s="341" t="str">
        <f>data_filing</f>
        <v>DATA: 12 MONTH FORECASTED PERIOD</v>
      </c>
      <c r="C288" s="195"/>
      <c r="D288" s="342"/>
      <c r="E288" s="195"/>
      <c r="F288" s="342"/>
      <c r="G288" s="340"/>
      <c r="H288" s="340"/>
      <c r="I288" s="195"/>
      <c r="K288" s="359" t="str">
        <f>"PAGE "&amp;Pages-11&amp;" OF "&amp;Pages</f>
        <v>PAGE 7 OF 18</v>
      </c>
      <c r="L288" s="195"/>
    </row>
    <row r="289" spans="1:12" ht="13">
      <c r="A289" s="341" t="str">
        <f>type</f>
        <v xml:space="preserve">TYPE OF FILING: "X" ORIGINAL   UPDATED    REVISED  </v>
      </c>
      <c r="C289" s="195"/>
      <c r="D289" s="342"/>
      <c r="E289" s="195"/>
      <c r="F289" s="342"/>
      <c r="G289" s="340"/>
      <c r="H289" s="340"/>
      <c r="I289" s="195"/>
      <c r="J289" s="342"/>
      <c r="K289" s="195"/>
      <c r="L289" s="195"/>
    </row>
    <row r="290" spans="1:12" ht="13">
      <c r="B290" s="341"/>
      <c r="C290" s="195"/>
      <c r="D290" s="342"/>
      <c r="E290" s="195"/>
      <c r="F290" s="342"/>
      <c r="G290" s="195"/>
      <c r="H290" s="195"/>
      <c r="I290" s="195"/>
      <c r="J290" s="342"/>
      <c r="K290" s="195"/>
      <c r="L290" s="195"/>
    </row>
    <row r="291" spans="1:12" ht="13">
      <c r="B291" s="341"/>
      <c r="C291" s="195"/>
      <c r="D291" s="342"/>
      <c r="E291" s="195"/>
      <c r="F291" s="342" t="str">
        <f>$F$7</f>
        <v>TOTAL</v>
      </c>
      <c r="G291" s="195"/>
      <c r="H291" s="195"/>
      <c r="I291" s="195"/>
      <c r="J291" s="342"/>
      <c r="K291" s="195"/>
      <c r="L291" s="195"/>
    </row>
    <row r="292" spans="1:12" ht="13">
      <c r="A292" s="342" t="s">
        <v>907</v>
      </c>
      <c r="B292" s="195"/>
      <c r="C292" s="195"/>
      <c r="D292" s="342"/>
      <c r="E292" s="195"/>
      <c r="F292" s="342" t="str">
        <f>$F$8</f>
        <v>DISTRIBUTION</v>
      </c>
      <c r="G292" s="342" t="s">
        <v>417</v>
      </c>
      <c r="H292" s="342" t="s">
        <v>857</v>
      </c>
      <c r="I292" s="342" t="s">
        <v>858</v>
      </c>
      <c r="J292" s="342" t="s">
        <v>546</v>
      </c>
      <c r="K292" s="342" t="s">
        <v>229</v>
      </c>
      <c r="L292" s="342" t="s">
        <v>342</v>
      </c>
    </row>
    <row r="293" spans="1:12" ht="13">
      <c r="A293" s="344" t="s">
        <v>908</v>
      </c>
      <c r="B293" s="343" t="s">
        <v>32</v>
      </c>
      <c r="C293" s="343"/>
      <c r="D293" s="344" t="s">
        <v>337</v>
      </c>
      <c r="E293" s="343"/>
      <c r="F293" s="342" t="str">
        <f>$F$9</f>
        <v>DEMAND</v>
      </c>
      <c r="G293" s="344" t="s">
        <v>338</v>
      </c>
      <c r="H293" s="344" t="s">
        <v>404</v>
      </c>
      <c r="I293" s="344" t="s">
        <v>404</v>
      </c>
      <c r="J293" s="344" t="s">
        <v>547</v>
      </c>
      <c r="K293" s="344" t="s">
        <v>341</v>
      </c>
      <c r="L293" s="344" t="s">
        <v>340</v>
      </c>
    </row>
    <row r="294" spans="1:12" ht="13">
      <c r="C294" s="572" t="s">
        <v>556</v>
      </c>
      <c r="D294" s="342"/>
      <c r="E294" s="484"/>
      <c r="F294" s="757"/>
      <c r="G294" s="627">
        <f>$G$10</f>
        <v>3</v>
      </c>
      <c r="H294" s="627">
        <f>$H$10</f>
        <v>4</v>
      </c>
      <c r="I294" s="627">
        <f>$I$10</f>
        <v>5</v>
      </c>
      <c r="J294" s="627">
        <f>$J$10</f>
        <v>6</v>
      </c>
      <c r="K294" s="484"/>
      <c r="L294" s="484"/>
    </row>
    <row r="295" spans="1:12" ht="13">
      <c r="C295" s="572"/>
      <c r="D295" s="342"/>
      <c r="E295" s="484"/>
      <c r="F295" s="485"/>
      <c r="G295" s="627"/>
      <c r="H295" s="627"/>
      <c r="I295" s="627"/>
      <c r="J295" s="627"/>
      <c r="K295" s="484"/>
      <c r="L295" s="484"/>
    </row>
    <row r="296" spans="1:12" ht="13">
      <c r="A296" s="331">
        <v>1</v>
      </c>
      <c r="B296" s="330" t="s">
        <v>31</v>
      </c>
      <c r="D296" s="342"/>
      <c r="E296" s="195"/>
      <c r="F296" s="345">
        <f t="shared" ref="F296:L296" si="104">F191-F238+F283</f>
        <v>285209731</v>
      </c>
      <c r="G296" s="345">
        <f>G191-G238+G283</f>
        <v>144076092</v>
      </c>
      <c r="H296" s="345">
        <f t="shared" si="104"/>
        <v>90410994</v>
      </c>
      <c r="I296" s="345">
        <f t="shared" si="104"/>
        <v>38450282</v>
      </c>
      <c r="J296" s="345">
        <f t="shared" si="104"/>
        <v>12272363</v>
      </c>
      <c r="K296" s="345">
        <f t="shared" si="104"/>
        <v>285209731</v>
      </c>
      <c r="L296" s="345">
        <f t="shared" si="104"/>
        <v>0</v>
      </c>
    </row>
    <row r="297" spans="1:12" ht="13">
      <c r="A297" s="331">
        <v>2</v>
      </c>
      <c r="D297" s="342"/>
      <c r="E297" s="195"/>
      <c r="I297" s="330"/>
    </row>
    <row r="298" spans="1:12" ht="13">
      <c r="A298" s="331">
        <v>3</v>
      </c>
      <c r="B298" s="330" t="s">
        <v>32</v>
      </c>
      <c r="D298" s="342"/>
      <c r="E298" s="195"/>
      <c r="I298" s="330"/>
    </row>
    <row r="299" spans="1:12" ht="13">
      <c r="A299" s="331">
        <v>4</v>
      </c>
      <c r="D299" s="342"/>
      <c r="E299" s="195"/>
      <c r="I299" s="330"/>
    </row>
    <row r="300" spans="1:12" ht="13">
      <c r="A300" s="331">
        <v>5</v>
      </c>
      <c r="B300" s="330" t="s">
        <v>33</v>
      </c>
      <c r="D300" s="342"/>
      <c r="E300" s="195"/>
      <c r="I300" s="330"/>
    </row>
    <row r="301" spans="1:12" ht="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3">
        <f>'FR-16(7)(v)-4 DISTR Classified'!G301</f>
        <v>0</v>
      </c>
      <c r="G301" s="347">
        <f>F301-SUM(H301:J301)</f>
        <v>0</v>
      </c>
      <c r="H301" s="345">
        <f>ROUND($F$301*VLOOKUP($D$301,ALLOCTABLE_DISTR_DEMAND,$H$10,FALSE),0)</f>
        <v>0</v>
      </c>
      <c r="I301" s="345">
        <f>ROUND(F301*VLOOKUP(D301,ALLOCTABLE_DISTR_DEMAND,$I$10,FALSE),0)</f>
        <v>0</v>
      </c>
      <c r="J301" s="345">
        <f>ROUND(F301*VLOOKUP(D301,ALLOCTABLE_DISTR_DEMAND,$J$10,FALSE),0)</f>
        <v>0</v>
      </c>
      <c r="K301" s="345">
        <f>SUM(G301:J301)</f>
        <v>0</v>
      </c>
      <c r="L301" s="345">
        <f>F301-K301</f>
        <v>0</v>
      </c>
    </row>
    <row r="302" spans="1:12" ht="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3">
        <f>'FR-16(7)(v)-4 DISTR Classified'!G302</f>
        <v>259484</v>
      </c>
      <c r="G302" s="347">
        <f>F302-SUM(H302:J302)</f>
        <v>131073</v>
      </c>
      <c r="H302" s="345">
        <f>ROUND($F$302*VLOOKUP($D$302,ALLOCTABLE_DISTR_DEMAND,$H$10,FALSE),0)</f>
        <v>82259</v>
      </c>
      <c r="I302" s="345">
        <f>ROUND(F302*VLOOKUP(D302,ALLOCTABLE_DISTR_DEMAND,$I$10,FALSE),0)</f>
        <v>34984</v>
      </c>
      <c r="J302" s="345">
        <f>ROUND(F302*VLOOKUP(D302,ALLOCTABLE_DISTR_DEMAND,$J$10,FALSE),0)</f>
        <v>11168</v>
      </c>
      <c r="K302" s="345">
        <f>SUM(G302:J302)</f>
        <v>259484</v>
      </c>
      <c r="L302" s="345">
        <f>F302-K302</f>
        <v>0</v>
      </c>
    </row>
    <row r="303" spans="1:12" ht="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L303" si="105">SUM(F300:F302)</f>
        <v>259484</v>
      </c>
      <c r="G303" s="346">
        <f>SUM(G300:G302)</f>
        <v>131073</v>
      </c>
      <c r="H303" s="346">
        <f t="shared" si="105"/>
        <v>82259</v>
      </c>
      <c r="I303" s="346">
        <f t="shared" si="105"/>
        <v>34984</v>
      </c>
      <c r="J303" s="346">
        <f t="shared" si="105"/>
        <v>11168</v>
      </c>
      <c r="K303" s="346">
        <f t="shared" si="105"/>
        <v>259484</v>
      </c>
      <c r="L303" s="346">
        <f t="shared" si="105"/>
        <v>0</v>
      </c>
    </row>
    <row r="304" spans="1:12" ht="13">
      <c r="A304" s="331">
        <v>9</v>
      </c>
      <c r="B304" s="330" t="s">
        <v>34</v>
      </c>
      <c r="D304" s="342"/>
      <c r="E304" s="195"/>
      <c r="F304" s="345">
        <f t="shared" ref="F304:L304" si="106">F303</f>
        <v>259484</v>
      </c>
      <c r="G304" s="664">
        <f t="shared" si="106"/>
        <v>131073</v>
      </c>
      <c r="H304" s="664">
        <f t="shared" si="106"/>
        <v>82259</v>
      </c>
      <c r="I304" s="345">
        <f t="shared" si="106"/>
        <v>34984</v>
      </c>
      <c r="J304" s="345">
        <f t="shared" si="106"/>
        <v>11168</v>
      </c>
      <c r="K304" s="345">
        <f t="shared" si="106"/>
        <v>259484</v>
      </c>
      <c r="L304" s="345">
        <f t="shared" si="106"/>
        <v>0</v>
      </c>
    </row>
    <row r="305" spans="1:12" ht="13">
      <c r="A305" s="331">
        <v>10</v>
      </c>
      <c r="D305" s="342"/>
      <c r="E305" s="195"/>
      <c r="I305" s="330"/>
    </row>
    <row r="306" spans="1:12" ht="13">
      <c r="A306" s="331">
        <v>11</v>
      </c>
      <c r="B306" s="330" t="s">
        <v>35</v>
      </c>
      <c r="D306" s="342"/>
      <c r="E306" s="195"/>
      <c r="I306" s="330"/>
    </row>
    <row r="307" spans="1:12" ht="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3">
        <f>'FR-16(7)(v)-4 DISTR Classified'!G307</f>
        <v>15794</v>
      </c>
      <c r="G307" s="347">
        <f>F307-SUM(H307:J307)</f>
        <v>8126</v>
      </c>
      <c r="H307" s="345">
        <f>ROUND($F$307*VLOOKUP($D$307,ALLOCTABLE_DISTR_DEMAND,$H$10,FALSE),0)</f>
        <v>4935</v>
      </c>
      <c r="I307" s="345">
        <f>ROUND(F307*VLOOKUP(D307,ALLOCTABLE_DISTR_DEMAND,$I$10,FALSE),0)</f>
        <v>2094</v>
      </c>
      <c r="J307" s="345">
        <f>ROUND(F307*VLOOKUP(D307,ALLOCTABLE_DISTR_DEMAND,$J$10,FALSE),0)</f>
        <v>639</v>
      </c>
      <c r="K307" s="345">
        <f>SUM(G307:J307)</f>
        <v>15794</v>
      </c>
      <c r="L307" s="345">
        <f>F307-K307</f>
        <v>0</v>
      </c>
    </row>
    <row r="308" spans="1:12" ht="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3">
        <f>'FR-16(7)(v)-4 DISTR Classified'!G308</f>
        <v>0</v>
      </c>
      <c r="G308" s="347">
        <f>F308-SUM(H308:J308)</f>
        <v>0</v>
      </c>
      <c r="H308" s="345">
        <f>ROUND($F$308*VLOOKUP($D$308,ALLOCTABLE_DISTR_DEMAND,$H$10,FALSE),0)</f>
        <v>0</v>
      </c>
      <c r="I308" s="345">
        <f>ROUND(F308*VLOOKUP(D308,ALLOCTABLE_DISTR_DEMAND,$I$10,FALSE),0)</f>
        <v>0</v>
      </c>
      <c r="J308" s="345">
        <f>ROUND(F308*VLOOKUP(D308,ALLOCTABLE_DISTR_DEMAND,$J$10,FALSE),0)</f>
        <v>0</v>
      </c>
      <c r="K308" s="345">
        <f>SUM(G308:J308)</f>
        <v>0</v>
      </c>
      <c r="L308" s="345">
        <f>F308-K308</f>
        <v>0</v>
      </c>
    </row>
    <row r="309" spans="1:12" ht="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3">
        <f>'FR-16(7)(v)-4 DISTR Classified'!G309</f>
        <v>0</v>
      </c>
      <c r="G309" s="347">
        <f>F309-SUM(H309:J309)</f>
        <v>0</v>
      </c>
      <c r="H309" s="345">
        <f>ROUND($F$309*VLOOKUP($D$309,ALLOCTABLE_DISTR_DEMAND,$H$10,FALSE),0)</f>
        <v>0</v>
      </c>
      <c r="I309" s="345">
        <f>ROUND(F309*VLOOKUP(D309,ALLOCTABLE_DISTR_DEMAND,$I$10,FALSE),0)</f>
        <v>0</v>
      </c>
      <c r="J309" s="345">
        <f>ROUND(F309*VLOOKUP(D309,ALLOCTABLE_DISTR_DEMAND,$J$10,FALSE),0)</f>
        <v>0</v>
      </c>
      <c r="K309" s="345">
        <f>SUM(G309:J309)</f>
        <v>0</v>
      </c>
      <c r="L309" s="345">
        <f>F309-K309</f>
        <v>0</v>
      </c>
    </row>
    <row r="310" spans="1:12" ht="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3">
        <f t="shared" ref="F310:L310" si="107">SUM(F306:F309)</f>
        <v>15794</v>
      </c>
      <c r="G310" s="573">
        <f>SUM(G306:G309)</f>
        <v>8126</v>
      </c>
      <c r="H310" s="573">
        <f t="shared" si="107"/>
        <v>4935</v>
      </c>
      <c r="I310" s="573">
        <f t="shared" si="107"/>
        <v>2094</v>
      </c>
      <c r="J310" s="573">
        <f t="shared" si="107"/>
        <v>639</v>
      </c>
      <c r="K310" s="573">
        <f t="shared" si="107"/>
        <v>15794</v>
      </c>
      <c r="L310" s="573">
        <f t="shared" si="107"/>
        <v>0</v>
      </c>
    </row>
    <row r="311" spans="1:12" ht="13">
      <c r="A311" s="331">
        <v>16</v>
      </c>
      <c r="D311" s="342"/>
      <c r="E311" s="195"/>
      <c r="I311" s="330"/>
    </row>
    <row r="312" spans="1:12" ht="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345">
        <f>IF(WorkingCap="No",0,ROUND((G433-G348-G353)/8,0))</f>
        <v>0</v>
      </c>
      <c r="H312" s="345">
        <f>IF(WorkingCap="No",0,ROUND((H433-H348-H353)/8,0))</f>
        <v>0</v>
      </c>
      <c r="I312" s="345">
        <f>IF(WorkingCap="No",0,ROUND((I433-I348-I353)/8,0))</f>
        <v>0</v>
      </c>
      <c r="J312" s="345">
        <f>IF(WorkingCap="No",0,ROUND((J433-J348-J353)/8,0))</f>
        <v>0</v>
      </c>
      <c r="K312" s="345">
        <f>SUM(G312:J312)</f>
        <v>0</v>
      </c>
      <c r="L312" s="345">
        <f>F312-K312</f>
        <v>0</v>
      </c>
    </row>
    <row r="313" spans="1:12" ht="13">
      <c r="A313" s="331">
        <v>18</v>
      </c>
      <c r="B313" s="330" t="s">
        <v>37</v>
      </c>
      <c r="D313" s="342"/>
      <c r="E313" s="195"/>
      <c r="F313" s="345">
        <f t="shared" ref="F313:L313" si="108">F312</f>
        <v>0</v>
      </c>
      <c r="G313" s="664">
        <f t="shared" si="108"/>
        <v>0</v>
      </c>
      <c r="H313" s="664">
        <f t="shared" si="108"/>
        <v>0</v>
      </c>
      <c r="I313" s="664">
        <f t="shared" si="108"/>
        <v>0</v>
      </c>
      <c r="J313" s="345">
        <f t="shared" si="108"/>
        <v>0</v>
      </c>
      <c r="K313" s="345">
        <f t="shared" si="108"/>
        <v>0</v>
      </c>
      <c r="L313" s="345">
        <f t="shared" si="108"/>
        <v>0</v>
      </c>
    </row>
    <row r="314" spans="1:12" ht="13">
      <c r="A314" s="331">
        <v>19</v>
      </c>
      <c r="D314" s="342"/>
      <c r="E314" s="195"/>
      <c r="I314" s="330"/>
    </row>
    <row r="315" spans="1:12" ht="13">
      <c r="A315" s="331">
        <v>20</v>
      </c>
      <c r="B315" s="330" t="s">
        <v>38</v>
      </c>
      <c r="D315" s="342"/>
      <c r="E315" s="195"/>
      <c r="I315" s="330"/>
    </row>
    <row r="316" spans="1:12" ht="13">
      <c r="A316" s="331">
        <v>21</v>
      </c>
      <c r="C316" s="612" t="str">
        <f>'FR-16(7)(v)-1 Functional'!C316</f>
        <v>GAS STORED UNDERGROUND</v>
      </c>
      <c r="D316" s="342" t="str">
        <f>'FR-16(7)(v)-1 Functional'!D316</f>
        <v>K301</v>
      </c>
      <c r="E316" s="195"/>
      <c r="F316" s="473">
        <f>'FR-16(7)(v)-4 DISTR Classified'!G316</f>
        <v>0</v>
      </c>
      <c r="G316" s="347">
        <f>F316-SUM(H316:J316)</f>
        <v>0</v>
      </c>
      <c r="H316" s="345">
        <f>ROUND($F$316*VLOOKUP($D$316,ALLOCTABLE_DISTR_DEMAND,$H$10,FALSE),0)</f>
        <v>0</v>
      </c>
      <c r="I316" s="345">
        <f>ROUND(F316*VLOOKUP(D316,ALLOCTABLE_DISTR_DEMAND,$I$10,FALSE),0)</f>
        <v>0</v>
      </c>
      <c r="J316" s="345">
        <f>ROUND(F316*VLOOKUP(D316,ALLOCTABLE_DISTR_DEMAND,$J$10,FALSE),0)</f>
        <v>0</v>
      </c>
      <c r="K316" s="345">
        <f>SUM(G316:J316)</f>
        <v>0</v>
      </c>
      <c r="L316" s="345">
        <f>F316-K316</f>
        <v>0</v>
      </c>
    </row>
    <row r="317" spans="1:12" ht="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3">
        <f>'FR-16(7)(v)-4 DISTR Classified'!G317</f>
        <v>0</v>
      </c>
      <c r="G317" s="347">
        <f>F317-SUM(H317:J317)</f>
        <v>0</v>
      </c>
      <c r="H317" s="345">
        <f>ROUND($F$317*VLOOKUP($D$317,ALLOCTABLE_DISTR_DEMAND,$H$10,FALSE),0)</f>
        <v>0</v>
      </c>
      <c r="I317" s="345">
        <f>ROUND(F317*VLOOKUP(D317,ALLOCTABLE_DISTR_DEMAND,$I$10,FALSE),0)</f>
        <v>0</v>
      </c>
      <c r="J317" s="345">
        <f>ROUND(F317*VLOOKUP(D317,ALLOCTABLE_DISTR_DEMAND,$J$10,FALSE),0)</f>
        <v>0</v>
      </c>
      <c r="K317" s="345">
        <f>SUM(G317:J317)</f>
        <v>0</v>
      </c>
      <c r="L317" s="345">
        <f>F317-K317</f>
        <v>0</v>
      </c>
    </row>
    <row r="318" spans="1:12" ht="13">
      <c r="A318" s="331">
        <v>23</v>
      </c>
      <c r="C318" s="505" t="str">
        <f>'FR-16(7)(v)-1 Functional'!C318</f>
        <v>RESERVED FOR FUTURE USE</v>
      </c>
      <c r="D318" s="342" t="str">
        <f>'FR-16(7)(v)-1 Functional'!D318</f>
        <v>D249</v>
      </c>
      <c r="E318" s="195"/>
      <c r="F318" s="473">
        <f>'FR-16(7)(v)-4 DISTR Classified'!G318</f>
        <v>0</v>
      </c>
      <c r="G318" s="347">
        <f>F318-SUM(H318:J318)</f>
        <v>0</v>
      </c>
      <c r="H318" s="345">
        <f>ROUND($F$318*VLOOKUP($D$318,ALLOCTABLE_DISTR_DEMAND,$H$10,FALSE),0)</f>
        <v>0</v>
      </c>
      <c r="I318" s="345">
        <f>ROUND(F318*VLOOKUP(D318,ALLOCTABLE_DISTR_DEMAND,$I$10,FALSE),0)</f>
        <v>0</v>
      </c>
      <c r="J318" s="345">
        <f>ROUND(F318*VLOOKUP(D318,ALLOCTABLE_DISTR_DEMAND,$J$10,FALSE),0)</f>
        <v>0</v>
      </c>
      <c r="K318" s="345">
        <f>SUM(G318:J318)</f>
        <v>0</v>
      </c>
      <c r="L318" s="345">
        <f>F318-K318</f>
        <v>0</v>
      </c>
    </row>
    <row r="319" spans="1:12" ht="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L319" si="109">SUM(F315:F318)</f>
        <v>0</v>
      </c>
      <c r="G319" s="346">
        <f>SUM(G315:G318)</f>
        <v>0</v>
      </c>
      <c r="H319" s="346">
        <f t="shared" si="109"/>
        <v>0</v>
      </c>
      <c r="I319" s="346">
        <f t="shared" si="109"/>
        <v>0</v>
      </c>
      <c r="J319" s="346">
        <f t="shared" si="109"/>
        <v>0</v>
      </c>
      <c r="K319" s="346">
        <f t="shared" si="109"/>
        <v>0</v>
      </c>
      <c r="L319" s="346">
        <f t="shared" si="109"/>
        <v>0</v>
      </c>
    </row>
    <row r="320" spans="1:12" ht="13">
      <c r="A320" s="331">
        <v>25</v>
      </c>
      <c r="D320" s="342"/>
      <c r="E320" s="195"/>
      <c r="I320" s="330"/>
    </row>
    <row r="321" spans="1:12" ht="13">
      <c r="A321" s="331">
        <v>26</v>
      </c>
      <c r="B321" s="330" t="s">
        <v>39</v>
      </c>
      <c r="D321" s="342"/>
      <c r="E321" s="195"/>
      <c r="F321" s="345">
        <f t="shared" ref="F321:L321" si="110">F304+F310+F313+F319</f>
        <v>275278</v>
      </c>
      <c r="G321" s="345">
        <f>G304+G310+G313+G319</f>
        <v>139199</v>
      </c>
      <c r="H321" s="345">
        <f t="shared" si="110"/>
        <v>87194</v>
      </c>
      <c r="I321" s="345">
        <f t="shared" si="110"/>
        <v>37078</v>
      </c>
      <c r="J321" s="345">
        <f t="shared" si="110"/>
        <v>11807</v>
      </c>
      <c r="K321" s="345">
        <f t="shared" si="110"/>
        <v>275278</v>
      </c>
      <c r="L321" s="345">
        <f t="shared" si="110"/>
        <v>0</v>
      </c>
    </row>
    <row r="322" spans="1:12" ht="13">
      <c r="A322" s="331">
        <v>27</v>
      </c>
      <c r="B322" s="330" t="s">
        <v>40</v>
      </c>
      <c r="D322" s="342"/>
      <c r="E322" s="195"/>
      <c r="I322" s="330"/>
    </row>
    <row r="323" spans="1:12" ht="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L323" si="111">-F238</f>
        <v>-62229602</v>
      </c>
      <c r="G323" s="345">
        <f>-G238</f>
        <v>-31431294</v>
      </c>
      <c r="H323" s="345">
        <f t="shared" si="111"/>
        <v>-19728736</v>
      </c>
      <c r="I323" s="345">
        <f t="shared" si="111"/>
        <v>-8390451</v>
      </c>
      <c r="J323" s="345">
        <f t="shared" si="111"/>
        <v>-2679121</v>
      </c>
      <c r="K323" s="345">
        <f t="shared" si="111"/>
        <v>-62229602</v>
      </c>
      <c r="L323" s="345">
        <f t="shared" si="111"/>
        <v>0</v>
      </c>
    </row>
    <row r="324" spans="1:12" ht="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L324" si="112">F283</f>
        <v>234666</v>
      </c>
      <c r="G324" s="345">
        <f>G283</f>
        <v>120747</v>
      </c>
      <c r="H324" s="345">
        <f t="shared" si="112"/>
        <v>73321</v>
      </c>
      <c r="I324" s="345">
        <f t="shared" si="112"/>
        <v>31110</v>
      </c>
      <c r="J324" s="345">
        <f t="shared" si="112"/>
        <v>9488</v>
      </c>
      <c r="K324" s="345">
        <f t="shared" si="112"/>
        <v>234666</v>
      </c>
      <c r="L324" s="345">
        <f t="shared" si="112"/>
        <v>0</v>
      </c>
    </row>
    <row r="325" spans="1:12" ht="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L325" si="113">F321</f>
        <v>275278</v>
      </c>
      <c r="G325" s="345">
        <f>G321</f>
        <v>139199</v>
      </c>
      <c r="H325" s="345">
        <f t="shared" si="113"/>
        <v>87194</v>
      </c>
      <c r="I325" s="345">
        <f t="shared" si="113"/>
        <v>37078</v>
      </c>
      <c r="J325" s="345">
        <f t="shared" si="113"/>
        <v>11807</v>
      </c>
      <c r="K325" s="345">
        <f t="shared" si="113"/>
        <v>275278</v>
      </c>
      <c r="L325" s="345">
        <f t="shared" si="113"/>
        <v>0</v>
      </c>
    </row>
    <row r="326" spans="1:12" ht="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L326" si="114">SUM(F322:F325)</f>
        <v>-61719658</v>
      </c>
      <c r="G326" s="346">
        <f>SUM(G322:G325)</f>
        <v>-31171348</v>
      </c>
      <c r="H326" s="346">
        <f t="shared" si="114"/>
        <v>-19568221</v>
      </c>
      <c r="I326" s="346">
        <f t="shared" si="114"/>
        <v>-8322263</v>
      </c>
      <c r="J326" s="346">
        <f t="shared" si="114"/>
        <v>-2657826</v>
      </c>
      <c r="K326" s="346">
        <f t="shared" si="114"/>
        <v>-61719658</v>
      </c>
      <c r="L326" s="346">
        <f t="shared" si="114"/>
        <v>0</v>
      </c>
    </row>
    <row r="327" spans="1:12" ht="13">
      <c r="A327" s="331">
        <v>32</v>
      </c>
      <c r="D327" s="342"/>
      <c r="E327" s="195"/>
      <c r="I327" s="330"/>
    </row>
    <row r="328" spans="1:12" ht="13">
      <c r="A328" s="331">
        <v>33</v>
      </c>
      <c r="B328" s="330" t="s">
        <v>41</v>
      </c>
      <c r="D328" s="342"/>
      <c r="E328" s="195"/>
      <c r="I328" s="330"/>
    </row>
    <row r="329" spans="1:12" ht="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L329" si="115">F191</f>
        <v>347204667</v>
      </c>
      <c r="G329" s="345">
        <f>G191</f>
        <v>175386639</v>
      </c>
      <c r="H329" s="345">
        <f t="shared" si="115"/>
        <v>110066409</v>
      </c>
      <c r="I329" s="345">
        <f t="shared" si="115"/>
        <v>46809623</v>
      </c>
      <c r="J329" s="345">
        <f t="shared" si="115"/>
        <v>14941996</v>
      </c>
      <c r="K329" s="345">
        <f t="shared" si="115"/>
        <v>347204667</v>
      </c>
      <c r="L329" s="345">
        <f t="shared" si="115"/>
        <v>0</v>
      </c>
    </row>
    <row r="330" spans="1:12" ht="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L330" si="116">F326</f>
        <v>-61719658</v>
      </c>
      <c r="G330" s="345">
        <f>G326</f>
        <v>-31171348</v>
      </c>
      <c r="H330" s="345">
        <f t="shared" si="116"/>
        <v>-19568221</v>
      </c>
      <c r="I330" s="345">
        <f t="shared" si="116"/>
        <v>-8322263</v>
      </c>
      <c r="J330" s="345">
        <f t="shared" si="116"/>
        <v>-2657826</v>
      </c>
      <c r="K330" s="345">
        <f t="shared" si="116"/>
        <v>-61719658</v>
      </c>
      <c r="L330" s="345">
        <f t="shared" si="116"/>
        <v>0</v>
      </c>
    </row>
    <row r="331" spans="1:12" ht="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L331" si="117">SUM(F328:F330)</f>
        <v>285485009</v>
      </c>
      <c r="G331" s="346">
        <f>SUM(G328:G330)</f>
        <v>144215291</v>
      </c>
      <c r="H331" s="346">
        <f t="shared" si="117"/>
        <v>90498188</v>
      </c>
      <c r="I331" s="346">
        <f t="shared" si="117"/>
        <v>38487360</v>
      </c>
      <c r="J331" s="346">
        <f t="shared" si="117"/>
        <v>12284170</v>
      </c>
      <c r="K331" s="346">
        <f t="shared" si="117"/>
        <v>285485009</v>
      </c>
      <c r="L331" s="346">
        <f t="shared" si="117"/>
        <v>0</v>
      </c>
    </row>
    <row r="332" spans="1:12" ht="13">
      <c r="A332" s="331">
        <v>37</v>
      </c>
      <c r="D332" s="342"/>
      <c r="E332" s="195"/>
      <c r="I332" s="330"/>
    </row>
    <row r="333" spans="1:12" ht="13">
      <c r="A333" s="331">
        <v>38</v>
      </c>
      <c r="B333" s="330" t="s">
        <v>42</v>
      </c>
      <c r="D333" s="342"/>
      <c r="E333" s="195"/>
      <c r="F333" s="1273">
        <f>$F$688</f>
        <v>7.060000000000001E-2</v>
      </c>
      <c r="G333" s="1273">
        <f>$F$688</f>
        <v>7.060000000000001E-2</v>
      </c>
      <c r="H333" s="1273">
        <f>F688</f>
        <v>7.060000000000001E-2</v>
      </c>
      <c r="I333" s="1273">
        <f>F688</f>
        <v>7.060000000000001E-2</v>
      </c>
      <c r="J333" s="1273">
        <f>F688</f>
        <v>7.060000000000001E-2</v>
      </c>
      <c r="K333" s="1273">
        <f>F688</f>
        <v>7.060000000000001E-2</v>
      </c>
      <c r="L333" s="1273">
        <f>'FR-16(7)(v)-1 Functional'!F688</f>
        <v>7.060000000000001E-2</v>
      </c>
    </row>
    <row r="334" spans="1:12" ht="13">
      <c r="A334" s="331">
        <v>39</v>
      </c>
      <c r="B334" s="330" t="s">
        <v>43</v>
      </c>
      <c r="D334" s="342"/>
      <c r="E334" s="195"/>
      <c r="F334" s="345">
        <f>ROUND(F333*F331,0)</f>
        <v>20155242</v>
      </c>
      <c r="G334" s="347">
        <f>F334-SUM(H334:J334)</f>
        <v>10181600</v>
      </c>
      <c r="H334" s="471">
        <f>ROUND(H331*H333,0)</f>
        <v>6389172</v>
      </c>
      <c r="I334" s="471">
        <f>ROUND(I331*I333,0)</f>
        <v>2717208</v>
      </c>
      <c r="J334" s="471">
        <f>ROUND(J331*J333,0)</f>
        <v>867262</v>
      </c>
      <c r="K334" s="345">
        <f>SUM(G334:J334)</f>
        <v>20155242</v>
      </c>
      <c r="L334" s="345">
        <f>ROUND(L331*L333,0)</f>
        <v>0</v>
      </c>
    </row>
    <row r="335" spans="1:12" ht="13">
      <c r="B335" s="341"/>
      <c r="C335" s="195"/>
      <c r="D335" s="342"/>
      <c r="E335" s="195"/>
      <c r="G335" s="195"/>
      <c r="H335" s="195"/>
      <c r="I335" s="195"/>
      <c r="J335" s="342"/>
      <c r="K335" s="195"/>
      <c r="L335" s="195"/>
    </row>
    <row r="336" spans="1:12" ht="13">
      <c r="A336" s="341" t="str">
        <f>co_name</f>
        <v>DUKE ENERGY KENTUCKY, INC.</v>
      </c>
      <c r="C336" s="195"/>
      <c r="D336" s="342"/>
      <c r="E336" s="195"/>
      <c r="F336" s="342"/>
      <c r="G336" s="340"/>
      <c r="H336" s="340"/>
      <c r="I336" s="195"/>
      <c r="K336" s="359" t="str">
        <f>$K$1</f>
        <v>FR-16(7)(v)-5</v>
      </c>
      <c r="L336" s="195"/>
    </row>
    <row r="337" spans="1:12" ht="13">
      <c r="A337" s="341" t="str">
        <f>$A$2</f>
        <v>DISTRIBUTION DEMAND ALLOCATED - GAS COST OF SERVICE</v>
      </c>
      <c r="C337" s="195"/>
      <c r="D337" s="342"/>
      <c r="E337" s="195"/>
      <c r="F337" s="342"/>
      <c r="G337" s="340"/>
      <c r="H337" s="340"/>
      <c r="I337" s="195"/>
      <c r="K337" s="359" t="str">
        <f>$K$2</f>
        <v>WITNESS RESPONSIBLE:</v>
      </c>
      <c r="L337" s="195"/>
    </row>
    <row r="338" spans="1:12" ht="13">
      <c r="A338" s="341" t="str">
        <f>case_name</f>
        <v>CASE NO: 2021-00190</v>
      </c>
      <c r="C338" s="195"/>
      <c r="D338" s="342"/>
      <c r="E338" s="195"/>
      <c r="F338" s="342"/>
      <c r="G338" s="340"/>
      <c r="H338" s="340"/>
      <c r="I338" s="195"/>
      <c r="K338" s="359" t="str">
        <f>Witness</f>
        <v>JAMES E. ZIOLKOWSKI</v>
      </c>
      <c r="L338" s="195"/>
    </row>
    <row r="339" spans="1:12" ht="13">
      <c r="A339" s="341" t="str">
        <f>data_filing</f>
        <v>DATA: 12 MONTH FORECASTED PERIOD</v>
      </c>
      <c r="C339" s="195"/>
      <c r="D339" s="342"/>
      <c r="E339" s="195"/>
      <c r="F339" s="342"/>
      <c r="G339" s="340"/>
      <c r="H339" s="340"/>
      <c r="I339" s="195"/>
      <c r="K339" s="359" t="str">
        <f>"PAGE "&amp;Pages-10&amp;" OF "&amp;Pages</f>
        <v>PAGE 8 OF 18</v>
      </c>
      <c r="L339" s="195"/>
    </row>
    <row r="340" spans="1:12" ht="13">
      <c r="A340" s="341" t="str">
        <f>type</f>
        <v xml:space="preserve">TYPE OF FILING: "X" ORIGINAL   UPDATED    REVISED  </v>
      </c>
      <c r="C340" s="195"/>
      <c r="D340" s="342"/>
      <c r="E340" s="195"/>
      <c r="F340" s="342"/>
      <c r="G340" s="340"/>
      <c r="H340" s="340"/>
      <c r="I340" s="195"/>
      <c r="J340" s="342"/>
      <c r="K340" s="195"/>
      <c r="L340" s="195"/>
    </row>
    <row r="341" spans="1:12" ht="13">
      <c r="B341" s="341"/>
      <c r="C341" s="195"/>
      <c r="D341" s="342"/>
      <c r="E341" s="195"/>
      <c r="F341" s="342"/>
      <c r="G341" s="195"/>
      <c r="H341" s="195"/>
      <c r="I341" s="195"/>
      <c r="J341" s="342"/>
      <c r="K341" s="195"/>
      <c r="L341" s="195"/>
    </row>
    <row r="342" spans="1:12" ht="13">
      <c r="B342" s="341"/>
      <c r="C342" s="195"/>
      <c r="D342" s="342"/>
      <c r="E342" s="195"/>
      <c r="F342" s="342" t="str">
        <f>$F$7</f>
        <v>TOTAL</v>
      </c>
      <c r="G342" s="195"/>
      <c r="H342" s="195"/>
      <c r="I342" s="195"/>
      <c r="J342" s="342"/>
      <c r="K342" s="195"/>
      <c r="L342" s="195"/>
    </row>
    <row r="343" spans="1:12" ht="13">
      <c r="A343" s="342" t="s">
        <v>907</v>
      </c>
      <c r="B343" s="195"/>
      <c r="C343" s="195"/>
      <c r="D343" s="342"/>
      <c r="E343" s="195"/>
      <c r="F343" s="342" t="str">
        <f>$F$8</f>
        <v>DISTRIBUTION</v>
      </c>
      <c r="G343" s="342" t="s">
        <v>417</v>
      </c>
      <c r="H343" s="342" t="s">
        <v>857</v>
      </c>
      <c r="I343" s="342" t="s">
        <v>858</v>
      </c>
      <c r="J343" s="342" t="s">
        <v>546</v>
      </c>
      <c r="K343" s="342" t="s">
        <v>229</v>
      </c>
      <c r="L343" s="342" t="s">
        <v>342</v>
      </c>
    </row>
    <row r="344" spans="1:12" ht="13">
      <c r="A344" s="344" t="s">
        <v>908</v>
      </c>
      <c r="B344" s="343" t="s">
        <v>44</v>
      </c>
      <c r="C344" s="343"/>
      <c r="D344" s="344" t="s">
        <v>337</v>
      </c>
      <c r="E344" s="343"/>
      <c r="F344" s="342" t="str">
        <f>$F$9</f>
        <v>DEMAND</v>
      </c>
      <c r="G344" s="344" t="s">
        <v>338</v>
      </c>
      <c r="H344" s="344" t="s">
        <v>404</v>
      </c>
      <c r="I344" s="344" t="s">
        <v>404</v>
      </c>
      <c r="J344" s="344" t="s">
        <v>547</v>
      </c>
      <c r="K344" s="344" t="s">
        <v>341</v>
      </c>
      <c r="L344" s="344" t="s">
        <v>340</v>
      </c>
    </row>
    <row r="345" spans="1:12" ht="13">
      <c r="C345" s="572" t="s">
        <v>348</v>
      </c>
      <c r="D345" s="342"/>
      <c r="E345" s="195"/>
      <c r="F345" s="755"/>
      <c r="G345" s="627">
        <f>$G$10</f>
        <v>3</v>
      </c>
      <c r="H345" s="627">
        <f>$H$10</f>
        <v>4</v>
      </c>
      <c r="I345" s="627">
        <f>$I$10</f>
        <v>5</v>
      </c>
      <c r="J345" s="627">
        <f>$J$10</f>
        <v>6</v>
      </c>
    </row>
    <row r="346" spans="1:12" ht="13">
      <c r="A346" s="331">
        <v>1</v>
      </c>
      <c r="B346" s="330" t="s">
        <v>45</v>
      </c>
      <c r="D346" s="342"/>
      <c r="E346" s="195"/>
      <c r="I346" s="330"/>
    </row>
    <row r="347" spans="1:12" ht="13">
      <c r="A347" s="331">
        <v>2</v>
      </c>
      <c r="B347" s="330" t="s">
        <v>46</v>
      </c>
      <c r="D347" s="342"/>
      <c r="E347" s="195"/>
      <c r="I347" s="330"/>
    </row>
    <row r="348" spans="1:12" ht="13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3">
        <f>'FR-16(7)(v)-4 DISTR Classified'!G348</f>
        <v>0</v>
      </c>
      <c r="G348" s="347">
        <f>F348-SUM(H348:J348)</f>
        <v>0</v>
      </c>
      <c r="H348" s="345">
        <f>ROUND($F$348*VLOOKUP($D$348,ALLOCTABLE_DISTR_DEMAND,$H$10,FALSE),0)</f>
        <v>0</v>
      </c>
      <c r="I348" s="345">
        <f>ROUND(F348*VLOOKUP(D348,ALLOCTABLE_DISTR_DEMAND,$I$10,FALSE),0)</f>
        <v>0</v>
      </c>
      <c r="J348" s="345">
        <f>ROUND(F348*VLOOKUP(D348,ALLOCTABLE_DISTR_DEMAND,$J$10,FALSE),0)</f>
        <v>0</v>
      </c>
      <c r="K348" s="345">
        <f>SUM(G348:J348)</f>
        <v>0</v>
      </c>
      <c r="L348" s="345">
        <f>F348-K348</f>
        <v>0</v>
      </c>
    </row>
    <row r="349" spans="1:12" ht="13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3">
        <f>'FR-16(7)(v)-4 DISTR Classified'!G349</f>
        <v>0</v>
      </c>
      <c r="G349" s="347">
        <f>F349-SUM(H349:J349)</f>
        <v>0</v>
      </c>
      <c r="H349" s="345">
        <f>ROUND($F$349*VLOOKUP($D$349,ALLOCTABLE_DISTR_DEMAND,$H$10,FALSE),0)</f>
        <v>0</v>
      </c>
      <c r="I349" s="345">
        <f>ROUND(F349*VLOOKUP(D349,ALLOCTABLE_DISTR_DEMAND,$I$10,FALSE),0)</f>
        <v>0</v>
      </c>
      <c r="J349" s="345">
        <f>ROUND(F349*VLOOKUP(D349,ALLOCTABLE_DISTR_DEMAND,$J$10,FALSE),0)</f>
        <v>0</v>
      </c>
      <c r="K349" s="345">
        <f>SUM(G349:J349)</f>
        <v>0</v>
      </c>
      <c r="L349" s="345">
        <f>F349-K349</f>
        <v>0</v>
      </c>
    </row>
    <row r="350" spans="1:12" ht="13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L350" si="118">SUM(F348:F349)</f>
        <v>0</v>
      </c>
      <c r="G350" s="346">
        <f>SUM(G348:G349)</f>
        <v>0</v>
      </c>
      <c r="H350" s="346">
        <f t="shared" si="118"/>
        <v>0</v>
      </c>
      <c r="I350" s="346">
        <f t="shared" si="118"/>
        <v>0</v>
      </c>
      <c r="J350" s="346">
        <f t="shared" si="118"/>
        <v>0</v>
      </c>
      <c r="K350" s="346">
        <f t="shared" si="118"/>
        <v>0</v>
      </c>
      <c r="L350" s="346">
        <f t="shared" si="118"/>
        <v>0</v>
      </c>
    </row>
    <row r="351" spans="1:12" ht="13">
      <c r="A351" s="331">
        <v>6</v>
      </c>
      <c r="D351" s="342"/>
      <c r="E351" s="195"/>
      <c r="I351" s="330"/>
    </row>
    <row r="352" spans="1:12" ht="13">
      <c r="A352" s="331">
        <v>7</v>
      </c>
      <c r="B352" s="357" t="s">
        <v>47</v>
      </c>
      <c r="C352" s="357"/>
      <c r="D352" s="342"/>
      <c r="E352" s="195"/>
      <c r="F352" s="345"/>
      <c r="I352" s="330"/>
      <c r="J352" s="345"/>
      <c r="K352" s="345"/>
      <c r="L352" s="345"/>
    </row>
    <row r="353" spans="1:12" ht="13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1">
        <v>0</v>
      </c>
      <c r="G353" s="347">
        <f>F353-SUM(H353:J353)</f>
        <v>0</v>
      </c>
      <c r="H353" s="345">
        <f>ROUND($F$353*VLOOKUP($D$353,ALLOCTABLE_DISTR_DEMAND,$H$10,FALSE),0)</f>
        <v>0</v>
      </c>
      <c r="I353" s="345">
        <f>ROUND(F353*VLOOKUP(D353,ALLOCTABLE_DISTR_DEMAND,$I$10,FALSE),0)</f>
        <v>0</v>
      </c>
      <c r="J353" s="345">
        <f>ROUND(F353*VLOOKUP(D353,ALLOCTABLE_DISTR_DEMAND,$J$10,FALSE),0)</f>
        <v>0</v>
      </c>
      <c r="K353" s="345">
        <f>SUM(G353:J353)</f>
        <v>0</v>
      </c>
      <c r="L353" s="345">
        <f>F353-K353</f>
        <v>0</v>
      </c>
    </row>
    <row r="354" spans="1:12" ht="13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L354" si="119">SUM(F352:F353)</f>
        <v>0</v>
      </c>
      <c r="G354" s="346">
        <f>SUM(G352:G353)</f>
        <v>0</v>
      </c>
      <c r="H354" s="346">
        <f t="shared" si="119"/>
        <v>0</v>
      </c>
      <c r="I354" s="346">
        <f t="shared" si="119"/>
        <v>0</v>
      </c>
      <c r="J354" s="346">
        <f t="shared" si="119"/>
        <v>0</v>
      </c>
      <c r="K354" s="346">
        <f t="shared" si="119"/>
        <v>0</v>
      </c>
      <c r="L354" s="346">
        <f t="shared" si="119"/>
        <v>0</v>
      </c>
    </row>
    <row r="355" spans="1:12" ht="13">
      <c r="A355" s="331">
        <v>10</v>
      </c>
      <c r="D355" s="342"/>
      <c r="E355" s="195"/>
      <c r="I355" s="330"/>
    </row>
    <row r="356" spans="1:12" ht="13">
      <c r="A356" s="331">
        <v>11</v>
      </c>
      <c r="B356" s="330" t="s">
        <v>1000</v>
      </c>
      <c r="D356" s="342"/>
      <c r="E356" s="195"/>
      <c r="I356" s="330"/>
    </row>
    <row r="357" spans="1:12" ht="13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3">
        <f>'FR-16(7)(v)-4 DISTR Classified'!G357</f>
        <v>0</v>
      </c>
      <c r="G357" s="347">
        <f>F357-SUM(H357:J357)</f>
        <v>0</v>
      </c>
      <c r="H357" s="345">
        <f>ROUND($F$357*VLOOKUP($D$357,ALLOCTABLE_DISTR_DEMAND,$H$10,FALSE),0)</f>
        <v>0</v>
      </c>
      <c r="I357" s="345">
        <f>ROUND(F357*VLOOKUP(D357,ALLOCTABLE_DISTR_DEMAND,$I$10,FALSE),0)</f>
        <v>0</v>
      </c>
      <c r="J357" s="345">
        <f>ROUND(F357*VLOOKUP(D357,ALLOCTABLE_DISTR_DEMAND,$J$10,FALSE),0)</f>
        <v>0</v>
      </c>
      <c r="K357" s="345">
        <f>SUM(G357:J357)</f>
        <v>0</v>
      </c>
      <c r="L357" s="345">
        <f>F357-K357</f>
        <v>0</v>
      </c>
    </row>
    <row r="358" spans="1:12" ht="13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L358" si="120">SUM(F356:F357)</f>
        <v>0</v>
      </c>
      <c r="G358" s="346">
        <f>SUM(G356:G357)</f>
        <v>0</v>
      </c>
      <c r="H358" s="346">
        <f t="shared" si="120"/>
        <v>0</v>
      </c>
      <c r="I358" s="346">
        <f t="shared" si="120"/>
        <v>0</v>
      </c>
      <c r="J358" s="346">
        <f t="shared" si="120"/>
        <v>0</v>
      </c>
      <c r="K358" s="346">
        <f t="shared" si="120"/>
        <v>0</v>
      </c>
      <c r="L358" s="346">
        <f t="shared" si="120"/>
        <v>0</v>
      </c>
    </row>
    <row r="359" spans="1:12" ht="13">
      <c r="A359" s="331">
        <v>14</v>
      </c>
      <c r="D359" s="342"/>
      <c r="E359" s="195"/>
      <c r="F359" s="345"/>
      <c r="I359" s="330"/>
      <c r="J359" s="345"/>
      <c r="K359" s="345"/>
      <c r="L359" s="345"/>
    </row>
    <row r="360" spans="1:12" ht="13">
      <c r="A360" s="331">
        <v>15</v>
      </c>
      <c r="B360" s="330" t="s">
        <v>48</v>
      </c>
      <c r="D360" s="342"/>
      <c r="E360" s="195" t="s">
        <v>343</v>
      </c>
      <c r="F360" s="345">
        <f t="shared" ref="F360:L360" si="121">F358+F354+F350</f>
        <v>0</v>
      </c>
      <c r="G360" s="345">
        <f>G358+G354+G350</f>
        <v>0</v>
      </c>
      <c r="H360" s="345">
        <f t="shared" si="121"/>
        <v>0</v>
      </c>
      <c r="I360" s="345">
        <f t="shared" si="121"/>
        <v>0</v>
      </c>
      <c r="J360" s="345">
        <f t="shared" si="121"/>
        <v>0</v>
      </c>
      <c r="K360" s="345">
        <f t="shared" si="121"/>
        <v>0</v>
      </c>
      <c r="L360" s="345">
        <f t="shared" si="121"/>
        <v>0</v>
      </c>
    </row>
    <row r="361" spans="1:12" ht="13">
      <c r="A361" s="331">
        <v>16</v>
      </c>
      <c r="D361" s="342"/>
      <c r="E361" s="195"/>
      <c r="I361" s="330"/>
    </row>
    <row r="362" spans="1:12" ht="13">
      <c r="A362" s="331">
        <v>17</v>
      </c>
      <c r="B362" s="330" t="s">
        <v>49</v>
      </c>
      <c r="D362" s="342"/>
      <c r="E362" s="195"/>
      <c r="I362" s="330"/>
    </row>
    <row r="363" spans="1:12" ht="13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1"/>
      <c r="G363" s="345"/>
      <c r="H363" s="345"/>
      <c r="I363" s="345"/>
      <c r="J363" s="345"/>
      <c r="K363" s="345"/>
      <c r="L363" s="345"/>
    </row>
    <row r="364" spans="1:12" ht="13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L364" si="122">SUM(F363)</f>
        <v>0</v>
      </c>
      <c r="G364" s="346">
        <f>SUM(G363)</f>
        <v>0</v>
      </c>
      <c r="H364" s="346">
        <f t="shared" si="122"/>
        <v>0</v>
      </c>
      <c r="I364" s="346">
        <f t="shared" si="122"/>
        <v>0</v>
      </c>
      <c r="J364" s="346">
        <f t="shared" si="122"/>
        <v>0</v>
      </c>
      <c r="K364" s="346">
        <f t="shared" si="122"/>
        <v>0</v>
      </c>
      <c r="L364" s="346">
        <f t="shared" si="122"/>
        <v>0</v>
      </c>
    </row>
    <row r="365" spans="1:12" ht="13">
      <c r="A365" s="331">
        <v>20</v>
      </c>
      <c r="D365" s="342"/>
      <c r="E365" s="195"/>
      <c r="I365" s="330"/>
    </row>
    <row r="366" spans="1:12" ht="13">
      <c r="A366" s="331">
        <v>21</v>
      </c>
      <c r="B366" s="330" t="s">
        <v>50</v>
      </c>
      <c r="D366" s="342"/>
      <c r="E366" s="195"/>
      <c r="I366" s="330"/>
    </row>
    <row r="367" spans="1:12" ht="13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3">
        <f>'FR-16(7)(v)-4 DISTR Classified'!G367</f>
        <v>258339</v>
      </c>
      <c r="G367" s="347">
        <f t="shared" ref="G367:G377" si="123">F367-SUM(H367:J367)</f>
        <v>131846</v>
      </c>
      <c r="H367" s="345">
        <f>ROUND($F$367*VLOOKUP($D$367,ALLOCTABLE_DISTR_DEMAND,$H$10,FALSE),0)</f>
        <v>80059</v>
      </c>
      <c r="I367" s="345">
        <f t="shared" ref="I367:I377" si="124">ROUND(F367*VLOOKUP(D367,ALLOCTABLE_DISTR_DEMAND,$I$10,FALSE),0)</f>
        <v>35196</v>
      </c>
      <c r="J367" s="345">
        <f t="shared" ref="J367:J377" si="125">ROUND(F367*VLOOKUP(D367,ALLOCTABLE_DISTR_DEMAND,$J$10,FALSE),0)</f>
        <v>11238</v>
      </c>
      <c r="K367" s="345">
        <f t="shared" ref="K367:K377" si="126">SUM(G367:J367)</f>
        <v>258339</v>
      </c>
      <c r="L367" s="345">
        <f t="shared" ref="L367:L377" si="127">F367-K367</f>
        <v>0</v>
      </c>
    </row>
    <row r="368" spans="1:12" ht="13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3">
        <f>'FR-16(7)(v)-4 DISTR Classified'!G368</f>
        <v>842385</v>
      </c>
      <c r="G368" s="347">
        <f t="shared" si="123"/>
        <v>429919</v>
      </c>
      <c r="H368" s="345">
        <f>ROUND($F$368*VLOOKUP($D$368,ALLOCTABLE_DISTR_DEMAND,$H$10,FALSE),0)</f>
        <v>261055</v>
      </c>
      <c r="I368" s="345">
        <f t="shared" si="124"/>
        <v>114767</v>
      </c>
      <c r="J368" s="345">
        <f t="shared" si="125"/>
        <v>36644</v>
      </c>
      <c r="K368" s="345">
        <f t="shared" si="126"/>
        <v>842385</v>
      </c>
      <c r="L368" s="345">
        <f t="shared" si="127"/>
        <v>0</v>
      </c>
    </row>
    <row r="369" spans="1:12" ht="13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3">
        <f>'FR-16(7)(v)-4 DISTR Classified'!G369</f>
        <v>198982</v>
      </c>
      <c r="G369" s="347">
        <f t="shared" si="123"/>
        <v>101552</v>
      </c>
      <c r="H369" s="345">
        <f>ROUND($F$369*VLOOKUP($D$369,ALLOCTABLE_DISTR_DEMAND,$H$10,FALSE),0)</f>
        <v>61665</v>
      </c>
      <c r="I369" s="345">
        <f t="shared" si="124"/>
        <v>27109</v>
      </c>
      <c r="J369" s="345">
        <f t="shared" si="125"/>
        <v>8656</v>
      </c>
      <c r="K369" s="345">
        <f t="shared" si="126"/>
        <v>198982</v>
      </c>
      <c r="L369" s="345">
        <f t="shared" si="127"/>
        <v>0</v>
      </c>
    </row>
    <row r="370" spans="1:12" ht="13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3">
        <f>'FR-16(7)(v)-4 DISTR Classified'!G370</f>
        <v>1294237</v>
      </c>
      <c r="G370" s="347">
        <f t="shared" si="123"/>
        <v>660527</v>
      </c>
      <c r="H370" s="345">
        <f>ROUND($F$370*VLOOKUP($D$370,ALLOCTABLE_DISTR_DEMAND,$H$10,FALSE),0)</f>
        <v>401084</v>
      </c>
      <c r="I370" s="345">
        <f t="shared" si="124"/>
        <v>176327</v>
      </c>
      <c r="J370" s="345">
        <f t="shared" si="125"/>
        <v>56299</v>
      </c>
      <c r="K370" s="345">
        <f t="shared" si="126"/>
        <v>1294237</v>
      </c>
      <c r="L370" s="345">
        <f t="shared" si="127"/>
        <v>0</v>
      </c>
    </row>
    <row r="371" spans="1:12" ht="13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3">
        <f>'FR-16(7)(v)-4 DISTR Classified'!G371</f>
        <v>0</v>
      </c>
      <c r="G371" s="347">
        <f t="shared" si="123"/>
        <v>0</v>
      </c>
      <c r="H371" s="345">
        <f>ROUND($F$371*VLOOKUP($D$371,ALLOCTABLE_DISTR_DEMAND,$H$10,FALSE),0)</f>
        <v>0</v>
      </c>
      <c r="I371" s="345">
        <f t="shared" si="124"/>
        <v>0</v>
      </c>
      <c r="J371" s="345">
        <f t="shared" si="125"/>
        <v>0</v>
      </c>
      <c r="K371" s="345">
        <f t="shared" si="126"/>
        <v>0</v>
      </c>
      <c r="L371" s="345">
        <f t="shared" si="127"/>
        <v>0</v>
      </c>
    </row>
    <row r="372" spans="1:12" ht="13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3">
        <f>'FR-16(7)(v)-4 DISTR Classified'!G372</f>
        <v>1128603</v>
      </c>
      <c r="G372" s="347">
        <f t="shared" si="123"/>
        <v>575994</v>
      </c>
      <c r="H372" s="345">
        <f>ROUND($F$372*VLOOKUP($D$372,ALLOCTABLE_DISTR_DEMAND,$H$10,FALSE),0)</f>
        <v>349754</v>
      </c>
      <c r="I372" s="345">
        <f t="shared" si="124"/>
        <v>153761</v>
      </c>
      <c r="J372" s="345">
        <f t="shared" si="125"/>
        <v>49094</v>
      </c>
      <c r="K372" s="345">
        <f t="shared" si="126"/>
        <v>1128603</v>
      </c>
      <c r="L372" s="345">
        <f t="shared" si="127"/>
        <v>0</v>
      </c>
    </row>
    <row r="373" spans="1:12" ht="13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3">
        <f>'FR-16(7)(v)-4 DISTR Classified'!G373</f>
        <v>0</v>
      </c>
      <c r="G373" s="347">
        <f t="shared" si="123"/>
        <v>0</v>
      </c>
      <c r="H373" s="345">
        <f>ROUND($F$373*VLOOKUP($D$373,ALLOCTABLE_DISTR_DEMAND,$H$10,FALSE),0)</f>
        <v>0</v>
      </c>
      <c r="I373" s="345">
        <f t="shared" si="124"/>
        <v>0</v>
      </c>
      <c r="J373" s="345">
        <f t="shared" si="125"/>
        <v>0</v>
      </c>
      <c r="K373" s="345">
        <f t="shared" si="126"/>
        <v>0</v>
      </c>
      <c r="L373" s="345">
        <f t="shared" si="127"/>
        <v>0</v>
      </c>
    </row>
    <row r="374" spans="1:12" ht="13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3">
        <f>'FR-16(7)(v)-4 DISTR Classified'!G374</f>
        <v>0</v>
      </c>
      <c r="G374" s="347">
        <f t="shared" si="123"/>
        <v>0</v>
      </c>
      <c r="H374" s="345">
        <f>ROUND($F$374*VLOOKUP($D$374,ALLOCTABLE_DISTR_DEMAND,$H$10,FALSE),0)</f>
        <v>0</v>
      </c>
      <c r="I374" s="345">
        <f t="shared" si="124"/>
        <v>0</v>
      </c>
      <c r="J374" s="345">
        <f t="shared" si="125"/>
        <v>0</v>
      </c>
      <c r="K374" s="345">
        <f t="shared" si="126"/>
        <v>0</v>
      </c>
      <c r="L374" s="345">
        <f t="shared" si="127"/>
        <v>0</v>
      </c>
    </row>
    <row r="375" spans="1:12" ht="13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3">
        <f>'FR-16(7)(v)-4 DISTR Classified'!G375</f>
        <v>-53783</v>
      </c>
      <c r="G375" s="347">
        <f t="shared" si="123"/>
        <v>0</v>
      </c>
      <c r="H375" s="345">
        <f>ROUND($F$375*VLOOKUP($D$375,ALLOCTABLE_DISTR_DEMAND,$H$10,FALSE),0)</f>
        <v>0</v>
      </c>
      <c r="I375" s="345">
        <f t="shared" si="124"/>
        <v>-31351</v>
      </c>
      <c r="J375" s="345">
        <f t="shared" si="125"/>
        <v>-22432</v>
      </c>
      <c r="K375" s="345">
        <f t="shared" si="126"/>
        <v>-53783</v>
      </c>
      <c r="L375" s="345">
        <f t="shared" si="127"/>
        <v>0</v>
      </c>
    </row>
    <row r="376" spans="1:12" ht="13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3">
        <f>'FR-16(7)(v)-4 DISTR Classified'!G376</f>
        <v>0</v>
      </c>
      <c r="G376" s="347">
        <f t="shared" si="123"/>
        <v>0</v>
      </c>
      <c r="H376" s="345">
        <f>ROUND($F$376*VLOOKUP($D$376,ALLOCTABLE_DISTR_DEMAND,$H$10,FALSE),0)</f>
        <v>0</v>
      </c>
      <c r="I376" s="345">
        <f t="shared" si="124"/>
        <v>0</v>
      </c>
      <c r="J376" s="345">
        <f t="shared" si="125"/>
        <v>0</v>
      </c>
      <c r="K376" s="345">
        <f t="shared" si="126"/>
        <v>0</v>
      </c>
      <c r="L376" s="345">
        <f t="shared" si="127"/>
        <v>0</v>
      </c>
    </row>
    <row r="377" spans="1:12" ht="13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3">
        <f>'FR-16(7)(v)-4 DISTR Classified'!G377</f>
        <v>2870232</v>
      </c>
      <c r="G377" s="347">
        <f t="shared" si="123"/>
        <v>1464852</v>
      </c>
      <c r="H377" s="345">
        <f>ROUND($F$377*VLOOKUP($D$377,ALLOCTABLE_DISTR_DEMAND,$H$10,FALSE),0)</f>
        <v>889485</v>
      </c>
      <c r="I377" s="345">
        <f t="shared" si="124"/>
        <v>391040</v>
      </c>
      <c r="J377" s="345">
        <f t="shared" si="125"/>
        <v>124855</v>
      </c>
      <c r="K377" s="345">
        <f t="shared" si="126"/>
        <v>2870232</v>
      </c>
      <c r="L377" s="345">
        <f t="shared" si="127"/>
        <v>0</v>
      </c>
    </row>
    <row r="378" spans="1:12" ht="13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L378" si="128">SUM(F366:F377)</f>
        <v>6538995</v>
      </c>
      <c r="G378" s="346">
        <f>SUM(G366:G377)</f>
        <v>3364690</v>
      </c>
      <c r="H378" s="346">
        <f t="shared" si="128"/>
        <v>2043102</v>
      </c>
      <c r="I378" s="346">
        <f t="shared" si="128"/>
        <v>866849</v>
      </c>
      <c r="J378" s="346">
        <f t="shared" si="128"/>
        <v>264354</v>
      </c>
      <c r="K378" s="346">
        <f t="shared" si="128"/>
        <v>6538995</v>
      </c>
      <c r="L378" s="346">
        <f t="shared" si="128"/>
        <v>0</v>
      </c>
    </row>
    <row r="379" spans="1:12" ht="13">
      <c r="A379" s="331">
        <v>34</v>
      </c>
      <c r="C379" s="330" t="s">
        <v>343</v>
      </c>
      <c r="D379" s="342"/>
      <c r="E379" s="195"/>
      <c r="I379" s="330"/>
    </row>
    <row r="380" spans="1:12" ht="13">
      <c r="A380" s="331">
        <v>35</v>
      </c>
      <c r="B380" s="330" t="s">
        <v>51</v>
      </c>
      <c r="D380" s="342"/>
      <c r="E380" s="195"/>
      <c r="F380" s="330" t="s">
        <v>343</v>
      </c>
      <c r="I380" s="330"/>
    </row>
    <row r="381" spans="1:12" ht="13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3">
        <f>'FR-16(7)(v)-4 DISTR Classified'!G381</f>
        <v>0</v>
      </c>
      <c r="G381" s="347">
        <f t="shared" ref="G381:G388" si="129">F381-SUM(H381:J381)</f>
        <v>0</v>
      </c>
      <c r="H381" s="345">
        <f>ROUND($F$381*VLOOKUP($D$381,ALLOCTABLE_DISTR_DEMAND,$H$10,FALSE),0)</f>
        <v>0</v>
      </c>
      <c r="I381" s="345">
        <f t="shared" ref="I381:I388" si="130">ROUND(F381*VLOOKUP(D381,ALLOCTABLE_DISTR_DEMAND,$I$10,FALSE),0)</f>
        <v>0</v>
      </c>
      <c r="J381" s="345">
        <f t="shared" ref="J381:J388" si="131">ROUND(F381*VLOOKUP(D381,ALLOCTABLE_DISTR_DEMAND,$J$10,FALSE),0)</f>
        <v>0</v>
      </c>
      <c r="K381" s="345">
        <f t="shared" ref="K381:K388" si="132">SUM(G381:J381)</f>
        <v>0</v>
      </c>
      <c r="L381" s="345">
        <f t="shared" ref="L381:L388" si="133">F381-K381</f>
        <v>0</v>
      </c>
    </row>
    <row r="382" spans="1:12" ht="13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3">
        <f>'FR-16(7)(v)-4 DISTR Classified'!G382</f>
        <v>0</v>
      </c>
      <c r="G382" s="347">
        <f t="shared" si="129"/>
        <v>0</v>
      </c>
      <c r="H382" s="345">
        <f>ROUND($F$382*VLOOKUP($D$382,ALLOCTABLE_DISTR_DEMAND,$H$10,FALSE),0)</f>
        <v>0</v>
      </c>
      <c r="I382" s="345">
        <f t="shared" si="130"/>
        <v>0</v>
      </c>
      <c r="J382" s="345">
        <f t="shared" si="131"/>
        <v>0</v>
      </c>
      <c r="K382" s="345">
        <f t="shared" si="132"/>
        <v>0</v>
      </c>
      <c r="L382" s="345">
        <f t="shared" si="133"/>
        <v>0</v>
      </c>
    </row>
    <row r="383" spans="1:12" ht="13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3">
        <f>'FR-16(7)(v)-4 DISTR Classified'!G383</f>
        <v>0</v>
      </c>
      <c r="G383" s="347">
        <f t="shared" si="129"/>
        <v>0</v>
      </c>
      <c r="H383" s="345">
        <f>ROUND($F$383*VLOOKUP($D$383,ALLOCTABLE_DISTR_DEMAND,$H$10,FALSE),0)</f>
        <v>0</v>
      </c>
      <c r="I383" s="345">
        <f t="shared" si="130"/>
        <v>0</v>
      </c>
      <c r="J383" s="345">
        <f t="shared" si="131"/>
        <v>0</v>
      </c>
      <c r="K383" s="345">
        <f t="shared" si="132"/>
        <v>0</v>
      </c>
      <c r="L383" s="345">
        <f t="shared" si="133"/>
        <v>0</v>
      </c>
    </row>
    <row r="384" spans="1:12" ht="13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3">
        <f>'FR-16(7)(v)-4 DISTR Classified'!G384</f>
        <v>0</v>
      </c>
      <c r="G384" s="347">
        <f t="shared" si="129"/>
        <v>0</v>
      </c>
      <c r="H384" s="345">
        <f>ROUND($F$384*VLOOKUP($D$384,ALLOCTABLE_DISTR_DEMAND,$H$10,FALSE),0)</f>
        <v>0</v>
      </c>
      <c r="I384" s="345">
        <f t="shared" si="130"/>
        <v>0</v>
      </c>
      <c r="J384" s="345">
        <f t="shared" si="131"/>
        <v>0</v>
      </c>
      <c r="K384" s="345">
        <f t="shared" si="132"/>
        <v>0</v>
      </c>
      <c r="L384" s="345">
        <f t="shared" si="133"/>
        <v>0</v>
      </c>
    </row>
    <row r="385" spans="1:12" ht="13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3">
        <f>'FR-16(7)(v)-4 DISTR Classified'!G385</f>
        <v>0</v>
      </c>
      <c r="G385" s="347">
        <f t="shared" si="129"/>
        <v>0</v>
      </c>
      <c r="H385" s="345">
        <f>ROUND($F$385*VLOOKUP($D$385,ALLOCTABLE_DISTR_DEMAND,$H$10,FALSE),0)</f>
        <v>0</v>
      </c>
      <c r="I385" s="345">
        <f t="shared" si="130"/>
        <v>0</v>
      </c>
      <c r="J385" s="345">
        <f t="shared" si="131"/>
        <v>0</v>
      </c>
      <c r="K385" s="345">
        <f t="shared" si="132"/>
        <v>0</v>
      </c>
      <c r="L385" s="345">
        <f t="shared" si="133"/>
        <v>0</v>
      </c>
    </row>
    <row r="386" spans="1:12" ht="13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3">
        <f>'FR-16(7)(v)-4 DISTR Classified'!G386</f>
        <v>0</v>
      </c>
      <c r="G386" s="347">
        <f t="shared" si="129"/>
        <v>0</v>
      </c>
      <c r="H386" s="345">
        <f>ROUND($F$386*VLOOKUP($D$386,ALLOCTABLE_DISTR_DEMAND,$H$10,FALSE),0)</f>
        <v>0</v>
      </c>
      <c r="I386" s="345">
        <f t="shared" si="130"/>
        <v>0</v>
      </c>
      <c r="J386" s="345">
        <f t="shared" si="131"/>
        <v>0</v>
      </c>
      <c r="K386" s="345">
        <f t="shared" si="132"/>
        <v>0</v>
      </c>
      <c r="L386" s="345">
        <f t="shared" si="133"/>
        <v>0</v>
      </c>
    </row>
    <row r="387" spans="1:12" ht="13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3">
        <f>'FR-16(7)(v)-4 DISTR Classified'!G387</f>
        <v>0</v>
      </c>
      <c r="G387" s="347">
        <f t="shared" si="129"/>
        <v>0</v>
      </c>
      <c r="H387" s="345">
        <f>ROUND($F$387*VLOOKUP($D$387,ALLOCTABLE_DISTR_DEMAND,$H$10,FALSE),0)</f>
        <v>0</v>
      </c>
      <c r="I387" s="345">
        <f t="shared" si="130"/>
        <v>0</v>
      </c>
      <c r="J387" s="345">
        <f t="shared" si="131"/>
        <v>0</v>
      </c>
      <c r="K387" s="345">
        <f t="shared" si="132"/>
        <v>0</v>
      </c>
      <c r="L387" s="345">
        <f t="shared" si="133"/>
        <v>0</v>
      </c>
    </row>
    <row r="388" spans="1:12" ht="13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3">
        <f>'FR-16(7)(v)-4 DISTR Classified'!G388</f>
        <v>0</v>
      </c>
      <c r="G388" s="347">
        <f t="shared" si="129"/>
        <v>0</v>
      </c>
      <c r="H388" s="345">
        <f>ROUND($F$388*VLOOKUP($D$388,ALLOCTABLE_DISTR_DEMAND,$H$10,FALSE),0)</f>
        <v>0</v>
      </c>
      <c r="I388" s="345">
        <f t="shared" si="130"/>
        <v>0</v>
      </c>
      <c r="J388" s="345">
        <f t="shared" si="131"/>
        <v>0</v>
      </c>
      <c r="K388" s="345">
        <f t="shared" si="132"/>
        <v>0</v>
      </c>
      <c r="L388" s="345">
        <f t="shared" si="133"/>
        <v>0</v>
      </c>
    </row>
    <row r="389" spans="1:12" ht="13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L389" si="134">SUM(F380:F388)</f>
        <v>0</v>
      </c>
      <c r="G389" s="346">
        <f>SUM(G380:G388)</f>
        <v>0</v>
      </c>
      <c r="H389" s="346">
        <f t="shared" si="134"/>
        <v>0</v>
      </c>
      <c r="I389" s="346">
        <f t="shared" si="134"/>
        <v>0</v>
      </c>
      <c r="J389" s="346">
        <f t="shared" si="134"/>
        <v>0</v>
      </c>
      <c r="K389" s="346">
        <f t="shared" si="134"/>
        <v>0</v>
      </c>
      <c r="L389" s="346">
        <f t="shared" si="134"/>
        <v>0</v>
      </c>
    </row>
    <row r="390" spans="1:12" ht="13">
      <c r="B390" s="341"/>
      <c r="C390" s="195"/>
      <c r="D390" s="342"/>
      <c r="E390" s="195"/>
      <c r="G390" s="195"/>
      <c r="H390" s="195"/>
      <c r="I390" s="195"/>
      <c r="J390" s="342"/>
      <c r="K390" s="195"/>
      <c r="L390" s="195"/>
    </row>
    <row r="391" spans="1:12" ht="13">
      <c r="A391" s="341" t="str">
        <f>co_name</f>
        <v>DUKE ENERGY KENTUCKY, INC.</v>
      </c>
      <c r="C391" s="195"/>
      <c r="D391" s="342"/>
      <c r="E391" s="195"/>
      <c r="F391" s="342"/>
      <c r="G391" s="340"/>
      <c r="H391" s="340"/>
      <c r="I391" s="195"/>
      <c r="K391" s="359" t="str">
        <f>$K$1</f>
        <v>FR-16(7)(v)-5</v>
      </c>
      <c r="L391" s="195"/>
    </row>
    <row r="392" spans="1:12" ht="13">
      <c r="A392" s="341" t="str">
        <f>$A$2</f>
        <v>DISTRIBUTION DEMAND ALLOCATED - GAS COST OF SERVICE</v>
      </c>
      <c r="C392" s="195"/>
      <c r="D392" s="342"/>
      <c r="E392" s="195"/>
      <c r="F392" s="342"/>
      <c r="G392" s="340"/>
      <c r="H392" s="340"/>
      <c r="I392" s="195"/>
      <c r="K392" s="359" t="str">
        <f>$K$2</f>
        <v>WITNESS RESPONSIBLE:</v>
      </c>
      <c r="L392" s="195"/>
    </row>
    <row r="393" spans="1:12" ht="13">
      <c r="A393" s="341" t="str">
        <f>case_name</f>
        <v>CASE NO: 2021-00190</v>
      </c>
      <c r="C393" s="195"/>
      <c r="D393" s="342"/>
      <c r="E393" s="195"/>
      <c r="F393" s="342"/>
      <c r="G393" s="340"/>
      <c r="H393" s="340"/>
      <c r="I393" s="195"/>
      <c r="K393" s="359" t="str">
        <f>Witness</f>
        <v>JAMES E. ZIOLKOWSKI</v>
      </c>
      <c r="L393" s="195"/>
    </row>
    <row r="394" spans="1:12" ht="13">
      <c r="A394" s="341" t="str">
        <f>data_filing</f>
        <v>DATA: 12 MONTH FORECASTED PERIOD</v>
      </c>
      <c r="C394" s="195"/>
      <c r="D394" s="342"/>
      <c r="E394" s="195"/>
      <c r="F394" s="342"/>
      <c r="G394" s="340"/>
      <c r="H394" s="340"/>
      <c r="I394" s="195"/>
      <c r="K394" s="359" t="str">
        <f>"PAGE "&amp;Pages-9&amp;" OF "&amp;Pages</f>
        <v>PAGE 9 OF 18</v>
      </c>
      <c r="L394" s="195"/>
    </row>
    <row r="395" spans="1:12" ht="13">
      <c r="A395" s="341" t="str">
        <f>type</f>
        <v xml:space="preserve">TYPE OF FILING: "X" ORIGINAL   UPDATED    REVISED  </v>
      </c>
      <c r="C395" s="195"/>
      <c r="D395" s="342"/>
      <c r="E395" s="195"/>
      <c r="F395" s="342"/>
      <c r="G395" s="340"/>
      <c r="H395" s="340"/>
      <c r="I395" s="195"/>
      <c r="J395" s="342"/>
      <c r="K395" s="195"/>
      <c r="L395" s="195"/>
    </row>
    <row r="396" spans="1:12" ht="13">
      <c r="B396" s="341"/>
      <c r="C396" s="195"/>
      <c r="D396" s="342"/>
      <c r="E396" s="195"/>
      <c r="F396" s="342"/>
      <c r="G396" s="195"/>
      <c r="H396" s="195"/>
      <c r="I396" s="195"/>
      <c r="J396" s="342"/>
      <c r="K396" s="195"/>
      <c r="L396" s="195"/>
    </row>
    <row r="397" spans="1:12" ht="13">
      <c r="B397" s="341"/>
      <c r="C397" s="195"/>
      <c r="D397" s="342"/>
      <c r="E397" s="195"/>
      <c r="F397" s="342" t="str">
        <f>$F$7</f>
        <v>TOTAL</v>
      </c>
      <c r="G397" s="195"/>
      <c r="H397" s="195"/>
      <c r="I397" s="195"/>
      <c r="J397" s="342"/>
      <c r="K397" s="195"/>
      <c r="L397" s="195"/>
    </row>
    <row r="398" spans="1:12" ht="13">
      <c r="A398" s="342" t="s">
        <v>907</v>
      </c>
      <c r="B398" s="195"/>
      <c r="C398" s="195"/>
      <c r="D398" s="342"/>
      <c r="E398" s="195"/>
      <c r="F398" s="342" t="str">
        <f>$F$8</f>
        <v>DISTRIBUTION</v>
      </c>
      <c r="G398" s="342" t="s">
        <v>417</v>
      </c>
      <c r="H398" s="342" t="s">
        <v>857</v>
      </c>
      <c r="I398" s="342" t="s">
        <v>858</v>
      </c>
      <c r="J398" s="342" t="s">
        <v>546</v>
      </c>
      <c r="K398" s="342" t="s">
        <v>229</v>
      </c>
      <c r="L398" s="342" t="s">
        <v>342</v>
      </c>
    </row>
    <row r="399" spans="1:12" ht="13">
      <c r="A399" s="344" t="s">
        <v>908</v>
      </c>
      <c r="B399" s="343" t="s">
        <v>44</v>
      </c>
      <c r="C399" s="343"/>
      <c r="D399" s="344" t="s">
        <v>337</v>
      </c>
      <c r="E399" s="343"/>
      <c r="F399" s="342" t="str">
        <f>$F$9</f>
        <v>DEMAND</v>
      </c>
      <c r="G399" s="344" t="s">
        <v>338</v>
      </c>
      <c r="H399" s="344" t="s">
        <v>404</v>
      </c>
      <c r="I399" s="344" t="s">
        <v>404</v>
      </c>
      <c r="J399" s="344" t="s">
        <v>547</v>
      </c>
      <c r="K399" s="344" t="s">
        <v>341</v>
      </c>
      <c r="L399" s="344" t="s">
        <v>340</v>
      </c>
    </row>
    <row r="400" spans="1:12" ht="13">
      <c r="C400" s="572" t="s">
        <v>557</v>
      </c>
      <c r="D400" s="342"/>
      <c r="E400" s="195"/>
      <c r="F400" s="755"/>
      <c r="G400" s="627">
        <f>$G$10</f>
        <v>3</v>
      </c>
      <c r="H400" s="627">
        <f>$H$10</f>
        <v>4</v>
      </c>
      <c r="I400" s="627">
        <f>$I$10</f>
        <v>5</v>
      </c>
      <c r="J400" s="627">
        <f>$J$10</f>
        <v>6</v>
      </c>
    </row>
    <row r="401" spans="1:12" ht="13">
      <c r="A401" s="331">
        <v>1</v>
      </c>
      <c r="B401" s="330" t="s">
        <v>52</v>
      </c>
      <c r="D401" s="342"/>
      <c r="E401" s="195"/>
      <c r="I401" s="330"/>
    </row>
    <row r="402" spans="1:12" ht="13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3">
        <f>'FR-16(7)(v)-4 DISTR Classified'!G402</f>
        <v>0</v>
      </c>
      <c r="G402" s="347">
        <f>F402-SUM(H402:J402)</f>
        <v>0</v>
      </c>
      <c r="H402" s="345">
        <f>ROUND($F$402*VLOOKUP($D$402,ALLOCTABLE_DISTR_DEMAND,$H$10,FALSE),0)</f>
        <v>0</v>
      </c>
      <c r="I402" s="345">
        <f>ROUND(F402*VLOOKUP(D402,ALLOCTABLE_DISTR_DEMAND,$I$10,FALSE),0)</f>
        <v>0</v>
      </c>
      <c r="J402" s="345">
        <f>ROUND(F402*VLOOKUP(D402,ALLOCTABLE_DISTR_DEMAND,$J$10,FALSE),0)</f>
        <v>0</v>
      </c>
      <c r="K402" s="345">
        <f>SUM(G402:J402)</f>
        <v>0</v>
      </c>
      <c r="L402" s="345">
        <f>F402-K402</f>
        <v>0</v>
      </c>
    </row>
    <row r="403" spans="1:12" ht="13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L403" si="135">SUM(F402:F402)</f>
        <v>0</v>
      </c>
      <c r="G403" s="346">
        <f>SUM(G402:G402)</f>
        <v>0</v>
      </c>
      <c r="H403" s="346">
        <f t="shared" si="135"/>
        <v>0</v>
      </c>
      <c r="I403" s="346">
        <f t="shared" si="135"/>
        <v>0</v>
      </c>
      <c r="J403" s="346">
        <f t="shared" si="135"/>
        <v>0</v>
      </c>
      <c r="K403" s="346">
        <f t="shared" si="135"/>
        <v>0</v>
      </c>
      <c r="L403" s="346">
        <f t="shared" si="135"/>
        <v>0</v>
      </c>
    </row>
    <row r="404" spans="1:12" ht="13">
      <c r="A404" s="331">
        <v>4</v>
      </c>
      <c r="D404" s="342"/>
      <c r="E404" s="195"/>
      <c r="F404" s="345"/>
      <c r="I404" s="330"/>
      <c r="J404" s="345"/>
      <c r="K404" s="345"/>
      <c r="L404" s="345"/>
    </row>
    <row r="405" spans="1:12" ht="13">
      <c r="A405" s="331">
        <v>5</v>
      </c>
      <c r="B405" s="330" t="s">
        <v>53</v>
      </c>
      <c r="D405" s="342"/>
      <c r="E405" s="195"/>
      <c r="F405" s="345"/>
      <c r="I405" s="330"/>
      <c r="J405" s="345"/>
      <c r="K405" s="345"/>
      <c r="L405" s="345"/>
    </row>
    <row r="406" spans="1:12" ht="13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3">
        <f>'FR-16(7)(v)-4 DISTR Classified'!G406</f>
        <v>0</v>
      </c>
      <c r="G406" s="347">
        <f>F406-SUM(H406:J406)</f>
        <v>0</v>
      </c>
      <c r="H406" s="345">
        <f>ROUND($F$406*VLOOKUP($D$406,ALLOCTABLE_DISTR_DEMAND,$H$10,FALSE),0)</f>
        <v>0</v>
      </c>
      <c r="I406" s="345">
        <f>ROUND(F406*VLOOKUP(D406,ALLOCTABLE_DISTR_DEMAND,$I$10,FALSE),0)</f>
        <v>0</v>
      </c>
      <c r="J406" s="345">
        <f>ROUND(F406*VLOOKUP(D406,ALLOCTABLE_DISTR_DEMAND,$J$10,FALSE),0)</f>
        <v>0</v>
      </c>
      <c r="K406" s="345">
        <f>SUM(G406:J406)</f>
        <v>0</v>
      </c>
      <c r="L406" s="345">
        <f>F406-K406</f>
        <v>0</v>
      </c>
    </row>
    <row r="407" spans="1:12" ht="13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L407" si="136">SUM(F405:F406)</f>
        <v>0</v>
      </c>
      <c r="G407" s="346">
        <f>SUM(G405:G406)</f>
        <v>0</v>
      </c>
      <c r="H407" s="346">
        <f t="shared" si="136"/>
        <v>0</v>
      </c>
      <c r="I407" s="346">
        <f t="shared" si="136"/>
        <v>0</v>
      </c>
      <c r="J407" s="346">
        <f t="shared" si="136"/>
        <v>0</v>
      </c>
      <c r="K407" s="346">
        <f t="shared" si="136"/>
        <v>0</v>
      </c>
      <c r="L407" s="346">
        <f t="shared" si="136"/>
        <v>0</v>
      </c>
    </row>
    <row r="408" spans="1:12" ht="13">
      <c r="A408" s="331">
        <v>8</v>
      </c>
      <c r="D408" s="342"/>
      <c r="E408" s="195"/>
      <c r="I408" s="330"/>
    </row>
    <row r="409" spans="1:12" ht="13">
      <c r="A409" s="331">
        <v>9</v>
      </c>
      <c r="B409" s="330" t="s">
        <v>54</v>
      </c>
      <c r="D409" s="342"/>
      <c r="E409" s="195"/>
      <c r="I409" s="330"/>
    </row>
    <row r="410" spans="1:12" ht="13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3">
        <f>'FR-16(7)(v)-4 DISTR Classified'!G410</f>
        <v>0</v>
      </c>
      <c r="G410" s="347">
        <f t="shared" ref="G410:G415" si="137">F410-SUM(H410:J410)</f>
        <v>0</v>
      </c>
      <c r="H410" s="345">
        <f>ROUND($F$410*VLOOKUP($D$410,ALLOCTABLE_DISTR_DEMAND,$H$10,FALSE),0)</f>
        <v>0</v>
      </c>
      <c r="I410" s="345">
        <f t="shared" ref="I410:I415" si="138">ROUND(F410*VLOOKUP(D410,ALLOCTABLE_DISTR_DEMAND,$I$10,FALSE),0)</f>
        <v>0</v>
      </c>
      <c r="J410" s="345">
        <f t="shared" ref="J410:J415" si="139">ROUND(F410*VLOOKUP(D410,ALLOCTABLE_DISTR_DEMAND,$J$10,FALSE),0)</f>
        <v>0</v>
      </c>
      <c r="K410" s="345">
        <f t="shared" ref="K410:K415" si="140">SUM(G410:J410)</f>
        <v>0</v>
      </c>
      <c r="L410" s="345">
        <f t="shared" ref="L410:L415" si="141">F410-K410</f>
        <v>0</v>
      </c>
    </row>
    <row r="411" spans="1:12" ht="13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3">
        <f>'FR-16(7)(v)-4 DISTR Classified'!G411</f>
        <v>0</v>
      </c>
      <c r="G411" s="347">
        <f t="shared" si="137"/>
        <v>0</v>
      </c>
      <c r="H411" s="345">
        <f>ROUND($F$411*VLOOKUP($D$411,ALLOCTABLE_DISTR_DEMAND,$H$10,FALSE),0)</f>
        <v>0</v>
      </c>
      <c r="I411" s="345">
        <f t="shared" si="138"/>
        <v>0</v>
      </c>
      <c r="J411" s="345">
        <f t="shared" si="139"/>
        <v>0</v>
      </c>
      <c r="K411" s="345">
        <f t="shared" si="140"/>
        <v>0</v>
      </c>
      <c r="L411" s="345">
        <f t="shared" si="141"/>
        <v>0</v>
      </c>
    </row>
    <row r="412" spans="1:12" ht="13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3">
        <f>'FR-16(7)(v)-4 DISTR Classified'!G412</f>
        <v>3411817</v>
      </c>
      <c r="G412" s="347">
        <f t="shared" si="137"/>
        <v>1755550</v>
      </c>
      <c r="H412" s="345">
        <f>ROUND($F$412*VLOOKUP($D$412,ALLOCTABLE_DISTR_DEMAND,$H$10,FALSE),0)</f>
        <v>1066022</v>
      </c>
      <c r="I412" s="345">
        <f t="shared" si="138"/>
        <v>452305</v>
      </c>
      <c r="J412" s="345">
        <f t="shared" si="139"/>
        <v>137940</v>
      </c>
      <c r="K412" s="345">
        <f t="shared" si="140"/>
        <v>3411817</v>
      </c>
      <c r="L412" s="345">
        <f t="shared" si="141"/>
        <v>0</v>
      </c>
    </row>
    <row r="413" spans="1:12" ht="13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3">
        <f>'FR-16(7)(v)-4 DISTR Classified'!G413</f>
        <v>0</v>
      </c>
      <c r="G413" s="347">
        <f t="shared" si="137"/>
        <v>0</v>
      </c>
      <c r="H413" s="345">
        <f>ROUND($F$413*VLOOKUP($D$413,ALLOCTABLE_DISTR_DEMAND,$H$10,FALSE),0)</f>
        <v>0</v>
      </c>
      <c r="I413" s="345">
        <f t="shared" si="138"/>
        <v>0</v>
      </c>
      <c r="J413" s="345">
        <f t="shared" si="139"/>
        <v>0</v>
      </c>
      <c r="K413" s="345">
        <f t="shared" si="140"/>
        <v>0</v>
      </c>
      <c r="L413" s="345">
        <f t="shared" si="141"/>
        <v>0</v>
      </c>
    </row>
    <row r="414" spans="1:12" ht="13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3">
        <f>'FR-16(7)(v)-4 DISTR Classified'!G414</f>
        <v>0</v>
      </c>
      <c r="G414" s="347">
        <f t="shared" si="137"/>
        <v>0</v>
      </c>
      <c r="H414" s="345">
        <f>ROUND($F$414*VLOOKUP($D$414,ALLOCTABLE_DISTR_DEMAND,$H$10,FALSE),0)</f>
        <v>0</v>
      </c>
      <c r="I414" s="345">
        <f t="shared" si="138"/>
        <v>0</v>
      </c>
      <c r="J414" s="345">
        <f t="shared" si="139"/>
        <v>0</v>
      </c>
      <c r="K414" s="345">
        <f t="shared" si="140"/>
        <v>0</v>
      </c>
      <c r="L414" s="345">
        <f t="shared" si="141"/>
        <v>0</v>
      </c>
    </row>
    <row r="415" spans="1:12" ht="13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3">
        <f>'FR-16(7)(v)-4 DISTR Classified'!G415</f>
        <v>0</v>
      </c>
      <c r="G415" s="347">
        <f t="shared" si="137"/>
        <v>0</v>
      </c>
      <c r="H415" s="345">
        <f>ROUND($F$415*VLOOKUP($D$415,ALLOCTABLE_DISTR_DEMAND,$H$10,FALSE),0)</f>
        <v>0</v>
      </c>
      <c r="I415" s="345">
        <f t="shared" si="138"/>
        <v>0</v>
      </c>
      <c r="J415" s="345">
        <f t="shared" si="139"/>
        <v>0</v>
      </c>
      <c r="K415" s="496">
        <f t="shared" si="140"/>
        <v>0</v>
      </c>
      <c r="L415" s="496">
        <f t="shared" si="141"/>
        <v>0</v>
      </c>
    </row>
    <row r="416" spans="1:12" ht="13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7">
        <f t="shared" ref="F416:L416" si="142">SUM(F410:F415)</f>
        <v>3411817</v>
      </c>
      <c r="G416" s="497">
        <f>SUM(G410:G415)</f>
        <v>1755550</v>
      </c>
      <c r="H416" s="497">
        <f t="shared" si="142"/>
        <v>1066022</v>
      </c>
      <c r="I416" s="497">
        <f t="shared" si="142"/>
        <v>452305</v>
      </c>
      <c r="J416" s="497">
        <f t="shared" si="142"/>
        <v>137940</v>
      </c>
      <c r="K416" s="471">
        <f t="shared" si="142"/>
        <v>3411817</v>
      </c>
      <c r="L416" s="471">
        <f t="shared" si="142"/>
        <v>0</v>
      </c>
    </row>
    <row r="417" spans="1:12" ht="13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3">
        <f>'FR-16(7)(v)-4 DISTR Classified'!G417</f>
        <v>32750</v>
      </c>
      <c r="G417" s="347">
        <f t="shared" ref="G417:G430" si="143">F417-SUM(H417:J417)</f>
        <v>16851</v>
      </c>
      <c r="H417" s="345">
        <f>ROUND($F$417*VLOOKUP($D$417,ALLOCTABLE_DISTR_DEMAND,$H$10,FALSE),0)</f>
        <v>10233</v>
      </c>
      <c r="I417" s="345">
        <f t="shared" ref="I417:I430" si="144">ROUND(F417*VLOOKUP(D417,ALLOCTABLE_DISTR_DEMAND,$I$10,FALSE),0)</f>
        <v>4342</v>
      </c>
      <c r="J417" s="345">
        <f t="shared" ref="J417:J430" si="145">ROUND(F417*VLOOKUP(D417,ALLOCTABLE_DISTR_DEMAND,$J$10,FALSE),0)</f>
        <v>1324</v>
      </c>
      <c r="K417" s="345">
        <f t="shared" ref="K417:K430" si="146">SUM(G417:J417)</f>
        <v>32750</v>
      </c>
      <c r="L417" s="345">
        <f t="shared" ref="L417:L430" si="147">F417-K417</f>
        <v>0</v>
      </c>
    </row>
    <row r="418" spans="1:12" ht="13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3">
        <f>'FR-16(7)(v)-4 DISTR Classified'!G418</f>
        <v>-270252</v>
      </c>
      <c r="G418" s="347">
        <f t="shared" si="143"/>
        <v>-139059</v>
      </c>
      <c r="H418" s="345">
        <f>ROUND($F$418*VLOOKUP($D$418,ALLOCTABLE_DISTR_DEMAND,$H$10,FALSE),0)</f>
        <v>-84440</v>
      </c>
      <c r="I418" s="345">
        <f t="shared" si="144"/>
        <v>-35827</v>
      </c>
      <c r="J418" s="345">
        <f t="shared" si="145"/>
        <v>-10926</v>
      </c>
      <c r="K418" s="345">
        <f t="shared" si="146"/>
        <v>-270252</v>
      </c>
      <c r="L418" s="345">
        <f t="shared" si="147"/>
        <v>0</v>
      </c>
    </row>
    <row r="419" spans="1:12" ht="13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3">
        <f>'FR-16(7)(v)-4 DISTR Classified'!G419</f>
        <v>-93619</v>
      </c>
      <c r="G419" s="347">
        <f t="shared" si="143"/>
        <v>-48172</v>
      </c>
      <c r="H419" s="345">
        <f>ROUND($F$419*VLOOKUP($D$419,ALLOCTABLE_DISTR_DEMAND,$H$10,FALSE),0)</f>
        <v>-29251</v>
      </c>
      <c r="I419" s="345">
        <f t="shared" si="144"/>
        <v>-12411</v>
      </c>
      <c r="J419" s="345">
        <f t="shared" si="145"/>
        <v>-3785</v>
      </c>
      <c r="K419" s="345">
        <f t="shared" si="146"/>
        <v>-93619</v>
      </c>
      <c r="L419" s="345">
        <f t="shared" si="147"/>
        <v>0</v>
      </c>
    </row>
    <row r="420" spans="1:12" ht="13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3">
        <f>'FR-16(7)(v)-4 DISTR Classified'!G420</f>
        <v>0</v>
      </c>
      <c r="G420" s="347">
        <f t="shared" si="143"/>
        <v>0</v>
      </c>
      <c r="H420" s="345">
        <f>ROUND($F$420*VLOOKUP($D$420,ALLOCTABLE_DISTR_DEMAND,$H$10,FALSE),0)</f>
        <v>0</v>
      </c>
      <c r="I420" s="345">
        <f t="shared" si="144"/>
        <v>0</v>
      </c>
      <c r="J420" s="345">
        <f t="shared" si="145"/>
        <v>0</v>
      </c>
      <c r="K420" s="345">
        <f t="shared" si="146"/>
        <v>0</v>
      </c>
      <c r="L420" s="345">
        <f t="shared" si="147"/>
        <v>0</v>
      </c>
    </row>
    <row r="421" spans="1:12" ht="13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3">
        <f>'FR-16(7)(v)-4 DISTR Classified'!G421</f>
        <v>188903</v>
      </c>
      <c r="G421" s="347">
        <f t="shared" si="143"/>
        <v>97200</v>
      </c>
      <c r="H421" s="345">
        <f>ROUND($F$421*VLOOKUP($D$421,ALLOCTABLE_DISTR_DEMAND,$H$10,FALSE),0)</f>
        <v>59023</v>
      </c>
      <c r="I421" s="345">
        <f t="shared" si="144"/>
        <v>25043</v>
      </c>
      <c r="J421" s="345">
        <f t="shared" si="145"/>
        <v>7637</v>
      </c>
      <c r="K421" s="345">
        <f t="shared" si="146"/>
        <v>188903</v>
      </c>
      <c r="L421" s="345">
        <f t="shared" si="147"/>
        <v>0</v>
      </c>
    </row>
    <row r="422" spans="1:12" ht="13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3">
        <f>'FR-16(7)(v)-4 DISTR Classified'!G422</f>
        <v>0</v>
      </c>
      <c r="G422" s="347">
        <f t="shared" si="143"/>
        <v>0</v>
      </c>
      <c r="H422" s="345">
        <f>ROUND($F$422*VLOOKUP($D$422,ALLOCTABLE_DISTR_DEMAND,$H$10,FALSE),0)</f>
        <v>0</v>
      </c>
      <c r="I422" s="345">
        <f t="shared" si="144"/>
        <v>0</v>
      </c>
      <c r="J422" s="345">
        <f t="shared" si="145"/>
        <v>0</v>
      </c>
      <c r="K422" s="345">
        <f t="shared" si="146"/>
        <v>0</v>
      </c>
      <c r="L422" s="345">
        <f t="shared" si="147"/>
        <v>0</v>
      </c>
    </row>
    <row r="423" spans="1:12" ht="13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3">
        <f>'FR-16(7)(v)-4 DISTR Classified'!G423</f>
        <v>0</v>
      </c>
      <c r="G423" s="347">
        <f t="shared" si="143"/>
        <v>0</v>
      </c>
      <c r="H423" s="345">
        <f>ROUND($F$423*VLOOKUP($D$423,ALLOCTABLE_DISTR_DEMAND,$H$10,FALSE),0)</f>
        <v>0</v>
      </c>
      <c r="I423" s="345">
        <f t="shared" si="144"/>
        <v>0</v>
      </c>
      <c r="J423" s="345">
        <f t="shared" si="145"/>
        <v>0</v>
      </c>
      <c r="K423" s="345">
        <f t="shared" si="146"/>
        <v>0</v>
      </c>
      <c r="L423" s="345">
        <f t="shared" si="147"/>
        <v>0</v>
      </c>
    </row>
    <row r="424" spans="1:12" ht="13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3">
        <f>'FR-16(7)(v)-4 DISTR Classified'!G424</f>
        <v>0</v>
      </c>
      <c r="G424" s="347">
        <f t="shared" si="143"/>
        <v>0</v>
      </c>
      <c r="H424" s="345">
        <f>ROUND($F$424*VLOOKUP($D$424,ALLOCTABLE_DISTR_DEMAND,$H$10,FALSE),0)</f>
        <v>0</v>
      </c>
      <c r="I424" s="345">
        <f t="shared" si="144"/>
        <v>0</v>
      </c>
      <c r="J424" s="345">
        <f t="shared" si="145"/>
        <v>0</v>
      </c>
      <c r="K424" s="345">
        <f t="shared" ref="K424:K429" si="148">SUM(G424:J424)</f>
        <v>0</v>
      </c>
      <c r="L424" s="345">
        <f t="shared" ref="L424:L429" si="149">F424-K424</f>
        <v>0</v>
      </c>
    </row>
    <row r="425" spans="1:12" ht="13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3">
        <f>'FR-16(7)(v)-4 DISTR Classified'!G425</f>
        <v>0</v>
      </c>
      <c r="G425" s="347">
        <f t="shared" si="143"/>
        <v>0</v>
      </c>
      <c r="H425" s="345">
        <f>ROUND($F$425*VLOOKUP($D$425,ALLOCTABLE_DISTR_DEMAND,$H$10,FALSE),0)</f>
        <v>0</v>
      </c>
      <c r="I425" s="345">
        <f t="shared" si="144"/>
        <v>0</v>
      </c>
      <c r="J425" s="345">
        <f t="shared" si="145"/>
        <v>0</v>
      </c>
      <c r="K425" s="345">
        <f t="shared" si="148"/>
        <v>0</v>
      </c>
      <c r="L425" s="345">
        <f t="shared" si="149"/>
        <v>0</v>
      </c>
    </row>
    <row r="426" spans="1:12" ht="13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3">
        <f>'FR-16(7)(v)-4 DISTR Classified'!G426</f>
        <v>0</v>
      </c>
      <c r="G426" s="347">
        <f t="shared" si="143"/>
        <v>0</v>
      </c>
      <c r="H426" s="345">
        <f>ROUND($F$426*VLOOKUP($D$426,ALLOCTABLE_DISTR_DEMAND,$H$10,FALSE),0)</f>
        <v>0</v>
      </c>
      <c r="I426" s="345">
        <f t="shared" si="144"/>
        <v>0</v>
      </c>
      <c r="J426" s="345">
        <f t="shared" si="145"/>
        <v>0</v>
      </c>
      <c r="K426" s="345">
        <f t="shared" si="148"/>
        <v>0</v>
      </c>
      <c r="L426" s="345">
        <f t="shared" si="149"/>
        <v>0</v>
      </c>
    </row>
    <row r="427" spans="1:12" ht="13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3">
        <f>'FR-16(7)(v)-4 DISTR Classified'!G427</f>
        <v>0</v>
      </c>
      <c r="G427" s="347">
        <f t="shared" si="143"/>
        <v>0</v>
      </c>
      <c r="H427" s="345">
        <f>ROUND($F$427*VLOOKUP($D$427,ALLOCTABLE_DISTR_DEMAND,$H$10,FALSE),0)</f>
        <v>0</v>
      </c>
      <c r="I427" s="345">
        <f t="shared" si="144"/>
        <v>0</v>
      </c>
      <c r="J427" s="345">
        <f t="shared" si="145"/>
        <v>0</v>
      </c>
      <c r="K427" s="345">
        <f t="shared" si="148"/>
        <v>0</v>
      </c>
      <c r="L427" s="345">
        <f t="shared" si="149"/>
        <v>0</v>
      </c>
    </row>
    <row r="428" spans="1:12" ht="13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3">
        <f>'FR-16(7)(v)-4 DISTR Classified'!G428</f>
        <v>0</v>
      </c>
      <c r="G428" s="347">
        <f t="shared" si="143"/>
        <v>0</v>
      </c>
      <c r="H428" s="345">
        <f>ROUND($F$428*VLOOKUP($D$428,ALLOCTABLE_DISTR_DEMAND,$H$10,FALSE),0)</f>
        <v>0</v>
      </c>
      <c r="I428" s="345">
        <f t="shared" si="144"/>
        <v>0</v>
      </c>
      <c r="J428" s="345">
        <f t="shared" si="145"/>
        <v>0</v>
      </c>
      <c r="K428" s="345">
        <f t="shared" si="148"/>
        <v>0</v>
      </c>
      <c r="L428" s="345">
        <f t="shared" si="149"/>
        <v>0</v>
      </c>
    </row>
    <row r="429" spans="1:12" ht="13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3">
        <f>'FR-16(7)(v)-4 DISTR Classified'!G429</f>
        <v>0</v>
      </c>
      <c r="G429" s="347">
        <f t="shared" si="143"/>
        <v>0</v>
      </c>
      <c r="H429" s="345">
        <f>ROUND($F$429*VLOOKUP($D$429,ALLOCTABLE_DISTR_DEMAND,$H$10,FALSE),0)</f>
        <v>0</v>
      </c>
      <c r="I429" s="345">
        <f t="shared" si="144"/>
        <v>0</v>
      </c>
      <c r="J429" s="345">
        <f t="shared" si="145"/>
        <v>0</v>
      </c>
      <c r="K429" s="345">
        <f t="shared" si="148"/>
        <v>0</v>
      </c>
      <c r="L429" s="345">
        <f t="shared" si="149"/>
        <v>0</v>
      </c>
    </row>
    <row r="430" spans="1:12" ht="13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3">
        <f>'FR-16(7)(v)-4 DISTR Classified'!G430</f>
        <v>0</v>
      </c>
      <c r="G430" s="347">
        <f t="shared" si="143"/>
        <v>0</v>
      </c>
      <c r="H430" s="345">
        <f>ROUND($F$430*VLOOKUP($D$430,ALLOCTABLE_DISTR_DEMAND,$H$10,FALSE),0)</f>
        <v>0</v>
      </c>
      <c r="I430" s="345">
        <f t="shared" si="144"/>
        <v>0</v>
      </c>
      <c r="J430" s="345">
        <f t="shared" si="145"/>
        <v>0</v>
      </c>
      <c r="K430" s="345">
        <f t="shared" si="146"/>
        <v>0</v>
      </c>
      <c r="L430" s="345">
        <f t="shared" si="147"/>
        <v>0</v>
      </c>
    </row>
    <row r="431" spans="1:12" ht="13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L431" si="150">SUM(F416:F430)</f>
        <v>3269599</v>
      </c>
      <c r="G431" s="346">
        <f>SUM(G416:G430)</f>
        <v>1682370</v>
      </c>
      <c r="H431" s="346">
        <f t="shared" si="150"/>
        <v>1021587</v>
      </c>
      <c r="I431" s="346">
        <f t="shared" si="150"/>
        <v>433452</v>
      </c>
      <c r="J431" s="346">
        <f t="shared" si="150"/>
        <v>132190</v>
      </c>
      <c r="K431" s="346">
        <f t="shared" si="150"/>
        <v>3269599</v>
      </c>
      <c r="L431" s="346">
        <f t="shared" si="150"/>
        <v>0</v>
      </c>
    </row>
    <row r="432" spans="1:12" ht="13">
      <c r="A432" s="331">
        <v>32</v>
      </c>
      <c r="D432" s="342"/>
      <c r="E432" s="195"/>
      <c r="F432" s="333"/>
      <c r="I432" s="330"/>
      <c r="J432" s="345"/>
      <c r="K432" s="345"/>
      <c r="L432" s="345"/>
    </row>
    <row r="433" spans="1:12" ht="13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L433" si="151">F431+F407+F403+F389+F378+F364+F360</f>
        <v>9808594</v>
      </c>
      <c r="G433" s="345">
        <f>G431+G407+G403+G389+G378+G364+G360</f>
        <v>5047060</v>
      </c>
      <c r="H433" s="345">
        <f t="shared" si="151"/>
        <v>3064689</v>
      </c>
      <c r="I433" s="345">
        <f t="shared" si="151"/>
        <v>1300301</v>
      </c>
      <c r="J433" s="345">
        <f t="shared" si="151"/>
        <v>396544</v>
      </c>
      <c r="K433" s="345">
        <f t="shared" si="151"/>
        <v>9808594</v>
      </c>
      <c r="L433" s="345">
        <f t="shared" si="151"/>
        <v>0</v>
      </c>
    </row>
    <row r="434" spans="1:12" ht="13">
      <c r="B434" s="341"/>
      <c r="C434" s="195"/>
      <c r="D434" s="342"/>
      <c r="E434" s="195"/>
      <c r="G434" s="195"/>
      <c r="H434" s="340"/>
      <c r="I434" s="340"/>
      <c r="J434" s="352"/>
      <c r="K434" s="195"/>
      <c r="L434" s="195"/>
    </row>
    <row r="435" spans="1:12" ht="13">
      <c r="A435" s="341" t="str">
        <f>co_name</f>
        <v>DUKE ENERGY KENTUCKY, INC.</v>
      </c>
      <c r="C435" s="195"/>
      <c r="D435" s="342"/>
      <c r="E435" s="195"/>
      <c r="F435" s="342"/>
      <c r="G435" s="340"/>
      <c r="H435" s="340"/>
      <c r="I435" s="195"/>
      <c r="K435" s="359" t="str">
        <f>$K$1</f>
        <v>FR-16(7)(v)-5</v>
      </c>
      <c r="L435" s="195"/>
    </row>
    <row r="436" spans="1:12" ht="13">
      <c r="A436" s="341" t="str">
        <f>$A$2</f>
        <v>DISTRIBUTION DEMAND ALLOCATED - GAS COST OF SERVICE</v>
      </c>
      <c r="C436" s="195"/>
      <c r="D436" s="342"/>
      <c r="E436" s="195"/>
      <c r="F436" s="342"/>
      <c r="G436" s="340"/>
      <c r="H436" s="340"/>
      <c r="I436" s="195"/>
      <c r="K436" s="359" t="str">
        <f>$K$2</f>
        <v>WITNESS RESPONSIBLE:</v>
      </c>
      <c r="L436" s="195"/>
    </row>
    <row r="437" spans="1:12" ht="13">
      <c r="A437" s="341" t="str">
        <f>case_name</f>
        <v>CASE NO: 2021-00190</v>
      </c>
      <c r="C437" s="195"/>
      <c r="D437" s="342"/>
      <c r="E437" s="195"/>
      <c r="F437" s="342"/>
      <c r="G437" s="340"/>
      <c r="H437" s="340"/>
      <c r="I437" s="195"/>
      <c r="K437" s="359" t="str">
        <f>Witness</f>
        <v>JAMES E. ZIOLKOWSKI</v>
      </c>
      <c r="L437" s="195"/>
    </row>
    <row r="438" spans="1:12" ht="13">
      <c r="A438" s="341" t="str">
        <f>data_filing</f>
        <v>DATA: 12 MONTH FORECASTED PERIOD</v>
      </c>
      <c r="C438" s="195"/>
      <c r="D438" s="342"/>
      <c r="E438" s="195"/>
      <c r="F438" s="342"/>
      <c r="G438" s="340"/>
      <c r="H438" s="340"/>
      <c r="I438" s="195"/>
      <c r="K438" s="359" t="str">
        <f>"PAGE "&amp;Pages-8&amp;" OF "&amp;Pages</f>
        <v>PAGE 10 OF 18</v>
      </c>
      <c r="L438" s="195"/>
    </row>
    <row r="439" spans="1:12" ht="13">
      <c r="A439" s="341" t="str">
        <f>type</f>
        <v xml:space="preserve">TYPE OF FILING: "X" ORIGINAL   UPDATED    REVISED  </v>
      </c>
      <c r="C439" s="195"/>
      <c r="D439" s="342"/>
      <c r="E439" s="195"/>
      <c r="F439" s="342"/>
      <c r="G439" s="340"/>
      <c r="H439" s="340"/>
      <c r="I439" s="195"/>
      <c r="J439" s="342"/>
      <c r="K439" s="195"/>
      <c r="L439" s="195"/>
    </row>
    <row r="440" spans="1:12" ht="13">
      <c r="B440" s="341"/>
      <c r="C440" s="195"/>
      <c r="D440" s="342"/>
      <c r="E440" s="195"/>
      <c r="F440" s="342"/>
      <c r="G440" s="195"/>
      <c r="H440" s="340"/>
      <c r="I440" s="340"/>
      <c r="J440" s="352"/>
      <c r="K440" s="195"/>
      <c r="L440" s="195"/>
    </row>
    <row r="441" spans="1:12" ht="13">
      <c r="B441" s="341"/>
      <c r="C441" s="195"/>
      <c r="D441" s="342"/>
      <c r="E441" s="195"/>
      <c r="F441" s="342" t="str">
        <f>$F$7</f>
        <v>TOTAL</v>
      </c>
      <c r="G441" s="195"/>
      <c r="H441" s="340"/>
      <c r="I441" s="340"/>
      <c r="J441" s="352"/>
      <c r="K441" s="195"/>
      <c r="L441" s="195"/>
    </row>
    <row r="442" spans="1:12" ht="13">
      <c r="A442" s="342" t="s">
        <v>907</v>
      </c>
      <c r="B442" s="195"/>
      <c r="C442" s="195"/>
      <c r="D442" s="342"/>
      <c r="E442" s="195"/>
      <c r="F442" s="342" t="str">
        <f>$F$8</f>
        <v>DISTRIBUTION</v>
      </c>
      <c r="G442" s="342" t="s">
        <v>417</v>
      </c>
      <c r="H442" s="352" t="s">
        <v>857</v>
      </c>
      <c r="I442" s="352" t="s">
        <v>858</v>
      </c>
      <c r="J442" s="352" t="s">
        <v>546</v>
      </c>
      <c r="K442" s="342" t="s">
        <v>229</v>
      </c>
      <c r="L442" s="342" t="s">
        <v>342</v>
      </c>
    </row>
    <row r="443" spans="1:12" ht="13">
      <c r="A443" s="344" t="s">
        <v>908</v>
      </c>
      <c r="B443" s="343" t="s">
        <v>55</v>
      </c>
      <c r="C443" s="343"/>
      <c r="D443" s="344" t="s">
        <v>337</v>
      </c>
      <c r="E443" s="343"/>
      <c r="F443" s="342" t="str">
        <f>$F$9</f>
        <v>DEMAND</v>
      </c>
      <c r="G443" s="344" t="s">
        <v>338</v>
      </c>
      <c r="H443" s="353" t="s">
        <v>404</v>
      </c>
      <c r="I443" s="353" t="s">
        <v>404</v>
      </c>
      <c r="J443" s="353" t="s">
        <v>547</v>
      </c>
      <c r="K443" s="344" t="s">
        <v>341</v>
      </c>
      <c r="L443" s="344" t="s">
        <v>340</v>
      </c>
    </row>
    <row r="444" spans="1:12" ht="13">
      <c r="C444" s="572" t="s">
        <v>349</v>
      </c>
      <c r="D444" s="342"/>
      <c r="E444" s="195"/>
      <c r="F444" s="756"/>
      <c r="G444" s="627">
        <f>$G$10</f>
        <v>3</v>
      </c>
      <c r="H444" s="627">
        <f>$H$10</f>
        <v>4</v>
      </c>
      <c r="I444" s="627">
        <f>$I$10</f>
        <v>5</v>
      </c>
      <c r="J444" s="627">
        <f>$J$10</f>
        <v>6</v>
      </c>
      <c r="K444" s="504"/>
      <c r="L444" s="504"/>
    </row>
    <row r="445" spans="1:12" ht="13">
      <c r="A445" s="331">
        <v>1</v>
      </c>
      <c r="B445" s="351" t="s">
        <v>56</v>
      </c>
      <c r="C445" s="351"/>
      <c r="D445" s="342"/>
      <c r="E445" s="195"/>
      <c r="H445" s="351"/>
      <c r="J445" s="351"/>
    </row>
    <row r="446" spans="1:12" ht="13">
      <c r="A446" s="331">
        <v>2</v>
      </c>
      <c r="B446" s="351"/>
      <c r="C446" s="505" t="str">
        <f>'FR-16(7)(v)-1 Functional'!C446</f>
        <v>PRODUCTION DEPRECIATION</v>
      </c>
      <c r="D446" s="342" t="str">
        <f>'FR-16(7)(v)-1 Functional'!D446</f>
        <v>P229</v>
      </c>
      <c r="E446" s="195"/>
      <c r="F446" s="473">
        <f>'FR-16(7)(v)-4 DISTR Classified'!G446</f>
        <v>0</v>
      </c>
      <c r="G446" s="347">
        <f>F446-SUM(H446:J446)</f>
        <v>0</v>
      </c>
      <c r="H446" s="347">
        <f>ROUND($F$446*VLOOKUP($D$446,ALLOCTABLE_DISTR_DEMAND,$H$10,FALSE),0)</f>
        <v>0</v>
      </c>
      <c r="I446" s="347">
        <f>ROUND(F446*VLOOKUP(D446,ALLOCTABLE_DISTR_DEMAND,$I$10,FALSE),0)</f>
        <v>0</v>
      </c>
      <c r="J446" s="347">
        <f>ROUND(F446*VLOOKUP(D446,ALLOCTABLE_DISTR_DEMAND,$J$10,FALSE),0)</f>
        <v>0</v>
      </c>
      <c r="K446" s="345">
        <f>SUM(G446:J446)</f>
        <v>0</v>
      </c>
      <c r="L446" s="345">
        <f>F446-K446</f>
        <v>0</v>
      </c>
    </row>
    <row r="447" spans="1:12" ht="13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L447" si="152">SUM(F446:F446)</f>
        <v>0</v>
      </c>
      <c r="G447" s="346">
        <f>SUM(G446:G446)</f>
        <v>0</v>
      </c>
      <c r="H447" s="346">
        <f t="shared" si="152"/>
        <v>0</v>
      </c>
      <c r="I447" s="346">
        <f t="shared" si="152"/>
        <v>0</v>
      </c>
      <c r="J447" s="346">
        <f t="shared" si="152"/>
        <v>0</v>
      </c>
      <c r="K447" s="346">
        <f t="shared" si="152"/>
        <v>0</v>
      </c>
      <c r="L447" s="346">
        <f t="shared" si="152"/>
        <v>0</v>
      </c>
    </row>
    <row r="448" spans="1:12" ht="13">
      <c r="A448" s="331">
        <v>4</v>
      </c>
      <c r="B448" s="351"/>
      <c r="C448" s="351"/>
      <c r="D448" s="342"/>
      <c r="E448" s="195"/>
      <c r="F448" s="351"/>
      <c r="G448" s="351"/>
      <c r="H448" s="351"/>
      <c r="J448" s="351"/>
    </row>
    <row r="449" spans="1:12" ht="13">
      <c r="A449" s="331">
        <v>5</v>
      </c>
      <c r="B449" s="505" t="s">
        <v>57</v>
      </c>
      <c r="C449" s="505"/>
      <c r="D449" s="342"/>
      <c r="E449" s="195"/>
      <c r="F449" s="347"/>
      <c r="G449" s="351"/>
      <c r="H449" s="351"/>
      <c r="J449" s="347"/>
      <c r="K449" s="345"/>
      <c r="L449" s="345"/>
    </row>
    <row r="450" spans="1:12" ht="13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L450" si="153">SUM(F449)</f>
        <v>0</v>
      </c>
      <c r="G450" s="756">
        <f t="shared" si="153"/>
        <v>0</v>
      </c>
      <c r="H450" s="756">
        <f t="shared" si="153"/>
        <v>0</v>
      </c>
      <c r="I450" s="346">
        <f t="shared" si="153"/>
        <v>0</v>
      </c>
      <c r="J450" s="346">
        <f t="shared" si="153"/>
        <v>0</v>
      </c>
      <c r="K450" s="346">
        <f t="shared" si="153"/>
        <v>0</v>
      </c>
      <c r="L450" s="346">
        <f t="shared" si="153"/>
        <v>0</v>
      </c>
    </row>
    <row r="451" spans="1:12" ht="13">
      <c r="A451" s="331">
        <v>7</v>
      </c>
      <c r="B451" s="351"/>
      <c r="C451" s="351"/>
      <c r="D451" s="342"/>
      <c r="E451" s="195"/>
      <c r="F451" s="351"/>
      <c r="G451" s="351"/>
      <c r="H451" s="351"/>
      <c r="J451" s="351"/>
    </row>
    <row r="452" spans="1:12" ht="13">
      <c r="A452" s="331">
        <v>8</v>
      </c>
      <c r="B452" s="351" t="s">
        <v>58</v>
      </c>
      <c r="C452" s="351"/>
      <c r="D452" s="342"/>
      <c r="E452" s="195"/>
      <c r="F452" s="351"/>
      <c r="G452" s="351"/>
      <c r="H452" s="351"/>
      <c r="J452" s="351"/>
    </row>
    <row r="453" spans="1:12" ht="13">
      <c r="A453" s="331">
        <v>9</v>
      </c>
      <c r="B453" s="351"/>
      <c r="C453" s="505" t="str">
        <f>'FR-16(7)(v)-1 Functional'!C453</f>
        <v>DISTRIBUTION DEPRECIATION</v>
      </c>
      <c r="D453" s="342" t="str">
        <f>'FR-16(7)(v)-1 Functional'!D453</f>
        <v>D249</v>
      </c>
      <c r="E453" s="195"/>
      <c r="F453" s="473">
        <f>'FR-16(7)(v)-4 DISTR Classified'!G453</f>
        <v>9454960</v>
      </c>
      <c r="G453" s="347">
        <f>F453-SUM(H453:J453)</f>
        <v>4773715</v>
      </c>
      <c r="H453" s="347">
        <f>ROUND($F$453*VLOOKUP($D$453,ALLOCTABLE_DISTR_DEMAND,$H$10,FALSE),0)</f>
        <v>2998451</v>
      </c>
      <c r="I453" s="347">
        <f>ROUND(F453*VLOOKUP(D453,ALLOCTABLE_DISTR_DEMAND,$I$10,FALSE),0)</f>
        <v>1275285</v>
      </c>
      <c r="J453" s="347">
        <f>ROUND(F453*VLOOKUP(D453,ALLOCTABLE_DISTR_DEMAND,$J$10,FALSE),0)</f>
        <v>407509</v>
      </c>
      <c r="K453" s="345">
        <f>SUM(G453:J453)</f>
        <v>9454960</v>
      </c>
      <c r="L453" s="345">
        <f>F453-K453</f>
        <v>0</v>
      </c>
    </row>
    <row r="454" spans="1:12" ht="13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L454" si="154">SUM(F453:F453)</f>
        <v>9454960</v>
      </c>
      <c r="G454" s="346">
        <f>SUM(G453:G453)</f>
        <v>4773715</v>
      </c>
      <c r="H454" s="346">
        <f t="shared" si="154"/>
        <v>2998451</v>
      </c>
      <c r="I454" s="346">
        <f t="shared" si="154"/>
        <v>1275285</v>
      </c>
      <c r="J454" s="346">
        <f t="shared" si="154"/>
        <v>407509</v>
      </c>
      <c r="K454" s="346">
        <f t="shared" si="154"/>
        <v>9454960</v>
      </c>
      <c r="L454" s="346">
        <f t="shared" si="154"/>
        <v>0</v>
      </c>
    </row>
    <row r="455" spans="1:12" ht="13">
      <c r="A455" s="331">
        <v>11</v>
      </c>
      <c r="B455" s="351"/>
      <c r="C455" s="351"/>
      <c r="D455" s="342"/>
      <c r="E455" s="195"/>
      <c r="F455" s="351" t="s">
        <v>343</v>
      </c>
      <c r="G455" s="351"/>
      <c r="H455" s="351"/>
      <c r="J455" s="351"/>
    </row>
    <row r="456" spans="1:12" ht="13">
      <c r="A456" s="331">
        <v>12</v>
      </c>
      <c r="B456" s="351" t="s">
        <v>59</v>
      </c>
      <c r="C456" s="351"/>
      <c r="D456" s="342"/>
      <c r="E456" s="195"/>
      <c r="F456" s="351"/>
      <c r="G456" s="351"/>
      <c r="H456" s="351"/>
      <c r="J456" s="351"/>
    </row>
    <row r="457" spans="1:12" ht="13">
      <c r="A457" s="331">
        <v>13</v>
      </c>
      <c r="B457" s="351"/>
      <c r="C457" s="505" t="str">
        <f>'FR-16(7)(v)-1 Functional'!C457</f>
        <v>GENERAL DEPRECIATION</v>
      </c>
      <c r="D457" s="342" t="str">
        <f>'FR-16(7)(v)-1 Functional'!D457</f>
        <v>G229</v>
      </c>
      <c r="E457" s="195"/>
      <c r="F457" s="473">
        <f>'FR-16(7)(v)-4 DISTR Classified'!G457</f>
        <v>1633063</v>
      </c>
      <c r="G457" s="347">
        <f>F457-SUM(H457:J457)</f>
        <v>840292</v>
      </c>
      <c r="H457" s="347">
        <f>ROUND($F$457*VLOOKUP($D$457,ALLOCTABLE_DISTR_DEMAND,$H$10,FALSE),0)</f>
        <v>510251</v>
      </c>
      <c r="I457" s="347">
        <f>ROUND(F457*VLOOKUP(D457,ALLOCTABLE_DISTR_DEMAND,$I$10,FALSE),0)</f>
        <v>216495</v>
      </c>
      <c r="J457" s="347">
        <f>ROUND(F457*VLOOKUP(D457,ALLOCTABLE_DISTR_DEMAND,$J$10,FALSE),0)</f>
        <v>66025</v>
      </c>
      <c r="K457" s="345">
        <f>SUM(G457:J457)</f>
        <v>1633063</v>
      </c>
      <c r="L457" s="345">
        <f>F457-K457</f>
        <v>0</v>
      </c>
    </row>
    <row r="458" spans="1:12" ht="13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L458" si="155">SUM(F457:F457)</f>
        <v>1633063</v>
      </c>
      <c r="G458" s="346">
        <f>SUM(G457:G457)</f>
        <v>840292</v>
      </c>
      <c r="H458" s="346">
        <f t="shared" si="155"/>
        <v>510251</v>
      </c>
      <c r="I458" s="346">
        <f t="shared" si="155"/>
        <v>216495</v>
      </c>
      <c r="J458" s="346">
        <f t="shared" si="155"/>
        <v>66025</v>
      </c>
      <c r="K458" s="346">
        <f t="shared" si="155"/>
        <v>1633063</v>
      </c>
      <c r="L458" s="346">
        <f t="shared" si="155"/>
        <v>0</v>
      </c>
    </row>
    <row r="459" spans="1:12" ht="13">
      <c r="A459" s="331">
        <v>15</v>
      </c>
      <c r="B459" s="351"/>
      <c r="C459" s="351"/>
      <c r="D459" s="342"/>
      <c r="E459" s="195"/>
      <c r="F459" s="351"/>
      <c r="G459" s="351"/>
      <c r="H459" s="351"/>
      <c r="J459" s="351"/>
    </row>
    <row r="460" spans="1:12" ht="13">
      <c r="A460" s="331">
        <v>16</v>
      </c>
      <c r="B460" s="351" t="s">
        <v>60</v>
      </c>
      <c r="C460" s="351"/>
      <c r="D460" s="342"/>
      <c r="E460" s="195"/>
      <c r="F460" s="470"/>
      <c r="G460" s="347"/>
      <c r="H460" s="347"/>
      <c r="I460" s="347"/>
      <c r="J460" s="347"/>
      <c r="K460" s="345"/>
      <c r="L460" s="345"/>
    </row>
    <row r="461" spans="1:12" ht="13">
      <c r="A461" s="331">
        <v>17</v>
      </c>
      <c r="B461" s="351"/>
      <c r="C461" s="505" t="str">
        <f>'FR-16(7)(v)-1 Functional'!C461</f>
        <v>COMMON DEPRECIATION</v>
      </c>
      <c r="D461" s="342" t="str">
        <f>'FR-16(7)(v)-1 Functional'!D461</f>
        <v>C229</v>
      </c>
      <c r="E461" s="195"/>
      <c r="F461" s="473">
        <f>'FR-16(7)(v)-4 DISTR Classified'!G461</f>
        <v>-21755</v>
      </c>
      <c r="G461" s="347">
        <f>F461-SUM(H461:J461)</f>
        <v>-11194</v>
      </c>
      <c r="H461" s="347">
        <f>ROUND($F$461*VLOOKUP($D$461,ALLOCTABLE_DISTR_DEMAND,$H$10,FALSE),0)</f>
        <v>-6797</v>
      </c>
      <c r="I461" s="347">
        <f>ROUND(F461*VLOOKUP(D461,ALLOCTABLE_DISTR_DEMAND,$I$10,FALSE),0)</f>
        <v>-2884</v>
      </c>
      <c r="J461" s="347">
        <f>ROUND(F461*VLOOKUP(D461,ALLOCTABLE_DISTR_DEMAND,$J$10,FALSE),0)</f>
        <v>-880</v>
      </c>
      <c r="K461" s="345">
        <f>SUM(G461:J461)</f>
        <v>-21755</v>
      </c>
      <c r="L461" s="345">
        <f>F461-K461</f>
        <v>0</v>
      </c>
    </row>
    <row r="462" spans="1:12" ht="13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L462" si="156">SUM(F461:F461)</f>
        <v>-21755</v>
      </c>
      <c r="G462" s="346">
        <f>SUM(G461:G461)</f>
        <v>-11194</v>
      </c>
      <c r="H462" s="346">
        <f t="shared" si="156"/>
        <v>-6797</v>
      </c>
      <c r="I462" s="346">
        <f t="shared" si="156"/>
        <v>-2884</v>
      </c>
      <c r="J462" s="346">
        <f t="shared" si="156"/>
        <v>-880</v>
      </c>
      <c r="K462" s="346">
        <f t="shared" si="156"/>
        <v>-21755</v>
      </c>
      <c r="L462" s="346">
        <f t="shared" si="156"/>
        <v>0</v>
      </c>
    </row>
    <row r="463" spans="1:12" ht="13">
      <c r="A463" s="331">
        <v>19</v>
      </c>
      <c r="B463" s="351"/>
      <c r="C463" s="351"/>
      <c r="D463" s="342"/>
      <c r="E463" s="195"/>
      <c r="G463" s="351"/>
      <c r="H463" s="351"/>
      <c r="J463" s="351"/>
    </row>
    <row r="464" spans="1:12" ht="13">
      <c r="A464" s="331">
        <v>20</v>
      </c>
      <c r="B464" s="351"/>
      <c r="C464" s="351"/>
      <c r="D464" s="342"/>
      <c r="E464" s="195"/>
      <c r="G464" s="351"/>
      <c r="H464" s="351"/>
      <c r="J464" s="351"/>
    </row>
    <row r="465" spans="1:13" ht="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L465" si="157">F462+F458+F454+F450+F447</f>
        <v>11066268</v>
      </c>
      <c r="G465" s="347">
        <f>G462+G458+G454+G450+G447</f>
        <v>5602813</v>
      </c>
      <c r="H465" s="347">
        <f t="shared" si="157"/>
        <v>3501905</v>
      </c>
      <c r="I465" s="347">
        <f t="shared" si="157"/>
        <v>1488896</v>
      </c>
      <c r="J465" s="347">
        <f t="shared" si="157"/>
        <v>472654</v>
      </c>
      <c r="K465" s="345">
        <f t="shared" si="157"/>
        <v>11066268</v>
      </c>
      <c r="L465" s="345">
        <f t="shared" si="157"/>
        <v>0</v>
      </c>
    </row>
    <row r="466" spans="1:13" ht="13">
      <c r="B466" s="341"/>
      <c r="C466" s="195"/>
      <c r="D466" s="342"/>
      <c r="E466" s="195"/>
      <c r="G466" s="195"/>
      <c r="H466" s="195"/>
      <c r="I466" s="195"/>
      <c r="J466" s="342"/>
      <c r="K466" s="195"/>
      <c r="L466" s="195"/>
    </row>
    <row r="467" spans="1:13" ht="13">
      <c r="A467" s="341" t="str">
        <f>co_name</f>
        <v>DUKE ENERGY KENTUCKY, INC.</v>
      </c>
      <c r="C467" s="195"/>
      <c r="D467" s="342"/>
      <c r="E467" s="195"/>
      <c r="F467" s="342"/>
      <c r="G467" s="340"/>
      <c r="H467" s="340"/>
      <c r="I467" s="195"/>
      <c r="K467" s="359" t="str">
        <f>$K$1</f>
        <v>FR-16(7)(v)-5</v>
      </c>
      <c r="L467" s="195"/>
    </row>
    <row r="468" spans="1:13" ht="13">
      <c r="A468" s="341" t="str">
        <f>$A$2</f>
        <v>DISTRIBUTION DEMAND ALLOCATED - GAS COST OF SERVICE</v>
      </c>
      <c r="C468" s="195"/>
      <c r="D468" s="342"/>
      <c r="E468" s="195"/>
      <c r="F468" s="342"/>
      <c r="G468" s="340"/>
      <c r="H468" s="340"/>
      <c r="I468" s="195"/>
      <c r="K468" s="359" t="str">
        <f>$K$2</f>
        <v>WITNESS RESPONSIBLE:</v>
      </c>
      <c r="L468" s="195"/>
    </row>
    <row r="469" spans="1:13" ht="13">
      <c r="A469" s="341" t="str">
        <f>case_name</f>
        <v>CASE NO: 2021-00190</v>
      </c>
      <c r="C469" s="195"/>
      <c r="D469" s="342"/>
      <c r="E469" s="195"/>
      <c r="F469" s="342"/>
      <c r="G469" s="340"/>
      <c r="H469" s="340"/>
      <c r="I469" s="195"/>
      <c r="K469" s="359" t="str">
        <f>Witness</f>
        <v>JAMES E. ZIOLKOWSKI</v>
      </c>
      <c r="L469" s="195"/>
    </row>
    <row r="470" spans="1:13" ht="13">
      <c r="A470" s="341" t="str">
        <f>data_filing</f>
        <v>DATA: 12 MONTH FORECASTED PERIOD</v>
      </c>
      <c r="C470" s="195"/>
      <c r="D470" s="342"/>
      <c r="E470" s="195"/>
      <c r="F470" s="342"/>
      <c r="G470" s="340"/>
      <c r="H470" s="340"/>
      <c r="I470" s="195"/>
      <c r="K470" s="359" t="str">
        <f>"PAGE "&amp;Pages-7&amp;" OF "&amp;Pages</f>
        <v>PAGE 11 OF 18</v>
      </c>
      <c r="L470" s="195"/>
    </row>
    <row r="471" spans="1:13" ht="13">
      <c r="A471" s="341" t="str">
        <f>type</f>
        <v xml:space="preserve">TYPE OF FILING: "X" ORIGINAL   UPDATED    REVISED  </v>
      </c>
      <c r="C471" s="195"/>
      <c r="D471" s="342"/>
      <c r="E471" s="195"/>
      <c r="F471" s="342"/>
      <c r="G471" s="340"/>
      <c r="H471" s="340"/>
      <c r="I471" s="195"/>
      <c r="J471" s="342"/>
      <c r="K471" s="195"/>
      <c r="L471" s="195"/>
    </row>
    <row r="472" spans="1:13" ht="13">
      <c r="B472" s="341"/>
      <c r="C472" s="195"/>
      <c r="D472" s="342"/>
      <c r="E472" s="195"/>
      <c r="F472" s="342"/>
      <c r="G472" s="195"/>
      <c r="H472" s="195"/>
      <c r="I472" s="195"/>
      <c r="J472" s="342"/>
      <c r="K472" s="195"/>
      <c r="L472" s="195"/>
    </row>
    <row r="473" spans="1:13" ht="13">
      <c r="B473" s="341"/>
      <c r="C473" s="195"/>
      <c r="D473" s="342"/>
      <c r="E473" s="195"/>
      <c r="F473" s="342" t="str">
        <f>$F$7</f>
        <v>TOTAL</v>
      </c>
      <c r="G473" s="195"/>
      <c r="H473" s="195"/>
      <c r="I473" s="195"/>
      <c r="J473" s="342"/>
      <c r="K473" s="195"/>
      <c r="L473" s="195"/>
    </row>
    <row r="474" spans="1:13" ht="13">
      <c r="A474" s="342" t="s">
        <v>907</v>
      </c>
      <c r="B474" s="195"/>
      <c r="C474" s="195"/>
      <c r="D474" s="342"/>
      <c r="E474" s="195"/>
      <c r="F474" s="342" t="str">
        <f>$F$8</f>
        <v>DISTRIBUTION</v>
      </c>
      <c r="G474" s="342" t="s">
        <v>417</v>
      </c>
      <c r="H474" s="342" t="s">
        <v>857</v>
      </c>
      <c r="I474" s="342" t="s">
        <v>858</v>
      </c>
      <c r="J474" s="342" t="s">
        <v>546</v>
      </c>
      <c r="K474" s="342" t="s">
        <v>229</v>
      </c>
      <c r="L474" s="342" t="s">
        <v>342</v>
      </c>
    </row>
    <row r="475" spans="1:13" ht="13">
      <c r="A475" s="344" t="s">
        <v>908</v>
      </c>
      <c r="B475" s="343" t="s">
        <v>62</v>
      </c>
      <c r="C475" s="343"/>
      <c r="D475" s="344" t="s">
        <v>337</v>
      </c>
      <c r="E475" s="343"/>
      <c r="F475" s="342" t="str">
        <f>$F$9</f>
        <v>DEMAND</v>
      </c>
      <c r="G475" s="344" t="s">
        <v>338</v>
      </c>
      <c r="H475" s="344" t="s">
        <v>404</v>
      </c>
      <c r="I475" s="344" t="s">
        <v>404</v>
      </c>
      <c r="J475" s="344" t="s">
        <v>547</v>
      </c>
      <c r="K475" s="344" t="s">
        <v>341</v>
      </c>
      <c r="L475" s="344" t="s">
        <v>340</v>
      </c>
      <c r="M475" s="363"/>
    </row>
    <row r="476" spans="1:13" ht="13">
      <c r="C476" s="572" t="s">
        <v>350</v>
      </c>
      <c r="D476" s="342"/>
      <c r="E476" s="195"/>
      <c r="F476" s="756"/>
      <c r="G476" s="627">
        <f>$G$10</f>
        <v>3</v>
      </c>
      <c r="H476" s="627">
        <f>$H$10</f>
        <v>4</v>
      </c>
      <c r="I476" s="627">
        <f>$I$10</f>
        <v>5</v>
      </c>
      <c r="J476" s="627">
        <f>$J$10</f>
        <v>6</v>
      </c>
      <c r="K476" s="504"/>
      <c r="L476" s="504"/>
    </row>
    <row r="477" spans="1:13" ht="13">
      <c r="A477" s="331">
        <v>1</v>
      </c>
      <c r="B477" s="330" t="s">
        <v>63</v>
      </c>
      <c r="D477" s="342"/>
      <c r="E477" s="195"/>
      <c r="I477" s="330"/>
    </row>
    <row r="478" spans="1:13" ht="13">
      <c r="A478" s="331">
        <v>2</v>
      </c>
      <c r="B478" s="330" t="s">
        <v>64</v>
      </c>
      <c r="D478" s="342"/>
      <c r="E478" s="195"/>
      <c r="I478" s="330"/>
    </row>
    <row r="479" spans="1:13" ht="13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3">
        <f>'FR-16(7)(v)-4 DISTR Classified'!G479</f>
        <v>2499111</v>
      </c>
      <c r="G479" s="347">
        <f>F479-SUM(H479:J479)</f>
        <v>1262376</v>
      </c>
      <c r="H479" s="345">
        <f>ROUND($F$479*VLOOKUP($D$479,ALLOCTABLE_DISTR_DEMAND,$H$10,FALSE),0)</f>
        <v>792243</v>
      </c>
      <c r="I479" s="345">
        <f>ROUND(F479*VLOOKUP(D479,ALLOCTABLE_DISTR_DEMAND,$I$10,FALSE),0)</f>
        <v>336930</v>
      </c>
      <c r="J479" s="345">
        <f>ROUND(F479*VLOOKUP(D479,ALLOCTABLE_DISTR_DEMAND,$J$10,FALSE),0)</f>
        <v>107562</v>
      </c>
      <c r="K479" s="345">
        <f>SUM($G$479:$J$479)</f>
        <v>2499111</v>
      </c>
      <c r="L479" s="345">
        <f>F479-$K$479</f>
        <v>0</v>
      </c>
    </row>
    <row r="480" spans="1:13" ht="13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3">
        <f>'FR-16(7)(v)-4 DISTR Classified'!G480</f>
        <v>0</v>
      </c>
      <c r="G480" s="347">
        <f>F480-SUM(H480:J480)</f>
        <v>0</v>
      </c>
      <c r="H480" s="345">
        <f>ROUND($F$480*VLOOKUP($D$480,ALLOCTABLE_DISTR_DEMAND,$H$10,FALSE),0)</f>
        <v>0</v>
      </c>
      <c r="I480" s="345">
        <f>ROUND(F480*VLOOKUP(D480,ALLOCTABLE_DISTR_DEMAND,$I$10,FALSE),0)</f>
        <v>0</v>
      </c>
      <c r="J480" s="345">
        <f>ROUND(F480*VLOOKUP(D480,ALLOCTABLE_DISTR_DEMAND,$J$10,FALSE),0)</f>
        <v>0</v>
      </c>
      <c r="K480" s="345">
        <f>SUM($G$480:$J$480)</f>
        <v>0</v>
      </c>
      <c r="L480" s="345">
        <f>F480-$K$480</f>
        <v>0</v>
      </c>
    </row>
    <row r="481" spans="1:12" ht="13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2499111</v>
      </c>
      <c r="G481" s="346">
        <f>SUM($G$479:$G$480)</f>
        <v>1262376</v>
      </c>
      <c r="H481" s="346">
        <f>SUM($H$479:$H$480)</f>
        <v>792243</v>
      </c>
      <c r="I481" s="346">
        <f>SUM($I$479:$I$480)</f>
        <v>336930</v>
      </c>
      <c r="J481" s="346">
        <f>SUM($J$479:$J$480)</f>
        <v>107562</v>
      </c>
      <c r="K481" s="346">
        <f>SUM($K$479:$K$480)</f>
        <v>2499111</v>
      </c>
      <c r="L481" s="346">
        <f>SUM($L$479:$L$480)</f>
        <v>0</v>
      </c>
    </row>
    <row r="482" spans="1:12" ht="13">
      <c r="A482" s="331">
        <v>6</v>
      </c>
      <c r="D482" s="342"/>
      <c r="E482" s="195"/>
      <c r="F482" s="351"/>
      <c r="I482" s="330"/>
    </row>
    <row r="483" spans="1:12" ht="13">
      <c r="A483" s="331">
        <v>7</v>
      </c>
      <c r="B483" s="330" t="s">
        <v>65</v>
      </c>
      <c r="D483" s="342"/>
      <c r="E483" s="195"/>
      <c r="F483" s="351"/>
      <c r="I483" s="330"/>
    </row>
    <row r="484" spans="1:12" ht="13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3">
        <f>'FR-16(7)(v)-4 DISTR Classified'!G484</f>
        <v>287368</v>
      </c>
      <c r="G484" s="347">
        <f>F484-SUM(H484:J484)</f>
        <v>147866</v>
      </c>
      <c r="H484" s="345">
        <f>ROUND($F$484*VLOOKUP($D$484,ALLOCTABLE_DISTR_DEMAND,$H$10,FALSE),0)</f>
        <v>89788</v>
      </c>
      <c r="I484" s="345">
        <f>ROUND(F484*VLOOKUP(D484,ALLOCTABLE_DISTR_DEMAND,$I$10,FALSE),0)</f>
        <v>38096</v>
      </c>
      <c r="J484" s="345">
        <f>ROUND(F484*VLOOKUP(D484,ALLOCTABLE_DISTR_DEMAND,$J$10,FALSE),0)</f>
        <v>11618</v>
      </c>
      <c r="K484" s="345">
        <f>SUM($G$484:$J$484)</f>
        <v>287368</v>
      </c>
      <c r="L484" s="345">
        <f>F484-$K$484</f>
        <v>0</v>
      </c>
    </row>
    <row r="485" spans="1:12" ht="13">
      <c r="A485" s="331">
        <v>9</v>
      </c>
      <c r="C485" s="330" t="str">
        <f>'FR-16(7)(v)-1 Functional'!C485</f>
        <v>UNEMPLOYMENT COMPENSATION</v>
      </c>
      <c r="D485" s="352" t="str">
        <f>'FR-16(7)(v)-1 Functional'!D485</f>
        <v>AG39</v>
      </c>
      <c r="E485" s="195"/>
      <c r="F485" s="473">
        <f>'FR-16(7)(v)-4 DISTR Classified'!G485</f>
        <v>0</v>
      </c>
      <c r="G485" s="347">
        <f>F485-SUM(H485:J485)</f>
        <v>0</v>
      </c>
      <c r="H485" s="345">
        <f>ROUND($F$485*VLOOKUP($D$485,ALLOCTABLE_DISTR_DEMAND,$H$10,FALSE),0)</f>
        <v>0</v>
      </c>
      <c r="I485" s="345">
        <f>ROUND(F485*VLOOKUP(D485,ALLOCTABLE_DISTR_DEMAND,$I$10,FALSE),0)</f>
        <v>0</v>
      </c>
      <c r="J485" s="345">
        <f>ROUND(F485*VLOOKUP(D485,ALLOCTABLE_DISTR_DEMAND,$J$10,FALSE),0)</f>
        <v>0</v>
      </c>
      <c r="K485" s="345">
        <f>SUM($G$485:$J$485)</f>
        <v>0</v>
      </c>
      <c r="L485" s="345">
        <f>F485-$K$485</f>
        <v>0</v>
      </c>
    </row>
    <row r="486" spans="1:12" ht="13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3">
        <f>'FR-16(7)(v)-4 DISTR Classified'!G486</f>
        <v>0</v>
      </c>
      <c r="G486" s="347">
        <f>F486-SUM(H486:J486)</f>
        <v>0</v>
      </c>
      <c r="H486" s="345">
        <f>ROUND($F$486*VLOOKUP($D$486,ALLOCTABLE_DISTR_DEMAND,$H$10,FALSE),0)</f>
        <v>0</v>
      </c>
      <c r="I486" s="345">
        <f>ROUND(F486*VLOOKUP(D486,ALLOCTABLE_DISTR_DEMAND,$I$10,FALSE),0)</f>
        <v>0</v>
      </c>
      <c r="J486" s="345">
        <f>ROUND(F486*VLOOKUP(D486,ALLOCTABLE_DISTR_DEMAND,$J$10,FALSE),0)</f>
        <v>0</v>
      </c>
      <c r="K486" s="345">
        <f>SUM($G$486:$J$486)</f>
        <v>0</v>
      </c>
      <c r="L486" s="345">
        <f>F486-$K$486</f>
        <v>0</v>
      </c>
    </row>
    <row r="487" spans="1:12" ht="13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3">
        <f>'FR-16(7)(v)-4 DISTR Classified'!G487</f>
        <v>0</v>
      </c>
      <c r="G487" s="347">
        <f>F487-SUM(H487:J487)</f>
        <v>0</v>
      </c>
      <c r="H487" s="345">
        <f>ROUND($F$487*VLOOKUP($D$487,ALLOCTABLE_DISTR_DEMAND,$H$10,FALSE),0)</f>
        <v>0</v>
      </c>
      <c r="I487" s="345">
        <f>ROUND(F487*VLOOKUP(D487,ALLOCTABLE_DISTR_DEMAND,$I$10,FALSE),0)</f>
        <v>0</v>
      </c>
      <c r="J487" s="345">
        <f>ROUND(F487*VLOOKUP(D487,ALLOCTABLE_DISTR_DEMAND,$J$10,FALSE),0)</f>
        <v>0</v>
      </c>
      <c r="K487" s="345">
        <f>SUM($G$487:$J$487)</f>
        <v>0</v>
      </c>
      <c r="L487" s="345">
        <f>F487-$K$487</f>
        <v>0</v>
      </c>
    </row>
    <row r="488" spans="1:12" ht="13">
      <c r="A488" s="331">
        <v>12</v>
      </c>
      <c r="C488" s="330" t="str">
        <f>'FR-16(7)(v)-1 Functional'!C488</f>
        <v xml:space="preserve">  TOTAL MISCELLANEOUS TAXES</v>
      </c>
      <c r="D488" s="352"/>
      <c r="E488" s="195"/>
      <c r="F488" s="346">
        <f>SUM(F484:F487)</f>
        <v>287368</v>
      </c>
      <c r="G488" s="346">
        <f>SUM($G$484:$G$487)</f>
        <v>147866</v>
      </c>
      <c r="H488" s="346">
        <f>SUM($H$484:$H$487)</f>
        <v>89788</v>
      </c>
      <c r="I488" s="346">
        <f>SUM($I$484:$I$487)</f>
        <v>38096</v>
      </c>
      <c r="J488" s="346">
        <f>SUM($J$484:$J$487)</f>
        <v>11618</v>
      </c>
      <c r="K488" s="346">
        <f>SUM($K$484:$K$487)</f>
        <v>287368</v>
      </c>
      <c r="L488" s="346">
        <f>SUM($L$484:$L$487)</f>
        <v>0</v>
      </c>
    </row>
    <row r="489" spans="1:12" ht="13">
      <c r="A489" s="331">
        <v>13</v>
      </c>
      <c r="D489" s="342"/>
      <c r="E489" s="195"/>
      <c r="F489" s="351"/>
      <c r="I489" s="330"/>
    </row>
    <row r="490" spans="1:12" ht="13">
      <c r="A490" s="331">
        <v>14</v>
      </c>
      <c r="B490" s="330" t="s">
        <v>66</v>
      </c>
      <c r="D490" s="342"/>
      <c r="E490" s="195"/>
      <c r="F490" s="351"/>
      <c r="I490" s="330"/>
    </row>
    <row r="491" spans="1:12" ht="13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3">
        <f>'FR-16(7)(v)-4 DISTR Classified'!G491</f>
        <v>14109</v>
      </c>
      <c r="G491" s="347">
        <f>F491-SUM(H491:J491)</f>
        <v>7261</v>
      </c>
      <c r="H491" s="345">
        <f>ROUND($F$491*VLOOKUP($D$491,ALLOCTABLE_DISTR_DEMAND,$H$10,FALSE),0)</f>
        <v>4408</v>
      </c>
      <c r="I491" s="345">
        <f>ROUND(F491*VLOOKUP(D491,ALLOCTABLE_DISTR_DEMAND,$I$10,FALSE),0)</f>
        <v>1870</v>
      </c>
      <c r="J491" s="345">
        <f>ROUND(F491*VLOOKUP(D491,ALLOCTABLE_DISTR_DEMAND,$J$10,FALSE),0)</f>
        <v>570</v>
      </c>
      <c r="K491" s="345">
        <f>SUM($G$491:$J$491)</f>
        <v>14109</v>
      </c>
      <c r="L491" s="345">
        <f>F491-$K$491</f>
        <v>0</v>
      </c>
    </row>
    <row r="492" spans="1:12" ht="13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3">
        <f>'FR-16(7)(v)-4 DISTR Classified'!G492</f>
        <v>0</v>
      </c>
      <c r="G492" s="347">
        <f>F492-SUM(H492:J492)</f>
        <v>0</v>
      </c>
      <c r="H492" s="345">
        <f>ROUND($F$492*VLOOKUP($D$492,ALLOCTABLE_DISTR_DEMAND,$H$10,FALSE),0)</f>
        <v>0</v>
      </c>
      <c r="I492" s="345">
        <f>ROUND(F492*VLOOKUP(D492,ALLOCTABLE_DISTR_DEMAND,$I$10,FALSE),0)</f>
        <v>0</v>
      </c>
      <c r="J492" s="345">
        <f>ROUND(F492*VLOOKUP(D492,ALLOCTABLE_DISTR_DEMAND,$J$10,FALSE),0)</f>
        <v>0</v>
      </c>
      <c r="K492" s="345">
        <f>SUM($G$492:$J$492)</f>
        <v>0</v>
      </c>
      <c r="L492" s="345">
        <f>F492-$K$492</f>
        <v>0</v>
      </c>
    </row>
    <row r="493" spans="1:12" ht="13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4">
        <f>SUM(F491:F492)</f>
        <v>14109</v>
      </c>
      <c r="G493" s="346">
        <f>SUM($G$491:$G$492)</f>
        <v>7261</v>
      </c>
      <c r="H493" s="346">
        <f>SUM($H$491:$H$492)</f>
        <v>4408</v>
      </c>
      <c r="I493" s="346">
        <f>SUM($I$491:$I$492)</f>
        <v>1870</v>
      </c>
      <c r="J493" s="346">
        <f>SUM($J$491:$J$492)</f>
        <v>570</v>
      </c>
      <c r="K493" s="346">
        <f>SUM($K$491:$K$492)</f>
        <v>14109</v>
      </c>
      <c r="L493" s="346">
        <f>SUM($L$491:$L$492)</f>
        <v>0</v>
      </c>
    </row>
    <row r="494" spans="1:12" ht="13">
      <c r="A494" s="331">
        <v>18</v>
      </c>
      <c r="D494" s="342"/>
      <c r="E494" s="195"/>
      <c r="I494" s="330"/>
    </row>
    <row r="495" spans="1:12" ht="13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2800588</v>
      </c>
      <c r="G495" s="345">
        <f>$G$488+$G$481+$G$493</f>
        <v>1417503</v>
      </c>
      <c r="H495" s="345">
        <f>$H$488+$H$481+$H$493</f>
        <v>886439</v>
      </c>
      <c r="I495" s="345">
        <f>$I$488+$I$481+$I$493</f>
        <v>376896</v>
      </c>
      <c r="J495" s="345">
        <f>$J$488+$J$481+$J$493</f>
        <v>119750</v>
      </c>
      <c r="K495" s="345">
        <f>$K$488+$K$481+$K$493</f>
        <v>2800588</v>
      </c>
      <c r="L495" s="345">
        <f>$L$488+$L$481+$L$493</f>
        <v>0</v>
      </c>
    </row>
    <row r="496" spans="1:12" ht="13">
      <c r="A496" s="331">
        <v>20</v>
      </c>
      <c r="D496" s="342"/>
      <c r="E496" s="195"/>
      <c r="I496" s="330"/>
    </row>
    <row r="497" spans="1:12" ht="13">
      <c r="A497" s="331">
        <v>21</v>
      </c>
      <c r="B497" s="330" t="s">
        <v>40</v>
      </c>
      <c r="D497" s="342"/>
      <c r="E497" s="195"/>
      <c r="I497" s="330"/>
    </row>
    <row r="498" spans="1:12" ht="13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L498" si="158">F433</f>
        <v>9808594</v>
      </c>
      <c r="G498" s="345">
        <f>G433</f>
        <v>5047060</v>
      </c>
      <c r="H498" s="345">
        <f t="shared" si="158"/>
        <v>3064689</v>
      </c>
      <c r="I498" s="345">
        <f t="shared" si="158"/>
        <v>1300301</v>
      </c>
      <c r="J498" s="345">
        <f t="shared" si="158"/>
        <v>396544</v>
      </c>
      <c r="K498" s="345">
        <f t="shared" si="158"/>
        <v>9808594</v>
      </c>
      <c r="L498" s="345">
        <f t="shared" si="158"/>
        <v>0</v>
      </c>
    </row>
    <row r="499" spans="1:12" ht="13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L499" si="159">F465</f>
        <v>11066268</v>
      </c>
      <c r="G499" s="345">
        <f>G465</f>
        <v>5602813</v>
      </c>
      <c r="H499" s="345">
        <f t="shared" si="159"/>
        <v>3501905</v>
      </c>
      <c r="I499" s="345">
        <f t="shared" si="159"/>
        <v>1488896</v>
      </c>
      <c r="J499" s="345">
        <f t="shared" si="159"/>
        <v>472654</v>
      </c>
      <c r="K499" s="345">
        <f t="shared" si="159"/>
        <v>11066268</v>
      </c>
      <c r="L499" s="345">
        <f t="shared" si="159"/>
        <v>0</v>
      </c>
    </row>
    <row r="500" spans="1:12" ht="13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2800588</v>
      </c>
      <c r="G500" s="345">
        <f>$G$495</f>
        <v>1417503</v>
      </c>
      <c r="H500" s="345">
        <f>$H$495</f>
        <v>886439</v>
      </c>
      <c r="I500" s="345">
        <f>$I$495</f>
        <v>376896</v>
      </c>
      <c r="J500" s="345">
        <f>$J$495</f>
        <v>119750</v>
      </c>
      <c r="K500" s="345">
        <f>$K$495</f>
        <v>2800588</v>
      </c>
      <c r="L500" s="345">
        <f>$L$495</f>
        <v>0</v>
      </c>
    </row>
    <row r="501" spans="1:12" ht="13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23675450</v>
      </c>
      <c r="G501" s="346">
        <f>SUM($G$498:$G$500)</f>
        <v>12067376</v>
      </c>
      <c r="H501" s="346">
        <f>SUM($H$498:$H$500)</f>
        <v>7453033</v>
      </c>
      <c r="I501" s="346">
        <f>SUM($I$498:$I$500)</f>
        <v>3166093</v>
      </c>
      <c r="J501" s="346">
        <f>SUM($J$498:$J$500)</f>
        <v>988948</v>
      </c>
      <c r="K501" s="346">
        <f>SUM($K$498:$K$500)</f>
        <v>23675450</v>
      </c>
      <c r="L501" s="346">
        <f>SUM($L$498:$L$500)</f>
        <v>0</v>
      </c>
    </row>
    <row r="502" spans="1:12" ht="13">
      <c r="B502" s="341"/>
      <c r="C502" s="195"/>
      <c r="D502" s="342"/>
      <c r="E502" s="195"/>
      <c r="G502" s="195"/>
      <c r="H502" s="195"/>
      <c r="I502" s="195"/>
      <c r="J502" s="342"/>
      <c r="K502" s="195"/>
      <c r="L502" s="195"/>
    </row>
    <row r="503" spans="1:12" ht="13">
      <c r="A503" s="341" t="str">
        <f>co_name</f>
        <v>DUKE ENERGY KENTUCKY, INC.</v>
      </c>
      <c r="C503" s="195"/>
      <c r="D503" s="342"/>
      <c r="E503" s="195"/>
      <c r="F503" s="342"/>
      <c r="G503" s="340"/>
      <c r="H503" s="340"/>
      <c r="I503" s="195"/>
      <c r="K503" s="359" t="str">
        <f>$K$1</f>
        <v>FR-16(7)(v)-5</v>
      </c>
      <c r="L503" s="195"/>
    </row>
    <row r="504" spans="1:12" ht="13">
      <c r="A504" s="341" t="str">
        <f>$A$2</f>
        <v>DISTRIBUTION DEMAND ALLOCATED - GAS COST OF SERVICE</v>
      </c>
      <c r="C504" s="195"/>
      <c r="D504" s="342"/>
      <c r="E504" s="195"/>
      <c r="F504" s="342"/>
      <c r="G504" s="340"/>
      <c r="H504" s="340"/>
      <c r="I504" s="195"/>
      <c r="K504" s="359" t="str">
        <f>$K$2</f>
        <v>WITNESS RESPONSIBLE:</v>
      </c>
      <c r="L504" s="195"/>
    </row>
    <row r="505" spans="1:12" ht="13">
      <c r="A505" s="341" t="str">
        <f>case_name</f>
        <v>CASE NO: 2021-00190</v>
      </c>
      <c r="C505" s="195"/>
      <c r="D505" s="342"/>
      <c r="E505" s="195"/>
      <c r="F505" s="342"/>
      <c r="G505" s="340"/>
      <c r="H505" s="340"/>
      <c r="I505" s="195"/>
      <c r="K505" s="359" t="str">
        <f>Witness</f>
        <v>JAMES E. ZIOLKOWSKI</v>
      </c>
      <c r="L505" s="195"/>
    </row>
    <row r="506" spans="1:12" ht="13">
      <c r="A506" s="341" t="str">
        <f>data_filing</f>
        <v>DATA: 12 MONTH FORECASTED PERIOD</v>
      </c>
      <c r="C506" s="195"/>
      <c r="D506" s="342"/>
      <c r="E506" s="195"/>
      <c r="F506" s="342"/>
      <c r="G506" s="340"/>
      <c r="H506" s="340"/>
      <c r="I506" s="195"/>
      <c r="K506" s="359" t="str">
        <f>"PAGE "&amp;Pages-6&amp;" OF "&amp;Pages</f>
        <v>PAGE 12 OF 18</v>
      </c>
      <c r="L506" s="195"/>
    </row>
    <row r="507" spans="1:12" ht="13">
      <c r="A507" s="341" t="str">
        <f>type</f>
        <v xml:space="preserve">TYPE OF FILING: "X" ORIGINAL   UPDATED    REVISED  </v>
      </c>
      <c r="C507" s="195"/>
      <c r="D507" s="342"/>
      <c r="E507" s="195"/>
      <c r="F507" s="342"/>
      <c r="G507" s="340"/>
      <c r="H507" s="340"/>
      <c r="I507" s="195"/>
      <c r="J507" s="342"/>
      <c r="K507" s="195"/>
      <c r="L507" s="195"/>
    </row>
    <row r="508" spans="1:12" ht="13">
      <c r="B508" s="341"/>
      <c r="C508" s="195"/>
      <c r="D508" s="342"/>
      <c r="E508" s="195"/>
      <c r="F508" s="342"/>
      <c r="G508" s="195"/>
      <c r="H508" s="195"/>
      <c r="I508" s="195"/>
      <c r="J508" s="342"/>
      <c r="K508" s="195"/>
      <c r="L508" s="195"/>
    </row>
    <row r="509" spans="1:12" ht="13">
      <c r="B509" s="341"/>
      <c r="C509" s="195"/>
      <c r="D509" s="342"/>
      <c r="E509" s="195"/>
      <c r="F509" s="342" t="str">
        <f>$F$7</f>
        <v>TOTAL</v>
      </c>
      <c r="G509" s="195"/>
      <c r="H509" s="195"/>
      <c r="I509" s="195"/>
      <c r="J509" s="342"/>
      <c r="K509" s="195"/>
      <c r="L509" s="195"/>
    </row>
    <row r="510" spans="1:12" ht="13">
      <c r="A510" s="342" t="s">
        <v>907</v>
      </c>
      <c r="B510" s="195"/>
      <c r="C510" s="195"/>
      <c r="D510" s="342"/>
      <c r="E510" s="195"/>
      <c r="F510" s="342" t="str">
        <f>$F$8</f>
        <v>DISTRIBUTION</v>
      </c>
      <c r="G510" s="342" t="s">
        <v>417</v>
      </c>
      <c r="H510" s="342" t="s">
        <v>857</v>
      </c>
      <c r="I510" s="342" t="s">
        <v>858</v>
      </c>
      <c r="J510" s="342" t="s">
        <v>546</v>
      </c>
      <c r="K510" s="342" t="s">
        <v>229</v>
      </c>
      <c r="L510" s="342" t="s">
        <v>342</v>
      </c>
    </row>
    <row r="511" spans="1:12" ht="13">
      <c r="A511" s="344" t="s">
        <v>908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2" t="str">
        <f>$F$9</f>
        <v>DEMAND</v>
      </c>
      <c r="G511" s="344" t="s">
        <v>338</v>
      </c>
      <c r="H511" s="344" t="s">
        <v>404</v>
      </c>
      <c r="I511" s="344" t="s">
        <v>404</v>
      </c>
      <c r="J511" s="344" t="s">
        <v>547</v>
      </c>
      <c r="K511" s="344" t="s">
        <v>341</v>
      </c>
      <c r="L511" s="344" t="s">
        <v>340</v>
      </c>
    </row>
    <row r="512" spans="1:12" ht="13">
      <c r="C512" s="572" t="s">
        <v>351</v>
      </c>
      <c r="D512" s="342"/>
      <c r="E512" s="195"/>
      <c r="F512" s="755"/>
      <c r="G512" s="627">
        <f>$G$10</f>
        <v>3</v>
      </c>
      <c r="H512" s="627">
        <f>$H$10</f>
        <v>4</v>
      </c>
      <c r="I512" s="627">
        <f>$I$10</f>
        <v>5</v>
      </c>
      <c r="J512" s="627">
        <f>$J$10</f>
        <v>6</v>
      </c>
    </row>
    <row r="513" spans="1:12" ht="13">
      <c r="A513" s="331">
        <v>1</v>
      </c>
      <c r="B513" s="330" t="s">
        <v>69</v>
      </c>
      <c r="D513" s="342"/>
      <c r="E513" s="195"/>
      <c r="I513" s="330"/>
    </row>
    <row r="514" spans="1:12" ht="13">
      <c r="A514" s="331">
        <v>2</v>
      </c>
      <c r="B514" s="330" t="s">
        <v>70</v>
      </c>
      <c r="D514" s="342"/>
      <c r="E514" s="195"/>
      <c r="F514" s="330" t="s">
        <v>343</v>
      </c>
      <c r="I514" s="330"/>
    </row>
    <row r="515" spans="1:12" ht="13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3">
        <f>'FR-16(7)(v)-4 DISTR Classified'!G515</f>
        <v>5248823</v>
      </c>
      <c r="G515" s="347">
        <f>F515-SUM(H515:J515)</f>
        <v>2651495</v>
      </c>
      <c r="H515" s="345">
        <f>ROUND($F$515*VLOOKUP($D$515,ALLOCTABLE_DISTR_DEMAND,$H$10,FALSE),0)</f>
        <v>1663877</v>
      </c>
      <c r="I515" s="345">
        <f>ROUND(F515*VLOOKUP(D515,ALLOCTABLE_DISTR_DEMAND,$I$10,FALSE),0)</f>
        <v>707594</v>
      </c>
      <c r="J515" s="345">
        <f>ROUND(F515*VLOOKUP(D515,ALLOCTABLE_DISTR_DEMAND,$J$10,FALSE),0)</f>
        <v>225857</v>
      </c>
      <c r="K515" s="345">
        <f>SUM($G$515:$J$515)</f>
        <v>5248823</v>
      </c>
      <c r="L515" s="345">
        <f>F515-$K$515</f>
        <v>0</v>
      </c>
    </row>
    <row r="516" spans="1:12" ht="13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5248823</v>
      </c>
      <c r="G516" s="346">
        <f>$G$515</f>
        <v>2651495</v>
      </c>
      <c r="H516" s="346">
        <f>$H$515</f>
        <v>1663877</v>
      </c>
      <c r="I516" s="346">
        <f>$I$515</f>
        <v>707594</v>
      </c>
      <c r="J516" s="346">
        <f>$J$515</f>
        <v>225857</v>
      </c>
      <c r="K516" s="346">
        <f>$K$515</f>
        <v>5248823</v>
      </c>
      <c r="L516" s="346">
        <f>$L$515</f>
        <v>0</v>
      </c>
    </row>
    <row r="517" spans="1:12" ht="13">
      <c r="A517" s="331">
        <v>5</v>
      </c>
      <c r="D517" s="342"/>
      <c r="E517" s="195"/>
      <c r="F517" s="351"/>
      <c r="I517" s="330"/>
    </row>
    <row r="518" spans="1:12" ht="13">
      <c r="A518" s="331">
        <v>6</v>
      </c>
      <c r="B518" s="330" t="s">
        <v>71</v>
      </c>
      <c r="D518" s="342"/>
      <c r="E518" s="195"/>
      <c r="F518" s="351"/>
      <c r="I518" s="330"/>
    </row>
    <row r="519" spans="1:12" ht="13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3">
        <f>'FR-16(7)(v)-4 DISTR Classified'!G519</f>
        <v>5534047</v>
      </c>
      <c r="G519" s="347">
        <f>F519-SUM(H519:J519)</f>
        <v>2801888</v>
      </c>
      <c r="H519" s="345">
        <f>ROUND($F$519*VLOOKUP($D$519,ALLOCTABLE_DISTR_DEMAND,$H$10,FALSE),0)</f>
        <v>1751249</v>
      </c>
      <c r="I519" s="345">
        <f>ROUND(F519*VLOOKUP(D519,ALLOCTABLE_DISTR_DEMAND,$I$10,FALSE),0)</f>
        <v>744551</v>
      </c>
      <c r="J519" s="345">
        <f>ROUND(F519*VLOOKUP(D519,ALLOCTABLE_DISTR_DEMAND,$J$10,FALSE),0)</f>
        <v>236359</v>
      </c>
      <c r="K519" s="345">
        <f>SUM($G$519:$J$519)</f>
        <v>5534047</v>
      </c>
      <c r="L519" s="345">
        <f>F519-$K$519</f>
        <v>0</v>
      </c>
    </row>
    <row r="520" spans="1:12" ht="13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3">
        <f>'FR-16(7)(v)-4 DISTR Classified'!G520</f>
        <v>-108684</v>
      </c>
      <c r="G520" s="347">
        <f>F520-SUM(H520:J520)</f>
        <v>-55924</v>
      </c>
      <c r="H520" s="345">
        <f>ROUND($F$520*VLOOKUP($D$520,ALLOCTABLE_DISTR_DEMAND,$H$10,FALSE),0)</f>
        <v>-33958</v>
      </c>
      <c r="I520" s="345">
        <f>ROUND(F520*VLOOKUP(D520,ALLOCTABLE_DISTR_DEMAND,$I$10,FALSE),0)</f>
        <v>-14408</v>
      </c>
      <c r="J520" s="345">
        <f>ROUND(F520*VLOOKUP(D520,ALLOCTABLE_DISTR_DEMAND,$J$10,FALSE),0)</f>
        <v>-4394</v>
      </c>
      <c r="K520" s="345">
        <f>SUM($G$520:$J$520)</f>
        <v>-108684</v>
      </c>
      <c r="L520" s="345">
        <f>F520-$K$520</f>
        <v>0</v>
      </c>
    </row>
    <row r="521" spans="1:12" ht="13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3">
        <f>'FR-16(7)(v)-4 DISTR Classified'!G521</f>
        <v>-1191182</v>
      </c>
      <c r="G521" s="347">
        <f>F521-SUM(H521:J521)</f>
        <v>-603095</v>
      </c>
      <c r="H521" s="345">
        <f>ROUND($F$521*VLOOKUP($D$521,ALLOCTABLE_DISTR_DEMAND,$H$10,FALSE),0)</f>
        <v>-376950</v>
      </c>
      <c r="I521" s="345">
        <f>ROUND(F521*VLOOKUP(D521,ALLOCTABLE_DISTR_DEMAND,$I$10,FALSE),0)</f>
        <v>-160262</v>
      </c>
      <c r="J521" s="345">
        <f>ROUND(F521*VLOOKUP(D521,ALLOCTABLE_DISTR_DEMAND,$J$10,FALSE),0)</f>
        <v>-50875</v>
      </c>
      <c r="K521" s="345">
        <f>SUM($G$521:$J$521)</f>
        <v>-1191182</v>
      </c>
      <c r="L521" s="345">
        <f>F521-$K$521</f>
        <v>0</v>
      </c>
    </row>
    <row r="522" spans="1:12" ht="13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4234181</v>
      </c>
      <c r="G522" s="346">
        <f>SUM($G$519:$G$521)</f>
        <v>2142869</v>
      </c>
      <c r="H522" s="346">
        <f>SUM($H$519:$H$521)</f>
        <v>1340341</v>
      </c>
      <c r="I522" s="346">
        <f>SUM($I$519:$I$521)</f>
        <v>569881</v>
      </c>
      <c r="J522" s="346">
        <f>SUM($J$519:$J$521)</f>
        <v>181090</v>
      </c>
      <c r="K522" s="346">
        <f>SUM($K$519:$K$521)</f>
        <v>4234181</v>
      </c>
      <c r="L522" s="474">
        <f>SUM($L$519:$L$521)</f>
        <v>0</v>
      </c>
    </row>
    <row r="523" spans="1:12" ht="13">
      <c r="A523" s="331">
        <v>11</v>
      </c>
      <c r="D523" s="342"/>
      <c r="E523" s="195"/>
      <c r="F523" s="351"/>
      <c r="I523" s="330"/>
    </row>
    <row r="524" spans="1:12" ht="13">
      <c r="A524" s="331">
        <v>12</v>
      </c>
      <c r="B524" s="330" t="s">
        <v>72</v>
      </c>
      <c r="D524" s="342"/>
      <c r="E524" s="195"/>
      <c r="F524" s="347">
        <f>F522+F516</f>
        <v>9483004</v>
      </c>
      <c r="G524" s="345">
        <f>$G$522+$G$516</f>
        <v>4794364</v>
      </c>
      <c r="H524" s="345">
        <f>$H$522+$H$516</f>
        <v>3004218</v>
      </c>
      <c r="I524" s="345">
        <f>$I$522+$I$516</f>
        <v>1277475</v>
      </c>
      <c r="J524" s="345">
        <f>$J$522+$J$516</f>
        <v>406947</v>
      </c>
      <c r="K524" s="345">
        <f>$K$522+$K$516</f>
        <v>9483004</v>
      </c>
      <c r="L524" s="345">
        <f>$L$522+$L$516</f>
        <v>0</v>
      </c>
    </row>
    <row r="525" spans="1:12" ht="13">
      <c r="A525" s="331">
        <v>13</v>
      </c>
      <c r="D525" s="342"/>
      <c r="E525" s="195"/>
      <c r="F525" s="351"/>
      <c r="I525" s="330"/>
    </row>
    <row r="526" spans="1:12" ht="13">
      <c r="A526" s="331">
        <v>14</v>
      </c>
      <c r="B526" s="338" t="s">
        <v>541</v>
      </c>
      <c r="D526" s="342"/>
      <c r="E526" s="195"/>
      <c r="F526" s="351"/>
      <c r="I526" s="330"/>
    </row>
    <row r="527" spans="1:12" ht="13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3">
        <f>'FR-16(7)(v)-4 DISTR Classified'!G527</f>
        <v>221459</v>
      </c>
      <c r="G527" s="347">
        <f>F527-SUM(H527:J527)</f>
        <v>113951</v>
      </c>
      <c r="H527" s="345">
        <f>ROUND($F$527*VLOOKUP($D$527,ALLOCTABLE_DISTR_DEMAND,$H$10,FALSE),0)</f>
        <v>69195</v>
      </c>
      <c r="I527" s="345">
        <f>ROUND(F527*VLOOKUP(D527,ALLOCTABLE_DISTR_DEMAND,$I$10,FALSE),0)</f>
        <v>29359</v>
      </c>
      <c r="J527" s="345">
        <f>ROUND(F527*VLOOKUP(D527,ALLOCTABLE_DISTR_DEMAND,$J$10,FALSE),0)</f>
        <v>8954</v>
      </c>
      <c r="K527" s="345">
        <f>SUM($G$527:$J$527)</f>
        <v>221459</v>
      </c>
      <c r="L527" s="345">
        <f>F527-$K$527</f>
        <v>0</v>
      </c>
    </row>
    <row r="528" spans="1:12" ht="13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3">
        <f>'FR-16(7)(v)-4 DISTR Classified'!G528</f>
        <v>7257</v>
      </c>
      <c r="G528" s="347">
        <f>F528-SUM(H528:J528)</f>
        <v>3735</v>
      </c>
      <c r="H528" s="345">
        <f>ROUND($F$528*VLOOKUP($D$528,ALLOCTABLE_DISTR_DEMAND,$H$10,FALSE),0)</f>
        <v>2267</v>
      </c>
      <c r="I528" s="345">
        <f>ROUND(F528*VLOOKUP(D528,ALLOCTABLE_DISTR_DEMAND,$I$10,FALSE),0)</f>
        <v>962</v>
      </c>
      <c r="J528" s="345">
        <f>ROUND(F528*VLOOKUP(D528,ALLOCTABLE_DISTR_DEMAND,$J$10,FALSE),0)</f>
        <v>293</v>
      </c>
      <c r="K528" s="345">
        <f>SUM($G$528:$J$528)</f>
        <v>7257</v>
      </c>
      <c r="L528" s="345">
        <f>F528-$K$528</f>
        <v>0</v>
      </c>
    </row>
    <row r="529" spans="1:12" ht="13">
      <c r="A529" s="331">
        <v>17</v>
      </c>
      <c r="C529" s="612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3">
        <f>'FR-16(7)(v)-4 DISTR Classified'!G529</f>
        <v>0</v>
      </c>
      <c r="G529" s="347">
        <f>F529-SUM(H529:J529)</f>
        <v>0</v>
      </c>
      <c r="H529" s="345">
        <f>ROUND($F$529*VLOOKUP($D$529,ALLOCTABLE_DISTR_DEMAND,$H$10,FALSE),0)</f>
        <v>0</v>
      </c>
      <c r="I529" s="345">
        <f>ROUND(F529*VLOOKUP(D529,ALLOCTABLE_DISTR_DEMAND,$I$10,FALSE),0)</f>
        <v>0</v>
      </c>
      <c r="J529" s="345">
        <f>ROUND(F529*VLOOKUP(D529,ALLOCTABLE_DISTR_DEMAND,$J$10,FALSE),0)</f>
        <v>0</v>
      </c>
      <c r="K529" s="345">
        <f>SUM($G$529:$J$529)</f>
        <v>0</v>
      </c>
      <c r="L529" s="345">
        <f>F529-$K$529</f>
        <v>0</v>
      </c>
    </row>
    <row r="530" spans="1:12" ht="13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3">
        <f>'FR-16(7)(v)-4 DISTR Classified'!G530</f>
        <v>0</v>
      </c>
      <c r="G530" s="347">
        <f>F530-SUM(H530:J530)</f>
        <v>0</v>
      </c>
      <c r="H530" s="345">
        <f>ROUND($F$530*VLOOKUP($D$530,ALLOCTABLE_DISTR_DEMAND,$H$10,FALSE),0)</f>
        <v>0</v>
      </c>
      <c r="I530" s="345">
        <f>ROUND(F530*VLOOKUP(D530,ALLOCTABLE_DISTR_DEMAND,$I$10,FALSE),0)</f>
        <v>0</v>
      </c>
      <c r="J530" s="345">
        <f>ROUND(F530*VLOOKUP(D530,ALLOCTABLE_DISTR_DEMAND,$J$10,FALSE),0)</f>
        <v>0</v>
      </c>
      <c r="K530" s="345">
        <f>SUM($G$530:$J$530)</f>
        <v>0</v>
      </c>
      <c r="L530" s="345">
        <f>F530-$K$530</f>
        <v>0</v>
      </c>
    </row>
    <row r="531" spans="1:12" ht="13">
      <c r="A531" s="331">
        <v>19</v>
      </c>
      <c r="C531" s="357" t="s">
        <v>1418</v>
      </c>
      <c r="D531" s="342" t="str">
        <f>'FR-16(7)(v)-1 Functional'!D531</f>
        <v>AG39</v>
      </c>
      <c r="E531" s="195"/>
      <c r="F531" s="473">
        <f>'FR-16(7)(v)-4 DISTR Classified'!G531</f>
        <v>-292062</v>
      </c>
      <c r="G531" s="347">
        <f>F531-SUM(H531:J531)</f>
        <v>-150280</v>
      </c>
      <c r="H531" s="345">
        <f>ROUND($F$531*VLOOKUP($D$531,ALLOCTABLE_DISTR_DEMAND,$H$10,FALSE),0)</f>
        <v>-91255</v>
      </c>
      <c r="I531" s="345">
        <f>ROUND(F531*VLOOKUP(D531,ALLOCTABLE_DISTR_DEMAND,$I$10,FALSE),0)</f>
        <v>-38719</v>
      </c>
      <c r="J531" s="345">
        <f>ROUND(F531*VLOOKUP(D531,ALLOCTABLE_DISTR_DEMAND,$J$10,FALSE),0)</f>
        <v>-11808</v>
      </c>
      <c r="K531" s="345">
        <f>SUM($G$531:$J$531)</f>
        <v>-292062</v>
      </c>
      <c r="L531" s="345">
        <f>F531-$K$531</f>
        <v>0</v>
      </c>
    </row>
    <row r="532" spans="1:12" ht="13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-63346</v>
      </c>
      <c r="G532" s="346">
        <f>SUM($G$527:$G$531)</f>
        <v>-32594</v>
      </c>
      <c r="H532" s="346">
        <f>SUM($H$527:$H$531)</f>
        <v>-19793</v>
      </c>
      <c r="I532" s="346">
        <f>SUM($I$527:$I$531)</f>
        <v>-8398</v>
      </c>
      <c r="J532" s="346">
        <f>SUM($J$527:$J$531)</f>
        <v>-2561</v>
      </c>
      <c r="K532" s="346">
        <f>SUM($K$527:$K$531)</f>
        <v>-63346</v>
      </c>
      <c r="L532" s="474">
        <f>SUM($L$527:$L$531)</f>
        <v>0</v>
      </c>
    </row>
    <row r="533" spans="1:12" ht="13">
      <c r="A533" s="331">
        <v>21</v>
      </c>
      <c r="D533" s="342"/>
      <c r="E533" s="195"/>
      <c r="F533" s="351"/>
      <c r="I533" s="330"/>
    </row>
    <row r="534" spans="1:12" ht="13">
      <c r="A534" s="331">
        <v>22</v>
      </c>
      <c r="B534" s="330" t="s">
        <v>418</v>
      </c>
      <c r="D534" s="342"/>
      <c r="E534" s="195"/>
      <c r="F534" s="351"/>
      <c r="I534" s="330"/>
    </row>
    <row r="535" spans="1:12" ht="13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3">
        <f>'FR-16(7)(v)-4 DISTR Classified'!G535</f>
        <v>37337</v>
      </c>
      <c r="G535" s="506">
        <f>ROUND($F$535*VLOOKUP($D$535,ALLOCTABLE_DISTR_DEMAND,$G$10,FALSE),0)</f>
        <v>18860</v>
      </c>
      <c r="H535" s="506">
        <f>ROUND($F$535*VLOOKUP($D$535,ALLOCTABLE_DISTR_DEMAND,$H$10,FALSE),0)</f>
        <v>11836</v>
      </c>
      <c r="I535" s="506">
        <f>ROUND(F535*VLOOKUP(D535,ALLOCTABLE_DISTR_DEMAND,$I$10,FALSE),0)</f>
        <v>5034</v>
      </c>
      <c r="J535" s="506">
        <f>ROUND(F535*VLOOKUP(D535,ALLOCTABLE_DISTR_DEMAND,$J$10,FALSE),0)</f>
        <v>1607</v>
      </c>
      <c r="K535" s="506">
        <f>SUM($G$535:$J$535)</f>
        <v>37337</v>
      </c>
      <c r="L535" s="506">
        <f>F535-$K$535</f>
        <v>0</v>
      </c>
    </row>
    <row r="536" spans="1:12" ht="13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37337</v>
      </c>
      <c r="G536" s="346">
        <f>SUM($G$535:$G$535)</f>
        <v>18860</v>
      </c>
      <c r="H536" s="346">
        <f>SUM($H$535:$H$535)</f>
        <v>11836</v>
      </c>
      <c r="I536" s="346">
        <f>SUM($I$535:$I$535)</f>
        <v>5034</v>
      </c>
      <c r="J536" s="346">
        <f>SUM($J$535:$J$535)</f>
        <v>1607</v>
      </c>
      <c r="K536" s="346">
        <f>SUM($K$535:$K$535)</f>
        <v>37337</v>
      </c>
      <c r="L536" s="346">
        <f>SUM($L$535:$L$535)</f>
        <v>0</v>
      </c>
    </row>
    <row r="537" spans="1:12" ht="13">
      <c r="A537" s="331">
        <v>25</v>
      </c>
      <c r="D537" s="342"/>
      <c r="E537" s="195"/>
      <c r="F537" s="504"/>
      <c r="G537" s="504"/>
      <c r="H537" s="504"/>
      <c r="I537" s="504"/>
      <c r="J537" s="504"/>
      <c r="K537" s="504"/>
      <c r="L537" s="504"/>
    </row>
    <row r="538" spans="1:12" ht="15.5">
      <c r="A538" s="331">
        <v>26</v>
      </c>
      <c r="B538" s="330" t="s">
        <v>73</v>
      </c>
      <c r="D538" s="729"/>
      <c r="E538" s="1"/>
      <c r="F538" s="504"/>
      <c r="G538" s="504"/>
      <c r="H538" s="504"/>
      <c r="I538" s="504"/>
      <c r="J538" s="504"/>
      <c r="K538" s="504"/>
      <c r="L538" s="504"/>
    </row>
    <row r="539" spans="1:12" ht="13">
      <c r="A539" s="331">
        <v>27</v>
      </c>
      <c r="C539" s="330" t="str">
        <f>'FR-16(7)(v)-1 Functional'!C539</f>
        <v>PROV INVEST TAX CREDIT</v>
      </c>
      <c r="D539" s="342" t="s">
        <v>315</v>
      </c>
      <c r="F539" s="473">
        <v>0</v>
      </c>
      <c r="G539" s="506">
        <f>ROUND($F$539*VLOOKUP($D$539,ALLOCTABLE_DISTR_DEMAND,$G$10,FALSE),0)</f>
        <v>0</v>
      </c>
      <c r="H539" s="506">
        <f>ROUND($F$539*VLOOKUP($D$539,ALLOCTABLE_DISTR_DEMAND,$H$10,FALSE),0)</f>
        <v>0</v>
      </c>
      <c r="I539" s="506">
        <f>ROUND(F539*VLOOKUP(D539,ALLOCTABLE_DISTR_DEMAND,$I$10,FALSE),0)</f>
        <v>0</v>
      </c>
      <c r="J539" s="506">
        <f>ROUND(F539*VLOOKUP(D539,ALLOCTABLE_DISTR_DEMAND,$J$10,FALSE),0)</f>
        <v>0</v>
      </c>
      <c r="K539" s="506">
        <f>SUM($G$539:$J$539)</f>
        <v>0</v>
      </c>
      <c r="L539" s="507">
        <f>F539-$K$539</f>
        <v>0</v>
      </c>
    </row>
    <row r="540" spans="1:12" ht="15.5">
      <c r="A540" s="331">
        <v>28</v>
      </c>
      <c r="C540" s="337" t="str">
        <f>'FR-16(7)(v)-1 Functional'!C540</f>
        <v xml:space="preserve">  TEST YEAR INV TAX CREDIT</v>
      </c>
      <c r="D540" s="729"/>
      <c r="E540" s="1"/>
      <c r="F540" s="346">
        <f>SUM(F539:F539)</f>
        <v>0</v>
      </c>
      <c r="G540" s="474">
        <f>SUM($G$539:$G$539)</f>
        <v>0</v>
      </c>
      <c r="H540" s="474">
        <f>SUM($H$539:$H$539)</f>
        <v>0</v>
      </c>
      <c r="I540" s="474">
        <f>SUM($I$539:$I$539)</f>
        <v>0</v>
      </c>
      <c r="J540" s="474">
        <f>SUM($J$539:$J$539)</f>
        <v>0</v>
      </c>
      <c r="K540" s="474">
        <f>SUM($K$539:$K$539)</f>
        <v>0</v>
      </c>
      <c r="L540" s="474">
        <f>SUM($L$539:$L$539)</f>
        <v>0</v>
      </c>
    </row>
    <row r="541" spans="1:12" ht="15.5">
      <c r="A541" s="331">
        <v>29</v>
      </c>
      <c r="B541" s="192"/>
      <c r="C541" s="192"/>
      <c r="D541" s="729"/>
      <c r="E541" s="1"/>
      <c r="F541" s="504"/>
      <c r="G541" s="504"/>
      <c r="H541" s="504"/>
      <c r="I541" s="504"/>
      <c r="J541" s="504"/>
      <c r="K541" s="504"/>
      <c r="L541" s="504"/>
    </row>
    <row r="542" spans="1:12" ht="15.5">
      <c r="A542" s="331">
        <v>30</v>
      </c>
      <c r="B542" s="330" t="s">
        <v>40</v>
      </c>
      <c r="C542" s="192"/>
      <c r="D542" s="729"/>
      <c r="E542" s="1"/>
      <c r="F542" s="504"/>
      <c r="G542" s="504"/>
      <c r="H542" s="504"/>
      <c r="I542" s="504"/>
      <c r="J542" s="504"/>
      <c r="K542" s="504"/>
      <c r="L542" s="504"/>
    </row>
    <row r="543" spans="1:12" ht="13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-63346</v>
      </c>
      <c r="G543" s="345">
        <f>$G$532</f>
        <v>-32594</v>
      </c>
      <c r="H543" s="345">
        <f>$H$532</f>
        <v>-19793</v>
      </c>
      <c r="I543" s="345">
        <f>$I$532</f>
        <v>-8398</v>
      </c>
      <c r="J543" s="345">
        <f>$J$532</f>
        <v>-2561</v>
      </c>
      <c r="K543" s="345">
        <f>$K$532</f>
        <v>-63346</v>
      </c>
      <c r="L543" s="345">
        <f>$L$532</f>
        <v>0</v>
      </c>
    </row>
    <row r="544" spans="1:12" ht="13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-37337</v>
      </c>
      <c r="G544" s="345">
        <f>-$G$536</f>
        <v>-18860</v>
      </c>
      <c r="H544" s="345">
        <f>-$H$536</f>
        <v>-11836</v>
      </c>
      <c r="I544" s="345">
        <f>-$I$536</f>
        <v>-5034</v>
      </c>
      <c r="J544" s="345">
        <f>-$J$536</f>
        <v>-1607</v>
      </c>
      <c r="K544" s="345">
        <f>-$K$536</f>
        <v>-37337</v>
      </c>
      <c r="L544" s="345">
        <f>-$L$536</f>
        <v>0</v>
      </c>
    </row>
    <row r="545" spans="1:12" ht="13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-100683</v>
      </c>
      <c r="G545" s="346">
        <f>SUM($G$543:$G$544)</f>
        <v>-51454</v>
      </c>
      <c r="H545" s="346">
        <f>SUM($H$543:$H$544)</f>
        <v>-31629</v>
      </c>
      <c r="I545" s="346">
        <f>SUM($I$543:$I$544)</f>
        <v>-13432</v>
      </c>
      <c r="J545" s="346">
        <f>SUM($J$543:$J$544)</f>
        <v>-4168</v>
      </c>
      <c r="K545" s="346">
        <f>SUM($K$543:$K$544)</f>
        <v>-100683</v>
      </c>
      <c r="L545" s="346">
        <f>SUM($L$543:$L$544)</f>
        <v>0</v>
      </c>
    </row>
    <row r="546" spans="1:12" ht="13">
      <c r="A546" s="331">
        <v>34</v>
      </c>
      <c r="D546" s="342"/>
      <c r="E546" s="195"/>
      <c r="F546" s="351"/>
      <c r="I546" s="330"/>
    </row>
    <row r="547" spans="1:12" ht="13">
      <c r="A547" s="331">
        <v>35</v>
      </c>
      <c r="B547" s="330" t="s">
        <v>74</v>
      </c>
      <c r="D547" s="342"/>
      <c r="E547" s="195"/>
      <c r="F547" s="351"/>
      <c r="I547" s="330"/>
    </row>
    <row r="548" spans="1:12" ht="13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L548" si="160">F334</f>
        <v>20155242</v>
      </c>
      <c r="G548" s="345">
        <f>G334</f>
        <v>10181600</v>
      </c>
      <c r="H548" s="345">
        <f t="shared" si="160"/>
        <v>6389172</v>
      </c>
      <c r="I548" s="345">
        <f t="shared" si="160"/>
        <v>2717208</v>
      </c>
      <c r="J548" s="345">
        <f t="shared" si="160"/>
        <v>867262</v>
      </c>
      <c r="K548" s="345">
        <f t="shared" si="160"/>
        <v>20155242</v>
      </c>
      <c r="L548" s="345">
        <f t="shared" si="160"/>
        <v>0</v>
      </c>
    </row>
    <row r="549" spans="1:12" ht="13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-9483004</v>
      </c>
      <c r="G549" s="345">
        <f>-$G$524</f>
        <v>-4794364</v>
      </c>
      <c r="H549" s="345">
        <f>-$H$524</f>
        <v>-3004218</v>
      </c>
      <c r="I549" s="345">
        <f>-$I$524</f>
        <v>-1277475</v>
      </c>
      <c r="J549" s="345">
        <f>-$J$524</f>
        <v>-406947</v>
      </c>
      <c r="K549" s="345">
        <f>-$K$524</f>
        <v>-9483004</v>
      </c>
      <c r="L549" s="345">
        <f>-$L$524</f>
        <v>0</v>
      </c>
    </row>
    <row r="550" spans="1:12" ht="13">
      <c r="A550" s="331">
        <v>38</v>
      </c>
      <c r="C550" s="330" t="s">
        <v>1419</v>
      </c>
      <c r="D550" s="342"/>
      <c r="E550" s="195"/>
      <c r="F550" s="347">
        <f>F591</f>
        <v>388867</v>
      </c>
      <c r="G550" s="347">
        <f t="shared" ref="G550:L550" si="161">G591</f>
        <v>196428</v>
      </c>
      <c r="H550" s="347">
        <f t="shared" si="161"/>
        <v>123275</v>
      </c>
      <c r="I550" s="347">
        <f t="shared" si="161"/>
        <v>52427</v>
      </c>
      <c r="J550" s="347">
        <f t="shared" si="161"/>
        <v>16737</v>
      </c>
      <c r="K550" s="347">
        <f t="shared" si="161"/>
        <v>388867</v>
      </c>
      <c r="L550" s="347">
        <f t="shared" si="161"/>
        <v>0</v>
      </c>
    </row>
    <row r="551" spans="1:12" ht="13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-100683</v>
      </c>
      <c r="G551" s="345">
        <f>$G$545</f>
        <v>-51454</v>
      </c>
      <c r="H551" s="345">
        <f>$H$545</f>
        <v>-31629</v>
      </c>
      <c r="I551" s="345">
        <f>$I$545</f>
        <v>-13432</v>
      </c>
      <c r="J551" s="345">
        <f>$J$545</f>
        <v>-4168</v>
      </c>
      <c r="K551" s="345">
        <f>$K$545</f>
        <v>-100683</v>
      </c>
      <c r="L551" s="345">
        <f>$L$545</f>
        <v>0</v>
      </c>
    </row>
    <row r="552" spans="1:12" ht="13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>SUM(F548:F551)</f>
        <v>10960422</v>
      </c>
      <c r="G552" s="346">
        <f>SUM($G$548:$G$551)</f>
        <v>5532210</v>
      </c>
      <c r="H552" s="346">
        <f>SUM($H$548:$H$551)</f>
        <v>3476600</v>
      </c>
      <c r="I552" s="346">
        <f>SUM($I$548:$I$551)</f>
        <v>1478728</v>
      </c>
      <c r="J552" s="346">
        <f>SUM($J$548:$J$551)</f>
        <v>472884</v>
      </c>
      <c r="K552" s="346">
        <f>SUM($K$548:$K$551)</f>
        <v>10960422</v>
      </c>
      <c r="L552" s="346">
        <f>SUM($L$548:$L$551)</f>
        <v>0</v>
      </c>
    </row>
    <row r="553" spans="1:12" ht="13">
      <c r="A553" s="331">
        <v>41</v>
      </c>
      <c r="D553" s="342"/>
      <c r="E553" s="195"/>
      <c r="F553" s="351"/>
      <c r="I553" s="330"/>
    </row>
    <row r="554" spans="1:12" ht="13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348">
        <f>ROUND(G692/(1-G692),9)</f>
        <v>0.26582278500000001</v>
      </c>
      <c r="H554" s="348">
        <f>ROUND(H692/(1-H692),9)</f>
        <v>0.26582278500000001</v>
      </c>
      <c r="I554" s="348">
        <f>ROUND(I692/(1-I692),9)</f>
        <v>0.26582278500000001</v>
      </c>
      <c r="J554" s="348">
        <f>ROUND(J692/(1-J692),9)</f>
        <v>0.26582278500000001</v>
      </c>
      <c r="K554" s="348"/>
      <c r="L554" s="348">
        <f>ROUND(K692/(1-K692),9)</f>
        <v>0.26582278500000001</v>
      </c>
    </row>
    <row r="555" spans="1:12" ht="13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>ROUND(F554*F552,0)</f>
        <v>2913530</v>
      </c>
      <c r="G555" s="345">
        <f>ROUND($G$552*$G$554,0)</f>
        <v>1470587</v>
      </c>
      <c r="H555" s="345">
        <f>ROUND($H$552*$H$554,0)</f>
        <v>924159</v>
      </c>
      <c r="I555" s="345">
        <f>ROUND($I$552*$I$554,0)</f>
        <v>393080</v>
      </c>
      <c r="J555" s="345">
        <f>ROUND($J$552*$J$554,0)</f>
        <v>125703</v>
      </c>
      <c r="K555" s="345">
        <f>SUM($G$555:$J$555)</f>
        <v>2913529</v>
      </c>
      <c r="L555" s="345">
        <f>ROUND($L$552*$L$554,0)</f>
        <v>0</v>
      </c>
    </row>
    <row r="556" spans="1:12" ht="13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-100683</v>
      </c>
      <c r="G556" s="345">
        <f>$G$545</f>
        <v>-51454</v>
      </c>
      <c r="H556" s="345">
        <f>$H$545</f>
        <v>-31629</v>
      </c>
      <c r="I556" s="345">
        <f>$I$545</f>
        <v>-13432</v>
      </c>
      <c r="J556" s="345">
        <f>$J$545</f>
        <v>-4168</v>
      </c>
      <c r="K556" s="345">
        <f>$K$545</f>
        <v>-100683</v>
      </c>
      <c r="L556" s="345">
        <f>$L$545</f>
        <v>0</v>
      </c>
    </row>
    <row r="557" spans="1:12" ht="13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>SUM(F555:F556)</f>
        <v>2812847</v>
      </c>
      <c r="G557" s="346">
        <f>SUM($G$555:$G$556)</f>
        <v>1419133</v>
      </c>
      <c r="H557" s="346">
        <f>SUM($H$555:$H$556)</f>
        <v>892530</v>
      </c>
      <c r="I557" s="346">
        <f>SUM($I$555:$I$556)</f>
        <v>379648</v>
      </c>
      <c r="J557" s="346">
        <f>SUM($J$555:$J$556)</f>
        <v>121535</v>
      </c>
      <c r="K557" s="346">
        <f>SUM($K$555:$K$556)</f>
        <v>2812846</v>
      </c>
      <c r="L557" s="346">
        <f>SUM($L$555:$L$556)</f>
        <v>0</v>
      </c>
    </row>
    <row r="558" spans="1:12" ht="13">
      <c r="A558" s="331">
        <v>46</v>
      </c>
      <c r="D558" s="342"/>
      <c r="E558" s="195"/>
      <c r="F558" s="351"/>
      <c r="I558" s="330"/>
    </row>
    <row r="559" spans="1:12" ht="13">
      <c r="A559" s="331">
        <v>47</v>
      </c>
      <c r="B559" s="330" t="s">
        <v>68</v>
      </c>
      <c r="D559" s="342"/>
      <c r="E559" s="195"/>
      <c r="F559" s="351"/>
      <c r="I559" s="330"/>
    </row>
    <row r="560" spans="1:12" ht="13">
      <c r="A560" s="331">
        <v>48</v>
      </c>
      <c r="B560" s="330" t="s">
        <v>75</v>
      </c>
      <c r="D560" s="342"/>
      <c r="E560" s="195"/>
      <c r="F560" s="351"/>
      <c r="I560" s="330"/>
    </row>
    <row r="561" spans="1:12" ht="13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>F555</f>
        <v>2913530</v>
      </c>
      <c r="G561" s="345">
        <f>$G$555</f>
        <v>1470587</v>
      </c>
      <c r="H561" s="345">
        <f>$H$555</f>
        <v>924159</v>
      </c>
      <c r="I561" s="345">
        <f>$I$555</f>
        <v>393080</v>
      </c>
      <c r="J561" s="345">
        <f>$J$555</f>
        <v>125703</v>
      </c>
      <c r="K561" s="345">
        <f>$K$555</f>
        <v>2913529</v>
      </c>
      <c r="L561" s="345">
        <f>$L$555</f>
        <v>0</v>
      </c>
    </row>
    <row r="562" spans="1:12" ht="13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620">
        <f>-$G$540</f>
        <v>0</v>
      </c>
      <c r="H562" s="620">
        <f>-$H$540</f>
        <v>0</v>
      </c>
      <c r="I562" s="345">
        <f>-$I$540</f>
        <v>0</v>
      </c>
      <c r="J562" s="345">
        <f>-$J$540</f>
        <v>0</v>
      </c>
      <c r="K562" s="345">
        <f>-$K$540</f>
        <v>0</v>
      </c>
      <c r="L562" s="345">
        <f>-$L$540</f>
        <v>0</v>
      </c>
    </row>
    <row r="563" spans="1:12" ht="13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>SUM(F560:F562)</f>
        <v>2913530</v>
      </c>
      <c r="G563" s="346">
        <f>SUM($G$560:$G$562)</f>
        <v>1470587</v>
      </c>
      <c r="H563" s="346">
        <f>SUM($H$560:$H$562)</f>
        <v>924159</v>
      </c>
      <c r="I563" s="346">
        <f>SUM($I$560:$I$562)</f>
        <v>393080</v>
      </c>
      <c r="J563" s="346">
        <f>SUM($J$560:$J$562)</f>
        <v>125703</v>
      </c>
      <c r="K563" s="346">
        <f>SUM($K$560:$K$562)</f>
        <v>2913529</v>
      </c>
      <c r="L563" s="346">
        <f>SUM($L$560:$L$562)</f>
        <v>0</v>
      </c>
    </row>
    <row r="564" spans="1:12" ht="13">
      <c r="A564" s="331">
        <v>52</v>
      </c>
      <c r="D564" s="342"/>
      <c r="E564" s="195"/>
      <c r="I564" s="330"/>
    </row>
    <row r="565" spans="1:12" ht="13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330">
        <f>ROUND((G693*(1-G692))+((1-G693)*(1-G692)*G694)+G692,5)</f>
        <v>0.24925</v>
      </c>
      <c r="H565" s="330">
        <f>ROUND((H693*(1-H692))+((1-H693)*(1-H692)*H694)+H692,5)</f>
        <v>0.24925</v>
      </c>
      <c r="I565" s="330">
        <f>ROUND((I693*(1-I692))+((1-I693)*(1-I692)*I694)+I692,7)</f>
        <v>0.24925120000000001</v>
      </c>
      <c r="J565" s="330">
        <f>ROUND((J693*(1-J692))+((1-J693)*(1-J692)*J694)+J692,5)</f>
        <v>0.24925</v>
      </c>
      <c r="L565" s="330">
        <f>ROUND((K693*(1-K692))+((1-K693)*(1-K692)*K694)+K692,5)</f>
        <v>0.24925</v>
      </c>
    </row>
    <row r="566" spans="1:12" ht="13">
      <c r="B566" s="341"/>
      <c r="C566" s="195"/>
      <c r="D566" s="342"/>
      <c r="E566" s="195"/>
      <c r="G566" s="195"/>
      <c r="H566" s="195"/>
      <c r="I566" s="195"/>
      <c r="J566" s="342"/>
      <c r="K566" s="195"/>
      <c r="L566" s="195"/>
    </row>
    <row r="567" spans="1:12" ht="13">
      <c r="A567" s="341" t="str">
        <f>co_name</f>
        <v>DUKE ENERGY KENTUCKY, INC.</v>
      </c>
      <c r="C567" s="195"/>
      <c r="D567" s="342"/>
      <c r="E567" s="195"/>
      <c r="F567" s="342"/>
      <c r="G567" s="340"/>
      <c r="H567" s="340"/>
      <c r="I567" s="195"/>
      <c r="K567" s="359" t="str">
        <f>$K$1</f>
        <v>FR-16(7)(v)-5</v>
      </c>
      <c r="L567" s="195"/>
    </row>
    <row r="568" spans="1:12" ht="13">
      <c r="A568" s="341" t="str">
        <f>$A$2</f>
        <v>DISTRIBUTION DEMAND ALLOCATED - GAS COST OF SERVICE</v>
      </c>
      <c r="C568" s="195"/>
      <c r="D568" s="342"/>
      <c r="E568" s="195"/>
      <c r="F568" s="342"/>
      <c r="G568" s="340"/>
      <c r="H568" s="340"/>
      <c r="I568" s="195"/>
      <c r="K568" s="359" t="str">
        <f>$K$2</f>
        <v>WITNESS RESPONSIBLE:</v>
      </c>
      <c r="L568" s="195"/>
    </row>
    <row r="569" spans="1:12" ht="13">
      <c r="A569" s="341" t="str">
        <f>case_name</f>
        <v>CASE NO: 2021-00190</v>
      </c>
      <c r="C569" s="195"/>
      <c r="D569" s="342"/>
      <c r="E569" s="195"/>
      <c r="F569" s="342"/>
      <c r="G569" s="340"/>
      <c r="H569" s="340"/>
      <c r="I569" s="195"/>
      <c r="K569" s="359" t="str">
        <f>Witness</f>
        <v>JAMES E. ZIOLKOWSKI</v>
      </c>
      <c r="L569" s="195"/>
    </row>
    <row r="570" spans="1:12" ht="13">
      <c r="A570" s="341" t="str">
        <f>data_filing</f>
        <v>DATA: 12 MONTH FORECASTED PERIOD</v>
      </c>
      <c r="C570" s="195"/>
      <c r="D570" s="342"/>
      <c r="E570" s="195"/>
      <c r="F570" s="342"/>
      <c r="G570" s="340"/>
      <c r="H570" s="340"/>
      <c r="I570" s="195"/>
      <c r="K570" s="359" t="str">
        <f>"PAGE "&amp;Pages-5&amp;" OF "&amp;Pages</f>
        <v>PAGE 13 OF 18</v>
      </c>
      <c r="L570" s="195"/>
    </row>
    <row r="571" spans="1:12" ht="13">
      <c r="A571" s="341" t="str">
        <f>type</f>
        <v xml:space="preserve">TYPE OF FILING: "X" ORIGINAL   UPDATED    REVISED  </v>
      </c>
      <c r="C571" s="195"/>
      <c r="D571" s="342"/>
      <c r="E571" s="195"/>
      <c r="F571" s="342"/>
      <c r="G571" s="340"/>
      <c r="H571" s="340"/>
      <c r="I571" s="195"/>
      <c r="J571" s="342"/>
      <c r="K571" s="195"/>
      <c r="L571" s="195"/>
    </row>
    <row r="573" spans="1:12" ht="13">
      <c r="F573" s="342" t="str">
        <f>$F$7</f>
        <v>TOTAL</v>
      </c>
      <c r="G573" s="195"/>
      <c r="H573" s="195"/>
      <c r="I573" s="195"/>
      <c r="J573" s="342"/>
      <c r="K573" s="195"/>
      <c r="L573" s="195"/>
    </row>
    <row r="574" spans="1:12" ht="13">
      <c r="A574" s="342" t="s">
        <v>907</v>
      </c>
      <c r="B574" s="1352"/>
      <c r="C574" s="1083"/>
      <c r="D574" s="1083"/>
      <c r="E574" s="340"/>
      <c r="F574" s="342" t="str">
        <f>$F$8</f>
        <v>DISTRIBUTION</v>
      </c>
      <c r="G574" s="342" t="s">
        <v>417</v>
      </c>
      <c r="H574" s="342" t="s">
        <v>857</v>
      </c>
      <c r="I574" s="342" t="s">
        <v>858</v>
      </c>
      <c r="J574" s="342" t="s">
        <v>546</v>
      </c>
      <c r="K574" s="342" t="s">
        <v>229</v>
      </c>
      <c r="L574" s="342" t="s">
        <v>342</v>
      </c>
    </row>
    <row r="575" spans="1:12" ht="13">
      <c r="A575" s="344" t="s">
        <v>908</v>
      </c>
      <c r="B575" s="1354" t="s">
        <v>1376</v>
      </c>
      <c r="C575" s="1355"/>
      <c r="D575" s="1356" t="s">
        <v>1377</v>
      </c>
      <c r="E575" s="1357"/>
      <c r="F575" s="342" t="str">
        <f>$F$9</f>
        <v>DEMAND</v>
      </c>
      <c r="G575" s="344" t="s">
        <v>338</v>
      </c>
      <c r="H575" s="344" t="s">
        <v>404</v>
      </c>
      <c r="I575" s="344" t="s">
        <v>404</v>
      </c>
      <c r="J575" s="344" t="s">
        <v>547</v>
      </c>
      <c r="K575" s="344" t="s">
        <v>341</v>
      </c>
      <c r="L575" s="344" t="s">
        <v>340</v>
      </c>
    </row>
    <row r="576" spans="1:12" ht="15.5">
      <c r="A576" s="1358"/>
      <c r="B576" s="1359"/>
      <c r="C576" s="1360" t="s">
        <v>1378</v>
      </c>
      <c r="D576" s="1361"/>
      <c r="E576" s="340"/>
      <c r="F576" s="755"/>
      <c r="G576" s="627">
        <f>$G$10</f>
        <v>3</v>
      </c>
      <c r="H576" s="627">
        <f>$H$10</f>
        <v>4</v>
      </c>
      <c r="I576" s="627">
        <f>$I$10</f>
        <v>5</v>
      </c>
      <c r="J576" s="627">
        <f>$J$10</f>
        <v>6</v>
      </c>
    </row>
    <row r="577" spans="1:12" ht="13">
      <c r="A577" s="961">
        <v>1</v>
      </c>
      <c r="B577" s="1365" t="s">
        <v>1379</v>
      </c>
      <c r="C577" s="1352"/>
      <c r="D577" s="1352"/>
      <c r="E577" s="340"/>
    </row>
    <row r="578" spans="1:12" ht="13">
      <c r="A578" s="961">
        <v>2</v>
      </c>
      <c r="B578" s="1369" t="s">
        <v>1380</v>
      </c>
      <c r="C578" s="1352"/>
      <c r="D578" s="1370" t="s">
        <v>315</v>
      </c>
      <c r="E578" s="340"/>
      <c r="F578" s="333">
        <f>'FR-16(7)(v)-4 DISTR Classified'!G578</f>
        <v>4165352</v>
      </c>
      <c r="G578" s="347">
        <f>F578-SUM(H578:J578)</f>
        <v>2104044</v>
      </c>
      <c r="H578" s="345">
        <f>ROUND($F578*VLOOKUP($D578,ALLOCTABLE_DISTR_DEMAND,$H$10,FALSE),0)</f>
        <v>1320458</v>
      </c>
      <c r="I578" s="345">
        <f>ROUND(F578*VLOOKUP(D578,ALLOCTABLE_DISTR_DEMAND,$I$10,FALSE),0)</f>
        <v>561573</v>
      </c>
      <c r="J578" s="345">
        <f>ROUND(F578*VLOOKUP(D578,ALLOCTABLE_DISTR_DEMAND,$J$10,FALSE),0)</f>
        <v>179277</v>
      </c>
      <c r="K578" s="345">
        <f>SUM(G578:J578)</f>
        <v>4165352</v>
      </c>
      <c r="L578" s="345">
        <f>F578-K578</f>
        <v>0</v>
      </c>
    </row>
    <row r="579" spans="1:12" ht="13">
      <c r="A579" s="961">
        <v>3</v>
      </c>
      <c r="B579" s="1369" t="s">
        <v>1152</v>
      </c>
      <c r="C579" s="1371"/>
      <c r="D579" s="1370" t="s">
        <v>315</v>
      </c>
      <c r="E579" s="340"/>
      <c r="F579" s="1458">
        <f>'FR-16(7)(v)-4 DISTR Classified'!G579</f>
        <v>0</v>
      </c>
      <c r="G579" s="1451">
        <f>F579-SUM(H579:J579)</f>
        <v>0</v>
      </c>
      <c r="H579" s="1451">
        <f>ROUND($F579*VLOOKUP($D579,ALLOCTABLE_DISTR_DEMAND,$H$10,FALSE),0)</f>
        <v>0</v>
      </c>
      <c r="I579" s="1452">
        <f>ROUND(F579*VLOOKUP(D579,ALLOCTABLE_DISTR_DEMAND,$I$10,FALSE),0)</f>
        <v>0</v>
      </c>
      <c r="J579" s="1451">
        <f>ROUND(F579*VLOOKUP(D579,ALLOCTABLE_DISTR_DEMAND,$J$10,FALSE),0)</f>
        <v>0</v>
      </c>
      <c r="K579" s="1451">
        <f>SUM(G579:J579)</f>
        <v>0</v>
      </c>
      <c r="L579" s="1451">
        <f>F579-K579</f>
        <v>0</v>
      </c>
    </row>
    <row r="580" spans="1:12" ht="13">
      <c r="A580" s="961">
        <v>4</v>
      </c>
      <c r="B580" s="1373" t="s">
        <v>1381</v>
      </c>
      <c r="C580" s="1352"/>
      <c r="D580" s="1374"/>
      <c r="E580" s="340"/>
      <c r="F580" s="333">
        <f>SUM(F578:F579)</f>
        <v>4165352</v>
      </c>
      <c r="G580" s="333">
        <f t="shared" ref="G580:L580" si="162">SUM(G578:G579)</f>
        <v>2104044</v>
      </c>
      <c r="H580" s="333">
        <f t="shared" si="162"/>
        <v>1320458</v>
      </c>
      <c r="I580" s="333">
        <f t="shared" si="162"/>
        <v>561573</v>
      </c>
      <c r="J580" s="333">
        <f t="shared" si="162"/>
        <v>179277</v>
      </c>
      <c r="K580" s="333">
        <f t="shared" si="162"/>
        <v>4165352</v>
      </c>
      <c r="L580" s="333">
        <f t="shared" si="162"/>
        <v>0</v>
      </c>
    </row>
    <row r="581" spans="1:12" ht="15.5">
      <c r="A581" s="961">
        <v>5</v>
      </c>
      <c r="B581" s="1358"/>
      <c r="C581" s="1361"/>
      <c r="D581" s="1375"/>
      <c r="E581" s="340"/>
    </row>
    <row r="582" spans="1:12" ht="13">
      <c r="A582" s="961">
        <v>6</v>
      </c>
      <c r="B582" s="1376" t="s">
        <v>1382</v>
      </c>
      <c r="C582" s="1352"/>
      <c r="D582" s="1374"/>
      <c r="E582" s="340"/>
    </row>
    <row r="583" spans="1:12" ht="13">
      <c r="A583" s="961">
        <v>7</v>
      </c>
      <c r="B583" s="1377" t="s">
        <v>1383</v>
      </c>
      <c r="C583" s="1352"/>
      <c r="D583" s="1374"/>
      <c r="E583" s="340"/>
    </row>
    <row r="584" spans="1:12" ht="13">
      <c r="A584" s="961">
        <v>8</v>
      </c>
      <c r="B584" s="1378" t="s">
        <v>1384</v>
      </c>
      <c r="C584" s="1371"/>
      <c r="D584" s="1370" t="s">
        <v>315</v>
      </c>
      <c r="E584" s="340"/>
      <c r="F584" s="1458">
        <f>'FR-16(7)(v)-4 DISTR Classified'!G584</f>
        <v>388867</v>
      </c>
      <c r="G584" s="1459">
        <f>F584-SUM(H584:J584)</f>
        <v>196428</v>
      </c>
      <c r="H584" s="1459">
        <f>ROUND($F584*VLOOKUP($D584,ALLOCTABLE_DISTR_DEMAND,$H$10,FALSE),0)</f>
        <v>123275</v>
      </c>
      <c r="I584" s="1460">
        <f>ROUND(F584*VLOOKUP(D584,ALLOCTABLE_DISTR_DEMAND,$I$10,FALSE),0)</f>
        <v>52427</v>
      </c>
      <c r="J584" s="1459">
        <f>ROUND(F584*VLOOKUP(D584,ALLOCTABLE_DISTR_DEMAND,$J$10,FALSE),0)</f>
        <v>16737</v>
      </c>
      <c r="K584" s="1459">
        <f>SUM(G584:J584)</f>
        <v>388867</v>
      </c>
      <c r="L584" s="1459">
        <f>F584-K584</f>
        <v>0</v>
      </c>
    </row>
    <row r="585" spans="1:12" ht="13">
      <c r="A585" s="961">
        <v>9</v>
      </c>
      <c r="B585" s="1373" t="s">
        <v>1386</v>
      </c>
      <c r="C585" s="1352"/>
      <c r="D585" s="1374"/>
      <c r="E585" s="340"/>
      <c r="F585" s="333">
        <f>SUM(F584)</f>
        <v>388867</v>
      </c>
      <c r="G585" s="333">
        <f t="shared" ref="G585:L585" si="163">SUM(G584)</f>
        <v>196428</v>
      </c>
      <c r="H585" s="333">
        <f t="shared" si="163"/>
        <v>123275</v>
      </c>
      <c r="I585" s="333">
        <f t="shared" si="163"/>
        <v>52427</v>
      </c>
      <c r="J585" s="333">
        <f t="shared" si="163"/>
        <v>16737</v>
      </c>
      <c r="K585" s="333">
        <f t="shared" si="163"/>
        <v>388867</v>
      </c>
      <c r="L585" s="333">
        <f t="shared" si="163"/>
        <v>0</v>
      </c>
    </row>
    <row r="586" spans="1:12" ht="13">
      <c r="A586" s="961">
        <v>10</v>
      </c>
      <c r="B586" s="1082"/>
      <c r="C586" s="1352"/>
      <c r="D586" s="1374"/>
      <c r="E586" s="340"/>
    </row>
    <row r="587" spans="1:12" ht="13">
      <c r="A587" s="961">
        <v>11</v>
      </c>
      <c r="B587" s="1379" t="s">
        <v>1387</v>
      </c>
      <c r="C587" s="1380"/>
      <c r="D587" s="1381"/>
      <c r="E587" s="340"/>
    </row>
    <row r="588" spans="1:12" ht="13">
      <c r="A588" s="961">
        <v>12</v>
      </c>
      <c r="B588" s="1369" t="s">
        <v>1388</v>
      </c>
      <c r="C588" s="1371"/>
      <c r="D588" s="1370" t="s">
        <v>315</v>
      </c>
      <c r="E588" s="340"/>
      <c r="F588" s="1454">
        <f>'FR-16(7)(v)-4 DISTR Classified'!G588</f>
        <v>0</v>
      </c>
      <c r="G588" s="1453">
        <f>F588-SUM(H588:J588)</f>
        <v>0</v>
      </c>
      <c r="H588" s="1453">
        <f>ROUND($F588*VLOOKUP($D588,ALLOCTABLE_DISTR_DEMAND,$H$10,FALSE),0)</f>
        <v>0</v>
      </c>
      <c r="I588" s="1454">
        <f>ROUND(F588*VLOOKUP(D588,ALLOCTABLE_DISTR_DEMAND,$I$10,FALSE),0)</f>
        <v>0</v>
      </c>
      <c r="J588" s="1454">
        <f>ROUND(F588*VLOOKUP(D588,ALLOCTABLE_DISTR_DEMAND,$J$10,FALSE),0)</f>
        <v>0</v>
      </c>
      <c r="K588" s="1454">
        <f>SUM(G588:J588)</f>
        <v>0</v>
      </c>
      <c r="L588" s="1454">
        <f>F588-K588</f>
        <v>0</v>
      </c>
    </row>
    <row r="589" spans="1:12" ht="13">
      <c r="A589" s="961">
        <v>13</v>
      </c>
      <c r="B589" s="1373" t="s">
        <v>1389</v>
      </c>
      <c r="C589" s="1352"/>
      <c r="D589" s="1374"/>
      <c r="E589" s="340"/>
      <c r="F589" s="333">
        <f>SUM(F588)</f>
        <v>0</v>
      </c>
      <c r="G589" s="333">
        <f t="shared" ref="G589:L589" si="164">SUM(G588)</f>
        <v>0</v>
      </c>
      <c r="H589" s="333">
        <f t="shared" si="164"/>
        <v>0</v>
      </c>
      <c r="I589" s="333">
        <f t="shared" si="164"/>
        <v>0</v>
      </c>
      <c r="J589" s="333">
        <f t="shared" si="164"/>
        <v>0</v>
      </c>
      <c r="K589" s="333">
        <f t="shared" si="164"/>
        <v>0</v>
      </c>
      <c r="L589" s="333">
        <f t="shared" si="164"/>
        <v>0</v>
      </c>
    </row>
    <row r="590" spans="1:12" ht="13">
      <c r="A590" s="961">
        <v>14</v>
      </c>
      <c r="B590" s="1352"/>
      <c r="C590" s="1352"/>
      <c r="D590" s="1374"/>
      <c r="E590" s="340"/>
    </row>
    <row r="591" spans="1:12" ht="13">
      <c r="A591" s="961">
        <v>15</v>
      </c>
      <c r="B591" s="1352" t="s">
        <v>1390</v>
      </c>
      <c r="C591" s="1352"/>
      <c r="D591" s="1374"/>
      <c r="E591" s="340"/>
      <c r="F591" s="1280">
        <f>F589+F585</f>
        <v>388867</v>
      </c>
      <c r="G591" s="1280">
        <f t="shared" ref="G591:L591" si="165">G589+G585</f>
        <v>196428</v>
      </c>
      <c r="H591" s="1280">
        <f t="shared" si="165"/>
        <v>123275</v>
      </c>
      <c r="I591" s="1280">
        <f t="shared" si="165"/>
        <v>52427</v>
      </c>
      <c r="J591" s="1280">
        <f t="shared" si="165"/>
        <v>16737</v>
      </c>
      <c r="K591" s="1280">
        <f t="shared" si="165"/>
        <v>388867</v>
      </c>
      <c r="L591" s="1280">
        <f t="shared" si="165"/>
        <v>0</v>
      </c>
    </row>
    <row r="592" spans="1:12" ht="13">
      <c r="A592" s="961">
        <v>16</v>
      </c>
      <c r="B592" s="1352"/>
      <c r="C592" s="1352"/>
      <c r="D592" s="1374"/>
      <c r="E592" s="340"/>
    </row>
    <row r="593" spans="1:12" ht="13">
      <c r="A593" s="961">
        <v>17</v>
      </c>
      <c r="B593" s="1382" t="s">
        <v>68</v>
      </c>
      <c r="C593" s="1383"/>
      <c r="D593" s="961"/>
      <c r="E593" s="340"/>
    </row>
    <row r="594" spans="1:12" ht="13">
      <c r="A594" s="961">
        <v>18</v>
      </c>
      <c r="B594" s="1377" t="s">
        <v>1391</v>
      </c>
      <c r="C594" s="1352"/>
      <c r="D594" s="1374"/>
      <c r="E594" s="340"/>
    </row>
    <row r="595" spans="1:12" ht="13">
      <c r="A595" s="961">
        <v>19</v>
      </c>
      <c r="B595" s="1352" t="s">
        <v>43</v>
      </c>
      <c r="C595" s="1352"/>
      <c r="D595" s="1374"/>
      <c r="E595" s="340"/>
      <c r="F595" s="473">
        <f>F334</f>
        <v>20155242</v>
      </c>
      <c r="G595" s="473">
        <f t="shared" ref="G595:L595" si="166">G334</f>
        <v>10181600</v>
      </c>
      <c r="H595" s="473">
        <f t="shared" si="166"/>
        <v>6389172</v>
      </c>
      <c r="I595" s="473">
        <f t="shared" si="166"/>
        <v>2717208</v>
      </c>
      <c r="J595" s="473">
        <f t="shared" si="166"/>
        <v>867262</v>
      </c>
      <c r="K595" s="473">
        <f t="shared" si="166"/>
        <v>20155242</v>
      </c>
      <c r="L595" s="473">
        <f t="shared" si="166"/>
        <v>0</v>
      </c>
    </row>
    <row r="596" spans="1:12" ht="13">
      <c r="A596" s="961">
        <v>20</v>
      </c>
      <c r="B596" s="1352" t="s">
        <v>199</v>
      </c>
      <c r="C596" s="1352"/>
      <c r="D596" s="1374"/>
      <c r="E596" s="340"/>
      <c r="F596" s="473">
        <f>F557</f>
        <v>2812847</v>
      </c>
      <c r="G596" s="473">
        <f t="shared" ref="G596:L596" si="167">G557</f>
        <v>1419133</v>
      </c>
      <c r="H596" s="473">
        <f t="shared" si="167"/>
        <v>892530</v>
      </c>
      <c r="I596" s="473">
        <f t="shared" si="167"/>
        <v>379648</v>
      </c>
      <c r="J596" s="473">
        <f t="shared" si="167"/>
        <v>121535</v>
      </c>
      <c r="K596" s="473">
        <f t="shared" si="167"/>
        <v>2812846</v>
      </c>
      <c r="L596" s="473">
        <f t="shared" si="167"/>
        <v>0</v>
      </c>
    </row>
    <row r="597" spans="1:12" ht="13">
      <c r="A597" s="961">
        <v>21</v>
      </c>
      <c r="B597" s="1352" t="s">
        <v>1392</v>
      </c>
      <c r="C597" s="1352"/>
      <c r="D597" s="1374"/>
      <c r="E597" s="340"/>
      <c r="F597" s="473">
        <f>-F524</f>
        <v>-9483004</v>
      </c>
      <c r="G597" s="473">
        <f t="shared" ref="G597:L597" si="168">-G524</f>
        <v>-4794364</v>
      </c>
      <c r="H597" s="473">
        <f t="shared" si="168"/>
        <v>-3004218</v>
      </c>
      <c r="I597" s="473">
        <f t="shared" si="168"/>
        <v>-1277475</v>
      </c>
      <c r="J597" s="473">
        <f t="shared" si="168"/>
        <v>-406947</v>
      </c>
      <c r="K597" s="473">
        <f t="shared" si="168"/>
        <v>-9483004</v>
      </c>
      <c r="L597" s="473">
        <f t="shared" si="168"/>
        <v>0</v>
      </c>
    </row>
    <row r="598" spans="1:12" ht="13">
      <c r="A598" s="961">
        <v>22</v>
      </c>
      <c r="B598" s="1352" t="s">
        <v>1393</v>
      </c>
      <c r="C598" s="1352"/>
      <c r="D598" s="1374"/>
      <c r="E598" s="340"/>
      <c r="F598" s="473">
        <f>-F580</f>
        <v>-4165352</v>
      </c>
      <c r="G598" s="473">
        <f t="shared" ref="G598:L598" si="169">-G580</f>
        <v>-2104044</v>
      </c>
      <c r="H598" s="473">
        <f t="shared" si="169"/>
        <v>-1320458</v>
      </c>
      <c r="I598" s="473">
        <f t="shared" si="169"/>
        <v>-561573</v>
      </c>
      <c r="J598" s="473">
        <f t="shared" si="169"/>
        <v>-179277</v>
      </c>
      <c r="K598" s="473">
        <f t="shared" si="169"/>
        <v>-4165352</v>
      </c>
      <c r="L598" s="473">
        <f t="shared" si="169"/>
        <v>0</v>
      </c>
    </row>
    <row r="599" spans="1:12" ht="13">
      <c r="A599" s="961">
        <v>23</v>
      </c>
      <c r="B599" s="1371" t="s">
        <v>1394</v>
      </c>
      <c r="C599" s="1371"/>
      <c r="D599" s="1374"/>
      <c r="E599" s="340"/>
      <c r="F599" s="1455">
        <f>F591</f>
        <v>388867</v>
      </c>
      <c r="G599" s="1455">
        <f t="shared" ref="G599:L599" si="170">G591</f>
        <v>196428</v>
      </c>
      <c r="H599" s="1455">
        <f t="shared" si="170"/>
        <v>123275</v>
      </c>
      <c r="I599" s="1455">
        <f t="shared" si="170"/>
        <v>52427</v>
      </c>
      <c r="J599" s="1455">
        <f t="shared" si="170"/>
        <v>16737</v>
      </c>
      <c r="K599" s="1455">
        <f t="shared" si="170"/>
        <v>388867</v>
      </c>
      <c r="L599" s="1455">
        <f t="shared" si="170"/>
        <v>0</v>
      </c>
    </row>
    <row r="600" spans="1:12" ht="13">
      <c r="A600" s="961">
        <v>24</v>
      </c>
      <c r="B600" s="1082" t="s">
        <v>1395</v>
      </c>
      <c r="C600" s="1352"/>
      <c r="D600" s="1374"/>
      <c r="E600" s="340"/>
      <c r="F600" s="1280">
        <f t="shared" ref="F600:L600" si="171">SUM(F595:F599)</f>
        <v>9708600</v>
      </c>
      <c r="G600" s="1280">
        <f t="shared" si="171"/>
        <v>4898753</v>
      </c>
      <c r="H600" s="1280">
        <f t="shared" si="171"/>
        <v>3080301</v>
      </c>
      <c r="I600" s="1280">
        <f t="shared" si="171"/>
        <v>1310235</v>
      </c>
      <c r="J600" s="1280">
        <f t="shared" si="171"/>
        <v>419310</v>
      </c>
      <c r="K600" s="1280">
        <f t="shared" si="171"/>
        <v>9708599</v>
      </c>
      <c r="L600" s="1280">
        <f t="shared" si="171"/>
        <v>0</v>
      </c>
    </row>
    <row r="601" spans="1:12" ht="13">
      <c r="A601" s="961">
        <v>25</v>
      </c>
      <c r="B601" s="1352"/>
      <c r="C601" s="1352"/>
      <c r="D601" s="1374"/>
      <c r="E601" s="340"/>
    </row>
    <row r="602" spans="1:12" ht="13">
      <c r="A602" s="961">
        <v>26</v>
      </c>
      <c r="B602" s="1352" t="s">
        <v>1396</v>
      </c>
      <c r="C602" s="1352"/>
      <c r="D602" s="1374"/>
      <c r="E602" s="340"/>
      <c r="F602" s="1389">
        <f t="shared" ref="F602:L602" si="172">ROUND(SIT/(1-SIT),8)</f>
        <v>5.2282660000000002E-2</v>
      </c>
      <c r="G602" s="1389">
        <f t="shared" si="172"/>
        <v>5.2282660000000002E-2</v>
      </c>
      <c r="H602" s="1389">
        <f t="shared" si="172"/>
        <v>5.2282660000000002E-2</v>
      </c>
      <c r="I602" s="1389">
        <f t="shared" si="172"/>
        <v>5.2282660000000002E-2</v>
      </c>
      <c r="J602" s="1389">
        <f t="shared" si="172"/>
        <v>5.2282660000000002E-2</v>
      </c>
      <c r="K602" s="1389">
        <f t="shared" si="172"/>
        <v>5.2282660000000002E-2</v>
      </c>
      <c r="L602" s="1389">
        <f t="shared" si="172"/>
        <v>5.2282660000000002E-2</v>
      </c>
    </row>
    <row r="603" spans="1:12" ht="13">
      <c r="A603" s="961">
        <v>27</v>
      </c>
      <c r="B603" s="1352" t="s">
        <v>1397</v>
      </c>
      <c r="C603" s="1352"/>
      <c r="D603" s="1393" t="s">
        <v>1398</v>
      </c>
      <c r="E603" s="340"/>
      <c r="F603" s="1394">
        <f t="shared" ref="F603:L603" si="173">ROUND(F600*F602,0)</f>
        <v>507591</v>
      </c>
      <c r="G603" s="1394">
        <f t="shared" si="173"/>
        <v>256120</v>
      </c>
      <c r="H603" s="1394">
        <f t="shared" si="173"/>
        <v>161046</v>
      </c>
      <c r="I603" s="1394">
        <f t="shared" si="173"/>
        <v>68503</v>
      </c>
      <c r="J603" s="1394">
        <f t="shared" si="173"/>
        <v>21923</v>
      </c>
      <c r="K603" s="1394">
        <f t="shared" si="173"/>
        <v>507591</v>
      </c>
      <c r="L603" s="1394">
        <f t="shared" si="173"/>
        <v>0</v>
      </c>
    </row>
    <row r="604" spans="1:12" ht="13">
      <c r="A604" s="961">
        <v>28</v>
      </c>
      <c r="B604" s="1371" t="s">
        <v>1399</v>
      </c>
      <c r="C604" s="1371"/>
      <c r="D604" s="1374"/>
      <c r="E604" s="1395"/>
      <c r="F604" s="1394">
        <f t="shared" ref="F604:L604" si="174">F591</f>
        <v>388867</v>
      </c>
      <c r="G604" s="1394">
        <f t="shared" si="174"/>
        <v>196428</v>
      </c>
      <c r="H604" s="1394">
        <f t="shared" si="174"/>
        <v>123275</v>
      </c>
      <c r="I604" s="1394">
        <f t="shared" si="174"/>
        <v>52427</v>
      </c>
      <c r="J604" s="1394">
        <f t="shared" si="174"/>
        <v>16737</v>
      </c>
      <c r="K604" s="1394">
        <f t="shared" si="174"/>
        <v>388867</v>
      </c>
      <c r="L604" s="1394">
        <f t="shared" si="174"/>
        <v>0</v>
      </c>
    </row>
    <row r="605" spans="1:12" ht="13">
      <c r="A605" s="961">
        <v>29</v>
      </c>
      <c r="B605" s="1082" t="s">
        <v>1400</v>
      </c>
      <c r="C605" s="1352"/>
      <c r="D605" s="1374"/>
      <c r="E605" s="340"/>
      <c r="F605" s="1399">
        <f t="shared" ref="F605:L605" si="175">F604+F603</f>
        <v>896458</v>
      </c>
      <c r="G605" s="1399">
        <f t="shared" si="175"/>
        <v>452548</v>
      </c>
      <c r="H605" s="1399">
        <f t="shared" si="175"/>
        <v>284321</v>
      </c>
      <c r="I605" s="1399">
        <f t="shared" si="175"/>
        <v>120930</v>
      </c>
      <c r="J605" s="1399">
        <f t="shared" si="175"/>
        <v>38660</v>
      </c>
      <c r="K605" s="1399">
        <f t="shared" si="175"/>
        <v>896458</v>
      </c>
      <c r="L605" s="1399">
        <f t="shared" si="175"/>
        <v>0</v>
      </c>
    </row>
    <row r="606" spans="1:12" ht="13">
      <c r="A606" s="961">
        <v>30</v>
      </c>
      <c r="B606" s="1352"/>
      <c r="C606" s="1352"/>
      <c r="D606" s="1374"/>
      <c r="E606" s="340"/>
    </row>
    <row r="607" spans="1:12" ht="13">
      <c r="A607" s="961">
        <v>31</v>
      </c>
      <c r="B607" s="1352" t="s">
        <v>1401</v>
      </c>
      <c r="C607" s="1352"/>
      <c r="D607" s="1374"/>
      <c r="E607" s="340"/>
    </row>
    <row r="608" spans="1:12" ht="13">
      <c r="A608" s="961">
        <v>32</v>
      </c>
      <c r="B608" s="1352" t="s">
        <v>1397</v>
      </c>
      <c r="C608" s="1352"/>
      <c r="D608" s="1374"/>
      <c r="E608" s="340"/>
      <c r="F608" s="1394">
        <f t="shared" ref="F608:L608" si="176">F603</f>
        <v>507591</v>
      </c>
      <c r="G608" s="1394">
        <f t="shared" si="176"/>
        <v>256120</v>
      </c>
      <c r="H608" s="1394">
        <f t="shared" si="176"/>
        <v>161046</v>
      </c>
      <c r="I608" s="1394">
        <f t="shared" si="176"/>
        <v>68503</v>
      </c>
      <c r="J608" s="1394">
        <f t="shared" si="176"/>
        <v>21923</v>
      </c>
      <c r="K608" s="1394">
        <f t="shared" si="176"/>
        <v>507591</v>
      </c>
      <c r="L608" s="1394">
        <f t="shared" si="176"/>
        <v>0</v>
      </c>
    </row>
    <row r="609" spans="1:12" ht="13">
      <c r="A609" s="961">
        <v>33</v>
      </c>
      <c r="B609" s="1371" t="s">
        <v>1387</v>
      </c>
      <c r="C609" s="1371"/>
      <c r="D609" s="1374"/>
      <c r="E609" s="340"/>
      <c r="F609" s="1394">
        <f t="shared" ref="F609:L609" si="177">F589</f>
        <v>0</v>
      </c>
      <c r="G609" s="1394">
        <f t="shared" si="177"/>
        <v>0</v>
      </c>
      <c r="H609" s="1394">
        <f t="shared" si="177"/>
        <v>0</v>
      </c>
      <c r="I609" s="1394">
        <f t="shared" si="177"/>
        <v>0</v>
      </c>
      <c r="J609" s="1394">
        <f t="shared" si="177"/>
        <v>0</v>
      </c>
      <c r="K609" s="1394">
        <f t="shared" si="177"/>
        <v>0</v>
      </c>
      <c r="L609" s="1394">
        <f t="shared" si="177"/>
        <v>0</v>
      </c>
    </row>
    <row r="610" spans="1:12" ht="13">
      <c r="A610" s="961">
        <v>34</v>
      </c>
      <c r="B610" s="1082" t="s">
        <v>1402</v>
      </c>
      <c r="C610" s="1352"/>
      <c r="D610" s="1374"/>
      <c r="E610" s="340"/>
      <c r="F610" s="1399">
        <f t="shared" ref="F610:L610" si="178">F608+F609</f>
        <v>507591</v>
      </c>
      <c r="G610" s="1399">
        <f t="shared" si="178"/>
        <v>256120</v>
      </c>
      <c r="H610" s="1399">
        <f t="shared" si="178"/>
        <v>161046</v>
      </c>
      <c r="I610" s="1399">
        <f t="shared" si="178"/>
        <v>68503</v>
      </c>
      <c r="J610" s="1399">
        <f t="shared" si="178"/>
        <v>21923</v>
      </c>
      <c r="K610" s="1399">
        <f t="shared" si="178"/>
        <v>507591</v>
      </c>
      <c r="L610" s="1399">
        <f t="shared" si="178"/>
        <v>0</v>
      </c>
    </row>
    <row r="611" spans="1:12" ht="13">
      <c r="A611" s="961">
        <v>35</v>
      </c>
      <c r="B611" s="1352"/>
      <c r="C611" s="1352"/>
      <c r="D611" s="1352"/>
      <c r="E611" s="340"/>
    </row>
    <row r="612" spans="1:12" ht="13">
      <c r="A612" s="961">
        <v>36</v>
      </c>
      <c r="B612" s="1352" t="s">
        <v>76</v>
      </c>
      <c r="C612" s="1352"/>
      <c r="D612" s="1352"/>
      <c r="E612" s="340"/>
      <c r="F612" s="1403">
        <f t="shared" ref="F612:L612" si="179">(SIT*(1-FIT))+((1-SIT)*(1-FIT)*RevTax)+FIT</f>
        <v>0.24925115</v>
      </c>
      <c r="G612" s="1403">
        <f t="shared" si="179"/>
        <v>0.24925115</v>
      </c>
      <c r="H612" s="1403">
        <f t="shared" si="179"/>
        <v>0.24925115</v>
      </c>
      <c r="I612" s="1403">
        <f t="shared" si="179"/>
        <v>0.24925115</v>
      </c>
      <c r="J612" s="1403">
        <f t="shared" si="179"/>
        <v>0.24925115</v>
      </c>
      <c r="K612" s="1403">
        <f t="shared" si="179"/>
        <v>0.24925115</v>
      </c>
      <c r="L612" s="1403">
        <f t="shared" si="179"/>
        <v>0.24925115</v>
      </c>
    </row>
    <row r="614" spans="1:12" ht="13">
      <c r="A614" s="341" t="str">
        <f>co_name</f>
        <v>DUKE ENERGY KENTUCKY, INC.</v>
      </c>
      <c r="C614" s="195"/>
      <c r="D614" s="342"/>
      <c r="E614" s="195"/>
      <c r="F614" s="342"/>
      <c r="G614" s="340"/>
      <c r="H614" s="340"/>
      <c r="I614" s="195"/>
      <c r="K614" s="359" t="str">
        <f>$K$1</f>
        <v>FR-16(7)(v)-5</v>
      </c>
      <c r="L614" s="195"/>
    </row>
    <row r="615" spans="1:12" ht="13">
      <c r="A615" s="341" t="str">
        <f>$A$2</f>
        <v>DISTRIBUTION DEMAND ALLOCATED - GAS COST OF SERVICE</v>
      </c>
      <c r="C615" s="195"/>
      <c r="D615" s="342"/>
      <c r="E615" s="195"/>
      <c r="F615" s="342"/>
      <c r="G615" s="340"/>
      <c r="H615" s="340"/>
      <c r="I615" s="195"/>
      <c r="K615" s="359" t="str">
        <f>$K$2</f>
        <v>WITNESS RESPONSIBLE:</v>
      </c>
      <c r="L615" s="195"/>
    </row>
    <row r="616" spans="1:12" ht="13">
      <c r="A616" s="341" t="str">
        <f>case_name</f>
        <v>CASE NO: 2021-00190</v>
      </c>
      <c r="C616" s="195"/>
      <c r="D616" s="342"/>
      <c r="E616" s="195"/>
      <c r="F616" s="342"/>
      <c r="G616" s="340"/>
      <c r="H616" s="340"/>
      <c r="I616" s="195"/>
      <c r="K616" s="359" t="str">
        <f>Witness</f>
        <v>JAMES E. ZIOLKOWSKI</v>
      </c>
      <c r="L616" s="195"/>
    </row>
    <row r="617" spans="1:12" ht="13">
      <c r="A617" s="341" t="str">
        <f>data_filing</f>
        <v>DATA: 12 MONTH FORECASTED PERIOD</v>
      </c>
      <c r="C617" s="195"/>
      <c r="D617" s="342"/>
      <c r="E617" s="195"/>
      <c r="F617" s="342"/>
      <c r="G617" s="340"/>
      <c r="H617" s="340"/>
      <c r="I617" s="195"/>
      <c r="K617" s="359" t="str">
        <f>"PAGE "&amp;Pages-4&amp;" OF "&amp;Pages</f>
        <v>PAGE 14 OF 18</v>
      </c>
      <c r="L617" s="195"/>
    </row>
    <row r="618" spans="1:12" ht="13">
      <c r="A618" s="341" t="str">
        <f>type</f>
        <v xml:space="preserve">TYPE OF FILING: "X" ORIGINAL   UPDATED    REVISED  </v>
      </c>
      <c r="C618" s="195"/>
      <c r="D618" s="342"/>
      <c r="E618" s="195"/>
      <c r="F618" s="342"/>
      <c r="G618" s="340"/>
      <c r="H618" s="340"/>
      <c r="I618" s="195"/>
      <c r="J618" s="342"/>
      <c r="K618" s="195"/>
      <c r="L618" s="195"/>
    </row>
    <row r="619" spans="1:12" ht="13">
      <c r="B619" s="341"/>
      <c r="C619" s="195"/>
      <c r="D619" s="342"/>
      <c r="E619" s="195"/>
      <c r="F619" s="342"/>
      <c r="G619" s="195"/>
      <c r="H619" s="195"/>
      <c r="I619" s="195"/>
      <c r="J619" s="342"/>
      <c r="K619" s="195"/>
      <c r="L619" s="195"/>
    </row>
    <row r="620" spans="1:12" ht="13">
      <c r="B620" s="341"/>
      <c r="C620" s="195"/>
      <c r="D620" s="342"/>
      <c r="E620" s="195"/>
      <c r="F620" s="342" t="str">
        <f>$F$7</f>
        <v>TOTAL</v>
      </c>
      <c r="G620" s="195"/>
      <c r="H620" s="195"/>
      <c r="I620" s="195"/>
      <c r="J620" s="342"/>
      <c r="K620" s="195"/>
      <c r="L620" s="195"/>
    </row>
    <row r="621" spans="1:12" ht="13">
      <c r="A621" s="342" t="s">
        <v>907</v>
      </c>
      <c r="B621" s="195"/>
      <c r="C621" s="195"/>
      <c r="D621" s="342"/>
      <c r="E621" s="195"/>
      <c r="F621" s="342" t="str">
        <f>$F$8</f>
        <v>DISTRIBUTION</v>
      </c>
      <c r="G621" s="342" t="s">
        <v>417</v>
      </c>
      <c r="H621" s="342" t="s">
        <v>857</v>
      </c>
      <c r="I621" s="342" t="s">
        <v>858</v>
      </c>
      <c r="J621" s="342" t="s">
        <v>546</v>
      </c>
      <c r="K621" s="342" t="s">
        <v>229</v>
      </c>
      <c r="L621" s="342" t="s">
        <v>342</v>
      </c>
    </row>
    <row r="622" spans="1:12" ht="13">
      <c r="A622" s="344" t="s">
        <v>908</v>
      </c>
      <c r="B622" s="343" t="s">
        <v>77</v>
      </c>
      <c r="C622" s="343"/>
      <c r="D622" s="344" t="s">
        <v>337</v>
      </c>
      <c r="E622" s="343"/>
      <c r="F622" s="342" t="str">
        <f>$F$9</f>
        <v>DEMAND</v>
      </c>
      <c r="G622" s="344" t="s">
        <v>338</v>
      </c>
      <c r="H622" s="344" t="s">
        <v>404</v>
      </c>
      <c r="I622" s="344" t="s">
        <v>404</v>
      </c>
      <c r="J622" s="344" t="s">
        <v>547</v>
      </c>
      <c r="K622" s="344" t="s">
        <v>341</v>
      </c>
      <c r="L622" s="344" t="s">
        <v>340</v>
      </c>
    </row>
    <row r="623" spans="1:12" ht="13">
      <c r="C623" s="572" t="s">
        <v>352</v>
      </c>
      <c r="D623" s="342"/>
      <c r="E623" s="195"/>
      <c r="F623" s="755"/>
      <c r="G623" s="627">
        <f>$G$10</f>
        <v>3</v>
      </c>
      <c r="H623" s="627">
        <f>$H$10</f>
        <v>4</v>
      </c>
      <c r="I623" s="627">
        <f>$I$10</f>
        <v>5</v>
      </c>
      <c r="J623" s="627">
        <f>$J$10</f>
        <v>6</v>
      </c>
    </row>
    <row r="624" spans="1:12" ht="13">
      <c r="A624" s="331">
        <v>1</v>
      </c>
      <c r="B624" s="330" t="s">
        <v>78</v>
      </c>
      <c r="D624" s="342"/>
      <c r="E624" s="195"/>
      <c r="I624" s="330"/>
    </row>
    <row r="625" spans="1:12" ht="13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3">
        <f>'FR-16(7)(v)-4 DISTR Classified'!G625</f>
        <v>0</v>
      </c>
      <c r="G625" s="347">
        <f>F625-SUM(H625:J625)</f>
        <v>0</v>
      </c>
      <c r="H625" s="345">
        <f>ROUND($F$625*VLOOKUP($D$625,ALLOCTABLE_DISTR_DEMAND,$H$10,FALSE),0)</f>
        <v>0</v>
      </c>
      <c r="I625" s="345">
        <f>ROUND(F625*VLOOKUP(D625,ALLOCTABLE_DISTR_DEMAND,$I$10,FALSE),0)</f>
        <v>0</v>
      </c>
      <c r="J625" s="345">
        <f>ROUND(F625*VLOOKUP(D625,ALLOCTABLE_DISTR_DEMAND,$J$10,FALSE),0)</f>
        <v>0</v>
      </c>
      <c r="K625" s="345">
        <f>SUM($G$625:$J$625)</f>
        <v>0</v>
      </c>
      <c r="L625" s="345">
        <f>F625-$K$625</f>
        <v>0</v>
      </c>
    </row>
    <row r="626" spans="1:12" ht="13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3">
        <f>'FR-16(7)(v)-4 DISTR Classified'!G626</f>
        <v>0</v>
      </c>
      <c r="G626" s="347">
        <f>F626-SUM(H626:J626)</f>
        <v>0</v>
      </c>
      <c r="H626" s="345">
        <f>ROUND($F$626*VLOOKUP($D$626,ALLOCTABLE_DISTR_DEMAND,$H$10,FALSE),0)</f>
        <v>0</v>
      </c>
      <c r="I626" s="345">
        <f>ROUND(F626*VLOOKUP(D626,ALLOCTABLE_DISTR_DEMAND,$I$10,FALSE),0)</f>
        <v>0</v>
      </c>
      <c r="J626" s="345">
        <f>ROUND(F626*VLOOKUP(D626,ALLOCTABLE_DISTR_DEMAND,$J$10,FALSE),0)</f>
        <v>0</v>
      </c>
      <c r="K626" s="345">
        <f>SUM($G$626:$J$626)</f>
        <v>0</v>
      </c>
      <c r="L626" s="345">
        <f>F626-$K$626</f>
        <v>0</v>
      </c>
    </row>
    <row r="627" spans="1:12" ht="13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3">
        <f>'FR-16(7)(v)-4 DISTR Classified'!G627</f>
        <v>0</v>
      </c>
      <c r="G627" s="347">
        <f>F627-SUM(H627:J627)</f>
        <v>0</v>
      </c>
      <c r="H627" s="345">
        <f>ROUND($F$627*VLOOKUP($D$627,ALLOCTABLE_DISTR_DEMAND,$H$10,FALSE),0)</f>
        <v>0</v>
      </c>
      <c r="I627" s="345">
        <f>ROUND(F627*VLOOKUP(D627,ALLOCTABLE_DISTR_DEMAND,$I$10,FALSE),0)</f>
        <v>0</v>
      </c>
      <c r="J627" s="345">
        <f>ROUND(F627*VLOOKUP(D627,ALLOCTABLE_DISTR_DEMAND,$J$10,FALSE),0)</f>
        <v>0</v>
      </c>
      <c r="K627" s="345">
        <f>SUM($G$627:$J$627)</f>
        <v>0</v>
      </c>
      <c r="L627" s="345">
        <f>F627-$K$627</f>
        <v>0</v>
      </c>
    </row>
    <row r="628" spans="1:12" ht="13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3">
        <f>'FR-16(7)(v)-4 DISTR Classified'!G628</f>
        <v>0</v>
      </c>
      <c r="G628" s="347">
        <f>F628-SUM(H628:J628)</f>
        <v>0</v>
      </c>
      <c r="H628" s="345">
        <f>ROUND($F$628*VLOOKUP($D$628,ALLOCTABLE_DISTR_DEMAND,$H$10,FALSE),0)</f>
        <v>0</v>
      </c>
      <c r="I628" s="345">
        <f>ROUND(F628*VLOOKUP(D628,ALLOCTABLE_DISTR_DEMAND,$I$10,FALSE),0)</f>
        <v>0</v>
      </c>
      <c r="J628" s="345">
        <f>ROUND(F628*VLOOKUP(D628,ALLOCTABLE_DISTR_DEMAND,$J$10,FALSE),0)</f>
        <v>0</v>
      </c>
      <c r="K628" s="345">
        <f>SUM($G$628:$J$628)</f>
        <v>0</v>
      </c>
      <c r="L628" s="345">
        <f>F628-$K$628</f>
        <v>0</v>
      </c>
    </row>
    <row r="629" spans="1:12" ht="13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3">
        <f>'FR-16(7)(v)-4 DISTR Classified'!G629</f>
        <v>119630</v>
      </c>
      <c r="G629" s="347">
        <f>F629-SUM(H629:J629)</f>
        <v>61556</v>
      </c>
      <c r="H629" s="345">
        <f>ROUND($F$629*VLOOKUP($D$629,ALLOCTABLE_DISTR_DEMAND,$H$10,FALSE),0)</f>
        <v>37378</v>
      </c>
      <c r="I629" s="345">
        <f>ROUND(F629*VLOOKUP(D629,ALLOCTABLE_DISTR_DEMAND,$I$10,FALSE),0)</f>
        <v>15859</v>
      </c>
      <c r="J629" s="345">
        <f>ROUND(F629*VLOOKUP(D629,ALLOCTABLE_DISTR_DEMAND,$J$10,FALSE),0)</f>
        <v>4837</v>
      </c>
      <c r="K629" s="345">
        <f>SUM($G$629:$J$629)</f>
        <v>119630</v>
      </c>
      <c r="L629" s="345">
        <f>F629-$K$629</f>
        <v>0</v>
      </c>
    </row>
    <row r="630" spans="1:12" ht="13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119630</v>
      </c>
      <c r="G630" s="346">
        <f>SUM($G$625:$G$629)</f>
        <v>61556</v>
      </c>
      <c r="H630" s="346">
        <f>SUM($H$625:$H$629)</f>
        <v>37378</v>
      </c>
      <c r="I630" s="346">
        <f>SUM($I$625:$I$629)</f>
        <v>15859</v>
      </c>
      <c r="J630" s="346">
        <f>SUM($J$625:$J$629)</f>
        <v>4837</v>
      </c>
      <c r="K630" s="346">
        <f>SUM($K$625:$K$629)</f>
        <v>119630</v>
      </c>
      <c r="L630" s="346">
        <f>SUM($L$625:$L$629)</f>
        <v>0</v>
      </c>
    </row>
    <row r="631" spans="1:12" ht="13">
      <c r="A631" s="331">
        <v>8</v>
      </c>
      <c r="D631" s="342"/>
      <c r="E631" s="195"/>
      <c r="I631" s="330"/>
    </row>
    <row r="632" spans="1:12" ht="13">
      <c r="A632" s="331">
        <v>9</v>
      </c>
      <c r="B632" s="330" t="s">
        <v>77</v>
      </c>
      <c r="D632" s="342"/>
      <c r="E632" s="195"/>
      <c r="I632" s="330"/>
    </row>
    <row r="633" spans="1:12" ht="13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23675450</v>
      </c>
      <c r="G633" s="345">
        <f>$G$501</f>
        <v>12067376</v>
      </c>
      <c r="H633" s="345">
        <f>$H$501</f>
        <v>7453033</v>
      </c>
      <c r="I633" s="345">
        <f>$I$501</f>
        <v>3166093</v>
      </c>
      <c r="J633" s="345">
        <f>$J$501</f>
        <v>988948</v>
      </c>
      <c r="K633" s="345">
        <f>$K$501</f>
        <v>23675450</v>
      </c>
      <c r="L633" s="345">
        <f>$L$501</f>
        <v>0</v>
      </c>
    </row>
    <row r="634" spans="1:12" ht="13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 t="shared" ref="F634:L634" si="180">F334</f>
        <v>20155242</v>
      </c>
      <c r="G634" s="345">
        <f t="shared" si="180"/>
        <v>10181600</v>
      </c>
      <c r="H634" s="345">
        <f t="shared" si="180"/>
        <v>6389172</v>
      </c>
      <c r="I634" s="345">
        <f t="shared" si="180"/>
        <v>2717208</v>
      </c>
      <c r="J634" s="345">
        <f t="shared" si="180"/>
        <v>867262</v>
      </c>
      <c r="K634" s="345">
        <f t="shared" si="180"/>
        <v>20155242</v>
      </c>
      <c r="L634" s="345">
        <f t="shared" si="180"/>
        <v>0</v>
      </c>
    </row>
    <row r="635" spans="1:12" ht="13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>F557</f>
        <v>2812847</v>
      </c>
      <c r="G635" s="345">
        <f>$G$557</f>
        <v>1419133</v>
      </c>
      <c r="H635" s="345">
        <f>$H$557</f>
        <v>892530</v>
      </c>
      <c r="I635" s="345">
        <f>$I$557</f>
        <v>379648</v>
      </c>
      <c r="J635" s="345">
        <f>$J$557</f>
        <v>121535</v>
      </c>
      <c r="K635" s="345">
        <f>$K$557</f>
        <v>2812846</v>
      </c>
      <c r="L635" s="345">
        <f>$L$557</f>
        <v>0</v>
      </c>
    </row>
    <row r="636" spans="1:12" ht="13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-119630</v>
      </c>
      <c r="G636" s="345">
        <f>-$G$630</f>
        <v>-61556</v>
      </c>
      <c r="H636" s="345">
        <f>-$H$630</f>
        <v>-37378</v>
      </c>
      <c r="I636" s="345">
        <f>-$I$630</f>
        <v>-15859</v>
      </c>
      <c r="J636" s="345">
        <f>-$J$630</f>
        <v>-4837</v>
      </c>
      <c r="K636" s="345">
        <f>-$K$630</f>
        <v>-119630</v>
      </c>
      <c r="L636" s="345">
        <f>-$L$630</f>
        <v>0</v>
      </c>
    </row>
    <row r="637" spans="1:12" ht="13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>SUM(F632:F636)</f>
        <v>46523909</v>
      </c>
      <c r="G637" s="346">
        <f>SUM($G$632:$G$636)</f>
        <v>23606553</v>
      </c>
      <c r="H637" s="346">
        <f>SUM($H$632:$H$636)</f>
        <v>14697357</v>
      </c>
      <c r="I637" s="346">
        <f>SUM($I$632:$I$636)</f>
        <v>6247090</v>
      </c>
      <c r="J637" s="346">
        <f>SUM($J$632:$J$636)</f>
        <v>1972908</v>
      </c>
      <c r="K637" s="346">
        <f>SUM($K$632:$K$636)</f>
        <v>46523908</v>
      </c>
      <c r="L637" s="346">
        <f>$K$637-F637</f>
        <v>-1</v>
      </c>
    </row>
    <row r="638" spans="1:12" ht="13">
      <c r="A638" s="331">
        <v>15</v>
      </c>
      <c r="D638" s="342"/>
      <c r="E638" s="195"/>
      <c r="I638" s="330"/>
    </row>
    <row r="639" spans="1:12" ht="13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119630</v>
      </c>
      <c r="G639" s="345">
        <f>-$G$636</f>
        <v>61556</v>
      </c>
      <c r="H639" s="345">
        <f>-$H$636</f>
        <v>37378</v>
      </c>
      <c r="I639" s="345">
        <f>-$I$636</f>
        <v>15859</v>
      </c>
      <c r="J639" s="345">
        <f>-$J$636</f>
        <v>4837</v>
      </c>
      <c r="K639" s="345">
        <f>-$K$636</f>
        <v>119630</v>
      </c>
      <c r="L639" s="345">
        <f>-$L$636</f>
        <v>0</v>
      </c>
    </row>
    <row r="640" spans="1:12" ht="13">
      <c r="A640" s="331">
        <v>17</v>
      </c>
      <c r="C640" s="357" t="str">
        <f>'FR-16(7)(v)-1 Functional'!C640</f>
        <v>LESS: REVS EXCL FROM REV TAX CALC</v>
      </c>
      <c r="D640" s="342"/>
      <c r="E640" s="195"/>
      <c r="F640" s="347">
        <f t="shared" ref="F640:L640" si="181">F855</f>
        <v>0</v>
      </c>
      <c r="G640" s="345">
        <f>G855</f>
        <v>0</v>
      </c>
      <c r="H640" s="345">
        <f t="shared" si="181"/>
        <v>0</v>
      </c>
      <c r="I640" s="345">
        <f t="shared" si="181"/>
        <v>0</v>
      </c>
      <c r="J640" s="345">
        <f t="shared" si="181"/>
        <v>0</v>
      </c>
      <c r="K640" s="345">
        <f t="shared" si="181"/>
        <v>0</v>
      </c>
      <c r="L640" s="345">
        <f t="shared" si="181"/>
        <v>0</v>
      </c>
    </row>
    <row r="641" spans="1:12" ht="13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119630</v>
      </c>
      <c r="G641" s="346">
        <f>G639-G640</f>
        <v>61556</v>
      </c>
      <c r="H641" s="346">
        <f>H639-H640</f>
        <v>37378</v>
      </c>
      <c r="I641" s="346">
        <f>$I$639-I640</f>
        <v>15859</v>
      </c>
      <c r="J641" s="346">
        <f>$J$639-J640</f>
        <v>4837</v>
      </c>
      <c r="K641" s="346">
        <f>$K$639-K640</f>
        <v>119630</v>
      </c>
      <c r="L641" s="346">
        <f>$L$639-L640</f>
        <v>0</v>
      </c>
    </row>
    <row r="642" spans="1:12" ht="13">
      <c r="A642" s="331">
        <v>19</v>
      </c>
      <c r="D642" s="342"/>
      <c r="E642" s="195"/>
      <c r="I642" s="330"/>
    </row>
    <row r="643" spans="1:12" ht="13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L643" si="182">ROUND(F694/(1-F694),8)</f>
        <v>0</v>
      </c>
      <c r="G643" s="348">
        <f t="shared" si="182"/>
        <v>0</v>
      </c>
      <c r="H643" s="348">
        <f t="shared" si="182"/>
        <v>0</v>
      </c>
      <c r="I643" s="348">
        <f t="shared" si="182"/>
        <v>0</v>
      </c>
      <c r="J643" s="348">
        <f t="shared" si="182"/>
        <v>0</v>
      </c>
      <c r="K643" s="348">
        <f t="shared" si="182"/>
        <v>0</v>
      </c>
      <c r="L643" s="348">
        <f t="shared" si="182"/>
        <v>0</v>
      </c>
    </row>
    <row r="644" spans="1:12" ht="13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345">
        <f>F644-SUM(H644:J644)</f>
        <v>0</v>
      </c>
      <c r="H644" s="345">
        <f>ROUND(H643*H641,0)</f>
        <v>0</v>
      </c>
      <c r="I644" s="345">
        <f>ROUND(I643*I641,0)</f>
        <v>0</v>
      </c>
      <c r="J644" s="345">
        <f>ROUND(J643*J641,0)</f>
        <v>0</v>
      </c>
      <c r="K644" s="345">
        <f>SUM(G644:J644)</f>
        <v>0</v>
      </c>
      <c r="L644" s="345">
        <f>ROUND(L643*L641,0)</f>
        <v>0</v>
      </c>
    </row>
    <row r="645" spans="1:12" ht="13">
      <c r="A645" s="331">
        <v>22</v>
      </c>
      <c r="C645" s="330" t="str">
        <f>'FR-16(7)(v)-1 Functional'!C645</f>
        <v>REVENUE TAX ON COST OF SERVICE</v>
      </c>
      <c r="D645" s="342"/>
      <c r="E645" s="195"/>
      <c r="F645" s="506">
        <f>ROUND(F643*F637,0)</f>
        <v>0</v>
      </c>
      <c r="G645" s="506">
        <f>F645-SUM(H645:J645)</f>
        <v>0</v>
      </c>
      <c r="H645" s="506">
        <f>ROUND(H643*$H$637,0)</f>
        <v>0</v>
      </c>
      <c r="I645" s="506">
        <f>ROUND(I643*$I$637,0)</f>
        <v>0</v>
      </c>
      <c r="J645" s="506">
        <f>ROUND(J643*$J$637,0)</f>
        <v>0</v>
      </c>
      <c r="K645" s="345">
        <f>SUM(G645:J645)</f>
        <v>0</v>
      </c>
      <c r="L645" s="506">
        <f>ROUND(L643*$L$637,0)</f>
        <v>0</v>
      </c>
    </row>
    <row r="646" spans="1:12" ht="13">
      <c r="A646" s="331">
        <v>23</v>
      </c>
      <c r="C646" s="357" t="str">
        <f>'FR-16(7)(v)-1 Functional'!C646</f>
        <v>TOTAL REVENUE TAX</v>
      </c>
      <c r="D646" s="342"/>
      <c r="E646" s="195"/>
      <c r="F646" s="504">
        <f>F645+F644</f>
        <v>0</v>
      </c>
      <c r="G646" s="504">
        <f>G645+G644</f>
        <v>0</v>
      </c>
      <c r="H646" s="504">
        <f>H645+H644</f>
        <v>0</v>
      </c>
      <c r="I646" s="504">
        <f>I645+I644</f>
        <v>0</v>
      </c>
      <c r="J646" s="504">
        <f>J645+J644</f>
        <v>0</v>
      </c>
      <c r="K646" s="345">
        <f>SUM(G646:J646)</f>
        <v>0</v>
      </c>
      <c r="L646" s="504">
        <f>L645+L644</f>
        <v>0</v>
      </c>
    </row>
    <row r="647" spans="1:12" ht="13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>F646+F637</f>
        <v>46523909</v>
      </c>
      <c r="G647" s="346">
        <f>G646+$G$637</f>
        <v>23606553</v>
      </c>
      <c r="H647" s="346">
        <f>H646+$H$637</f>
        <v>14697357</v>
      </c>
      <c r="I647" s="346">
        <f>I646+$I$637</f>
        <v>6247090</v>
      </c>
      <c r="J647" s="346">
        <f>J646+$J$637</f>
        <v>1972908</v>
      </c>
      <c r="K647" s="346">
        <f>K646+$K$637</f>
        <v>46523908</v>
      </c>
      <c r="L647" s="346">
        <f>L646+$L$637</f>
        <v>-1</v>
      </c>
    </row>
    <row r="648" spans="1:12" ht="13">
      <c r="A648" s="331">
        <v>25</v>
      </c>
      <c r="D648" s="342"/>
      <c r="E648" s="195"/>
      <c r="I648" s="330"/>
    </row>
    <row r="649" spans="1:12" ht="13">
      <c r="A649" s="331">
        <v>26</v>
      </c>
      <c r="B649" s="330" t="s">
        <v>843</v>
      </c>
      <c r="D649" s="342"/>
      <c r="E649" s="195"/>
      <c r="F649" s="347">
        <f t="shared" ref="F649:L649" si="183">F745</f>
        <v>47107856</v>
      </c>
      <c r="G649" s="345">
        <f t="shared" si="183"/>
        <v>31797068</v>
      </c>
      <c r="H649" s="345">
        <f t="shared" si="183"/>
        <v>12197059</v>
      </c>
      <c r="I649" s="345">
        <f t="shared" si="183"/>
        <v>2350389</v>
      </c>
      <c r="J649" s="345">
        <f t="shared" si="183"/>
        <v>763340</v>
      </c>
      <c r="K649" s="345">
        <f t="shared" si="183"/>
        <v>47107856</v>
      </c>
      <c r="L649" s="345">
        <f t="shared" si="183"/>
        <v>0</v>
      </c>
    </row>
    <row r="650" spans="1:12" ht="13">
      <c r="A650" s="331">
        <v>27</v>
      </c>
      <c r="B650" s="330" t="s">
        <v>79</v>
      </c>
      <c r="D650" s="342"/>
      <c r="E650" s="195"/>
      <c r="F650" s="345">
        <f t="shared" ref="F650:L650" si="184">-F647</f>
        <v>-46523909</v>
      </c>
      <c r="G650" s="345">
        <f t="shared" si="184"/>
        <v>-23606553</v>
      </c>
      <c r="H650" s="345">
        <f t="shared" si="184"/>
        <v>-14697357</v>
      </c>
      <c r="I650" s="345">
        <f t="shared" si="184"/>
        <v>-6247090</v>
      </c>
      <c r="J650" s="345">
        <f t="shared" si="184"/>
        <v>-1972908</v>
      </c>
      <c r="K650" s="345">
        <f t="shared" si="184"/>
        <v>-46523908</v>
      </c>
      <c r="L650" s="345">
        <f t="shared" si="184"/>
        <v>1</v>
      </c>
    </row>
    <row r="651" spans="1:12" ht="13">
      <c r="A651" s="331">
        <v>28</v>
      </c>
      <c r="B651" s="330" t="s">
        <v>80</v>
      </c>
      <c r="D651" s="342"/>
      <c r="E651" s="195"/>
      <c r="F651" s="345">
        <f>F650+F649</f>
        <v>583947</v>
      </c>
      <c r="G651" s="345">
        <f>G650+G649</f>
        <v>8190515</v>
      </c>
      <c r="H651" s="345">
        <f>H650+H649</f>
        <v>-2500298</v>
      </c>
      <c r="I651" s="345">
        <f>I650+I649</f>
        <v>-3896701</v>
      </c>
      <c r="J651" s="345">
        <f>J650+J649</f>
        <v>-1209568</v>
      </c>
      <c r="K651" s="345">
        <f>SUM(G651:J651)</f>
        <v>583948</v>
      </c>
      <c r="L651" s="345">
        <f>L650+L649</f>
        <v>1</v>
      </c>
    </row>
    <row r="652" spans="1:12" ht="13">
      <c r="A652" s="331">
        <v>29</v>
      </c>
      <c r="B652" s="330" t="s">
        <v>76</v>
      </c>
      <c r="D652" s="342"/>
      <c r="E652" s="195"/>
      <c r="F652" s="348">
        <f>F565</f>
        <v>0.24925</v>
      </c>
      <c r="G652" s="348">
        <f>$G$565</f>
        <v>0.24925</v>
      </c>
      <c r="H652" s="348">
        <f>$H$565</f>
        <v>0.24925</v>
      </c>
      <c r="I652" s="348">
        <f>$I$565</f>
        <v>0.24925120000000001</v>
      </c>
      <c r="J652" s="348">
        <f>$J$565</f>
        <v>0.24925</v>
      </c>
      <c r="K652" s="348">
        <f>$L$565</f>
        <v>0.24925</v>
      </c>
      <c r="L652" s="348">
        <f>$L$565</f>
        <v>0.24925</v>
      </c>
    </row>
    <row r="653" spans="1:12" ht="13">
      <c r="A653" s="331">
        <v>30</v>
      </c>
      <c r="B653" s="330" t="s">
        <v>81</v>
      </c>
      <c r="D653" s="342"/>
      <c r="E653" s="195"/>
      <c r="F653" s="345">
        <f>ROUND(F652*F651,0)</f>
        <v>145549</v>
      </c>
      <c r="G653" s="347">
        <f>F653-SUM(H653:J653)</f>
        <v>2041490</v>
      </c>
      <c r="H653" s="345">
        <f>ROUND(H652*H651,0)</f>
        <v>-623199</v>
      </c>
      <c r="I653" s="345">
        <f>ROUND(I652*I651,0)</f>
        <v>-971257</v>
      </c>
      <c r="J653" s="345">
        <f>ROUND(J652*J651,0)</f>
        <v>-301485</v>
      </c>
      <c r="K653" s="345">
        <f>SUM(G653:J653)</f>
        <v>145549</v>
      </c>
      <c r="L653" s="345">
        <f>ROUND(L652*L651,0)</f>
        <v>0</v>
      </c>
    </row>
    <row r="654" spans="1:12" ht="13">
      <c r="A654" s="331">
        <v>31</v>
      </c>
      <c r="B654" s="330" t="s">
        <v>82</v>
      </c>
      <c r="D654" s="342"/>
      <c r="E654" s="195"/>
      <c r="F654" s="345">
        <f>F651-F653</f>
        <v>438398</v>
      </c>
      <c r="G654" s="345">
        <f>G651-G653</f>
        <v>6149025</v>
      </c>
      <c r="H654" s="345">
        <f>H651-H653</f>
        <v>-1877099</v>
      </c>
      <c r="I654" s="345">
        <f>I651-I653</f>
        <v>-2925444</v>
      </c>
      <c r="J654" s="345">
        <f>J651-J653</f>
        <v>-908083</v>
      </c>
      <c r="K654" s="345">
        <f>SUM(G654:J654)</f>
        <v>438399</v>
      </c>
      <c r="L654" s="345">
        <f>L651-L653</f>
        <v>1</v>
      </c>
    </row>
    <row r="655" spans="1:12" ht="13">
      <c r="A655" s="526"/>
      <c r="B655" s="578"/>
      <c r="C655" s="578"/>
      <c r="D655" s="730"/>
      <c r="E655" s="578"/>
      <c r="F655" s="526"/>
      <c r="G655" s="526"/>
      <c r="H655" s="526"/>
      <c r="I655" s="526"/>
      <c r="J655" s="526"/>
      <c r="K655" s="526"/>
      <c r="L655" s="526"/>
    </row>
    <row r="656" spans="1:12" ht="13">
      <c r="A656" s="341" t="str">
        <f>co_name</f>
        <v>DUKE ENERGY KENTUCKY, INC.</v>
      </c>
      <c r="C656" s="195"/>
      <c r="D656" s="342"/>
      <c r="E656" s="195"/>
      <c r="F656" s="342"/>
      <c r="G656" s="340"/>
      <c r="H656" s="340"/>
      <c r="I656" s="195"/>
      <c r="K656" s="359" t="str">
        <f>$K$1</f>
        <v>FR-16(7)(v)-5</v>
      </c>
      <c r="L656" s="195"/>
    </row>
    <row r="657" spans="1:12" ht="13">
      <c r="A657" s="341" t="str">
        <f>$A$2</f>
        <v>DISTRIBUTION DEMAND ALLOCATED - GAS COST OF SERVICE</v>
      </c>
      <c r="C657" s="195"/>
      <c r="D657" s="342"/>
      <c r="E657" s="195"/>
      <c r="F657" s="342"/>
      <c r="G657" s="340"/>
      <c r="H657" s="340"/>
      <c r="I657" s="195"/>
      <c r="K657" s="359" t="str">
        <f>$K$2</f>
        <v>WITNESS RESPONSIBLE:</v>
      </c>
      <c r="L657" s="195"/>
    </row>
    <row r="658" spans="1:12" ht="13">
      <c r="A658" s="341" t="str">
        <f>case_name</f>
        <v>CASE NO: 2021-00190</v>
      </c>
      <c r="C658" s="195"/>
      <c r="D658" s="342"/>
      <c r="E658" s="195"/>
      <c r="F658" s="342"/>
      <c r="G658" s="340"/>
      <c r="H658" s="340"/>
      <c r="I658" s="195"/>
      <c r="K658" s="359" t="str">
        <f>Witness</f>
        <v>JAMES E. ZIOLKOWSKI</v>
      </c>
      <c r="L658" s="195"/>
    </row>
    <row r="659" spans="1:12" ht="13">
      <c r="A659" s="341" t="str">
        <f>data_filing</f>
        <v>DATA: 12 MONTH FORECASTED PERIOD</v>
      </c>
      <c r="C659" s="195"/>
      <c r="D659" s="342"/>
      <c r="E659" s="195"/>
      <c r="F659" s="342"/>
      <c r="G659" s="340"/>
      <c r="H659" s="340"/>
      <c r="I659" s="195"/>
      <c r="K659" s="359" t="str">
        <f>"PAGE "&amp;Pages-3&amp;" OF "&amp;Pages</f>
        <v>PAGE 15 OF 18</v>
      </c>
      <c r="L659" s="195"/>
    </row>
    <row r="660" spans="1:12" ht="13">
      <c r="A660" s="341" t="str">
        <f>type</f>
        <v xml:space="preserve">TYPE OF FILING: "X" ORIGINAL   UPDATED    REVISED  </v>
      </c>
      <c r="C660" s="195"/>
      <c r="D660" s="342"/>
      <c r="E660" s="195"/>
      <c r="F660" s="342"/>
      <c r="G660" s="340"/>
      <c r="H660" s="340"/>
      <c r="I660" s="195"/>
      <c r="J660" s="342"/>
      <c r="K660" s="195"/>
      <c r="L660" s="195"/>
    </row>
    <row r="661" spans="1:12" ht="13">
      <c r="B661" s="341"/>
      <c r="C661" s="195"/>
      <c r="D661" s="342"/>
      <c r="E661" s="195"/>
      <c r="F661" s="342"/>
      <c r="G661" s="195"/>
      <c r="H661" s="195"/>
      <c r="I661" s="195"/>
      <c r="J661" s="342"/>
      <c r="K661" s="195"/>
      <c r="L661" s="195"/>
    </row>
    <row r="662" spans="1:12" ht="13">
      <c r="B662" s="341"/>
      <c r="C662" s="195"/>
      <c r="D662" s="342"/>
      <c r="E662" s="195"/>
      <c r="F662" s="342" t="str">
        <f>$F$7</f>
        <v>TOTAL</v>
      </c>
      <c r="G662" s="195"/>
      <c r="H662" s="195"/>
      <c r="I662" s="195"/>
      <c r="J662" s="342"/>
      <c r="K662" s="195"/>
      <c r="L662" s="195"/>
    </row>
    <row r="663" spans="1:12" ht="13">
      <c r="A663" s="342" t="s">
        <v>907</v>
      </c>
      <c r="B663" s="195"/>
      <c r="C663" s="195"/>
      <c r="D663" s="342"/>
      <c r="E663" s="195"/>
      <c r="F663" s="342" t="str">
        <f>$F$8</f>
        <v>DISTRIBUTION</v>
      </c>
      <c r="G663" s="342" t="s">
        <v>417</v>
      </c>
      <c r="H663" s="342" t="s">
        <v>857</v>
      </c>
      <c r="I663" s="342" t="s">
        <v>858</v>
      </c>
      <c r="J663" s="342" t="s">
        <v>546</v>
      </c>
      <c r="K663" s="342" t="s">
        <v>229</v>
      </c>
      <c r="L663" s="342" t="s">
        <v>342</v>
      </c>
    </row>
    <row r="664" spans="1:12" ht="13">
      <c r="A664" s="344" t="s">
        <v>908</v>
      </c>
      <c r="B664" s="343" t="s">
        <v>83</v>
      </c>
      <c r="C664" s="343"/>
      <c r="D664" s="344" t="s">
        <v>337</v>
      </c>
      <c r="E664" s="343"/>
      <c r="F664" s="342" t="str">
        <f>$F$9</f>
        <v>DEMAND</v>
      </c>
      <c r="G664" s="344" t="s">
        <v>338</v>
      </c>
      <c r="H664" s="344" t="s">
        <v>404</v>
      </c>
      <c r="I664" s="344" t="s">
        <v>404</v>
      </c>
      <c r="J664" s="344" t="s">
        <v>547</v>
      </c>
      <c r="K664" s="344" t="s">
        <v>341</v>
      </c>
      <c r="L664" s="344" t="s">
        <v>340</v>
      </c>
    </row>
    <row r="665" spans="1:12" ht="13">
      <c r="C665" s="572" t="s">
        <v>353</v>
      </c>
      <c r="D665" s="342"/>
      <c r="E665" s="195"/>
      <c r="F665" s="755"/>
      <c r="G665" s="627">
        <f>$G$10</f>
        <v>3</v>
      </c>
      <c r="H665" s="627">
        <f>$H$10</f>
        <v>4</v>
      </c>
      <c r="I665" s="627">
        <f>$I$10</f>
        <v>5</v>
      </c>
      <c r="J665" s="627">
        <f>$J$10</f>
        <v>6</v>
      </c>
    </row>
    <row r="666" spans="1:12" ht="13">
      <c r="A666" s="331">
        <v>1</v>
      </c>
      <c r="B666" s="330" t="s">
        <v>84</v>
      </c>
      <c r="D666" s="342"/>
      <c r="E666" s="195"/>
      <c r="I666" s="330"/>
    </row>
    <row r="667" spans="1:12" ht="13">
      <c r="A667" s="331">
        <v>2</v>
      </c>
      <c r="B667" s="330" t="s">
        <v>85</v>
      </c>
      <c r="D667" s="342"/>
      <c r="E667" s="195"/>
      <c r="G667" s="513" t="s">
        <v>339</v>
      </c>
      <c r="I667" s="330"/>
    </row>
    <row r="668" spans="1:12" ht="13">
      <c r="A668" s="331">
        <v>3</v>
      </c>
      <c r="C668" s="330" t="str">
        <f>'FR-16(7)(v)-1 Functional'!C668</f>
        <v>LONG TERM DEBT</v>
      </c>
      <c r="D668" s="342"/>
      <c r="E668" s="195"/>
      <c r="F668" s="473">
        <f>'FR-16(7)(v)-1 Functional'!$F$668</f>
        <v>794320510</v>
      </c>
      <c r="G668" s="348">
        <f>IF($F$673=0,0,ROUND(F668/$F$673,5))</f>
        <v>0.46721000000000001</v>
      </c>
      <c r="I668" s="330"/>
    </row>
    <row r="669" spans="1:12" ht="13">
      <c r="A669" s="331">
        <v>4</v>
      </c>
      <c r="C669" s="330" t="str">
        <f>'FR-16(7)(v)-1 Functional'!C669</f>
        <v>PREFERRED STOCK</v>
      </c>
      <c r="D669" s="342"/>
      <c r="E669" s="195"/>
      <c r="F669" s="473">
        <f>'FR-16(7)(v)-1 Functional'!$F$669</f>
        <v>0</v>
      </c>
      <c r="G669" s="348">
        <f>IF($F$673=0,0,ROUND(F669/$F$673,5))</f>
        <v>0</v>
      </c>
      <c r="I669" s="330"/>
    </row>
    <row r="670" spans="1:12" ht="13">
      <c r="A670" s="331">
        <v>5</v>
      </c>
      <c r="C670" s="330" t="str">
        <f>'FR-16(7)(v)-1 Functional'!C670</f>
        <v>COMMON STOCK</v>
      </c>
      <c r="D670" s="342"/>
      <c r="E670" s="195"/>
      <c r="F670" s="473">
        <f>'FR-16(7)(v)-1 Functional'!$F$670</f>
        <v>861861344</v>
      </c>
      <c r="G670" s="348">
        <f>1-G668-G669-G671-G672</f>
        <v>0.50695000000000001</v>
      </c>
      <c r="I670" s="330"/>
    </row>
    <row r="671" spans="1:12" ht="13">
      <c r="A671" s="331">
        <v>6</v>
      </c>
      <c r="C671" s="330" t="str">
        <f>'FR-16(7)(v)-1 Functional'!C671</f>
        <v>SHORT TERM DEBT</v>
      </c>
      <c r="D671" s="342"/>
      <c r="E671" s="195"/>
      <c r="F671" s="473">
        <f>'FR-16(7)(v)-1 Functional'!$F$671</f>
        <v>43936209</v>
      </c>
      <c r="G671" s="348">
        <f>IF($F$673=0,0,ROUND(F671/$F$673,5))</f>
        <v>2.5839999999999998E-2</v>
      </c>
      <c r="I671" s="330"/>
    </row>
    <row r="672" spans="1:12" ht="13">
      <c r="A672" s="331">
        <v>7</v>
      </c>
      <c r="C672" s="330" t="str">
        <f>'FR-16(7)(v)-1 Functional'!C672</f>
        <v>UNAMORTIZED DISCOUNT</v>
      </c>
      <c r="D672" s="342"/>
      <c r="E672" s="195"/>
      <c r="F672" s="473">
        <f>'FR-16(7)(v)-1 Functional'!$F$672</f>
        <v>0</v>
      </c>
      <c r="G672" s="348">
        <f>IF($F$673=0,0,ROUND(F672/$F$673,5))</f>
        <v>0</v>
      </c>
      <c r="I672" s="330"/>
    </row>
    <row r="673" spans="1:9" ht="13">
      <c r="A673" s="331">
        <v>8</v>
      </c>
      <c r="C673" s="330" t="str">
        <f>'FR-16(7)(v)-1 Functional'!C673</f>
        <v xml:space="preserve">  TOTAL</v>
      </c>
      <c r="D673" s="342"/>
      <c r="E673" s="195"/>
      <c r="F673" s="474">
        <f>SUM(F667:F672)</f>
        <v>1700118063</v>
      </c>
      <c r="G673" s="515">
        <f>SUM(G668:G672)</f>
        <v>1</v>
      </c>
      <c r="I673" s="330"/>
    </row>
    <row r="674" spans="1:9" ht="13">
      <c r="A674" s="331">
        <v>9</v>
      </c>
      <c r="D674" s="342"/>
      <c r="E674" s="195"/>
      <c r="I674" s="330"/>
    </row>
    <row r="675" spans="1:9" ht="13">
      <c r="A675" s="331">
        <v>10</v>
      </c>
      <c r="B675" s="330" t="s">
        <v>86</v>
      </c>
      <c r="D675" s="342"/>
      <c r="E675" s="195"/>
      <c r="I675" s="330"/>
    </row>
    <row r="676" spans="1:9" ht="13">
      <c r="A676" s="331">
        <v>11</v>
      </c>
      <c r="C676" s="330" t="str">
        <f>'FR-16(7)(v)-1 Functional'!C676</f>
        <v>LONG TERM DEBT</v>
      </c>
      <c r="D676" s="342"/>
      <c r="E676" s="195"/>
      <c r="F676" s="580">
        <f>'FR-16(7)(v)-1 Functional'!$F$676</f>
        <v>3.8429999999999999E-2</v>
      </c>
      <c r="G676" s="516"/>
      <c r="I676" s="330"/>
    </row>
    <row r="677" spans="1:9" ht="13">
      <c r="A677" s="331">
        <v>12</v>
      </c>
      <c r="C677" s="330" t="str">
        <f>'FR-16(7)(v)-1 Functional'!C677</f>
        <v>PREFERRED STOCK</v>
      </c>
      <c r="D677" s="342"/>
      <c r="E677" s="195"/>
      <c r="F677" s="580">
        <f>'FR-16(7)(v)-1 Functional'!$F$677</f>
        <v>0</v>
      </c>
      <c r="G677" s="516"/>
      <c r="I677" s="330"/>
    </row>
    <row r="678" spans="1:9" ht="13">
      <c r="A678" s="331">
        <v>13</v>
      </c>
      <c r="C678" s="330" t="str">
        <f>'FR-16(7)(v)-1 Functional'!C678</f>
        <v>COMMON STOCK</v>
      </c>
      <c r="D678" s="342"/>
      <c r="E678" s="195"/>
      <c r="F678" s="580">
        <f>'FR-16(7)(v)-1 Functional'!$F$678</f>
        <v>0.10299999999999999</v>
      </c>
      <c r="G678" s="516"/>
      <c r="I678" s="330"/>
    </row>
    <row r="679" spans="1:9" ht="13">
      <c r="A679" s="331">
        <v>14</v>
      </c>
      <c r="C679" s="330" t="str">
        <f>'FR-16(7)(v)-1 Functional'!C679</f>
        <v>SHORT TERM DEBT</v>
      </c>
      <c r="D679" s="342"/>
      <c r="E679" s="195"/>
      <c r="F679" s="580">
        <f>'FR-16(7)(v)-1 Functional'!$F$679</f>
        <v>1.6670000000000001E-2</v>
      </c>
      <c r="G679" s="516"/>
      <c r="I679" s="330"/>
    </row>
    <row r="680" spans="1:9" ht="13">
      <c r="A680" s="331">
        <v>15</v>
      </c>
      <c r="C680" s="330" t="str">
        <f>'FR-16(7)(v)-1 Functional'!C680</f>
        <v>UNAMORTIZED DISCOUNT</v>
      </c>
      <c r="D680" s="342"/>
      <c r="E680" s="195"/>
      <c r="F680" s="580">
        <f>'FR-16(7)(v)-1 Functional'!$F$680</f>
        <v>0</v>
      </c>
      <c r="G680" s="516"/>
      <c r="I680" s="330"/>
    </row>
    <row r="681" spans="1:9" ht="13">
      <c r="A681" s="331">
        <v>16</v>
      </c>
      <c r="D681" s="342"/>
      <c r="E681" s="195"/>
      <c r="I681" s="330"/>
    </row>
    <row r="682" spans="1:9" ht="13">
      <c r="A682" s="331">
        <v>17</v>
      </c>
      <c r="B682" s="330" t="s">
        <v>87</v>
      </c>
      <c r="D682" s="342"/>
      <c r="E682" s="195"/>
      <c r="I682" s="330"/>
    </row>
    <row r="683" spans="1:9" ht="13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G683" s="514"/>
      <c r="I683" s="330"/>
    </row>
    <row r="684" spans="1:9" ht="13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G684" s="514"/>
      <c r="I684" s="330"/>
    </row>
    <row r="685" spans="1:9" ht="13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G685" s="514"/>
      <c r="I685" s="330"/>
    </row>
    <row r="686" spans="1:9" ht="13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G686" s="514"/>
      <c r="I686" s="330"/>
    </row>
    <row r="687" spans="1:9" ht="13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G687" s="514"/>
      <c r="H687" s="351"/>
      <c r="I687" s="330"/>
    </row>
    <row r="688" spans="1:9" ht="13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7">
        <f>SUM(F683:F687)</f>
        <v>7.060000000000001E-2</v>
      </c>
      <c r="G688" s="518"/>
      <c r="H688" s="351"/>
      <c r="I688" s="330"/>
    </row>
    <row r="689" spans="1:17" ht="13">
      <c r="A689" s="331">
        <v>24</v>
      </c>
      <c r="D689" s="342"/>
      <c r="E689" s="195"/>
      <c r="H689" s="351"/>
      <c r="I689" s="330"/>
    </row>
    <row r="690" spans="1:17" ht="13">
      <c r="A690" s="331">
        <v>25</v>
      </c>
      <c r="B690" s="330" t="s">
        <v>88</v>
      </c>
      <c r="D690" s="342"/>
      <c r="E690" s="195"/>
      <c r="F690" s="363"/>
      <c r="H690" s="351"/>
      <c r="I690" s="330"/>
    </row>
    <row r="691" spans="1:17" ht="13">
      <c r="A691" s="331">
        <v>26</v>
      </c>
      <c r="C691" s="330" t="str">
        <f>'FR-16(7)(v)-1 Functional'!C691</f>
        <v>SHORT TERM DEBT COST</v>
      </c>
      <c r="D691" s="342"/>
      <c r="E691" s="195"/>
      <c r="F691" s="760">
        <v>0</v>
      </c>
      <c r="G691" s="519">
        <f t="shared" ref="G691:L691" si="185">$F$691</f>
        <v>0</v>
      </c>
      <c r="H691" s="519">
        <f t="shared" si="185"/>
        <v>0</v>
      </c>
      <c r="I691" s="519">
        <f t="shared" si="185"/>
        <v>0</v>
      </c>
      <c r="J691" s="519">
        <f t="shared" si="185"/>
        <v>0</v>
      </c>
      <c r="K691" s="519">
        <f t="shared" si="185"/>
        <v>0</v>
      </c>
      <c r="L691" s="519">
        <f t="shared" si="185"/>
        <v>0</v>
      </c>
    </row>
    <row r="692" spans="1:17" ht="13">
      <c r="A692" s="331">
        <v>27</v>
      </c>
      <c r="C692" s="330" t="str">
        <f>'FR-16(7)(v)-1 Functional'!C692</f>
        <v>FEDERAL INCOME TAX RATE</v>
      </c>
      <c r="D692" s="342"/>
      <c r="E692" s="195"/>
      <c r="F692" s="519">
        <f t="shared" ref="F692:L692" si="186">FIT</f>
        <v>0.21</v>
      </c>
      <c r="G692" s="519">
        <f t="shared" si="186"/>
        <v>0.21</v>
      </c>
      <c r="H692" s="519">
        <f t="shared" si="186"/>
        <v>0.21</v>
      </c>
      <c r="I692" s="519">
        <f t="shared" si="186"/>
        <v>0.21</v>
      </c>
      <c r="J692" s="519">
        <f t="shared" si="186"/>
        <v>0.21</v>
      </c>
      <c r="K692" s="519">
        <f t="shared" si="186"/>
        <v>0.21</v>
      </c>
      <c r="L692" s="519">
        <f t="shared" si="186"/>
        <v>0.21</v>
      </c>
    </row>
    <row r="693" spans="1:17" ht="13">
      <c r="A693" s="331">
        <v>28</v>
      </c>
      <c r="C693" s="330" t="str">
        <f>'FR-16(7)(v)-1 Functional'!C693</f>
        <v>STATE INCOME TAX RATE</v>
      </c>
      <c r="D693" s="342"/>
      <c r="E693" s="195"/>
      <c r="F693" s="519">
        <f t="shared" ref="F693:L693" si="187">SIT</f>
        <v>4.9685000000000007E-2</v>
      </c>
      <c r="G693" s="519">
        <f t="shared" si="187"/>
        <v>4.9685000000000007E-2</v>
      </c>
      <c r="H693" s="519">
        <f t="shared" si="187"/>
        <v>4.9685000000000007E-2</v>
      </c>
      <c r="I693" s="519">
        <f t="shared" si="187"/>
        <v>4.9685000000000007E-2</v>
      </c>
      <c r="J693" s="519">
        <f t="shared" si="187"/>
        <v>4.9685000000000007E-2</v>
      </c>
      <c r="K693" s="519">
        <f t="shared" si="187"/>
        <v>4.9685000000000007E-2</v>
      </c>
      <c r="L693" s="519">
        <f t="shared" si="187"/>
        <v>4.9685000000000007E-2</v>
      </c>
    </row>
    <row r="694" spans="1:17" ht="13">
      <c r="A694" s="331">
        <v>29</v>
      </c>
      <c r="C694" s="330" t="str">
        <f>'FR-16(7)(v)-1 Functional'!C694</f>
        <v>REVENUE TAX RATE</v>
      </c>
      <c r="D694" s="342"/>
      <c r="E694" s="195"/>
      <c r="F694" s="516">
        <v>0</v>
      </c>
      <c r="G694" s="519">
        <f t="shared" ref="G694:L694" si="188">RevTax</f>
        <v>0</v>
      </c>
      <c r="H694" s="519">
        <f t="shared" si="188"/>
        <v>0</v>
      </c>
      <c r="I694" s="519">
        <f t="shared" si="188"/>
        <v>0</v>
      </c>
      <c r="J694" s="519">
        <f t="shared" si="188"/>
        <v>0</v>
      </c>
      <c r="K694" s="519">
        <f t="shared" si="188"/>
        <v>0</v>
      </c>
      <c r="L694" s="519">
        <f t="shared" si="188"/>
        <v>0</v>
      </c>
    </row>
    <row r="695" spans="1:17" ht="13">
      <c r="A695" s="195"/>
      <c r="B695" s="195"/>
      <c r="C695" s="195"/>
      <c r="D695" s="342"/>
      <c r="E695" s="342"/>
      <c r="H695" s="351"/>
      <c r="J695" s="582"/>
      <c r="K695" s="351"/>
      <c r="M695" s="195"/>
      <c r="N695" s="195"/>
      <c r="O695" s="195"/>
      <c r="P695" s="195"/>
      <c r="Q695" s="195"/>
    </row>
    <row r="696" spans="1:17" ht="13">
      <c r="A696" s="341" t="str">
        <f>co_name</f>
        <v>DUKE ENERGY KENTUCKY, INC.</v>
      </c>
      <c r="C696" s="195"/>
      <c r="D696" s="342"/>
      <c r="E696" s="195"/>
      <c r="F696" s="342"/>
      <c r="G696" s="340"/>
      <c r="H696" s="340"/>
      <c r="I696" s="195"/>
      <c r="K696" s="359" t="str">
        <f>$K$1</f>
        <v>FR-16(7)(v)-5</v>
      </c>
      <c r="M696" s="195"/>
      <c r="N696" s="195"/>
      <c r="O696" s="195"/>
      <c r="P696" s="195"/>
      <c r="Q696" s="195"/>
    </row>
    <row r="697" spans="1:17" ht="13">
      <c r="A697" s="341" t="str">
        <f>$A$2</f>
        <v>DISTRIBUTION DEMAND ALLOCATED - GAS COST OF SERVICE</v>
      </c>
      <c r="C697" s="195"/>
      <c r="D697" s="342"/>
      <c r="E697" s="195"/>
      <c r="F697" s="342"/>
      <c r="G697" s="340"/>
      <c r="H697" s="340"/>
      <c r="I697" s="195"/>
      <c r="K697" s="359" t="str">
        <f>$K$2</f>
        <v>WITNESS RESPONSIBLE:</v>
      </c>
      <c r="M697" s="195"/>
      <c r="N697" s="195"/>
      <c r="O697" s="195"/>
      <c r="P697" s="195"/>
      <c r="Q697" s="195"/>
    </row>
    <row r="698" spans="1:17" ht="13">
      <c r="A698" s="341" t="str">
        <f>case_name</f>
        <v>CASE NO: 2021-00190</v>
      </c>
      <c r="C698" s="195"/>
      <c r="D698" s="342"/>
      <c r="E698" s="195"/>
      <c r="F698" s="342"/>
      <c r="G698" s="340"/>
      <c r="H698" s="340"/>
      <c r="I698" s="195"/>
      <c r="K698" s="359" t="str">
        <f>Witness</f>
        <v>JAMES E. ZIOLKOWSKI</v>
      </c>
      <c r="M698" s="195"/>
      <c r="N698" s="195"/>
      <c r="O698" s="195"/>
      <c r="P698" s="195"/>
      <c r="Q698" s="195"/>
    </row>
    <row r="699" spans="1:17" ht="13">
      <c r="A699" s="341" t="str">
        <f>data_filing</f>
        <v>DATA: 12 MONTH FORECASTED PERIOD</v>
      </c>
      <c r="C699" s="195"/>
      <c r="D699" s="342"/>
      <c r="E699" s="195"/>
      <c r="F699" s="342"/>
      <c r="G699" s="340"/>
      <c r="H699" s="340"/>
      <c r="I699" s="195"/>
      <c r="K699" s="359" t="str">
        <f>"PAGE "&amp;Pages-2&amp;" OF "&amp;Pages</f>
        <v>PAGE 16 OF 18</v>
      </c>
      <c r="M699" s="195"/>
      <c r="N699" s="195"/>
      <c r="O699" s="195"/>
      <c r="P699" s="195"/>
      <c r="Q699" s="195"/>
    </row>
    <row r="700" spans="1:17" ht="13">
      <c r="A700" s="341" t="str">
        <f>type</f>
        <v xml:space="preserve">TYPE OF FILING: "X" ORIGINAL   UPDATED    REVISED  </v>
      </c>
      <c r="C700" s="195"/>
      <c r="D700" s="342"/>
      <c r="E700" s="195"/>
      <c r="F700" s="342"/>
      <c r="G700" s="340"/>
      <c r="H700" s="340"/>
      <c r="I700" s="195"/>
      <c r="J700" s="342"/>
      <c r="K700" s="195"/>
      <c r="M700" s="195"/>
      <c r="N700" s="195"/>
      <c r="O700" s="195"/>
      <c r="P700" s="195"/>
      <c r="Q700" s="195"/>
    </row>
    <row r="701" spans="1:17" ht="13">
      <c r="A701" s="195"/>
      <c r="B701" s="195"/>
      <c r="C701" s="195"/>
      <c r="D701" s="342"/>
      <c r="E701" s="342"/>
      <c r="F701" s="342"/>
      <c r="H701" s="351"/>
      <c r="J701" s="582"/>
      <c r="K701" s="351"/>
      <c r="M701" s="195"/>
      <c r="N701" s="195"/>
      <c r="O701" s="195"/>
      <c r="P701" s="195"/>
      <c r="Q701" s="195"/>
    </row>
    <row r="702" spans="1:17" ht="13.5" thickBot="1">
      <c r="A702" s="195"/>
      <c r="B702" s="195"/>
      <c r="C702" s="195"/>
      <c r="D702" s="342"/>
      <c r="E702" s="342"/>
      <c r="F702" s="342" t="str">
        <f>$F$7</f>
        <v>TOTAL</v>
      </c>
      <c r="H702" s="351"/>
      <c r="J702" s="582"/>
      <c r="K702" s="351"/>
      <c r="M702" s="195"/>
      <c r="N702" s="195"/>
      <c r="O702" s="195"/>
      <c r="P702" s="195"/>
      <c r="Q702" s="195"/>
    </row>
    <row r="703" spans="1:17" ht="13">
      <c r="A703" s="342" t="s">
        <v>907</v>
      </c>
      <c r="B703" s="195"/>
      <c r="C703" s="195"/>
      <c r="D703" s="342"/>
      <c r="E703" s="342"/>
      <c r="F703" s="342" t="str">
        <f>$F$8</f>
        <v>DISTRIBUTION</v>
      </c>
      <c r="G703" s="583" t="str">
        <f>$G$8</f>
        <v>RS</v>
      </c>
      <c r="H703" s="582" t="s">
        <v>857</v>
      </c>
      <c r="I703" s="582" t="s">
        <v>858</v>
      </c>
      <c r="J703" s="582" t="str">
        <f>$J$8</f>
        <v>INTERUPT</v>
      </c>
      <c r="K703" s="582" t="s">
        <v>229</v>
      </c>
      <c r="L703" s="583" t="s">
        <v>342</v>
      </c>
      <c r="M703" s="195"/>
      <c r="N703" s="195"/>
      <c r="P703" s="745" t="s">
        <v>999</v>
      </c>
      <c r="Q703" s="195"/>
    </row>
    <row r="704" spans="1:17" ht="13">
      <c r="A704" s="344" t="s">
        <v>908</v>
      </c>
      <c r="B704" s="584" t="s">
        <v>89</v>
      </c>
      <c r="C704" s="343"/>
      <c r="D704" s="585" t="s">
        <v>1001</v>
      </c>
      <c r="E704" s="585" t="s">
        <v>337</v>
      </c>
      <c r="F704" s="342" t="str">
        <f>$F$9</f>
        <v>DEMAND</v>
      </c>
      <c r="G704" s="586" t="str">
        <f>$G$9</f>
        <v>RESIDENTIAL</v>
      </c>
      <c r="H704" s="587" t="str">
        <f>$H$9</f>
        <v>GEN SERV</v>
      </c>
      <c r="I704" s="587" t="str">
        <f>H9</f>
        <v>GEN SERV</v>
      </c>
      <c r="J704" s="587" t="str">
        <f>$J$9</f>
        <v>TRANS</v>
      </c>
      <c r="K704" s="587" t="s">
        <v>341</v>
      </c>
      <c r="L704" s="586" t="s">
        <v>340</v>
      </c>
      <c r="M704" s="195"/>
      <c r="N704" s="195"/>
      <c r="P704" s="746" t="s">
        <v>998</v>
      </c>
      <c r="Q704" s="195"/>
    </row>
    <row r="705" spans="1:17" ht="13">
      <c r="A705" s="195"/>
      <c r="B705" s="588"/>
      <c r="C705" s="838" t="s">
        <v>558</v>
      </c>
      <c r="D705" s="712"/>
      <c r="E705" s="782">
        <v>1</v>
      </c>
      <c r="F705" s="820">
        <v>2</v>
      </c>
      <c r="G705" s="627">
        <v>3</v>
      </c>
      <c r="H705" s="627">
        <v>4</v>
      </c>
      <c r="I705" s="627">
        <v>5</v>
      </c>
      <c r="J705" s="627">
        <v>6</v>
      </c>
      <c r="K705" s="589"/>
      <c r="L705" s="590"/>
      <c r="M705" s="366"/>
      <c r="N705" s="195"/>
      <c r="P705" s="747"/>
      <c r="Q705" s="366"/>
    </row>
    <row r="706" spans="1:17" ht="13">
      <c r="A706" s="342">
        <v>1</v>
      </c>
      <c r="B706" s="591" t="s">
        <v>90</v>
      </c>
      <c r="C706" s="484"/>
      <c r="D706" s="706"/>
      <c r="E706" s="706"/>
      <c r="F706" s="504"/>
      <c r="G706" s="504"/>
      <c r="H706" s="484"/>
      <c r="I706" s="504"/>
      <c r="J706" s="504"/>
      <c r="K706" s="504"/>
      <c r="L706" s="504"/>
      <c r="N706" s="195"/>
      <c r="P706" s="748"/>
    </row>
    <row r="707" spans="1:17" ht="13">
      <c r="A707" s="342">
        <v>2</v>
      </c>
      <c r="C707" s="592" t="s">
        <v>221</v>
      </c>
      <c r="D707" s="717" t="s">
        <v>1002</v>
      </c>
      <c r="E707" s="707"/>
      <c r="F707" s="473">
        <f>'Alloc Factors Summary'!$D$16</f>
        <v>11107573</v>
      </c>
      <c r="G707" s="473">
        <f>'Alloc Factors Summary'!$D12</f>
        <v>5557382</v>
      </c>
      <c r="H707" s="473">
        <f>'Alloc Factors Summary'!$D13</f>
        <v>3260228</v>
      </c>
      <c r="I707" s="473">
        <f>'Alloc Factors Summary'!D14</f>
        <v>2289963</v>
      </c>
      <c r="J707" s="473">
        <f>'Alloc Factors Summary'!D15</f>
        <v>0</v>
      </c>
      <c r="K707" s="347">
        <f t="shared" ref="K707:K742" si="189">SUM(G707:J707)</f>
        <v>11107573</v>
      </c>
      <c r="L707" s="347">
        <f t="shared" ref="L707:L742" si="190">F707-K707</f>
        <v>0</v>
      </c>
      <c r="M707" s="195"/>
      <c r="N707" s="195"/>
      <c r="P707" s="747"/>
      <c r="Q707" s="195"/>
    </row>
    <row r="708" spans="1:17" ht="13">
      <c r="A708" s="342">
        <v>3</v>
      </c>
      <c r="B708" s="195"/>
      <c r="C708" s="491" t="s">
        <v>355</v>
      </c>
      <c r="D708" s="583"/>
      <c r="E708" s="708" t="str">
        <f>'FR-16(7)(v)-1 Functional'!$E$708</f>
        <v>K201</v>
      </c>
      <c r="F708" s="354">
        <f>IF($F707=0,0,ROUND(F707/$F707,9))</f>
        <v>1</v>
      </c>
      <c r="G708" s="354">
        <f>IF($L707=0,F708-SUM(H708:J708),ROUND(G707/$F707,5))</f>
        <v>0.50032999999999994</v>
      </c>
      <c r="H708" s="354">
        <f>IF($F707=0,0,ROUND(H707/$F707,5))</f>
        <v>0.29350999999999999</v>
      </c>
      <c r="I708" s="354">
        <f>IF(F707=0,0,ROUND(I707/F707,5))</f>
        <v>0.20616000000000001</v>
      </c>
      <c r="J708" s="354">
        <f>IF(G707=0,0,ROUND(J707/F707,5))</f>
        <v>0</v>
      </c>
      <c r="K708" s="354">
        <f t="shared" si="189"/>
        <v>0.99999999999999989</v>
      </c>
      <c r="L708" s="354">
        <f t="shared" si="190"/>
        <v>0</v>
      </c>
      <c r="M708" s="195"/>
      <c r="N708" s="195"/>
      <c r="P708" s="749">
        <f>K708</f>
        <v>0.99999999999999989</v>
      </c>
      <c r="Q708" s="195"/>
    </row>
    <row r="709" spans="1:17" ht="13">
      <c r="A709" s="342">
        <v>4</v>
      </c>
      <c r="C709" s="592" t="s">
        <v>855</v>
      </c>
      <c r="D709" s="717" t="s">
        <v>1002</v>
      </c>
      <c r="E709" s="723"/>
      <c r="F709" s="598">
        <v>100</v>
      </c>
      <c r="G709" s="580">
        <f>ROUND('Alloc Factors Summary'!$D$21*100,3)</f>
        <v>51.036000000000001</v>
      </c>
      <c r="H709" s="580">
        <f>ROUND('Alloc Factors Summary'!$D$22*100,3)</f>
        <v>30.99</v>
      </c>
      <c r="I709" s="580">
        <f>ROUND('Alloc Factors Summary'!D23*100,3)</f>
        <v>13.624000000000001</v>
      </c>
      <c r="J709" s="580">
        <f>ROUND('Alloc Factors Summary'!D24*100,3)</f>
        <v>4.3499999999999996</v>
      </c>
      <c r="K709" s="354">
        <f t="shared" si="189"/>
        <v>99.999999999999986</v>
      </c>
      <c r="L709" s="354">
        <f t="shared" si="190"/>
        <v>0</v>
      </c>
      <c r="N709" s="195"/>
      <c r="P709" s="748"/>
    </row>
    <row r="710" spans="1:17" ht="13">
      <c r="A710" s="342">
        <v>5</v>
      </c>
      <c r="B710" s="195"/>
      <c r="C710" s="491" t="s">
        <v>355</v>
      </c>
      <c r="D710" s="583"/>
      <c r="E710" s="708" t="str">
        <f>'FR-16(7)(v)-1 Functional'!$E$710</f>
        <v>K203</v>
      </c>
      <c r="F710" s="354">
        <f>IF($F709=0,0,ROUND(F709/$F709,9))</f>
        <v>1</v>
      </c>
      <c r="G710" s="354">
        <f>IF($L709=0,F710-SUM(H710:J710),ROUND(G709/$F709,5))</f>
        <v>0.51036000000000004</v>
      </c>
      <c r="H710" s="354">
        <f>IF($F709=0,0,ROUND(H709/$F709,5))</f>
        <v>0.30990000000000001</v>
      </c>
      <c r="I710" s="354">
        <f>IF(F709=0,0,ROUND(I709/F709,5))</f>
        <v>0.13624</v>
      </c>
      <c r="J710" s="354">
        <f>IF(G709=0,0,ROUND(J709/F709,5))</f>
        <v>4.3499999999999997E-2</v>
      </c>
      <c r="K710" s="354">
        <f t="shared" si="189"/>
        <v>1</v>
      </c>
      <c r="L710" s="354">
        <f t="shared" si="190"/>
        <v>0</v>
      </c>
      <c r="M710" s="195"/>
      <c r="N710" s="195"/>
      <c r="P710" s="749">
        <f>K710</f>
        <v>1</v>
      </c>
      <c r="Q710" s="195"/>
    </row>
    <row r="711" spans="1:17" ht="13">
      <c r="A711" s="342">
        <v>6</v>
      </c>
      <c r="C711" s="592" t="s">
        <v>856</v>
      </c>
      <c r="D711" s="717" t="s">
        <v>1002</v>
      </c>
      <c r="E711" s="723"/>
      <c r="F711" s="598">
        <v>100</v>
      </c>
      <c r="G711" s="580">
        <f>ROUND('Alloc Factors Summary'!$E21*100,3)</f>
        <v>53.421999999999997</v>
      </c>
      <c r="H711" s="580">
        <f>ROUND('Alloc Factors Summary'!$E22*100,3)</f>
        <v>32.457999999999998</v>
      </c>
      <c r="I711" s="580">
        <f>ROUND('Alloc Factors Summary'!E23*100,3)</f>
        <v>14.12</v>
      </c>
      <c r="J711" s="580">
        <f>ROUND('Alloc Factors Summary'!E24*100,3)</f>
        <v>0</v>
      </c>
      <c r="K711" s="354">
        <f t="shared" si="189"/>
        <v>100</v>
      </c>
      <c r="L711" s="354">
        <f t="shared" si="190"/>
        <v>0</v>
      </c>
      <c r="N711" s="195"/>
      <c r="P711" s="748"/>
    </row>
    <row r="712" spans="1:17" ht="13">
      <c r="A712" s="342">
        <v>7</v>
      </c>
      <c r="B712" s="195"/>
      <c r="C712" s="491" t="s">
        <v>355</v>
      </c>
      <c r="D712" s="583"/>
      <c r="E712" s="708" t="str">
        <f>'FR-16(7)(v)-1 Functional'!$E$712</f>
        <v>K205</v>
      </c>
      <c r="F712" s="354">
        <f>IF($F711=0,0,ROUND(F711/$F711,9))</f>
        <v>1</v>
      </c>
      <c r="G712" s="354">
        <f>IF($L711=0,F712-SUM(H712:J712),ROUND(G711/$F711,5))</f>
        <v>0.53422000000000003</v>
      </c>
      <c r="H712" s="354">
        <f>IF($F711=0,0,ROUND(H711/$F711,5))</f>
        <v>0.32457999999999998</v>
      </c>
      <c r="I712" s="354">
        <f>IF(F711=0,0,ROUND(I711/F711,5))</f>
        <v>0.14119999999999999</v>
      </c>
      <c r="J712" s="354">
        <f>IF(G711=0,0,ROUND(J711/F711,5))</f>
        <v>0</v>
      </c>
      <c r="K712" s="354">
        <f t="shared" si="189"/>
        <v>1</v>
      </c>
      <c r="L712" s="354">
        <f t="shared" si="190"/>
        <v>0</v>
      </c>
      <c r="M712" s="195"/>
      <c r="N712" s="195"/>
      <c r="P712" s="749">
        <f>K712</f>
        <v>1</v>
      </c>
      <c r="Q712" s="195"/>
    </row>
    <row r="713" spans="1:17" ht="13">
      <c r="A713" s="342">
        <v>8</v>
      </c>
      <c r="B713" s="195"/>
      <c r="C713" s="592" t="s">
        <v>405</v>
      </c>
      <c r="D713" s="717" t="s">
        <v>1002</v>
      </c>
      <c r="E713" s="723"/>
      <c r="F713" s="473">
        <f>'Alloc Factors Summary'!$D$34</f>
        <v>12746023</v>
      </c>
      <c r="G713" s="473">
        <f>'Alloc Factors Summary'!$D30</f>
        <v>5557382</v>
      </c>
      <c r="H713" s="473">
        <f>'Alloc Factors Summary'!$D31</f>
        <v>3260228</v>
      </c>
      <c r="I713" s="473">
        <f>'Alloc Factors Summary'!D32</f>
        <v>2289963</v>
      </c>
      <c r="J713" s="473">
        <f>'Alloc Factors Summary'!D33</f>
        <v>1638450</v>
      </c>
      <c r="K713" s="347">
        <f t="shared" si="189"/>
        <v>12746023</v>
      </c>
      <c r="L713" s="347">
        <f t="shared" si="190"/>
        <v>0</v>
      </c>
      <c r="M713" s="195"/>
      <c r="N713" s="195"/>
      <c r="P713" s="747"/>
      <c r="Q713" s="195"/>
    </row>
    <row r="714" spans="1:17" ht="13">
      <c r="A714" s="342">
        <v>9</v>
      </c>
      <c r="B714" s="195"/>
      <c r="C714" s="491" t="s">
        <v>355</v>
      </c>
      <c r="D714" s="583"/>
      <c r="E714" s="708" t="str">
        <f>'FR-16(7)(v)-1 Functional'!$E$714</f>
        <v>K300</v>
      </c>
      <c r="F714" s="354">
        <f>IF($F713=0,0,ROUND(F713/$F713,9))</f>
        <v>1</v>
      </c>
      <c r="G714" s="354">
        <f>IF($L713=0,F714-SUM(H714:J714),ROUND(G713/$F713,5))</f>
        <v>0.43601000000000001</v>
      </c>
      <c r="H714" s="354">
        <f>IF($F713=0,0,ROUND(H713/$F713,5))</f>
        <v>0.25578000000000001</v>
      </c>
      <c r="I714" s="354">
        <f>IF(F713=0,0,ROUND(I713/F713,5))</f>
        <v>0.17965999999999999</v>
      </c>
      <c r="J714" s="354">
        <f>IF(G713=0,0,ROUND(J713/F713,5))</f>
        <v>0.12855</v>
      </c>
      <c r="K714" s="354">
        <f t="shared" si="189"/>
        <v>1</v>
      </c>
      <c r="L714" s="354">
        <f t="shared" si="190"/>
        <v>0</v>
      </c>
      <c r="M714" s="195"/>
      <c r="N714" s="195"/>
      <c r="P714" s="749">
        <f>K714</f>
        <v>1</v>
      </c>
      <c r="Q714" s="195"/>
    </row>
    <row r="715" spans="1:17" ht="13">
      <c r="A715" s="342">
        <v>10</v>
      </c>
      <c r="C715" s="592" t="s">
        <v>375</v>
      </c>
      <c r="D715" s="717" t="s">
        <v>1002</v>
      </c>
      <c r="E715" s="723"/>
      <c r="F715" s="473">
        <f>'Alloc Factors Summary'!$D$43</f>
        <v>8817610</v>
      </c>
      <c r="G715" s="473">
        <f>'Alloc Factors Summary'!D39</f>
        <v>5557382</v>
      </c>
      <c r="H715" s="473">
        <f>'Alloc Factors Summary'!D40</f>
        <v>3260228</v>
      </c>
      <c r="I715" s="473">
        <f>'Alloc Factors Summary'!D41</f>
        <v>0</v>
      </c>
      <c r="J715" s="473">
        <f>'Alloc Factors Summary'!D42</f>
        <v>0</v>
      </c>
      <c r="K715" s="347">
        <f t="shared" si="189"/>
        <v>8817610</v>
      </c>
      <c r="L715" s="347">
        <f t="shared" si="190"/>
        <v>0</v>
      </c>
      <c r="N715" s="195"/>
      <c r="P715" s="748"/>
    </row>
    <row r="716" spans="1:17" ht="13">
      <c r="A716" s="342">
        <v>11</v>
      </c>
      <c r="B716" s="195"/>
      <c r="C716" s="491" t="s">
        <v>355</v>
      </c>
      <c r="D716" s="583"/>
      <c r="E716" s="708" t="str">
        <f>'FR-16(7)(v)-1 Functional'!$E$716</f>
        <v>K301</v>
      </c>
      <c r="F716" s="354">
        <f>IF($F715=0,0,ROUND(F715/$F715,9))</f>
        <v>1</v>
      </c>
      <c r="G716" s="354">
        <f>IF($L715=0,F716-SUM(H716:J716),ROUND(G715/$F715,5))</f>
        <v>0.63026000000000004</v>
      </c>
      <c r="H716" s="354">
        <f>IF($F715=0,0,ROUND(H715/$F715,5))</f>
        <v>0.36974000000000001</v>
      </c>
      <c r="I716" s="354">
        <f>IF(F715=0,0,ROUND(I715/F715,5))</f>
        <v>0</v>
      </c>
      <c r="J716" s="354">
        <f>IF(G715=0,0,ROUND(J715/F715,5))</f>
        <v>0</v>
      </c>
      <c r="K716" s="354">
        <f t="shared" si="189"/>
        <v>1</v>
      </c>
      <c r="L716" s="354">
        <f t="shared" si="190"/>
        <v>0</v>
      </c>
      <c r="M716" s="195"/>
      <c r="N716" s="195"/>
      <c r="P716" s="749">
        <f>K716</f>
        <v>1</v>
      </c>
      <c r="Q716" s="195"/>
    </row>
    <row r="717" spans="1:17" ht="13">
      <c r="A717" s="342">
        <v>12</v>
      </c>
      <c r="C717" s="592" t="s">
        <v>222</v>
      </c>
      <c r="D717" s="717" t="s">
        <v>1002</v>
      </c>
      <c r="E717" s="723"/>
      <c r="F717" s="473">
        <f>'Alloc Factors Summary'!$D$64</f>
        <v>101373</v>
      </c>
      <c r="G717" s="473">
        <f>'Alloc Factors Summary'!D60</f>
        <v>93602</v>
      </c>
      <c r="H717" s="473">
        <f>'Alloc Factors Summary'!D61</f>
        <v>7643</v>
      </c>
      <c r="I717" s="473">
        <f>'Alloc Factors Summary'!D62</f>
        <v>106</v>
      </c>
      <c r="J717" s="473">
        <f>'Alloc Factors Summary'!D63</f>
        <v>22</v>
      </c>
      <c r="K717" s="347">
        <f t="shared" si="189"/>
        <v>101373</v>
      </c>
      <c r="L717" s="347">
        <f t="shared" si="190"/>
        <v>0</v>
      </c>
      <c r="N717" s="195"/>
      <c r="P717" s="748"/>
    </row>
    <row r="718" spans="1:17" ht="13">
      <c r="A718" s="342">
        <v>13</v>
      </c>
      <c r="B718" s="195"/>
      <c r="C718" s="491" t="s">
        <v>355</v>
      </c>
      <c r="D718" s="583"/>
      <c r="E718" s="708" t="str">
        <f>'FR-16(7)(v)-1 Functional'!$E$718</f>
        <v>K401</v>
      </c>
      <c r="F718" s="354">
        <f>IF($F717=0,0,ROUND(F717/$F717,9))</f>
        <v>1</v>
      </c>
      <c r="G718" s="354">
        <f>IF($L717=0,F718-SUM(H718:J718),ROUND(G717/$F717,5))</f>
        <v>0.92334000000000005</v>
      </c>
      <c r="H718" s="354">
        <f>IF($F717=0,0,ROUND(H717/$F717,5))</f>
        <v>7.5389999999999999E-2</v>
      </c>
      <c r="I718" s="354">
        <f>IF(F717=0,0,ROUND(I717/F717,5))</f>
        <v>1.0499999999999999E-3</v>
      </c>
      <c r="J718" s="354">
        <f>IF(G717=0,0,ROUND(J717/F717,5))</f>
        <v>2.2000000000000001E-4</v>
      </c>
      <c r="K718" s="354">
        <f t="shared" si="189"/>
        <v>1</v>
      </c>
      <c r="L718" s="354">
        <f t="shared" si="190"/>
        <v>0</v>
      </c>
      <c r="M718" s="195"/>
      <c r="N718" s="195"/>
      <c r="P718" s="749">
        <f>K718</f>
        <v>1</v>
      </c>
      <c r="Q718" s="195"/>
    </row>
    <row r="719" spans="1:17" ht="13">
      <c r="A719" s="342">
        <v>14</v>
      </c>
      <c r="C719" s="592" t="s">
        <v>223</v>
      </c>
      <c r="D719" s="717" t="s">
        <v>1002</v>
      </c>
      <c r="E719" s="723"/>
      <c r="F719" s="473">
        <f>'Alloc Factors Summary'!$F$76</f>
        <v>106848</v>
      </c>
      <c r="G719" s="473">
        <f>'Alloc Factors Summary'!F72</f>
        <v>93602</v>
      </c>
      <c r="H719" s="473">
        <f>'Alloc Factors Summary'!F73</f>
        <v>12869</v>
      </c>
      <c r="I719" s="473">
        <f>'Alloc Factors Summary'!F74</f>
        <v>204</v>
      </c>
      <c r="J719" s="473">
        <f>'Alloc Factors Summary'!F75</f>
        <v>173</v>
      </c>
      <c r="K719" s="347">
        <f t="shared" si="189"/>
        <v>106848</v>
      </c>
      <c r="L719" s="347">
        <f t="shared" si="190"/>
        <v>0</v>
      </c>
      <c r="M719" s="593"/>
      <c r="N719" s="195"/>
      <c r="P719" s="748"/>
    </row>
    <row r="720" spans="1:17" ht="13">
      <c r="A720" s="342">
        <v>15</v>
      </c>
      <c r="B720" s="195"/>
      <c r="C720" s="491" t="s">
        <v>355</v>
      </c>
      <c r="D720" s="583"/>
      <c r="E720" s="708" t="str">
        <f>'FR-16(7)(v)-1 Functional'!$E$720</f>
        <v>K403</v>
      </c>
      <c r="F720" s="354">
        <f>IF($F719=0,0,ROUND(F719/$F719,9))</f>
        <v>1</v>
      </c>
      <c r="G720" s="354">
        <f>IF($L719=0,F720-SUM(H720:J720),ROUND(G719/$F719,5))</f>
        <v>0.87602999999999998</v>
      </c>
      <c r="H720" s="354">
        <f>IF($F719=0,0,ROUND(H719/$F719,5))</f>
        <v>0.12044000000000001</v>
      </c>
      <c r="I720" s="354">
        <f>IF(F719=0,0,ROUND(I719/F719,5))</f>
        <v>1.91E-3</v>
      </c>
      <c r="J720" s="354">
        <f>IF(G719=0,0,ROUND(J719/F719,5))</f>
        <v>1.6199999999999999E-3</v>
      </c>
      <c r="K720" s="354">
        <f t="shared" si="189"/>
        <v>0.99999999999999989</v>
      </c>
      <c r="L720" s="354">
        <f t="shared" si="190"/>
        <v>0</v>
      </c>
      <c r="M720" s="195"/>
      <c r="N720" s="195"/>
      <c r="P720" s="749">
        <f>K720</f>
        <v>0.99999999999999989</v>
      </c>
      <c r="Q720" s="195"/>
    </row>
    <row r="721" spans="1:17" ht="13">
      <c r="A721" s="342">
        <v>16</v>
      </c>
      <c r="C721" s="592" t="s">
        <v>385</v>
      </c>
      <c r="D721" s="717" t="s">
        <v>1002</v>
      </c>
      <c r="E721" s="723"/>
      <c r="F721" s="473">
        <f>'Alloc Factors Summary'!$G$88</f>
        <v>2925179.9999999995</v>
      </c>
      <c r="G721" s="473">
        <f>'Alloc Factors Summary'!G84</f>
        <v>2700943.0357195702</v>
      </c>
      <c r="H721" s="473">
        <f>'Alloc Factors Summary'!G85</f>
        <v>220543.44588795831</v>
      </c>
      <c r="I721" s="473">
        <f>'Alloc Factors Summary'!G86</f>
        <v>3058.6949187653518</v>
      </c>
      <c r="J721" s="473">
        <f>'Alloc Factors Summary'!G87</f>
        <v>634.82347370601633</v>
      </c>
      <c r="K721" s="347">
        <f t="shared" si="189"/>
        <v>2925179.9999999995</v>
      </c>
      <c r="L721" s="347">
        <f t="shared" si="190"/>
        <v>0</v>
      </c>
      <c r="M721" s="593"/>
      <c r="N721" s="195"/>
      <c r="P721" s="748"/>
    </row>
    <row r="722" spans="1:17" ht="13">
      <c r="A722" s="342">
        <v>17</v>
      </c>
      <c r="B722" s="195"/>
      <c r="C722" s="491" t="s">
        <v>355</v>
      </c>
      <c r="D722" s="583"/>
      <c r="E722" s="708" t="str">
        <f>'FR-16(7)(v)-1 Functional'!$E$722</f>
        <v>K405</v>
      </c>
      <c r="F722" s="354">
        <f>IF($F721=0,0,ROUND(F721/$F721,9))</f>
        <v>1</v>
      </c>
      <c r="G722" s="354">
        <f>IF($L721=0,F722-SUM(H722:J722),ROUND(G721/$F721,5))</f>
        <v>0.92334000000000005</v>
      </c>
      <c r="H722" s="354">
        <f>IF($F721=0,0,ROUND(H721/$F721,5))</f>
        <v>7.5389999999999999E-2</v>
      </c>
      <c r="I722" s="354">
        <f>IF(F721=0,0,ROUND(I721/F721,5))</f>
        <v>1.0499999999999999E-3</v>
      </c>
      <c r="J722" s="354">
        <f>IF(G721=0,0,ROUND(J721/F721,5))</f>
        <v>2.2000000000000001E-4</v>
      </c>
      <c r="K722" s="354">
        <f t="shared" si="189"/>
        <v>1</v>
      </c>
      <c r="L722" s="354">
        <f t="shared" si="190"/>
        <v>0</v>
      </c>
      <c r="M722" s="195"/>
      <c r="N722" s="195"/>
      <c r="P722" s="749">
        <f>K722</f>
        <v>1</v>
      </c>
      <c r="Q722" s="195"/>
    </row>
    <row r="723" spans="1:17" ht="13">
      <c r="A723" s="342">
        <v>18</v>
      </c>
      <c r="C723" s="592" t="s">
        <v>373</v>
      </c>
      <c r="D723" s="717" t="s">
        <v>1002</v>
      </c>
      <c r="E723" s="723"/>
      <c r="F723" s="473">
        <f>'Alloc Factors Summary'!$D$98</f>
        <v>6856</v>
      </c>
      <c r="G723" s="473">
        <f>'Alloc Factors Summary'!D94</f>
        <v>6330.4362305544873</v>
      </c>
      <c r="H723" s="473">
        <f>'Alloc Factors Summary'!D95</f>
        <v>516.90694760932399</v>
      </c>
      <c r="I723" s="473">
        <f>'Alloc Factors Summary'!D96</f>
        <v>7.1689305830941175</v>
      </c>
      <c r="J723" s="473">
        <f>'Alloc Factors Summary'!D97</f>
        <v>1.4878912530950055</v>
      </c>
      <c r="K723" s="347">
        <f t="shared" si="189"/>
        <v>6856</v>
      </c>
      <c r="L723" s="347">
        <f t="shared" si="190"/>
        <v>0</v>
      </c>
      <c r="M723" s="593"/>
      <c r="N723" s="195"/>
      <c r="P723" s="748"/>
    </row>
    <row r="724" spans="1:17" ht="13">
      <c r="A724" s="342">
        <v>19</v>
      </c>
      <c r="B724" s="195"/>
      <c r="C724" s="491" t="s">
        <v>355</v>
      </c>
      <c r="D724" s="583"/>
      <c r="E724" s="708" t="str">
        <f>'FR-16(7)(v)-1 Functional'!$E$724</f>
        <v>K406</v>
      </c>
      <c r="F724" s="354">
        <f>IF($F723=0,0,ROUND(F723/$F723,9))</f>
        <v>1</v>
      </c>
      <c r="G724" s="354">
        <f>IF($L723=0,F724-SUM(H724:J724),ROUND(G723/$F723,5))</f>
        <v>0.92334000000000005</v>
      </c>
      <c r="H724" s="354">
        <f>IF($F723=0,0,ROUND(H723/$F723,5))</f>
        <v>7.5389999999999999E-2</v>
      </c>
      <c r="I724" s="354">
        <f>IF(F723=0,0,ROUND(I723/F723,5))</f>
        <v>1.0499999999999999E-3</v>
      </c>
      <c r="J724" s="354">
        <f>IF(G723=0,0,ROUND(J723/F723,5))</f>
        <v>2.2000000000000001E-4</v>
      </c>
      <c r="K724" s="354">
        <f t="shared" si="189"/>
        <v>1</v>
      </c>
      <c r="L724" s="354">
        <f t="shared" si="190"/>
        <v>0</v>
      </c>
      <c r="M724" s="195"/>
      <c r="N724" s="195"/>
      <c r="P724" s="749">
        <f>K724</f>
        <v>1</v>
      </c>
      <c r="Q724" s="195"/>
    </row>
    <row r="725" spans="1:17" ht="13">
      <c r="A725" s="342">
        <v>20</v>
      </c>
      <c r="C725" s="592" t="s">
        <v>1025</v>
      </c>
      <c r="D725" s="717" t="s">
        <v>1002</v>
      </c>
      <c r="E725" s="723"/>
      <c r="F725" s="473">
        <f>'Alloc Factors Summary'!$G$108</f>
        <v>108184.00000000001</v>
      </c>
      <c r="G725" s="473">
        <f>'Alloc Factors Summary'!G104</f>
        <v>99890.885817722679</v>
      </c>
      <c r="H725" s="473">
        <f>'Alloc Factors Summary'!G105</f>
        <v>8156.5141803044198</v>
      </c>
      <c r="I725" s="473">
        <f>'Alloc Factors Summary'!G106</f>
        <v>113.12187663381768</v>
      </c>
      <c r="J725" s="473">
        <f>'Alloc Factors Summary'!G107</f>
        <v>23.478125339094234</v>
      </c>
      <c r="K725" s="347">
        <f t="shared" si="189"/>
        <v>108184.00000000001</v>
      </c>
      <c r="L725" s="347">
        <f t="shared" si="190"/>
        <v>0</v>
      </c>
      <c r="M725" s="593"/>
      <c r="N725" s="195"/>
      <c r="P725" s="748"/>
    </row>
    <row r="726" spans="1:17" ht="13">
      <c r="A726" s="342">
        <v>21</v>
      </c>
      <c r="B726" s="195"/>
      <c r="C726" s="491" t="s">
        <v>355</v>
      </c>
      <c r="D726" s="583"/>
      <c r="E726" s="708" t="str">
        <f>'FR-16(7)(v)-1 Functional'!$E$726</f>
        <v>K407</v>
      </c>
      <c r="F726" s="354">
        <f>IF($F725=0,0,ROUND(F725/$F725,9))</f>
        <v>1</v>
      </c>
      <c r="G726" s="354">
        <f>IF($L725=0,F726-SUM(H726:J726),ROUND(G725/$F725,5))</f>
        <v>0.92334000000000005</v>
      </c>
      <c r="H726" s="354">
        <f>IF($F725=0,0,ROUND(H725/$F725,5))</f>
        <v>7.5389999999999999E-2</v>
      </c>
      <c r="I726" s="354">
        <f>IF(F725=0,0,ROUND(I725/F725,5))</f>
        <v>1.0499999999999999E-3</v>
      </c>
      <c r="J726" s="354">
        <f>IF(G725=0,0,ROUND(J725/F725,5))</f>
        <v>2.2000000000000001E-4</v>
      </c>
      <c r="K726" s="354">
        <f t="shared" si="189"/>
        <v>1</v>
      </c>
      <c r="L726" s="354">
        <f t="shared" si="190"/>
        <v>0</v>
      </c>
      <c r="M726" s="195"/>
      <c r="N726" s="195"/>
      <c r="P726" s="749">
        <f>K726</f>
        <v>1</v>
      </c>
      <c r="Q726" s="195"/>
    </row>
    <row r="727" spans="1:17" ht="13">
      <c r="A727" s="342">
        <v>22</v>
      </c>
      <c r="C727" s="592" t="s">
        <v>1026</v>
      </c>
      <c r="D727" s="717" t="s">
        <v>1002</v>
      </c>
      <c r="E727" s="723"/>
      <c r="F727" s="473">
        <f>'Alloc Factors Summary'!$F$118</f>
        <v>2602</v>
      </c>
      <c r="G727" s="473">
        <f>'Alloc Factors Summary'!F114</f>
        <v>2402</v>
      </c>
      <c r="H727" s="473">
        <f>'Alloc Factors Summary'!F115</f>
        <v>196</v>
      </c>
      <c r="I727" s="473">
        <f>'Alloc Factors Summary'!F116</f>
        <v>3</v>
      </c>
      <c r="J727" s="473">
        <f>'Alloc Factors Summary'!F117</f>
        <v>1</v>
      </c>
      <c r="K727" s="347">
        <f t="shared" si="189"/>
        <v>2602</v>
      </c>
      <c r="L727" s="347">
        <f t="shared" si="190"/>
        <v>0</v>
      </c>
      <c r="M727" s="593"/>
      <c r="N727" s="195"/>
      <c r="P727" s="748"/>
    </row>
    <row r="728" spans="1:17" ht="13">
      <c r="A728" s="342">
        <v>23</v>
      </c>
      <c r="B728" s="195"/>
      <c r="C728" s="491" t="s">
        <v>355</v>
      </c>
      <c r="D728" s="583"/>
      <c r="E728" s="708" t="str">
        <f>'FR-16(7)(v)-1 Functional'!$E$728</f>
        <v>K408</v>
      </c>
      <c r="F728" s="354">
        <f>IF($F727=0,0,ROUND(F727/$F727,9))</f>
        <v>1</v>
      </c>
      <c r="G728" s="354">
        <f>IF($L727=0,F728-SUM(H728:J728),ROUND(G727/$F727,5))</f>
        <v>0.92313999999999996</v>
      </c>
      <c r="H728" s="354">
        <f>IF($F727=0,0,ROUND(H727/$F727,5))</f>
        <v>7.5329999999999994E-2</v>
      </c>
      <c r="I728" s="354">
        <f>IF(F727=0,0,ROUND(I727/F727,5))</f>
        <v>1.15E-3</v>
      </c>
      <c r="J728" s="354">
        <f>IF(G727=0,0,ROUND(J727/F727,5))</f>
        <v>3.8000000000000002E-4</v>
      </c>
      <c r="K728" s="354">
        <f t="shared" si="189"/>
        <v>1</v>
      </c>
      <c r="L728" s="354">
        <f t="shared" si="190"/>
        <v>0</v>
      </c>
      <c r="M728" s="195"/>
      <c r="N728" s="195"/>
      <c r="P728" s="749">
        <f>K728</f>
        <v>1</v>
      </c>
      <c r="Q728" s="195"/>
    </row>
    <row r="729" spans="1:17" ht="13">
      <c r="A729" s="342">
        <v>24</v>
      </c>
      <c r="C729" s="592" t="s">
        <v>224</v>
      </c>
      <c r="D729" s="717" t="s">
        <v>1002</v>
      </c>
      <c r="E729" s="723"/>
      <c r="F729" s="473">
        <f>'Alloc Factors Summary'!$D$141</f>
        <v>8662854</v>
      </c>
      <c r="G729" s="473">
        <f>'Alloc Factors Summary'!D137</f>
        <v>6936503</v>
      </c>
      <c r="H729" s="473">
        <f>'Alloc Factors Summary'!D138</f>
        <v>1462990</v>
      </c>
      <c r="I729" s="473">
        <f>'Alloc Factors Summary'!D139</f>
        <v>159983</v>
      </c>
      <c r="J729" s="473">
        <f>'Alloc Factors Summary'!D140</f>
        <v>103378</v>
      </c>
      <c r="K729" s="601">
        <f t="shared" si="189"/>
        <v>8662854</v>
      </c>
      <c r="L729" s="347">
        <f t="shared" si="190"/>
        <v>0</v>
      </c>
      <c r="N729" s="195"/>
      <c r="P729" s="748"/>
    </row>
    <row r="730" spans="1:17" ht="13">
      <c r="A730" s="342">
        <v>25</v>
      </c>
      <c r="B730" s="195"/>
      <c r="C730" s="491" t="s">
        <v>355</v>
      </c>
      <c r="D730" s="583"/>
      <c r="E730" s="708" t="str">
        <f>'FR-16(7)(v)-1 Functional'!$E$730</f>
        <v>K413</v>
      </c>
      <c r="F730" s="354">
        <f>IF($F729=0,0,ROUND(F729/$F729,9))</f>
        <v>1</v>
      </c>
      <c r="G730" s="354">
        <f>IF($L729=0,F730-SUM(H730:J730),ROUND(G729/$F729,5))</f>
        <v>0.80071999999999999</v>
      </c>
      <c r="H730" s="354">
        <f>IF($F729=0,0,ROUND(H729/$F729,5))</f>
        <v>0.16888</v>
      </c>
      <c r="I730" s="354">
        <f>IF(F729=0,0,ROUND(I729/F729,5))</f>
        <v>1.847E-2</v>
      </c>
      <c r="J730" s="354">
        <f>IF(G729=0,0,ROUND(J729/F729,5))</f>
        <v>1.193E-2</v>
      </c>
      <c r="K730" s="354">
        <f t="shared" si="189"/>
        <v>1</v>
      </c>
      <c r="L730" s="354">
        <f t="shared" si="190"/>
        <v>0</v>
      </c>
      <c r="M730" s="195"/>
      <c r="N730" s="195"/>
      <c r="P730" s="749">
        <f>K730</f>
        <v>1</v>
      </c>
      <c r="Q730" s="195"/>
    </row>
    <row r="731" spans="1:17" ht="13">
      <c r="A731" s="342">
        <v>26</v>
      </c>
      <c r="C731" s="663" t="s">
        <v>1004</v>
      </c>
      <c r="D731" s="717" t="s">
        <v>1002</v>
      </c>
      <c r="E731" s="723"/>
      <c r="F731" s="603">
        <f>ROUND('Alloc Factors Summary'!H171*100,0)</f>
        <v>100</v>
      </c>
      <c r="G731" s="603">
        <f>'Alloc Factors Summary'!H167*100</f>
        <v>51.036000000000001</v>
      </c>
      <c r="H731" s="603">
        <f>'Alloc Factors Summary'!H168*100</f>
        <v>30.990000000000002</v>
      </c>
      <c r="I731" s="603">
        <f>'Alloc Factors Summary'!H169*100</f>
        <v>13.624000000000001</v>
      </c>
      <c r="J731" s="603">
        <f>'Alloc Factors Summary'!H170*100</f>
        <v>4.3499999999999996</v>
      </c>
      <c r="K731" s="604">
        <f t="shared" si="189"/>
        <v>100</v>
      </c>
      <c r="L731" s="604">
        <f t="shared" si="190"/>
        <v>0</v>
      </c>
      <c r="N731" s="195"/>
      <c r="P731" s="748"/>
    </row>
    <row r="732" spans="1:17" ht="13">
      <c r="A732" s="342">
        <v>27</v>
      </c>
      <c r="B732" s="195"/>
      <c r="C732" s="491" t="s">
        <v>355</v>
      </c>
      <c r="D732" s="583"/>
      <c r="E732" s="708" t="str">
        <f>'FR-16(7)(v)-1 Functional'!$E$732</f>
        <v>K415</v>
      </c>
      <c r="F732" s="354">
        <f>IF($F731=0,0,ROUND(F731/$F731,9))</f>
        <v>1</v>
      </c>
      <c r="G732" s="354">
        <f>IF($L731=0,F732-SUM(H732:J732),ROUND(G731/$F731,5))</f>
        <v>0.51036000000000004</v>
      </c>
      <c r="H732" s="354">
        <f>IF($F731=0,0,ROUND(H731/$F731,5))</f>
        <v>0.30990000000000001</v>
      </c>
      <c r="I732" s="354">
        <f>IF(F731=0,0,ROUND(I731/F731,5))</f>
        <v>0.13624</v>
      </c>
      <c r="J732" s="354">
        <f>IF(G731=0,0,ROUND(J731/F731,5))</f>
        <v>4.3499999999999997E-2</v>
      </c>
      <c r="K732" s="354">
        <f t="shared" si="189"/>
        <v>1</v>
      </c>
      <c r="L732" s="354">
        <f t="shared" si="190"/>
        <v>0</v>
      </c>
      <c r="M732" s="195"/>
      <c r="N732" s="195"/>
      <c r="P732" s="749">
        <f>K732</f>
        <v>1</v>
      </c>
      <c r="Q732" s="195"/>
    </row>
    <row r="733" spans="1:17" ht="13">
      <c r="A733" s="342">
        <v>28</v>
      </c>
      <c r="C733" s="592" t="s">
        <v>376</v>
      </c>
      <c r="D733" s="717" t="s">
        <v>1002</v>
      </c>
      <c r="E733" s="723"/>
      <c r="F733" s="473">
        <f>'Alloc Factors Summary'!$D$151</f>
        <v>151324</v>
      </c>
      <c r="G733" s="473">
        <f>'Alloc Factors Summary'!D147</f>
        <v>93602</v>
      </c>
      <c r="H733" s="473">
        <f>'Alloc Factors Summary'!D148</f>
        <v>56319</v>
      </c>
      <c r="I733" s="473">
        <f>'Alloc Factors Summary'!D149</f>
        <v>1162</v>
      </c>
      <c r="J733" s="473">
        <f>'Alloc Factors Summary'!D150</f>
        <v>241</v>
      </c>
      <c r="K733" s="347">
        <f t="shared" si="189"/>
        <v>151324</v>
      </c>
      <c r="L733" s="347">
        <f t="shared" si="190"/>
        <v>0</v>
      </c>
      <c r="N733" s="195"/>
      <c r="P733" s="748"/>
    </row>
    <row r="734" spans="1:17" ht="13">
      <c r="A734" s="342">
        <v>29</v>
      </c>
      <c r="B734" s="195"/>
      <c r="C734" s="491" t="s">
        <v>355</v>
      </c>
      <c r="D734" s="583"/>
      <c r="E734" s="708" t="str">
        <f>'FR-16(7)(v)-1 Functional'!$E$734</f>
        <v>K417</v>
      </c>
      <c r="F734" s="354">
        <f>IF($F733=0,0,ROUND(F733/$F733,9))</f>
        <v>1</v>
      </c>
      <c r="G734" s="354">
        <f>IF($L733=0,F734-SUM(H734:J734),ROUND(G733/$F733,5))</f>
        <v>0.61856</v>
      </c>
      <c r="H734" s="354">
        <f>IF($F733=0,0,ROUND(H733/$F733,5))</f>
        <v>0.37217</v>
      </c>
      <c r="I734" s="354">
        <f>IF(F733=0,0,ROUND(I733/F733,5))</f>
        <v>7.6800000000000002E-3</v>
      </c>
      <c r="J734" s="354">
        <f>IF(G733=0,0,ROUND(J733/F733,5))</f>
        <v>1.5900000000000001E-3</v>
      </c>
      <c r="K734" s="354">
        <f t="shared" si="189"/>
        <v>1</v>
      </c>
      <c r="L734" s="354">
        <f t="shared" si="190"/>
        <v>0</v>
      </c>
      <c r="M734" s="195"/>
      <c r="N734" s="195"/>
      <c r="P734" s="749">
        <f>K734</f>
        <v>1</v>
      </c>
      <c r="Q734" s="195"/>
    </row>
    <row r="735" spans="1:17" ht="13">
      <c r="A735" s="342">
        <v>30</v>
      </c>
      <c r="B735" s="485"/>
      <c r="C735" s="592" t="s">
        <v>226</v>
      </c>
      <c r="D735" s="717" t="s">
        <v>1002</v>
      </c>
      <c r="E735" s="739"/>
      <c r="F735" s="347">
        <f>'Alloc Factors Summary'!$D$62+'Alloc Factors Summary'!$D$63</f>
        <v>128</v>
      </c>
      <c r="G735" s="608">
        <v>0</v>
      </c>
      <c r="H735" s="608">
        <v>0</v>
      </c>
      <c r="I735" s="347">
        <f>'Alloc Factors Summary'!D62</f>
        <v>106</v>
      </c>
      <c r="J735" s="347">
        <f>'Alloc Factors Summary'!D63</f>
        <v>22</v>
      </c>
      <c r="K735" s="347">
        <f t="shared" si="189"/>
        <v>128</v>
      </c>
      <c r="L735" s="347">
        <f t="shared" si="190"/>
        <v>0</v>
      </c>
      <c r="M735" s="600"/>
      <c r="N735" s="195"/>
      <c r="P735" s="751"/>
      <c r="Q735" s="600"/>
    </row>
    <row r="736" spans="1:17" ht="13">
      <c r="A736" s="342">
        <v>31</v>
      </c>
      <c r="B736" s="195"/>
      <c r="C736" s="491" t="str">
        <f>C734</f>
        <v>RATIO TO TOTAL GAS</v>
      </c>
      <c r="D736" s="583"/>
      <c r="E736" s="708" t="str">
        <f>'FR-16(7)(v)-1 Functional'!$E$736</f>
        <v>K431</v>
      </c>
      <c r="F736" s="354">
        <f>IF($F735=0,0,ROUND(F735/$F735,9))</f>
        <v>1</v>
      </c>
      <c r="G736" s="354">
        <f>IF($L735=0,F736-SUM(H736:J736),ROUND(G735/$F735,5))</f>
        <v>-1.0000000000065512E-5</v>
      </c>
      <c r="H736" s="354">
        <f>IF($F735=0,0,ROUND(H735/$F735,5))</f>
        <v>0</v>
      </c>
      <c r="I736" s="354">
        <f>IF(F735=0,0,ROUND(I735/F735,5))</f>
        <v>0.82813000000000003</v>
      </c>
      <c r="J736" s="354">
        <f>IF(F735=0,0,ROUND(J735/F735,5))</f>
        <v>0.17188000000000001</v>
      </c>
      <c r="K736" s="354">
        <f t="shared" si="189"/>
        <v>1</v>
      </c>
      <c r="L736" s="348">
        <f t="shared" si="190"/>
        <v>0</v>
      </c>
      <c r="M736" s="195"/>
      <c r="N736" s="195"/>
      <c r="P736" s="749">
        <f>K736</f>
        <v>1</v>
      </c>
      <c r="Q736" s="195"/>
    </row>
    <row r="737" spans="1:17" ht="13">
      <c r="A737" s="342">
        <v>32</v>
      </c>
      <c r="C737" s="602" t="s">
        <v>406</v>
      </c>
      <c r="D737" s="717" t="s">
        <v>1002</v>
      </c>
      <c r="E737" s="723"/>
      <c r="F737" s="473">
        <f>'Alloc Factors Summary'!$D$159</f>
        <v>3928413</v>
      </c>
      <c r="G737" s="486">
        <v>0</v>
      </c>
      <c r="H737" s="486">
        <v>0</v>
      </c>
      <c r="I737" s="473">
        <f>'Alloc Factors Summary'!D157</f>
        <v>2289963</v>
      </c>
      <c r="J737" s="473">
        <f>'Alloc Factors Summary'!D158</f>
        <v>1638450</v>
      </c>
      <c r="K737" s="347">
        <f t="shared" si="189"/>
        <v>3928413</v>
      </c>
      <c r="L737" s="347">
        <f t="shared" si="190"/>
        <v>0</v>
      </c>
      <c r="N737" s="195"/>
      <c r="P737" s="748"/>
    </row>
    <row r="738" spans="1:17" ht="13">
      <c r="A738" s="342">
        <v>33</v>
      </c>
      <c r="B738" s="195"/>
      <c r="C738" s="491" t="s">
        <v>355</v>
      </c>
      <c r="D738" s="583"/>
      <c r="E738" s="708" t="str">
        <f>'FR-16(7)(v)-1 Functional'!$E$738</f>
        <v>K595</v>
      </c>
      <c r="F738" s="354">
        <f>IF($F737=0,0,ROUND(F737/$F737,9))</f>
        <v>1</v>
      </c>
      <c r="G738" s="354">
        <f>IF($L737=0,F738-SUM(H738:J738),ROUND(G737/$F737,5))</f>
        <v>0</v>
      </c>
      <c r="H738" s="354">
        <f>IF($F737=0,0,ROUND(H737/$F737,5))</f>
        <v>0</v>
      </c>
      <c r="I738" s="354">
        <f>IF(F737=0,0,ROUND(I737/F737,5))</f>
        <v>0.58291999999999999</v>
      </c>
      <c r="J738" s="354">
        <f>IF(F737=0,0,ROUND(J737/F737,5))</f>
        <v>0.41708000000000001</v>
      </c>
      <c r="K738" s="354">
        <f t="shared" si="189"/>
        <v>1</v>
      </c>
      <c r="L738" s="348">
        <f t="shared" si="190"/>
        <v>0</v>
      </c>
      <c r="M738" s="195"/>
      <c r="N738" s="195"/>
      <c r="P738" s="749">
        <f>K738</f>
        <v>1</v>
      </c>
      <c r="Q738" s="195"/>
    </row>
    <row r="739" spans="1:17" ht="13">
      <c r="A739" s="342">
        <v>34</v>
      </c>
      <c r="B739" s="593"/>
      <c r="C739" s="592" t="s">
        <v>225</v>
      </c>
      <c r="D739" s="717" t="s">
        <v>1002</v>
      </c>
      <c r="E739" s="723"/>
      <c r="F739" s="470">
        <v>1</v>
      </c>
      <c r="G739" s="470">
        <v>0</v>
      </c>
      <c r="H739" s="470">
        <v>1</v>
      </c>
      <c r="I739" s="470">
        <v>0</v>
      </c>
      <c r="J739" s="470">
        <v>0</v>
      </c>
      <c r="K739" s="347">
        <f t="shared" si="189"/>
        <v>1</v>
      </c>
      <c r="L739" s="347">
        <f t="shared" si="190"/>
        <v>0</v>
      </c>
      <c r="M739" s="593"/>
      <c r="N739" s="195"/>
      <c r="P739" s="753"/>
      <c r="Q739" s="593"/>
    </row>
    <row r="740" spans="1:17" ht="13">
      <c r="A740" s="342">
        <v>35</v>
      </c>
      <c r="B740" s="195"/>
      <c r="C740" s="491" t="s">
        <v>355</v>
      </c>
      <c r="D740" s="583"/>
      <c r="E740" s="708" t="str">
        <f>'FR-16(7)(v)-1 Functional'!$E$740</f>
        <v>K597</v>
      </c>
      <c r="F740" s="354">
        <f>IF($F739=0,0,ROUND(F739/$F739,9))</f>
        <v>1</v>
      </c>
      <c r="G740" s="354">
        <f>IF($L739=0,F740-SUM(H740:J740),ROUND(G739/$F739,5))</f>
        <v>0</v>
      </c>
      <c r="H740" s="354">
        <f>IF($F739=0,0,ROUND(H739/$F739,5))</f>
        <v>1</v>
      </c>
      <c r="I740" s="354">
        <f>IF(F739=0,0,ROUND(I739/F739,5))</f>
        <v>0</v>
      </c>
      <c r="J740" s="354">
        <f>IF(G739=0,0,ROUND(J739/F739,5))</f>
        <v>0</v>
      </c>
      <c r="K740" s="354">
        <f t="shared" si="189"/>
        <v>1</v>
      </c>
      <c r="L740" s="354">
        <f t="shared" si="190"/>
        <v>0</v>
      </c>
      <c r="M740" s="195"/>
      <c r="N740" s="195"/>
      <c r="P740" s="749">
        <f>K740</f>
        <v>1</v>
      </c>
      <c r="Q740" s="195"/>
    </row>
    <row r="741" spans="1:17" ht="13">
      <c r="A741" s="342">
        <v>36</v>
      </c>
      <c r="C741" s="592" t="s">
        <v>431</v>
      </c>
      <c r="D741" s="621"/>
      <c r="E741" s="740"/>
      <c r="F741" s="488">
        <v>1</v>
      </c>
      <c r="G741" s="471">
        <v>1</v>
      </c>
      <c r="H741" s="470">
        <v>0</v>
      </c>
      <c r="I741" s="470">
        <v>0</v>
      </c>
      <c r="J741" s="470">
        <v>0</v>
      </c>
      <c r="K741" s="347">
        <f t="shared" si="189"/>
        <v>1</v>
      </c>
      <c r="L741" s="345">
        <f t="shared" si="190"/>
        <v>0</v>
      </c>
      <c r="N741" s="195"/>
      <c r="P741" s="748"/>
    </row>
    <row r="742" spans="1:17" ht="13">
      <c r="A742" s="342">
        <v>37</v>
      </c>
      <c r="C742" s="491" t="s">
        <v>355</v>
      </c>
      <c r="D742" s="583"/>
      <c r="E742" s="708" t="str">
        <f>'FR-16(7)(v)-1 Functional'!$E$742</f>
        <v>K903</v>
      </c>
      <c r="F742" s="354">
        <f>IF($F741=0,0,ROUND(F741/$F741,9))</f>
        <v>1</v>
      </c>
      <c r="G742" s="354">
        <f>IF($L741=0,F742-SUM(H742:J742),ROUND(G741/$F741,5))</f>
        <v>1</v>
      </c>
      <c r="H742" s="354">
        <f>IF($F741=0,0,ROUND(H741/$F741,5))</f>
        <v>0</v>
      </c>
      <c r="I742" s="354">
        <f>IF(F741=0,0,ROUND(I741/F741,5))</f>
        <v>0</v>
      </c>
      <c r="J742" s="354">
        <f>IF(G741=0,0,ROUND(J741/F741,5))</f>
        <v>0</v>
      </c>
      <c r="K742" s="354">
        <f t="shared" si="189"/>
        <v>1</v>
      </c>
      <c r="L742" s="348">
        <f t="shared" si="190"/>
        <v>0</v>
      </c>
      <c r="N742" s="195"/>
      <c r="P742" s="749">
        <f>K742</f>
        <v>1</v>
      </c>
    </row>
    <row r="743" spans="1:17" ht="13">
      <c r="A743" s="342">
        <v>38</v>
      </c>
      <c r="B743" s="363"/>
      <c r="C743" s="363"/>
      <c r="D743" s="718"/>
      <c r="E743" s="331"/>
      <c r="H743" s="351"/>
      <c r="J743" s="351"/>
      <c r="K743" s="351"/>
      <c r="N743" s="195"/>
      <c r="P743" s="752"/>
    </row>
    <row r="744" spans="1:17" ht="13">
      <c r="A744" s="342">
        <v>39</v>
      </c>
      <c r="C744" s="592" t="s">
        <v>108</v>
      </c>
      <c r="D744" s="352" t="str">
        <f>'FR-16(7)(v)-3 PROD Comm Alloc'!D744</f>
        <v>K901</v>
      </c>
      <c r="E744" s="708" t="str">
        <f>'FR-16(7)(v)-1 Functional'!$E$744</f>
        <v>R600</v>
      </c>
      <c r="F744" s="473">
        <f>'FR-16(7)(v)-4 DISTR Classified'!G744</f>
        <v>41410611</v>
      </c>
      <c r="G744" s="345">
        <f>F744-SUM(H744:J744)</f>
        <v>28086693</v>
      </c>
      <c r="H744" s="345">
        <f>ROUND($F$744*VLOOKUP($D$744,ALLOCTABLE_DISTR_DEMAND,$H$10,FALSE),0)</f>
        <v>10628306</v>
      </c>
      <c r="I744" s="345">
        <f>ROUND(F744*VLOOKUP(D744,ALLOCTABLE_DISTR_DEMAND,$I$10,FALSE),0)</f>
        <v>2031398</v>
      </c>
      <c r="J744" s="345">
        <f>ROUND(F744*VLOOKUP(D744,ALLOCTABLE_DISTR_DEMAND,$J$10,FALSE),0)</f>
        <v>664214</v>
      </c>
      <c r="K744" s="345">
        <f>SUM(G744:J744)</f>
        <v>41410611</v>
      </c>
      <c r="L744" s="347">
        <f>F744-K744</f>
        <v>0</v>
      </c>
      <c r="N744" s="195"/>
      <c r="P744" s="748"/>
    </row>
    <row r="745" spans="1:17" ht="13">
      <c r="A745" s="342">
        <v>40</v>
      </c>
      <c r="C745" s="592" t="s">
        <v>843</v>
      </c>
      <c r="D745" s="352" t="str">
        <f>'FR-16(7)(v)-3 PROD Comm Alloc'!D745</f>
        <v>K902</v>
      </c>
      <c r="E745" s="708" t="str">
        <f>'FR-16(7)(v)-1 Functional'!$E$745</f>
        <v>R602</v>
      </c>
      <c r="F745" s="473">
        <f>'FR-16(7)(v)-4 DISTR Classified'!G745</f>
        <v>47107856</v>
      </c>
      <c r="G745" s="345">
        <f>F745-SUM(H745:J745)</f>
        <v>31797068</v>
      </c>
      <c r="H745" s="345">
        <f>ROUND($F$745*VLOOKUP($D$745,ALLOCTABLE_DISTR_DEMAND,$H$10,FALSE),0)</f>
        <v>12197059</v>
      </c>
      <c r="I745" s="345">
        <f>ROUND(F745*VLOOKUP(D745,ALLOCTABLE_DISTR_DEMAND,$I$10,FALSE),0)</f>
        <v>2350389</v>
      </c>
      <c r="J745" s="345">
        <f>ROUND(F745*VLOOKUP(D745,ALLOCTABLE_DISTR_DEMAND,$J$10,FALSE),0)</f>
        <v>763340</v>
      </c>
      <c r="K745" s="345">
        <f>SUM(G745:J745)</f>
        <v>47107856</v>
      </c>
      <c r="L745" s="347">
        <f>F745-K745</f>
        <v>0</v>
      </c>
      <c r="N745" s="195"/>
      <c r="P745" s="748"/>
    </row>
    <row r="746" spans="1:17" ht="13">
      <c r="E746" s="331"/>
      <c r="H746" s="351"/>
      <c r="J746" s="351"/>
      <c r="K746" s="351"/>
      <c r="N746" s="195"/>
      <c r="P746" s="748"/>
    </row>
    <row r="747" spans="1:17" ht="13">
      <c r="A747" s="341" t="str">
        <f>co_name</f>
        <v>DUKE ENERGY KENTUCKY, INC.</v>
      </c>
      <c r="C747" s="195"/>
      <c r="D747" s="342"/>
      <c r="E747" s="195"/>
      <c r="F747" s="342"/>
      <c r="G747" s="340"/>
      <c r="H747" s="340"/>
      <c r="I747" s="195"/>
      <c r="K747" s="359" t="str">
        <f>$K$1</f>
        <v>FR-16(7)(v)-5</v>
      </c>
      <c r="N747" s="195"/>
      <c r="P747" s="748"/>
    </row>
    <row r="748" spans="1:17" ht="13">
      <c r="A748" s="341" t="str">
        <f>$A$2</f>
        <v>DISTRIBUTION DEMAND ALLOCATED - GAS COST OF SERVICE</v>
      </c>
      <c r="C748" s="195"/>
      <c r="D748" s="342"/>
      <c r="E748" s="195"/>
      <c r="F748" s="342"/>
      <c r="G748" s="340"/>
      <c r="H748" s="340"/>
      <c r="I748" s="195"/>
      <c r="K748" s="359" t="str">
        <f>$K$2</f>
        <v>WITNESS RESPONSIBLE:</v>
      </c>
      <c r="N748" s="195"/>
      <c r="P748" s="748"/>
    </row>
    <row r="749" spans="1:17" ht="13">
      <c r="A749" s="341" t="str">
        <f>case_name</f>
        <v>CASE NO: 2021-00190</v>
      </c>
      <c r="C749" s="195"/>
      <c r="D749" s="342"/>
      <c r="E749" s="195"/>
      <c r="F749" s="342"/>
      <c r="G749" s="340"/>
      <c r="H749" s="340"/>
      <c r="I749" s="195"/>
      <c r="K749" s="359" t="str">
        <f>Witness</f>
        <v>JAMES E. ZIOLKOWSKI</v>
      </c>
      <c r="N749" s="195"/>
      <c r="P749" s="748"/>
    </row>
    <row r="750" spans="1:17" ht="13">
      <c r="A750" s="341" t="str">
        <f>data_filing</f>
        <v>DATA: 12 MONTH FORECASTED PERIOD</v>
      </c>
      <c r="C750" s="195"/>
      <c r="D750" s="342"/>
      <c r="E750" s="195"/>
      <c r="F750" s="342"/>
      <c r="G750" s="340"/>
      <c r="H750" s="340"/>
      <c r="I750" s="195"/>
      <c r="K750" s="359" t="str">
        <f>"PAGE "&amp;Pages-1&amp;" OF "&amp;Pages</f>
        <v>PAGE 17 OF 18</v>
      </c>
      <c r="N750" s="195"/>
      <c r="P750" s="748"/>
    </row>
    <row r="751" spans="1:17" ht="13">
      <c r="A751" s="341" t="str">
        <f>type</f>
        <v xml:space="preserve">TYPE OF FILING: "X" ORIGINAL   UPDATED    REVISED  </v>
      </c>
      <c r="C751" s="195"/>
      <c r="D751" s="342"/>
      <c r="E751" s="195"/>
      <c r="F751" s="342"/>
      <c r="G751" s="340"/>
      <c r="H751" s="340"/>
      <c r="I751" s="195"/>
      <c r="J751" s="342"/>
      <c r="K751" s="195"/>
      <c r="N751" s="195"/>
      <c r="P751" s="748"/>
    </row>
    <row r="752" spans="1:17" ht="13">
      <c r="B752" s="195"/>
      <c r="E752" s="331"/>
      <c r="F752" s="342"/>
      <c r="H752" s="351"/>
      <c r="J752" s="582"/>
      <c r="K752" s="351"/>
      <c r="N752" s="195"/>
      <c r="P752" s="748"/>
    </row>
    <row r="753" spans="1:17" ht="13">
      <c r="B753" s="195"/>
      <c r="E753" s="331"/>
      <c r="F753" s="342" t="s">
        <v>229</v>
      </c>
      <c r="H753" s="351"/>
      <c r="J753" s="582"/>
      <c r="K753" s="351"/>
      <c r="N753" s="195"/>
      <c r="P753" s="748"/>
    </row>
    <row r="754" spans="1:17" ht="13">
      <c r="A754" s="342" t="s">
        <v>907</v>
      </c>
      <c r="B754" s="195"/>
      <c r="C754" s="195"/>
      <c r="D754" s="342"/>
      <c r="E754" s="342"/>
      <c r="F754" s="342" t="str">
        <f>$F$8</f>
        <v>DISTRIBUTION</v>
      </c>
      <c r="G754" s="583" t="str">
        <f>$G$8</f>
        <v>RS</v>
      </c>
      <c r="H754" s="582" t="str">
        <f>$H$8</f>
        <v>GS</v>
      </c>
      <c r="I754" s="582" t="s">
        <v>858</v>
      </c>
      <c r="J754" s="582" t="str">
        <f>$J$8</f>
        <v>INTERUPT</v>
      </c>
      <c r="K754" s="582" t="s">
        <v>229</v>
      </c>
      <c r="L754" s="583" t="s">
        <v>342</v>
      </c>
      <c r="M754" s="195"/>
      <c r="N754" s="195"/>
      <c r="P754" s="747"/>
      <c r="Q754" s="195"/>
    </row>
    <row r="755" spans="1:17" ht="13">
      <c r="A755" s="344" t="s">
        <v>908</v>
      </c>
      <c r="B755" s="584" t="s">
        <v>89</v>
      </c>
      <c r="C755" s="343"/>
      <c r="D755" s="585" t="s">
        <v>1001</v>
      </c>
      <c r="E755" s="585" t="s">
        <v>337</v>
      </c>
      <c r="F755" s="342" t="str">
        <f>$F$9</f>
        <v>DEMAND</v>
      </c>
      <c r="G755" s="586" t="str">
        <f>$G$9</f>
        <v>RESIDENTIAL</v>
      </c>
      <c r="H755" s="587" t="str">
        <f>$H$9</f>
        <v>GEN SERV</v>
      </c>
      <c r="I755" s="587" t="s">
        <v>404</v>
      </c>
      <c r="J755" s="587" t="str">
        <f>$J$9</f>
        <v>TRANS</v>
      </c>
      <c r="K755" s="587" t="s">
        <v>341</v>
      </c>
      <c r="L755" s="586" t="s">
        <v>340</v>
      </c>
      <c r="M755" s="195"/>
      <c r="N755" s="195"/>
      <c r="P755" s="747"/>
      <c r="Q755" s="195"/>
    </row>
    <row r="756" spans="1:17" ht="13">
      <c r="C756" s="839" t="s">
        <v>559</v>
      </c>
      <c r="E756" s="627">
        <v>1</v>
      </c>
      <c r="F756" s="813">
        <v>2</v>
      </c>
      <c r="G756" s="627">
        <v>3</v>
      </c>
      <c r="H756" s="627">
        <v>4</v>
      </c>
      <c r="I756" s="627">
        <v>5</v>
      </c>
      <c r="J756" s="627">
        <v>6</v>
      </c>
      <c r="K756" s="351"/>
      <c r="M756" s="195"/>
      <c r="N756" s="195"/>
      <c r="P756" s="748"/>
    </row>
    <row r="757" spans="1:17" ht="13">
      <c r="A757" s="342">
        <v>1</v>
      </c>
      <c r="B757" s="599"/>
      <c r="C757" s="654" t="s">
        <v>1012</v>
      </c>
      <c r="D757" s="719" t="s">
        <v>1003</v>
      </c>
      <c r="E757" s="710"/>
      <c r="F757" s="347">
        <f t="shared" ref="F757:K757" si="191">F771</f>
        <v>283495888</v>
      </c>
      <c r="G757" s="347">
        <f t="shared" si="191"/>
        <v>144684962</v>
      </c>
      <c r="H757" s="347">
        <f t="shared" si="191"/>
        <v>87855376</v>
      </c>
      <c r="I757" s="347">
        <f t="shared" si="191"/>
        <v>38623479</v>
      </c>
      <c r="J757" s="347">
        <f t="shared" si="191"/>
        <v>12332071</v>
      </c>
      <c r="K757" s="347">
        <f t="shared" si="191"/>
        <v>283495888</v>
      </c>
      <c r="L757" s="347">
        <f t="shared" ref="L757:L764" si="192">F757-K757</f>
        <v>0</v>
      </c>
      <c r="M757" s="195"/>
      <c r="N757" s="195"/>
      <c r="P757" s="750"/>
      <c r="Q757" s="599"/>
    </row>
    <row r="758" spans="1:17" ht="13">
      <c r="A758" s="342">
        <v>2</v>
      </c>
      <c r="B758" s="195"/>
      <c r="C758" s="491" t="s">
        <v>355</v>
      </c>
      <c r="D758" s="583"/>
      <c r="E758" s="708" t="str">
        <f>'FR-16(7)(v)-1 Functional'!$E$758</f>
        <v>K667</v>
      </c>
      <c r="F758" s="354">
        <f>IF($F757=0,0,ROUND(F757/$F757,9))</f>
        <v>1</v>
      </c>
      <c r="G758" s="354">
        <f>IF($L757=0,F758-SUM(H758:J758),ROUND(G757/$F757,5))</f>
        <v>0.51036000000000004</v>
      </c>
      <c r="H758" s="354">
        <f>IF($F757=0,0,ROUND(H757/$F757,5))</f>
        <v>0.30990000000000001</v>
      </c>
      <c r="I758" s="354">
        <f>IF($F757=0,0,ROUND(I757/$F757,5))</f>
        <v>0.13624</v>
      </c>
      <c r="J758" s="354">
        <f>IF($F757=0,0,ROUND(J757/$F757,5))</f>
        <v>4.3499999999999997E-2</v>
      </c>
      <c r="K758" s="354">
        <f>SUM(G758:J758)</f>
        <v>1</v>
      </c>
      <c r="L758" s="354">
        <f t="shared" si="192"/>
        <v>0</v>
      </c>
      <c r="M758" s="195"/>
      <c r="N758" s="195"/>
      <c r="P758" s="749">
        <f>K758</f>
        <v>1</v>
      </c>
      <c r="Q758" s="195"/>
    </row>
    <row r="759" spans="1:17" ht="13">
      <c r="A759" s="342">
        <v>3</v>
      </c>
      <c r="B759" s="599"/>
      <c r="C759" s="654" t="s">
        <v>1021</v>
      </c>
      <c r="D759" s="719" t="s">
        <v>1003</v>
      </c>
      <c r="E759" s="723"/>
      <c r="F759" s="347">
        <f t="shared" ref="F759:K759" si="193">F778</f>
        <v>0</v>
      </c>
      <c r="G759" s="347">
        <f t="shared" si="193"/>
        <v>0</v>
      </c>
      <c r="H759" s="347">
        <f t="shared" si="193"/>
        <v>0</v>
      </c>
      <c r="I759" s="347">
        <f t="shared" si="193"/>
        <v>0</v>
      </c>
      <c r="J759" s="347">
        <f t="shared" si="193"/>
        <v>0</v>
      </c>
      <c r="K759" s="347">
        <f t="shared" si="193"/>
        <v>0</v>
      </c>
      <c r="L759" s="347">
        <f t="shared" si="192"/>
        <v>0</v>
      </c>
      <c r="M759" s="195"/>
      <c r="N759" s="195"/>
      <c r="P759" s="750"/>
      <c r="Q759" s="599"/>
    </row>
    <row r="760" spans="1:17" ht="13">
      <c r="A760" s="342">
        <v>4</v>
      </c>
      <c r="B760" s="195"/>
      <c r="C760" s="491" t="s">
        <v>355</v>
      </c>
      <c r="D760" s="583"/>
      <c r="E760" s="708" t="str">
        <f>'FR-16(7)(v)-1 Functional'!$E$760</f>
        <v>K697</v>
      </c>
      <c r="F760" s="354">
        <f>IF($F759=0,0,ROUND(F759/$F759,9))</f>
        <v>0</v>
      </c>
      <c r="G760" s="354">
        <f>IF($L759=0,F760-SUM(H760:J760),ROUND(G759/$F759,5))</f>
        <v>0</v>
      </c>
      <c r="H760" s="354">
        <f>IF($F759=0,0,ROUND(H759/$F759,5))</f>
        <v>0</v>
      </c>
      <c r="I760" s="354">
        <f>IF($F759=0,0,ROUND(I759/$F759,5))</f>
        <v>0</v>
      </c>
      <c r="J760" s="354">
        <f>IF($F759=0,0,ROUND(J759/$F759,5))</f>
        <v>0</v>
      </c>
      <c r="K760" s="354">
        <f>SUM(G760:J760)</f>
        <v>0</v>
      </c>
      <c r="L760" s="354">
        <f t="shared" si="192"/>
        <v>0</v>
      </c>
      <c r="M760" s="195"/>
      <c r="N760" s="195"/>
      <c r="P760" s="749">
        <f>K760</f>
        <v>0</v>
      </c>
      <c r="Q760" s="195"/>
    </row>
    <row r="761" spans="1:17" ht="13">
      <c r="A761" s="342">
        <v>5</v>
      </c>
      <c r="B761" s="600"/>
      <c r="C761" s="654" t="s">
        <v>108</v>
      </c>
      <c r="D761" s="719" t="s">
        <v>1003</v>
      </c>
      <c r="E761" s="723"/>
      <c r="F761" s="347">
        <f>'FR-16(7)(v)-3 PROD Comm Alloc'!F761</f>
        <v>111143535</v>
      </c>
      <c r="G761" s="347">
        <f>'FR-16(7)(v)-3 PROD Comm Alloc'!G761</f>
        <v>75382959</v>
      </c>
      <c r="H761" s="347">
        <f>'FR-16(7)(v)-3 PROD Comm Alloc'!H761</f>
        <v>28525719</v>
      </c>
      <c r="I761" s="347">
        <f>'FR-16(7)(v)-3 PROD Comm Alloc'!I761</f>
        <v>5452147</v>
      </c>
      <c r="J761" s="347">
        <f>'FR-16(7)(v)-3 PROD Comm Alloc'!J761</f>
        <v>1782710</v>
      </c>
      <c r="K761" s="345">
        <f>SUM(G761:J761)</f>
        <v>111143535</v>
      </c>
      <c r="L761" s="347">
        <f t="shared" si="192"/>
        <v>0</v>
      </c>
      <c r="M761" s="195"/>
      <c r="N761" s="195"/>
      <c r="P761" s="751"/>
      <c r="Q761" s="600"/>
    </row>
    <row r="762" spans="1:17" ht="13">
      <c r="A762" s="342">
        <v>6</v>
      </c>
      <c r="B762" s="195"/>
      <c r="C762" s="491" t="s">
        <v>355</v>
      </c>
      <c r="D762" s="583"/>
      <c r="E762" s="708" t="str">
        <f>'FR-16(7)(v)-1 Functional'!$E$762</f>
        <v>K901</v>
      </c>
      <c r="F762" s="354">
        <f>IF($F761=0,0,ROUND(F761/$F761,9))</f>
        <v>1</v>
      </c>
      <c r="G762" s="354">
        <f>IF($L761=0,F762-SUM(H762:J762),ROUND(G761/$F761,5))</f>
        <v>0.67824870799999992</v>
      </c>
      <c r="H762" s="354">
        <f>IF($F761=0,0,ROUND(H761/$F761,9))</f>
        <v>0.256656575</v>
      </c>
      <c r="I762" s="354">
        <f>IF($F761=0,0,ROUND(I761/$F761,9))</f>
        <v>4.9055007999999997E-2</v>
      </c>
      <c r="J762" s="354">
        <f>IF($F761=0,0,ROUND(J761/$F761,9))</f>
        <v>1.6039708999999999E-2</v>
      </c>
      <c r="K762" s="354">
        <f>SUM(G762:J762)</f>
        <v>0.99999999999999989</v>
      </c>
      <c r="L762" s="354">
        <f t="shared" si="192"/>
        <v>0</v>
      </c>
      <c r="M762" s="195"/>
      <c r="N762" s="195"/>
      <c r="P762" s="749">
        <f>K762</f>
        <v>0.99999999999999989</v>
      </c>
      <c r="Q762" s="195"/>
    </row>
    <row r="763" spans="1:17" ht="13">
      <c r="A763" s="342">
        <v>7</v>
      </c>
      <c r="C763" s="654" t="s">
        <v>843</v>
      </c>
      <c r="D763" s="719" t="s">
        <v>1003</v>
      </c>
      <c r="E763" s="723"/>
      <c r="F763" s="347">
        <f>'FR-16(7)(v)-3 PROD Comm Alloc'!F763</f>
        <v>126434590</v>
      </c>
      <c r="G763" s="347">
        <f>'FR-16(7)(v)-3 PROD Comm Alloc'!G763</f>
        <v>85341378</v>
      </c>
      <c r="H763" s="347">
        <f>'FR-16(7)(v)-3 PROD Comm Alloc'!H763</f>
        <v>32736156</v>
      </c>
      <c r="I763" s="347">
        <f>'FR-16(7)(v)-3 PROD Comm Alloc'!I763</f>
        <v>6308299</v>
      </c>
      <c r="J763" s="347">
        <f>'FR-16(7)(v)-3 PROD Comm Alloc'!J763</f>
        <v>2048757</v>
      </c>
      <c r="K763" s="345">
        <f>SUM(G763:J763)</f>
        <v>126434590</v>
      </c>
      <c r="L763" s="347">
        <f t="shared" si="192"/>
        <v>0</v>
      </c>
      <c r="M763" s="195"/>
      <c r="N763" s="195"/>
      <c r="P763" s="752"/>
    </row>
    <row r="764" spans="1:17" ht="13">
      <c r="A764" s="342">
        <v>8</v>
      </c>
      <c r="C764" s="491" t="s">
        <v>355</v>
      </c>
      <c r="D764" s="583"/>
      <c r="E764" s="708" t="s">
        <v>1179</v>
      </c>
      <c r="F764" s="354">
        <f>IF($F763=0,0,ROUND(F763/$F763,9))</f>
        <v>1</v>
      </c>
      <c r="G764" s="354">
        <f>IF($L763=0,F764-SUM(H764:J764),ROUND(G763/$F763,5))</f>
        <v>0.674984417</v>
      </c>
      <c r="H764" s="354">
        <f>IF($F763=0,0,ROUND(H763/$F763,9))</f>
        <v>0.25891772200000002</v>
      </c>
      <c r="I764" s="354">
        <f>IF($F763=0,0,ROUND(I763/$F763,9))</f>
        <v>4.9893775000000001E-2</v>
      </c>
      <c r="J764" s="354">
        <f>IF($F763=0,0,ROUND(J763/$F763,9))</f>
        <v>1.6204085999999999E-2</v>
      </c>
      <c r="K764" s="354">
        <f>SUM(G764:J764)</f>
        <v>1</v>
      </c>
      <c r="L764" s="354">
        <f t="shared" si="192"/>
        <v>0</v>
      </c>
      <c r="M764" s="195"/>
      <c r="N764" s="195"/>
      <c r="P764" s="752"/>
    </row>
    <row r="765" spans="1:17" ht="13">
      <c r="A765" s="342">
        <v>9</v>
      </c>
      <c r="E765" s="740"/>
      <c r="F765" s="351"/>
      <c r="G765" s="351"/>
      <c r="H765" s="351"/>
      <c r="J765" s="351"/>
      <c r="K765" s="351"/>
      <c r="L765" s="351"/>
      <c r="M765" s="195"/>
      <c r="N765" s="195"/>
      <c r="P765" s="752"/>
    </row>
    <row r="766" spans="1:17" ht="13">
      <c r="A766" s="342">
        <v>10</v>
      </c>
      <c r="B766" s="702" t="s">
        <v>92</v>
      </c>
      <c r="C766" s="703"/>
      <c r="D766" s="720"/>
      <c r="E766" s="723"/>
      <c r="F766" s="619"/>
      <c r="G766" s="619"/>
      <c r="H766" s="619"/>
      <c r="I766" s="619"/>
      <c r="J766" s="619"/>
      <c r="K766" s="619"/>
      <c r="L766" s="619"/>
      <c r="M766" s="195"/>
      <c r="N766" s="195"/>
      <c r="P766" s="753"/>
      <c r="Q766" s="593"/>
    </row>
    <row r="767" spans="1:17" ht="13">
      <c r="A767" s="342">
        <v>11</v>
      </c>
      <c r="B767" s="653"/>
      <c r="C767" s="654" t="s">
        <v>1015</v>
      </c>
      <c r="D767" s="719"/>
      <c r="E767" s="723"/>
      <c r="F767" s="347">
        <f>'FR-16(7)(v)-4 DISTR Classified'!$G$71</f>
        <v>396995775</v>
      </c>
      <c r="G767" s="347">
        <f t="shared" ref="G767:K768" si="194">G71</f>
        <v>202610764</v>
      </c>
      <c r="H767" s="347">
        <f t="shared" si="194"/>
        <v>123028991</v>
      </c>
      <c r="I767" s="347">
        <f t="shared" si="194"/>
        <v>54086704</v>
      </c>
      <c r="J767" s="347">
        <f t="shared" si="194"/>
        <v>17269316</v>
      </c>
      <c r="K767" s="347">
        <f t="shared" si="194"/>
        <v>396995775</v>
      </c>
      <c r="L767" s="347">
        <f>F767-K767</f>
        <v>0</v>
      </c>
      <c r="M767" s="593"/>
      <c r="N767" s="195"/>
      <c r="P767" s="753"/>
      <c r="Q767" s="593"/>
    </row>
    <row r="768" spans="1:17" ht="13">
      <c r="A768" s="342">
        <v>12</v>
      </c>
      <c r="B768" s="653"/>
      <c r="C768" s="654" t="s">
        <v>1016</v>
      </c>
      <c r="D768" s="719"/>
      <c r="E768" s="707"/>
      <c r="F768" s="347">
        <f>'FR-16(7)(v)-4 DISTR Classified'!$G$72</f>
        <v>0</v>
      </c>
      <c r="G768" s="347">
        <f t="shared" si="194"/>
        <v>0</v>
      </c>
      <c r="H768" s="347">
        <f t="shared" si="194"/>
        <v>0</v>
      </c>
      <c r="I768" s="347">
        <f t="shared" si="194"/>
        <v>0</v>
      </c>
      <c r="J768" s="347">
        <f t="shared" si="194"/>
        <v>0</v>
      </c>
      <c r="K768" s="347">
        <f t="shared" si="194"/>
        <v>0</v>
      </c>
      <c r="L768" s="347">
        <f>F768-K768</f>
        <v>0</v>
      </c>
      <c r="M768" s="593"/>
      <c r="N768" s="195"/>
      <c r="P768" s="753"/>
      <c r="Q768" s="593"/>
    </row>
    <row r="769" spans="1:17" ht="13">
      <c r="A769" s="342">
        <v>13</v>
      </c>
      <c r="B769" s="653"/>
      <c r="C769" s="654" t="s">
        <v>1013</v>
      </c>
      <c r="D769" s="719"/>
      <c r="E769" s="707"/>
      <c r="F769" s="347">
        <f>-'FR-16(7)(v)-4 DISTR Classified'!$G$125</f>
        <v>-113499887</v>
      </c>
      <c r="G769" s="347">
        <f t="shared" ref="G769:K770" si="195">-G125</f>
        <v>-57925802</v>
      </c>
      <c r="H769" s="347">
        <f t="shared" si="195"/>
        <v>-35173615</v>
      </c>
      <c r="I769" s="347">
        <f t="shared" si="195"/>
        <v>-15463225</v>
      </c>
      <c r="J769" s="347">
        <f t="shared" si="195"/>
        <v>-4937245</v>
      </c>
      <c r="K769" s="347">
        <f t="shared" si="195"/>
        <v>-113499887</v>
      </c>
      <c r="L769" s="347">
        <f>F769-K769</f>
        <v>0</v>
      </c>
      <c r="M769" s="593"/>
      <c r="N769" s="195"/>
      <c r="P769" s="753"/>
      <c r="Q769" s="593"/>
    </row>
    <row r="770" spans="1:17" ht="13">
      <c r="A770" s="342">
        <v>14</v>
      </c>
      <c r="B770" s="653"/>
      <c r="C770" s="654" t="s">
        <v>1014</v>
      </c>
      <c r="D770" s="719"/>
      <c r="E770" s="711"/>
      <c r="F770" s="347">
        <f>-'FR-16(7)(v)-4 DISTR Classified'!$G$126</f>
        <v>0</v>
      </c>
      <c r="G770" s="664">
        <f t="shared" si="195"/>
        <v>0</v>
      </c>
      <c r="H770" s="664">
        <f t="shared" si="195"/>
        <v>0</v>
      </c>
      <c r="I770" s="664">
        <f t="shared" si="195"/>
        <v>0</v>
      </c>
      <c r="J770" s="664">
        <f t="shared" si="195"/>
        <v>0</v>
      </c>
      <c r="K770" s="664">
        <f t="shared" si="195"/>
        <v>0</v>
      </c>
      <c r="L770" s="347">
        <f>F770-K770</f>
        <v>0</v>
      </c>
      <c r="M770" s="593"/>
      <c r="N770" s="195"/>
      <c r="P770" s="753"/>
      <c r="Q770" s="593"/>
    </row>
    <row r="771" spans="1:17" ht="13">
      <c r="A771" s="342">
        <v>15</v>
      </c>
      <c r="B771" s="653"/>
      <c r="C771" s="704" t="s">
        <v>1023</v>
      </c>
      <c r="D771" s="719"/>
      <c r="E771" s="707"/>
      <c r="F771" s="759">
        <f t="shared" ref="F771:L771" si="196">SUM(F767:F770)</f>
        <v>283495888</v>
      </c>
      <c r="G771" s="759">
        <f t="shared" si="196"/>
        <v>144684962</v>
      </c>
      <c r="H771" s="759">
        <f t="shared" si="196"/>
        <v>87855376</v>
      </c>
      <c r="I771" s="759">
        <f t="shared" si="196"/>
        <v>38623479</v>
      </c>
      <c r="J771" s="759">
        <f t="shared" si="196"/>
        <v>12332071</v>
      </c>
      <c r="K771" s="759">
        <f t="shared" si="196"/>
        <v>283495888</v>
      </c>
      <c r="L771" s="759">
        <f t="shared" si="196"/>
        <v>0</v>
      </c>
      <c r="M771" s="593"/>
      <c r="N771" s="195"/>
      <c r="P771" s="753"/>
      <c r="Q771" s="593"/>
    </row>
    <row r="772" spans="1:17" ht="13">
      <c r="A772" s="342">
        <v>16</v>
      </c>
      <c r="B772" s="653"/>
      <c r="C772" s="653"/>
      <c r="D772" s="707"/>
      <c r="E772" s="707"/>
      <c r="F772" s="351"/>
      <c r="G772" s="351"/>
      <c r="H772" s="351"/>
      <c r="J772" s="351"/>
      <c r="K772" s="351"/>
      <c r="L772" s="351"/>
      <c r="M772" s="593"/>
      <c r="N772" s="195"/>
      <c r="P772" s="753"/>
      <c r="Q772" s="593"/>
    </row>
    <row r="773" spans="1:17" ht="13">
      <c r="A773" s="342">
        <v>17</v>
      </c>
      <c r="B773" s="705" t="s">
        <v>93</v>
      </c>
      <c r="C773" s="610"/>
      <c r="D773" s="707"/>
      <c r="E773" s="707"/>
      <c r="F773" s="351"/>
      <c r="G773" s="351"/>
      <c r="H773" s="351"/>
      <c r="J773" s="351"/>
      <c r="K773" s="351"/>
      <c r="L773" s="351"/>
      <c r="M773" s="593"/>
      <c r="N773" s="195"/>
      <c r="P773" s="753"/>
      <c r="Q773" s="593"/>
    </row>
    <row r="774" spans="1:17" ht="13">
      <c r="A774" s="342">
        <v>18</v>
      </c>
      <c r="B774" s="653"/>
      <c r="C774" s="654" t="s">
        <v>1017</v>
      </c>
      <c r="D774" s="707"/>
      <c r="E774" s="707"/>
      <c r="F774" s="347">
        <f>'FR-16(7)(v)-4 DISTR Classified'!$G$73</f>
        <v>0</v>
      </c>
      <c r="G774" s="347">
        <f>G73</f>
        <v>0</v>
      </c>
      <c r="H774" s="347">
        <f>H73</f>
        <v>0</v>
      </c>
      <c r="I774" s="347">
        <f>I73</f>
        <v>0</v>
      </c>
      <c r="J774" s="347">
        <f>J73</f>
        <v>0</v>
      </c>
      <c r="K774" s="347">
        <f>K73</f>
        <v>0</v>
      </c>
      <c r="L774" s="347">
        <f>F774-K774</f>
        <v>0</v>
      </c>
      <c r="M774" s="593"/>
      <c r="N774" s="195"/>
      <c r="P774" s="753"/>
      <c r="Q774" s="593"/>
    </row>
    <row r="775" spans="1:17" ht="13">
      <c r="A775" s="342">
        <v>19</v>
      </c>
      <c r="B775" s="653"/>
      <c r="C775" s="654" t="s">
        <v>1018</v>
      </c>
      <c r="D775" s="707"/>
      <c r="E775" s="707"/>
      <c r="F775" s="347">
        <f>'FR-16(7)(v)-4 DISTR Classified'!$G$75</f>
        <v>0</v>
      </c>
      <c r="G775" s="347">
        <f>G75</f>
        <v>0</v>
      </c>
      <c r="H775" s="347">
        <f>H75</f>
        <v>0</v>
      </c>
      <c r="I775" s="347">
        <f>I75</f>
        <v>0</v>
      </c>
      <c r="J775" s="347">
        <f>J75</f>
        <v>0</v>
      </c>
      <c r="K775" s="347">
        <f>K75</f>
        <v>0</v>
      </c>
      <c r="L775" s="347">
        <f>F775-K775</f>
        <v>0</v>
      </c>
      <c r="M775" s="593"/>
      <c r="N775" s="195"/>
      <c r="P775" s="753"/>
      <c r="Q775" s="593"/>
    </row>
    <row r="776" spans="1:17" ht="13">
      <c r="A776" s="342">
        <v>20</v>
      </c>
      <c r="B776" s="653"/>
      <c r="C776" s="654" t="s">
        <v>1019</v>
      </c>
      <c r="D776" s="707"/>
      <c r="E776" s="707"/>
      <c r="F776" s="347">
        <f>-'FR-16(7)(v)-4 DISTR Classified'!$G$127</f>
        <v>0</v>
      </c>
      <c r="G776" s="347">
        <f>-G127</f>
        <v>0</v>
      </c>
      <c r="H776" s="347">
        <f>-H127</f>
        <v>0</v>
      </c>
      <c r="I776" s="347">
        <f>-I127</f>
        <v>0</v>
      </c>
      <c r="J776" s="347">
        <f>-J127</f>
        <v>0</v>
      </c>
      <c r="K776" s="347">
        <f>-K127</f>
        <v>0</v>
      </c>
      <c r="L776" s="347">
        <f>F776-K776</f>
        <v>0</v>
      </c>
      <c r="M776" s="593"/>
      <c r="N776" s="195"/>
      <c r="P776" s="753"/>
      <c r="Q776" s="593"/>
    </row>
    <row r="777" spans="1:17" ht="13">
      <c r="A777" s="342">
        <v>21</v>
      </c>
      <c r="B777" s="653"/>
      <c r="C777" s="654" t="s">
        <v>1020</v>
      </c>
      <c r="D777" s="707"/>
      <c r="E777" s="707"/>
      <c r="F777" s="347">
        <f>-'FR-16(7)(v)-4 DISTR Classified'!$G$129</f>
        <v>0</v>
      </c>
      <c r="G777" s="664">
        <f>-G129</f>
        <v>0</v>
      </c>
      <c r="H777" s="664">
        <f>-H129</f>
        <v>0</v>
      </c>
      <c r="I777" s="664">
        <f>-I129</f>
        <v>0</v>
      </c>
      <c r="J777" s="664">
        <f>-J129</f>
        <v>0</v>
      </c>
      <c r="K777" s="664">
        <f>-K129</f>
        <v>0</v>
      </c>
      <c r="L777" s="347">
        <f>F777-K777</f>
        <v>0</v>
      </c>
      <c r="M777" s="593"/>
      <c r="N777" s="195"/>
      <c r="P777" s="753"/>
      <c r="Q777" s="593"/>
    </row>
    <row r="778" spans="1:17" ht="13">
      <c r="A778" s="342">
        <v>22</v>
      </c>
      <c r="B778" s="653"/>
      <c r="C778" s="704" t="s">
        <v>1024</v>
      </c>
      <c r="D778" s="707"/>
      <c r="E778" s="707"/>
      <c r="F778" s="758">
        <f t="shared" ref="F778:L778" si="197">SUM(F774:F777)</f>
        <v>0</v>
      </c>
      <c r="G778" s="758">
        <f t="shared" si="197"/>
        <v>0</v>
      </c>
      <c r="H778" s="759">
        <f t="shared" si="197"/>
        <v>0</v>
      </c>
      <c r="I778" s="759">
        <f t="shared" si="197"/>
        <v>0</v>
      </c>
      <c r="J778" s="759">
        <f t="shared" si="197"/>
        <v>0</v>
      </c>
      <c r="K778" s="759">
        <f t="shared" si="197"/>
        <v>0</v>
      </c>
      <c r="L778" s="758">
        <f t="shared" si="197"/>
        <v>0</v>
      </c>
      <c r="M778" s="593"/>
      <c r="N778" s="195"/>
      <c r="P778" s="753"/>
      <c r="Q778" s="593"/>
    </row>
    <row r="779" spans="1:17" ht="13">
      <c r="A779" s="342">
        <v>23</v>
      </c>
      <c r="E779" s="331"/>
      <c r="H779" s="351"/>
      <c r="J779" s="351"/>
      <c r="K779" s="351"/>
      <c r="N779" s="195"/>
      <c r="P779" s="752"/>
    </row>
    <row r="780" spans="1:17" ht="13">
      <c r="A780" s="342">
        <v>24</v>
      </c>
      <c r="B780" s="625" t="s">
        <v>94</v>
      </c>
      <c r="C780" s="195"/>
      <c r="D780" s="712"/>
      <c r="E780" s="712"/>
      <c r="F780" s="626"/>
      <c r="G780" s="626"/>
      <c r="H780" s="627"/>
      <c r="I780" s="627"/>
      <c r="J780" s="627"/>
      <c r="K780" s="627"/>
      <c r="L780" s="626"/>
      <c r="M780" s="195"/>
      <c r="N780" s="195"/>
      <c r="P780" s="747"/>
      <c r="Q780" s="195"/>
    </row>
    <row r="781" spans="1:17" ht="13">
      <c r="A781" s="342">
        <v>25</v>
      </c>
      <c r="B781" s="591" t="s">
        <v>95</v>
      </c>
      <c r="C781" s="628"/>
      <c r="D781" s="713"/>
      <c r="E781" s="713"/>
      <c r="F781" s="504"/>
      <c r="G781" s="504"/>
      <c r="H781" s="484"/>
      <c r="I781" s="484"/>
      <c r="J781" s="504"/>
      <c r="K781" s="504"/>
      <c r="L781" s="504"/>
      <c r="M781" s="195"/>
      <c r="N781" s="195"/>
      <c r="P781" s="747"/>
      <c r="Q781" s="195"/>
    </row>
    <row r="782" spans="1:17" ht="13">
      <c r="A782" s="342">
        <v>26</v>
      </c>
      <c r="B782" s="195"/>
      <c r="C782" s="581" t="s">
        <v>230</v>
      </c>
      <c r="D782" s="719" t="s">
        <v>1003</v>
      </c>
      <c r="E782" s="708" t="str">
        <f>'FR-16(7)(v)-1 Functional'!$E$782</f>
        <v>P129</v>
      </c>
      <c r="F782" s="1075">
        <v>0</v>
      </c>
      <c r="G782" s="1074">
        <f>F782-SUM(H782:J782)</f>
        <v>0</v>
      </c>
      <c r="H782" s="1074">
        <f>ROUND(IF($F$59=0,0,$H$59/$F$59),5)</f>
        <v>0</v>
      </c>
      <c r="I782" s="1074">
        <f>ROUND(IF($F$59=0,0,$I$59/$F$59),5)</f>
        <v>0</v>
      </c>
      <c r="J782" s="1074">
        <f>ROUND(IF($F$59=0,0,$J$59/$F$59),5)</f>
        <v>0</v>
      </c>
      <c r="K782" s="1074">
        <f t="shared" ref="K782:K789" si="198">SUM(G782:J782)</f>
        <v>0</v>
      </c>
      <c r="L782" s="1074">
        <f t="shared" ref="L782:L789" si="199">F782-K782</f>
        <v>0</v>
      </c>
      <c r="M782" s="195"/>
      <c r="N782" s="195"/>
      <c r="P782" s="749">
        <f t="shared" ref="P782:P789" si="200">K782</f>
        <v>0</v>
      </c>
      <c r="Q782" s="195"/>
    </row>
    <row r="783" spans="1:17" ht="13">
      <c r="A783" s="342">
        <v>27</v>
      </c>
      <c r="B783" s="195"/>
      <c r="C783" s="581" t="s">
        <v>231</v>
      </c>
      <c r="D783" s="719" t="s">
        <v>1003</v>
      </c>
      <c r="E783" s="708" t="str">
        <f>'FR-16(7)(v)-1 Functional'!$E$783</f>
        <v>D149</v>
      </c>
      <c r="F783" s="642">
        <v>1</v>
      </c>
      <c r="G783" s="354">
        <f>F783-SUM(H783:J783)</f>
        <v>0.50961999999999996</v>
      </c>
      <c r="H783" s="354">
        <f>ROUND(IF($F$78=0,0,H78/$F$78),5)</f>
        <v>0.30964999999999998</v>
      </c>
      <c r="I783" s="354">
        <f>ROUND(IF($F$78=0,0,I78/$F$78),5)</f>
        <v>0.13677</v>
      </c>
      <c r="J783" s="354">
        <f>ROUND(IF($F$78=0,0,J78/$F$78),5)</f>
        <v>4.3959999999999999E-2</v>
      </c>
      <c r="K783" s="354">
        <f t="shared" si="198"/>
        <v>1</v>
      </c>
      <c r="L783" s="348">
        <f t="shared" si="199"/>
        <v>0</v>
      </c>
      <c r="M783" s="195"/>
      <c r="N783" s="195"/>
      <c r="P783" s="749">
        <f t="shared" si="200"/>
        <v>1</v>
      </c>
      <c r="Q783" s="195"/>
    </row>
    <row r="784" spans="1:17" ht="13">
      <c r="A784" s="342">
        <v>28</v>
      </c>
      <c r="B784" s="195"/>
      <c r="C784" s="581" t="s">
        <v>232</v>
      </c>
      <c r="D784" s="719" t="s">
        <v>1003</v>
      </c>
      <c r="E784" s="708" t="str">
        <f>'FR-16(7)(v)-1 Functional'!$E$784</f>
        <v>PD29</v>
      </c>
      <c r="F784" s="642">
        <v>1</v>
      </c>
      <c r="G784" s="354">
        <f t="shared" ref="G784:G789" si="201">F784-SUM(H784:J784)</f>
        <v>0.50961999999999996</v>
      </c>
      <c r="H784" s="354">
        <f>ROUND(IF($F$81=0,0,H81/$F$81),5)</f>
        <v>0.30964999999999998</v>
      </c>
      <c r="I784" s="354">
        <f>ROUND(IF($F$81=0,0,I81/$F$81),5)</f>
        <v>0.13677</v>
      </c>
      <c r="J784" s="354">
        <f>ROUND(IF($F$81=0,0,J81/$F$81),5)</f>
        <v>4.3959999999999999E-2</v>
      </c>
      <c r="K784" s="354">
        <f t="shared" si="198"/>
        <v>1</v>
      </c>
      <c r="L784" s="348">
        <f t="shared" si="199"/>
        <v>0</v>
      </c>
      <c r="M784" s="195"/>
      <c r="N784" s="195"/>
      <c r="P784" s="749">
        <f t="shared" si="200"/>
        <v>1</v>
      </c>
      <c r="Q784" s="195"/>
    </row>
    <row r="785" spans="1:17" ht="13">
      <c r="A785" s="342">
        <v>29</v>
      </c>
      <c r="B785" s="195"/>
      <c r="C785" s="581" t="s">
        <v>233</v>
      </c>
      <c r="D785" s="719" t="s">
        <v>1003</v>
      </c>
      <c r="E785" s="708" t="str">
        <f>'FR-16(7)(v)-1 Functional'!$E$785</f>
        <v>G129</v>
      </c>
      <c r="F785" s="642">
        <v>1</v>
      </c>
      <c r="G785" s="354">
        <f t="shared" si="201"/>
        <v>0.51455000000000006</v>
      </c>
      <c r="H785" s="354">
        <f>ROUND(IF($F$90=0,0,H90/$F$90),5)</f>
        <v>0.31245000000000001</v>
      </c>
      <c r="I785" s="354">
        <f>ROUND(IF($F$90=0,0,I90/$F$90),5)</f>
        <v>0.13256999999999999</v>
      </c>
      <c r="J785" s="354">
        <f>ROUND(IF($F$90=0,0,J90/$F$90),5)</f>
        <v>4.0430000000000001E-2</v>
      </c>
      <c r="K785" s="354">
        <f t="shared" si="198"/>
        <v>1</v>
      </c>
      <c r="L785" s="348">
        <f t="shared" si="199"/>
        <v>0</v>
      </c>
      <c r="M785" s="195"/>
      <c r="N785" s="195"/>
      <c r="P785" s="749">
        <f t="shared" si="200"/>
        <v>1</v>
      </c>
      <c r="Q785" s="195"/>
    </row>
    <row r="786" spans="1:17" ht="13">
      <c r="A786" s="342">
        <v>30</v>
      </c>
      <c r="B786" s="195"/>
      <c r="C786" s="581" t="s">
        <v>234</v>
      </c>
      <c r="D786" s="719" t="s">
        <v>1003</v>
      </c>
      <c r="E786" s="708" t="str">
        <f>'FR-16(7)(v)-1 Functional'!$E$786</f>
        <v>C129</v>
      </c>
      <c r="F786" s="642">
        <v>1</v>
      </c>
      <c r="G786" s="354">
        <f t="shared" si="201"/>
        <v>0.51455000000000006</v>
      </c>
      <c r="H786" s="354">
        <f>ROUND(IF($F$99=0,0,H99/$F$99),5)</f>
        <v>0.31245000000000001</v>
      </c>
      <c r="I786" s="354">
        <f>ROUND(IF($F$99=0,0,I99/$F$99),5)</f>
        <v>0.13256999999999999</v>
      </c>
      <c r="J786" s="354">
        <f>ROUND(IF($F$99=0,0,J99/$F$99),5)</f>
        <v>4.0430000000000001E-2</v>
      </c>
      <c r="K786" s="354">
        <f t="shared" si="198"/>
        <v>1</v>
      </c>
      <c r="L786" s="348">
        <f t="shared" si="199"/>
        <v>0</v>
      </c>
      <c r="M786" s="195"/>
      <c r="N786" s="195"/>
      <c r="P786" s="749">
        <f t="shared" si="200"/>
        <v>1</v>
      </c>
      <c r="Q786" s="195"/>
    </row>
    <row r="787" spans="1:17" ht="13">
      <c r="A787" s="342">
        <v>31</v>
      </c>
      <c r="B787" s="195"/>
      <c r="C787" s="581" t="s">
        <v>235</v>
      </c>
      <c r="D787" s="719" t="s">
        <v>1003</v>
      </c>
      <c r="E787" s="708" t="str">
        <f>'FR-16(7)(v)-1 Functional'!$E$787</f>
        <v>GP19</v>
      </c>
      <c r="F787" s="642">
        <v>1</v>
      </c>
      <c r="G787" s="354">
        <f t="shared" si="201"/>
        <v>0.50981999999999994</v>
      </c>
      <c r="H787" s="354">
        <f>ROUND(IF($F$101=0,0,H101/$F$101),5)</f>
        <v>0.30976999999999999</v>
      </c>
      <c r="I787" s="354">
        <f>ROUND(IF($F$101=0,0,I101/$F$101),5)</f>
        <v>0.1366</v>
      </c>
      <c r="J787" s="354">
        <f>ROUND(IF($F$101=0,0,J101/$F$101),5)</f>
        <v>4.3810000000000002E-2</v>
      </c>
      <c r="K787" s="354">
        <f t="shared" si="198"/>
        <v>0.99999999999999989</v>
      </c>
      <c r="L787" s="348">
        <f t="shared" si="199"/>
        <v>0</v>
      </c>
      <c r="M787" s="195"/>
      <c r="N787" s="195"/>
      <c r="P787" s="749">
        <f t="shared" si="200"/>
        <v>0.99999999999999989</v>
      </c>
      <c r="Q787" s="195"/>
    </row>
    <row r="788" spans="1:17" ht="13">
      <c r="A788" s="342">
        <v>32</v>
      </c>
      <c r="B788" s="195"/>
      <c r="C788" s="581" t="s">
        <v>236</v>
      </c>
      <c r="D788" s="719" t="s">
        <v>1003</v>
      </c>
      <c r="E788" s="708" t="str">
        <f>'FR-16(7)(v)-1 Functional'!$E$788</f>
        <v>D199</v>
      </c>
      <c r="F788" s="642">
        <v>1</v>
      </c>
      <c r="G788" s="354">
        <f t="shared" si="201"/>
        <v>0.52351999999999999</v>
      </c>
      <c r="H788" s="354">
        <f>ROUND(IF($F$131=0,0,H131/$F$131),5)</f>
        <v>0.28766999999999998</v>
      </c>
      <c r="I788" s="354">
        <f>ROUND(IF($F$131=0,0,I131/$F$131),5)</f>
        <v>0.14233999999999999</v>
      </c>
      <c r="J788" s="354">
        <f>ROUND(IF($F$131=0,0,J131/$F$131),5)</f>
        <v>4.6469999999999997E-2</v>
      </c>
      <c r="K788" s="354">
        <f t="shared" si="198"/>
        <v>1</v>
      </c>
      <c r="L788" s="348">
        <f t="shared" si="199"/>
        <v>0</v>
      </c>
      <c r="M788" s="195"/>
      <c r="N788" s="195"/>
      <c r="P788" s="749">
        <f t="shared" si="200"/>
        <v>1</v>
      </c>
      <c r="Q788" s="195"/>
    </row>
    <row r="789" spans="1:17" ht="13">
      <c r="A789" s="342">
        <v>33</v>
      </c>
      <c r="B789" s="195"/>
      <c r="C789" s="581" t="s">
        <v>237</v>
      </c>
      <c r="D789" s="719" t="s">
        <v>1003</v>
      </c>
      <c r="E789" s="708" t="str">
        <f>'FR-16(7)(v)-1 Functional'!$E$789</f>
        <v>DR19</v>
      </c>
      <c r="F789" s="642">
        <v>1</v>
      </c>
      <c r="G789" s="354">
        <f t="shared" si="201"/>
        <v>0.52276999999999996</v>
      </c>
      <c r="H789" s="354">
        <f>ROUND(IF($F$151=0,0,H151/$F$151),5)</f>
        <v>0.28976000000000002</v>
      </c>
      <c r="I789" s="354">
        <f>ROUND(IF($F$151=0,0,I151/$F$151),5)</f>
        <v>0.14151</v>
      </c>
      <c r="J789" s="354">
        <f>ROUND(IF($F$151=0,0,J151/$F$151),5)</f>
        <v>4.5960000000000001E-2</v>
      </c>
      <c r="K789" s="354">
        <f t="shared" si="198"/>
        <v>1</v>
      </c>
      <c r="L789" s="348">
        <f t="shared" si="199"/>
        <v>0</v>
      </c>
      <c r="M789" s="195"/>
      <c r="N789" s="195"/>
      <c r="P789" s="749">
        <f t="shared" si="200"/>
        <v>1</v>
      </c>
      <c r="Q789" s="195"/>
    </row>
    <row r="790" spans="1:17" ht="13">
      <c r="A790" s="342">
        <v>34</v>
      </c>
      <c r="B790" s="195"/>
      <c r="C790" s="195"/>
      <c r="D790" s="342"/>
      <c r="E790" s="723"/>
      <c r="F790" s="642"/>
      <c r="G790" s="354"/>
      <c r="H790" s="354"/>
      <c r="I790" s="354"/>
      <c r="J790" s="354"/>
      <c r="K790" s="354"/>
      <c r="M790" s="195"/>
      <c r="N790" s="195"/>
      <c r="P790" s="747"/>
      <c r="Q790" s="195"/>
    </row>
    <row r="791" spans="1:17" ht="13">
      <c r="A791" s="342">
        <v>35</v>
      </c>
      <c r="B791" s="581" t="s">
        <v>96</v>
      </c>
      <c r="C791" s="195"/>
      <c r="D791" s="342"/>
      <c r="E791" s="723"/>
      <c r="F791" s="642"/>
      <c r="G791" s="354"/>
      <c r="H791" s="354"/>
      <c r="I791" s="354"/>
      <c r="J791" s="354"/>
      <c r="K791" s="354"/>
      <c r="M791" s="195"/>
      <c r="N791" s="195"/>
      <c r="P791" s="747"/>
      <c r="Q791" s="195"/>
    </row>
    <row r="792" spans="1:17" ht="13">
      <c r="A792" s="342">
        <v>36</v>
      </c>
      <c r="B792" s="195"/>
      <c r="C792" s="581" t="s">
        <v>238</v>
      </c>
      <c r="D792" s="719" t="s">
        <v>1003</v>
      </c>
      <c r="E792" s="708" t="str">
        <f>'FR-16(7)(v)-1 Functional'!$E$792</f>
        <v>P229</v>
      </c>
      <c r="F792" s="1075">
        <v>0</v>
      </c>
      <c r="G792" s="1074">
        <f>F792-SUM(H792:J792)</f>
        <v>0</v>
      </c>
      <c r="H792" s="1074">
        <f>ROUND(IF($F$166=0,0,H166/$F$166),5)</f>
        <v>0</v>
      </c>
      <c r="I792" s="1074">
        <f>ROUND(IF($F$166=0,0,I166/$F$166),5)</f>
        <v>0</v>
      </c>
      <c r="J792" s="1074">
        <f>ROUND(IF($F$166=0,0,J166/$F$166),5)</f>
        <v>0</v>
      </c>
      <c r="K792" s="1074">
        <f>SUM(G792:J792)</f>
        <v>0</v>
      </c>
      <c r="L792" s="1074">
        <f>F792-K792</f>
        <v>0</v>
      </c>
      <c r="M792" s="195"/>
      <c r="N792" s="195"/>
      <c r="P792" s="749">
        <f>K792</f>
        <v>0</v>
      </c>
      <c r="Q792" s="195"/>
    </row>
    <row r="793" spans="1:17" ht="13">
      <c r="A793" s="342">
        <v>37</v>
      </c>
      <c r="B793" s="195"/>
      <c r="C793" s="581" t="s">
        <v>239</v>
      </c>
      <c r="D793" s="719" t="s">
        <v>1003</v>
      </c>
      <c r="E793" s="708" t="str">
        <f>'FR-16(7)(v)-1 Functional'!$E$793</f>
        <v>D249</v>
      </c>
      <c r="F793" s="642">
        <v>1</v>
      </c>
      <c r="G793" s="354">
        <f>F793-SUM(H793:J793)</f>
        <v>0.50488999999999995</v>
      </c>
      <c r="H793" s="354">
        <f>ROUND(IF($F$176=0,0,H176/$F$176),5)</f>
        <v>0.31713000000000002</v>
      </c>
      <c r="I793" s="354">
        <f>ROUND(IF($F$176=0,0,I176/$F$176),5)</f>
        <v>0.13488</v>
      </c>
      <c r="J793" s="354">
        <f>ROUND(IF($F$176=0,0,J176/$F$176),5)</f>
        <v>4.3099999999999999E-2</v>
      </c>
      <c r="K793" s="354">
        <f>SUM(G793:J793)</f>
        <v>1</v>
      </c>
      <c r="L793" s="348">
        <f>F793-K793</f>
        <v>0</v>
      </c>
      <c r="M793" s="195"/>
      <c r="N793" s="195"/>
      <c r="P793" s="749">
        <f>K793</f>
        <v>1</v>
      </c>
      <c r="Q793" s="195"/>
    </row>
    <row r="794" spans="1:17" ht="13">
      <c r="A794" s="342">
        <v>38</v>
      </c>
      <c r="B794" s="195"/>
      <c r="C794" s="581" t="s">
        <v>240</v>
      </c>
      <c r="D794" s="719" t="s">
        <v>1003</v>
      </c>
      <c r="E794" s="708" t="str">
        <f>'FR-16(7)(v)-1 Functional'!$E$794</f>
        <v>G229</v>
      </c>
      <c r="F794" s="642">
        <v>1</v>
      </c>
      <c r="G794" s="354">
        <f>F794-SUM(H794:J794)</f>
        <v>0.51455000000000006</v>
      </c>
      <c r="H794" s="354">
        <f>ROUND(IF($F$184=0,0,H184/$F$184),5)</f>
        <v>0.31245000000000001</v>
      </c>
      <c r="I794" s="354">
        <f>ROUND(IF($F$184=0,0,I184/$F$184),5)</f>
        <v>0.13256999999999999</v>
      </c>
      <c r="J794" s="354">
        <f>ROUND(IF($F$184=0,0,J184/$F$184),5)</f>
        <v>4.0430000000000001E-2</v>
      </c>
      <c r="K794" s="354">
        <f>SUM(G794:J794)</f>
        <v>1</v>
      </c>
      <c r="L794" s="348">
        <f>F794-K794</f>
        <v>0</v>
      </c>
      <c r="M794" s="195"/>
      <c r="N794" s="195"/>
      <c r="P794" s="749">
        <f>K794</f>
        <v>1</v>
      </c>
      <c r="Q794" s="195"/>
    </row>
    <row r="795" spans="1:17" ht="13">
      <c r="A795" s="342">
        <v>39</v>
      </c>
      <c r="B795" s="195"/>
      <c r="C795" s="581" t="s">
        <v>241</v>
      </c>
      <c r="D795" s="719" t="s">
        <v>1003</v>
      </c>
      <c r="E795" s="708" t="str">
        <f>'FR-16(7)(v)-1 Functional'!$E$795</f>
        <v>C229</v>
      </c>
      <c r="F795" s="642">
        <v>1</v>
      </c>
      <c r="G795" s="354">
        <f>F795-SUM(H795:J795)</f>
        <v>0.51455000000000006</v>
      </c>
      <c r="H795" s="354">
        <f>ROUND(IF($F$189=0,0,H189/$F$189),5)</f>
        <v>0.31245000000000001</v>
      </c>
      <c r="I795" s="354">
        <f>ROUND(IF($F$189=0,0,I189/$F$189),5)</f>
        <v>0.13256999999999999</v>
      </c>
      <c r="J795" s="354">
        <f>ROUND(IF($F$189=0,0,J189/$F$189),5)</f>
        <v>4.0430000000000001E-2</v>
      </c>
      <c r="K795" s="354">
        <f>SUM(G795:J795)</f>
        <v>1</v>
      </c>
      <c r="L795" s="348">
        <f>F795-K795</f>
        <v>0</v>
      </c>
      <c r="M795" s="195"/>
      <c r="N795" s="195"/>
      <c r="P795" s="749">
        <f>K795</f>
        <v>1</v>
      </c>
      <c r="Q795" s="195"/>
    </row>
    <row r="796" spans="1:17" ht="13">
      <c r="A796" s="342">
        <v>40</v>
      </c>
      <c r="B796" s="195"/>
      <c r="C796" s="581" t="s">
        <v>242</v>
      </c>
      <c r="D796" s="719" t="s">
        <v>1003</v>
      </c>
      <c r="E796" s="708" t="str">
        <f>'FR-16(7)(v)-1 Functional'!$E$796</f>
        <v>NP29</v>
      </c>
      <c r="F796" s="642">
        <v>1</v>
      </c>
      <c r="G796" s="354">
        <f>F796-SUM(H796:J796)</f>
        <v>0.50512999999999997</v>
      </c>
      <c r="H796" s="354">
        <f>ROUND(IF($F$191=0,0,H191/$F$191),5)</f>
        <v>0.31701000000000001</v>
      </c>
      <c r="I796" s="354">
        <f>ROUND(IF($F$191=0,0,I191/$F$191),5)</f>
        <v>0.13482</v>
      </c>
      <c r="J796" s="354">
        <f>ROUND(IF($F$191=0,0,J191/$F$191),5)</f>
        <v>4.3040000000000002E-2</v>
      </c>
      <c r="K796" s="354">
        <f>SUM(G796:J796)</f>
        <v>1</v>
      </c>
      <c r="L796" s="348">
        <f>F796-K796</f>
        <v>0</v>
      </c>
      <c r="M796" s="195"/>
      <c r="N796" s="195"/>
      <c r="P796" s="747"/>
      <c r="Q796" s="195"/>
    </row>
    <row r="797" spans="1:17" ht="13">
      <c r="A797" s="342">
        <v>41</v>
      </c>
      <c r="B797" s="195"/>
      <c r="C797" s="581"/>
      <c r="D797" s="708"/>
      <c r="E797" s="728"/>
      <c r="F797" s="348"/>
      <c r="G797" s="354"/>
      <c r="H797" s="354"/>
      <c r="I797" s="354"/>
      <c r="J797" s="354"/>
      <c r="K797" s="354"/>
      <c r="L797" s="348"/>
      <c r="M797" s="195"/>
      <c r="N797" s="195"/>
      <c r="P797" s="747"/>
      <c r="Q797" s="195"/>
    </row>
    <row r="798" spans="1:17" ht="13">
      <c r="A798" s="342">
        <v>42</v>
      </c>
      <c r="B798" s="581" t="s">
        <v>32</v>
      </c>
      <c r="C798" s="195"/>
      <c r="D798" s="342"/>
      <c r="E798" s="723"/>
      <c r="F798" s="348"/>
      <c r="G798" s="354"/>
      <c r="H798" s="354"/>
      <c r="I798" s="354"/>
      <c r="J798" s="354"/>
      <c r="K798" s="354"/>
      <c r="M798" s="195"/>
      <c r="N798" s="195"/>
      <c r="P798" s="747"/>
      <c r="Q798" s="195"/>
    </row>
    <row r="799" spans="1:17" ht="13">
      <c r="A799" s="342">
        <v>43</v>
      </c>
      <c r="B799" s="195"/>
      <c r="C799" s="581" t="s">
        <v>243</v>
      </c>
      <c r="D799" s="719" t="s">
        <v>1003</v>
      </c>
      <c r="E799" s="708" t="str">
        <f>'FR-16(7)(v)-1 Functional'!$E$799</f>
        <v>W669</v>
      </c>
      <c r="F799" s="642">
        <v>1</v>
      </c>
      <c r="G799" s="354">
        <f>F799-SUM(H799:J799)</f>
        <v>0.50512999999999997</v>
      </c>
      <c r="H799" s="354">
        <f>ROUND(IF($F$304=0,0,H304/$F$304),5)</f>
        <v>0.31701000000000001</v>
      </c>
      <c r="I799" s="354">
        <f>ROUND(IF($F$304=0,0,I304/$F$304),5)</f>
        <v>0.13482</v>
      </c>
      <c r="J799" s="354">
        <f>ROUND(IF($F$304=0,0,J304/$F$304),5)</f>
        <v>4.3040000000000002E-2</v>
      </c>
      <c r="K799" s="354">
        <f>SUM(G799:J799)</f>
        <v>1</v>
      </c>
      <c r="L799" s="348">
        <f>F799-K799</f>
        <v>0</v>
      </c>
      <c r="M799" s="195"/>
      <c r="N799" s="195"/>
      <c r="P799" s="749">
        <f>K799</f>
        <v>1</v>
      </c>
      <c r="Q799" s="195"/>
    </row>
    <row r="800" spans="1:17" ht="13">
      <c r="A800" s="342">
        <v>44</v>
      </c>
      <c r="B800" s="195"/>
      <c r="C800" s="581" t="s">
        <v>244</v>
      </c>
      <c r="D800" s="719" t="s">
        <v>1003</v>
      </c>
      <c r="E800" s="708" t="str">
        <f>'FR-16(7)(v)-1 Functional'!$E$800</f>
        <v>W689</v>
      </c>
      <c r="F800" s="642">
        <v>1</v>
      </c>
      <c r="G800" s="354">
        <f>IF(F310=0,0,F800-SUM(H800:J800))</f>
        <v>0.51449999999999996</v>
      </c>
      <c r="H800" s="354">
        <f>ROUND(IF($F$310=0,0,H310/$F$310),5)</f>
        <v>0.31246000000000002</v>
      </c>
      <c r="I800" s="354">
        <f>ROUND(IF($F$310=0,0,I310/$F$310),5)</f>
        <v>0.13258</v>
      </c>
      <c r="J800" s="354">
        <f>ROUND(IF($F$310=0,0,J310/$F$310),5)</f>
        <v>4.0460000000000003E-2</v>
      </c>
      <c r="K800" s="354">
        <f>SUM(G800:J800)</f>
        <v>1</v>
      </c>
      <c r="L800" s="348">
        <f>F800-K800</f>
        <v>0</v>
      </c>
      <c r="M800" s="195"/>
      <c r="N800" s="195"/>
      <c r="P800" s="749">
        <f>K800</f>
        <v>1</v>
      </c>
      <c r="Q800" s="195"/>
    </row>
    <row r="801" spans="1:17" ht="13">
      <c r="A801" s="342">
        <v>45</v>
      </c>
      <c r="B801" s="195"/>
      <c r="C801" s="581" t="s">
        <v>245</v>
      </c>
      <c r="D801" s="719" t="s">
        <v>1003</v>
      </c>
      <c r="E801" s="708" t="str">
        <f>'FR-16(7)(v)-1 Functional'!$E$801</f>
        <v>W729</v>
      </c>
      <c r="F801" s="642">
        <v>1</v>
      </c>
      <c r="G801" s="354">
        <f>IF(F313=0,0,F801-SUM(H801:J801))</f>
        <v>0</v>
      </c>
      <c r="H801" s="354">
        <f>ROUND(IF($F$313=0,0,H313/$F$313),5)</f>
        <v>0</v>
      </c>
      <c r="I801" s="354">
        <f>ROUND(IF($F$313=0,0,I313/$F$313),5)</f>
        <v>0</v>
      </c>
      <c r="J801" s="354">
        <f>ROUND(IF($F$313=0,0,J313/$F$313),5)</f>
        <v>0</v>
      </c>
      <c r="K801" s="354">
        <f>SUM(G801:J801)</f>
        <v>0</v>
      </c>
      <c r="L801" s="348">
        <f>F801-K801</f>
        <v>1</v>
      </c>
      <c r="M801" s="195"/>
      <c r="N801" s="195"/>
      <c r="P801" s="749">
        <f>K801</f>
        <v>0</v>
      </c>
      <c r="Q801" s="195"/>
    </row>
    <row r="802" spans="1:17" ht="13">
      <c r="A802" s="342">
        <v>46</v>
      </c>
      <c r="B802" s="195"/>
      <c r="C802" s="581" t="s">
        <v>246</v>
      </c>
      <c r="D802" s="719" t="s">
        <v>1003</v>
      </c>
      <c r="E802" s="708" t="str">
        <f>'FR-16(7)(v)-1 Functional'!$E$802</f>
        <v>W749</v>
      </c>
      <c r="F802" s="642">
        <v>1</v>
      </c>
      <c r="G802" s="354">
        <f>IF(F319=0,0,F802-SUM(H802:J802))</f>
        <v>0</v>
      </c>
      <c r="H802" s="354">
        <f>ROUND(IF($F$319=0,0,H319/$F$319),5)</f>
        <v>0</v>
      </c>
      <c r="I802" s="354">
        <f>ROUND(IF($F$319=0,0,I319/$F$319),5)</f>
        <v>0</v>
      </c>
      <c r="J802" s="354">
        <f>ROUND(IF($F$319=0,0,J319/$F$319),5)</f>
        <v>0</v>
      </c>
      <c r="K802" s="354">
        <f>SUM(G802:J802)</f>
        <v>0</v>
      </c>
      <c r="L802" s="348">
        <f>F802-K802</f>
        <v>1</v>
      </c>
      <c r="M802" s="195"/>
      <c r="N802" s="195"/>
      <c r="P802" s="749">
        <f>K802</f>
        <v>0</v>
      </c>
      <c r="Q802" s="195"/>
    </row>
    <row r="803" spans="1:17" ht="13">
      <c r="A803" s="342">
        <v>47</v>
      </c>
      <c r="B803" s="195"/>
      <c r="C803" s="581" t="s">
        <v>247</v>
      </c>
      <c r="D803" s="719" t="s">
        <v>1003</v>
      </c>
      <c r="E803" s="708" t="str">
        <f>'FR-16(7)(v)-1 Functional'!$E$803</f>
        <v>WC79</v>
      </c>
      <c r="F803" s="642">
        <v>1</v>
      </c>
      <c r="G803" s="354">
        <f>F803-SUM(H803:J803)</f>
        <v>0.50567000000000006</v>
      </c>
      <c r="H803" s="354">
        <f>ROUND(IF($F$321=0,0,H321/$F$321),5)</f>
        <v>0.31674999999999998</v>
      </c>
      <c r="I803" s="354">
        <f>ROUND(IF($F$321=0,0,I321/$F$321),5)</f>
        <v>0.13469</v>
      </c>
      <c r="J803" s="354">
        <f>ROUND(IF($F$321=0,0,J321/$F$321),5)</f>
        <v>4.2889999999999998E-2</v>
      </c>
      <c r="K803" s="354">
        <f>SUM(G803:J803)</f>
        <v>1</v>
      </c>
      <c r="L803" s="348">
        <f>F803-K803</f>
        <v>0</v>
      </c>
      <c r="M803" s="195"/>
      <c r="N803" s="195"/>
      <c r="P803" s="749">
        <f>K803</f>
        <v>1</v>
      </c>
      <c r="Q803" s="195"/>
    </row>
    <row r="804" spans="1:17" ht="13">
      <c r="A804" s="342"/>
      <c r="B804" s="195"/>
      <c r="C804" s="195"/>
      <c r="D804" s="342"/>
      <c r="E804" s="723"/>
      <c r="F804" s="642"/>
      <c r="G804" s="348"/>
      <c r="H804" s="354"/>
      <c r="I804" s="354"/>
      <c r="J804" s="354"/>
      <c r="K804" s="354"/>
      <c r="M804" s="195"/>
      <c r="N804" s="195"/>
      <c r="P804" s="747"/>
      <c r="Q804" s="195"/>
    </row>
    <row r="805" spans="1:17" ht="13">
      <c r="A805" s="341" t="str">
        <f>co_name</f>
        <v>DUKE ENERGY KENTUCKY, INC.</v>
      </c>
      <c r="C805" s="195"/>
      <c r="D805" s="342"/>
      <c r="E805" s="195"/>
      <c r="F805" s="342"/>
      <c r="G805" s="340"/>
      <c r="H805" s="340"/>
      <c r="I805" s="195"/>
      <c r="K805" s="359" t="str">
        <f>$K$1</f>
        <v>FR-16(7)(v)-5</v>
      </c>
      <c r="N805" s="195"/>
      <c r="P805" s="748"/>
    </row>
    <row r="806" spans="1:17" ht="13">
      <c r="A806" s="341" t="str">
        <f>$A$2</f>
        <v>DISTRIBUTION DEMAND ALLOCATED - GAS COST OF SERVICE</v>
      </c>
      <c r="C806" s="195"/>
      <c r="D806" s="342"/>
      <c r="E806" s="195"/>
      <c r="F806" s="342"/>
      <c r="G806" s="340"/>
      <c r="H806" s="340"/>
      <c r="I806" s="195"/>
      <c r="K806" s="359" t="str">
        <f>$K$2</f>
        <v>WITNESS RESPONSIBLE:</v>
      </c>
      <c r="N806" s="195"/>
      <c r="P806" s="748"/>
    </row>
    <row r="807" spans="1:17" ht="13">
      <c r="A807" s="341" t="str">
        <f>case_name</f>
        <v>CASE NO: 2021-00190</v>
      </c>
      <c r="C807" s="195"/>
      <c r="D807" s="342"/>
      <c r="E807" s="195"/>
      <c r="F807" s="342"/>
      <c r="G807" s="340"/>
      <c r="H807" s="340"/>
      <c r="I807" s="195"/>
      <c r="K807" s="359" t="str">
        <f>Witness</f>
        <v>JAMES E. ZIOLKOWSKI</v>
      </c>
      <c r="N807" s="195"/>
      <c r="P807" s="748"/>
    </row>
    <row r="808" spans="1:17" ht="13">
      <c r="A808" s="341" t="str">
        <f>data_filing</f>
        <v>DATA: 12 MONTH FORECASTED PERIOD</v>
      </c>
      <c r="C808" s="195"/>
      <c r="D808" s="342"/>
      <c r="E808" s="195"/>
      <c r="F808" s="342"/>
      <c r="G808" s="340"/>
      <c r="H808" s="340"/>
      <c r="I808" s="195"/>
      <c r="K808" s="359" t="str">
        <f>"PAGE "&amp;Pages&amp;" OF "&amp;Pages</f>
        <v>PAGE 18 OF 18</v>
      </c>
      <c r="N808" s="195"/>
      <c r="P808" s="748"/>
    </row>
    <row r="809" spans="1:17" ht="13">
      <c r="A809" s="341" t="str">
        <f>type</f>
        <v xml:space="preserve">TYPE OF FILING: "X" ORIGINAL   UPDATED    REVISED  </v>
      </c>
      <c r="C809" s="195"/>
      <c r="D809" s="342"/>
      <c r="E809" s="195"/>
      <c r="F809" s="342"/>
      <c r="G809" s="340"/>
      <c r="H809" s="340"/>
      <c r="I809" s="195"/>
      <c r="J809" s="342"/>
      <c r="K809" s="195"/>
      <c r="N809" s="195"/>
      <c r="P809" s="748"/>
    </row>
    <row r="810" spans="1:17" ht="13">
      <c r="B810" s="195"/>
      <c r="E810" s="331"/>
      <c r="F810" s="342"/>
      <c r="H810" s="351"/>
      <c r="J810" s="582"/>
      <c r="K810" s="351"/>
      <c r="N810" s="195"/>
      <c r="P810" s="748"/>
    </row>
    <row r="811" spans="1:17" ht="13">
      <c r="B811" s="195"/>
      <c r="E811" s="331"/>
      <c r="F811" s="342" t="s">
        <v>229</v>
      </c>
      <c r="H811" s="351"/>
      <c r="J811" s="582"/>
      <c r="K811" s="351"/>
      <c r="N811" s="195"/>
      <c r="P811" s="748"/>
    </row>
    <row r="812" spans="1:17" ht="13">
      <c r="A812" s="342" t="s">
        <v>907</v>
      </c>
      <c r="B812" s="195"/>
      <c r="C812" s="195"/>
      <c r="D812" s="342"/>
      <c r="E812" s="342"/>
      <c r="F812" s="342" t="str">
        <f>$F$8</f>
        <v>DISTRIBUTION</v>
      </c>
      <c r="G812" s="583" t="str">
        <f>$G$8</f>
        <v>RS</v>
      </c>
      <c r="H812" s="582" t="str">
        <f>$H$8</f>
        <v>GS</v>
      </c>
      <c r="I812" s="582" t="str">
        <f>$I$8</f>
        <v>FT-L</v>
      </c>
      <c r="J812" s="582" t="str">
        <f>$J$8</f>
        <v>INTERUPT</v>
      </c>
      <c r="K812" s="582" t="s">
        <v>229</v>
      </c>
      <c r="L812" s="583" t="s">
        <v>342</v>
      </c>
      <c r="M812" s="195"/>
      <c r="N812" s="195"/>
      <c r="P812" s="747"/>
      <c r="Q812" s="195"/>
    </row>
    <row r="813" spans="1:17" ht="13">
      <c r="A813" s="344" t="s">
        <v>908</v>
      </c>
      <c r="B813" s="584" t="s">
        <v>89</v>
      </c>
      <c r="C813" s="343"/>
      <c r="D813" s="585" t="s">
        <v>1001</v>
      </c>
      <c r="E813" s="585" t="s">
        <v>337</v>
      </c>
      <c r="F813" s="342" t="str">
        <f>$F$9</f>
        <v>DEMAND</v>
      </c>
      <c r="G813" s="586" t="str">
        <f>$G$9</f>
        <v>RESIDENTIAL</v>
      </c>
      <c r="H813" s="587" t="str">
        <f>$H$9</f>
        <v>GEN SERV</v>
      </c>
      <c r="I813" s="587" t="str">
        <f>$I$9</f>
        <v>FIRM TRANS</v>
      </c>
      <c r="J813" s="587" t="str">
        <f>$J$9</f>
        <v>TRANS</v>
      </c>
      <c r="K813" s="587" t="s">
        <v>341</v>
      </c>
      <c r="L813" s="586" t="s">
        <v>340</v>
      </c>
      <c r="M813" s="195"/>
      <c r="N813" s="195"/>
      <c r="P813" s="747"/>
      <c r="Q813" s="195"/>
    </row>
    <row r="814" spans="1:17" ht="13">
      <c r="C814" s="839" t="s">
        <v>1036</v>
      </c>
      <c r="E814" s="627">
        <v>1</v>
      </c>
      <c r="F814" s="813">
        <v>2</v>
      </c>
      <c r="G814" s="627">
        <v>3</v>
      </c>
      <c r="H814" s="627">
        <v>4</v>
      </c>
      <c r="I814" s="627">
        <v>5</v>
      </c>
      <c r="J814" s="627">
        <v>6</v>
      </c>
      <c r="K814" s="351"/>
      <c r="N814" s="195"/>
      <c r="P814" s="748"/>
    </row>
    <row r="815" spans="1:17" ht="13">
      <c r="A815" s="342">
        <v>1</v>
      </c>
      <c r="B815" s="581" t="s">
        <v>25</v>
      </c>
      <c r="C815" s="195"/>
      <c r="D815" s="342"/>
      <c r="E815" s="723"/>
      <c r="F815" s="642"/>
      <c r="G815" s="348"/>
      <c r="H815" s="354"/>
      <c r="I815" s="354"/>
      <c r="J815" s="354"/>
      <c r="K815" s="354"/>
      <c r="M815" s="195"/>
      <c r="N815" s="195"/>
      <c r="P815" s="747"/>
      <c r="Q815" s="195"/>
    </row>
    <row r="816" spans="1:17" ht="13">
      <c r="A816" s="342">
        <v>2</v>
      </c>
      <c r="B816" s="195"/>
      <c r="C816" s="581" t="s">
        <v>248</v>
      </c>
      <c r="D816" s="719" t="s">
        <v>1003</v>
      </c>
      <c r="E816" s="708" t="str">
        <f>'FR-16(7)(v)-1 Functional'!$E$816</f>
        <v>RB29</v>
      </c>
      <c r="F816" s="642">
        <v>1</v>
      </c>
      <c r="G816" s="354">
        <f>F816-SUM(H816:J816)</f>
        <v>0.50515999999999994</v>
      </c>
      <c r="H816" s="354">
        <f>ROUND(IF($F$296=0,0,H296/$F$296),5)</f>
        <v>0.317</v>
      </c>
      <c r="I816" s="354">
        <f>ROUND(IF($F$296=0,0,I296/$F$296),5)</f>
        <v>0.13481000000000001</v>
      </c>
      <c r="J816" s="354">
        <f>ROUND(IF($F$296=0,0,J296/$F$296),5)</f>
        <v>4.3029999999999999E-2</v>
      </c>
      <c r="K816" s="354">
        <f>SUM(G816:J816)</f>
        <v>1</v>
      </c>
      <c r="L816" s="348">
        <f>F816-K816</f>
        <v>0</v>
      </c>
      <c r="M816" s="195"/>
      <c r="N816" s="195"/>
      <c r="P816" s="749">
        <f>K816</f>
        <v>1</v>
      </c>
      <c r="Q816" s="195"/>
    </row>
    <row r="817" spans="1:17" ht="13">
      <c r="A817" s="342">
        <v>3</v>
      </c>
      <c r="B817" s="195"/>
      <c r="C817" s="581" t="s">
        <v>249</v>
      </c>
      <c r="D817" s="719" t="s">
        <v>1003</v>
      </c>
      <c r="E817" s="708" t="str">
        <f>'FR-16(7)(v)-1 Functional'!$E$817</f>
        <v>RB99</v>
      </c>
      <c r="F817" s="642">
        <v>1</v>
      </c>
      <c r="G817" s="354">
        <f>F817-SUM(H817:J817)</f>
        <v>0.50515999999999994</v>
      </c>
      <c r="H817" s="354">
        <f>ROUND(IF($F$331=0,0,H331/$F$331),5)</f>
        <v>0.317</v>
      </c>
      <c r="I817" s="354">
        <f>ROUND(IF($F$331=0,0,I331/$F$331),5)</f>
        <v>0.13481000000000001</v>
      </c>
      <c r="J817" s="354">
        <f>ROUND(IF($F$331=0,0,J331/$F$331),5)</f>
        <v>4.3029999999999999E-2</v>
      </c>
      <c r="K817" s="354">
        <f>SUM(G817:J817)</f>
        <v>1</v>
      </c>
      <c r="L817" s="348">
        <f>F817-K817</f>
        <v>0</v>
      </c>
      <c r="M817" s="195"/>
      <c r="N817" s="195"/>
      <c r="P817" s="749">
        <f>K817</f>
        <v>1</v>
      </c>
      <c r="Q817" s="195"/>
    </row>
    <row r="818" spans="1:17" ht="13">
      <c r="A818" s="342">
        <v>4</v>
      </c>
      <c r="B818" s="195"/>
      <c r="C818" s="581" t="s">
        <v>383</v>
      </c>
      <c r="D818" s="719" t="s">
        <v>1003</v>
      </c>
      <c r="E818" s="708" t="str">
        <f>'FR-16(7)(v)-1 Functional'!$E$818</f>
        <v>CW29</v>
      </c>
      <c r="F818" s="642">
        <v>0</v>
      </c>
      <c r="G818" s="354">
        <f>F818-SUM(H818:J818)</f>
        <v>0</v>
      </c>
      <c r="H818" s="643">
        <v>0</v>
      </c>
      <c r="I818" s="643">
        <v>0</v>
      </c>
      <c r="J818" s="643">
        <v>0</v>
      </c>
      <c r="K818" s="643">
        <v>0</v>
      </c>
      <c r="L818" s="348">
        <f>F818-K818</f>
        <v>0</v>
      </c>
      <c r="M818" s="195"/>
      <c r="N818" s="195"/>
      <c r="P818" s="749">
        <f>K818</f>
        <v>0</v>
      </c>
      <c r="Q818" s="195"/>
    </row>
    <row r="819" spans="1:17" ht="13">
      <c r="A819" s="342">
        <v>5</v>
      </c>
      <c r="B819" s="629"/>
      <c r="C819" s="366"/>
      <c r="D819" s="579"/>
      <c r="E819" s="743"/>
      <c r="F819" s="644"/>
      <c r="G819" s="631"/>
      <c r="H819" s="631"/>
      <c r="I819" s="631"/>
      <c r="J819" s="631"/>
      <c r="K819" s="631"/>
      <c r="L819" s="630"/>
      <c r="M819" s="366"/>
      <c r="N819" s="195"/>
      <c r="P819" s="747"/>
      <c r="Q819" s="366"/>
    </row>
    <row r="820" spans="1:17" ht="13">
      <c r="A820" s="342">
        <v>6</v>
      </c>
      <c r="B820" s="591" t="s">
        <v>1011</v>
      </c>
      <c r="C820" s="628"/>
      <c r="D820" s="713"/>
      <c r="E820" s="739"/>
      <c r="F820" s="645"/>
      <c r="G820" s="635"/>
      <c r="H820" s="635"/>
      <c r="I820" s="635"/>
      <c r="J820" s="635"/>
      <c r="K820" s="635"/>
      <c r="L820" s="635"/>
      <c r="M820" s="195"/>
      <c r="N820" s="195"/>
      <c r="P820" s="747"/>
      <c r="Q820" s="195"/>
    </row>
    <row r="821" spans="1:17" ht="13">
      <c r="A821" s="342">
        <v>7</v>
      </c>
      <c r="B821" s="195"/>
      <c r="C821" s="581" t="s">
        <v>1006</v>
      </c>
      <c r="D821" s="719" t="s">
        <v>1003</v>
      </c>
      <c r="E821" s="708" t="str">
        <f>'FR-16(7)(v)-1 Functional'!$E$821</f>
        <v>P349</v>
      </c>
      <c r="F821" s="1075">
        <v>0</v>
      </c>
      <c r="G821" s="1074">
        <f t="shared" ref="G821:G828" si="202">F821-SUM(H821:J821)</f>
        <v>0</v>
      </c>
      <c r="H821" s="1074">
        <f>ROUND(IF($F$350=0,0,H350/$F$350),5)</f>
        <v>0</v>
      </c>
      <c r="I821" s="1074">
        <f>ROUND(IF($F$350=0,0,I350/$F$350),5)</f>
        <v>0</v>
      </c>
      <c r="J821" s="1074">
        <f>ROUND(IF($F$350=0,0,J350/$F$350),5)</f>
        <v>0</v>
      </c>
      <c r="K821" s="1074">
        <f t="shared" ref="K821:K828" si="203">SUM(G821:J821)</f>
        <v>0</v>
      </c>
      <c r="L821" s="1074">
        <f t="shared" ref="L821:L828" si="204">F821-K821</f>
        <v>0</v>
      </c>
      <c r="M821" s="195"/>
      <c r="N821" s="195"/>
      <c r="P821" s="749">
        <f>K821</f>
        <v>0</v>
      </c>
      <c r="Q821" s="195"/>
    </row>
    <row r="822" spans="1:17" ht="13">
      <c r="A822" s="342">
        <v>8</v>
      </c>
      <c r="B822" s="195"/>
      <c r="C822" s="581" t="s">
        <v>264</v>
      </c>
      <c r="D822" s="719" t="s">
        <v>1003</v>
      </c>
      <c r="E822" s="708" t="str">
        <f>'FR-16(7)(v)-1 Functional'!$E$822</f>
        <v>P459</v>
      </c>
      <c r="F822" s="1075">
        <v>0</v>
      </c>
      <c r="G822" s="1074">
        <f t="shared" si="202"/>
        <v>0</v>
      </c>
      <c r="H822" s="1074">
        <f>ROUND(IF($F$360=0,0,H360/$F$360),5)</f>
        <v>0</v>
      </c>
      <c r="I822" s="1074">
        <f>ROUND(IF($F$360=0,0,I360/$F$360),5)</f>
        <v>0</v>
      </c>
      <c r="J822" s="1074">
        <f>ROUND(IF($F$360=0,0,J360/$F$360),5)</f>
        <v>0</v>
      </c>
      <c r="K822" s="1074">
        <f t="shared" si="203"/>
        <v>0</v>
      </c>
      <c r="L822" s="1074">
        <f t="shared" si="204"/>
        <v>0</v>
      </c>
      <c r="M822" s="195"/>
      <c r="N822" s="195"/>
      <c r="P822" s="749">
        <f>K822</f>
        <v>0</v>
      </c>
      <c r="Q822" s="195"/>
    </row>
    <row r="823" spans="1:17" ht="13">
      <c r="A823" s="342">
        <v>9</v>
      </c>
      <c r="B823" s="195"/>
      <c r="C823" s="581" t="s">
        <v>250</v>
      </c>
      <c r="D823" s="719" t="s">
        <v>1003</v>
      </c>
      <c r="E823" s="708" t="str">
        <f>'FR-16(7)(v)-1 Functional'!$E$823</f>
        <v>D349</v>
      </c>
      <c r="F823" s="642">
        <v>1</v>
      </c>
      <c r="G823" s="354">
        <f t="shared" si="202"/>
        <v>0.51455000000000006</v>
      </c>
      <c r="H823" s="354">
        <f>ROUND(IF($F$378=0,0,H378/$F$378),5)</f>
        <v>0.31245000000000001</v>
      </c>
      <c r="I823" s="354">
        <f>ROUND(IF($F$378=0,0,I378/$F$378),5)</f>
        <v>0.13256999999999999</v>
      </c>
      <c r="J823" s="354">
        <f>ROUND(IF($F$378=0,0,J378/$F$378),5)</f>
        <v>4.0430000000000001E-2</v>
      </c>
      <c r="K823" s="354">
        <f t="shared" si="203"/>
        <v>1</v>
      </c>
      <c r="L823" s="348">
        <f t="shared" si="204"/>
        <v>0</v>
      </c>
      <c r="M823" s="195"/>
      <c r="N823" s="195"/>
      <c r="P823" s="749">
        <f>K823</f>
        <v>1</v>
      </c>
      <c r="Q823" s="195"/>
    </row>
    <row r="824" spans="1:17" ht="13">
      <c r="A824" s="342">
        <v>10</v>
      </c>
      <c r="B824" s="195"/>
      <c r="C824" s="581" t="s">
        <v>251</v>
      </c>
      <c r="D824" s="719" t="s">
        <v>1003</v>
      </c>
      <c r="E824" s="708" t="str">
        <f>'FR-16(7)(v)-1 Functional'!$E$824</f>
        <v>CA19</v>
      </c>
      <c r="F824" s="642">
        <v>1</v>
      </c>
      <c r="G824" s="354">
        <f t="shared" si="202"/>
        <v>1</v>
      </c>
      <c r="H824" s="354">
        <f>ROUND(IF($F$389=0,0,H389/$F$389),5)</f>
        <v>0</v>
      </c>
      <c r="I824" s="354">
        <f>ROUND(IF($F$389=0,0,I389/$F$389),5)</f>
        <v>0</v>
      </c>
      <c r="J824" s="354">
        <f>ROUND(IF($F$389=0,0,J389/$F$389),5)</f>
        <v>0</v>
      </c>
      <c r="K824" s="354">
        <f t="shared" si="203"/>
        <v>1</v>
      </c>
      <c r="L824" s="348">
        <f t="shared" si="204"/>
        <v>0</v>
      </c>
      <c r="M824" s="195"/>
      <c r="N824" s="195"/>
      <c r="P824" s="749">
        <f>K824</f>
        <v>1</v>
      </c>
      <c r="Q824" s="195"/>
    </row>
    <row r="825" spans="1:17" ht="13">
      <c r="A825" s="342">
        <v>11</v>
      </c>
      <c r="B825" s="195"/>
      <c r="C825" s="581" t="s">
        <v>1009</v>
      </c>
      <c r="D825" s="719" t="s">
        <v>1003</v>
      </c>
      <c r="E825" s="708" t="str">
        <f>'FR-16(7)(v)-1 Functional'!$E$825</f>
        <v>CS19</v>
      </c>
      <c r="F825" s="642">
        <v>1</v>
      </c>
      <c r="G825" s="354">
        <f t="shared" si="202"/>
        <v>1</v>
      </c>
      <c r="H825" s="354">
        <f>ROUND(IF($F$403=0,0,H403/$F$403),5)</f>
        <v>0</v>
      </c>
      <c r="I825" s="354">
        <f>ROUND(IF($F$403=0,0,I403/$F$403),5)</f>
        <v>0</v>
      </c>
      <c r="J825" s="354">
        <f>ROUND(IF($F$403=0,0,J403/$F$403),5)</f>
        <v>0</v>
      </c>
      <c r="K825" s="354">
        <f t="shared" si="203"/>
        <v>1</v>
      </c>
      <c r="L825" s="348">
        <f t="shared" si="204"/>
        <v>0</v>
      </c>
      <c r="M825" s="195"/>
      <c r="N825" s="195"/>
      <c r="P825" s="749"/>
      <c r="Q825" s="195"/>
    </row>
    <row r="826" spans="1:17" ht="13">
      <c r="A826" s="342">
        <v>12</v>
      </c>
      <c r="B826" s="195"/>
      <c r="C826" s="581" t="s">
        <v>252</v>
      </c>
      <c r="D826" s="719" t="s">
        <v>1003</v>
      </c>
      <c r="E826" s="708" t="str">
        <f>'FR-16(7)(v)-1 Functional'!$E$826</f>
        <v>SE19</v>
      </c>
      <c r="F826" s="642">
        <v>1</v>
      </c>
      <c r="G826" s="354">
        <f t="shared" si="202"/>
        <v>1</v>
      </c>
      <c r="H826" s="354">
        <f>ROUND(IF($F$407=0,0,H407/$F$407),5)</f>
        <v>0</v>
      </c>
      <c r="I826" s="354">
        <f>ROUND(IF($F$407=0,0,I407/$F$407),5)</f>
        <v>0</v>
      </c>
      <c r="J826" s="354">
        <f>ROUND(IF($F$407=0,0,J407/$F$407),5)</f>
        <v>0</v>
      </c>
      <c r="K826" s="354">
        <f t="shared" si="203"/>
        <v>1</v>
      </c>
      <c r="L826" s="348">
        <f t="shared" si="204"/>
        <v>0</v>
      </c>
      <c r="M826" s="195"/>
      <c r="N826" s="195"/>
      <c r="P826" s="749">
        <f>K826</f>
        <v>1</v>
      </c>
      <c r="Q826" s="195"/>
    </row>
    <row r="827" spans="1:17" ht="13">
      <c r="A827" s="342">
        <v>13</v>
      </c>
      <c r="B827" s="195"/>
      <c r="C827" s="581" t="s">
        <v>253</v>
      </c>
      <c r="D827" s="719" t="s">
        <v>1003</v>
      </c>
      <c r="E827" s="708" t="str">
        <f>'FR-16(7)(v)-1 Functional'!$E$827</f>
        <v>AG39</v>
      </c>
      <c r="F827" s="642">
        <v>1</v>
      </c>
      <c r="G827" s="354">
        <f t="shared" si="202"/>
        <v>0.51455000000000006</v>
      </c>
      <c r="H827" s="354">
        <f>ROUND(IF($F$416=0,0,H416/$F$416),5)</f>
        <v>0.31245000000000001</v>
      </c>
      <c r="I827" s="354">
        <f>ROUND(IF($F$416=0,0,I416/$F$416),5)</f>
        <v>0.13256999999999999</v>
      </c>
      <c r="J827" s="354">
        <f>ROUND(IF($F$416=0,0,J416/$F$416),5)</f>
        <v>4.0430000000000001E-2</v>
      </c>
      <c r="K827" s="354">
        <f t="shared" si="203"/>
        <v>1</v>
      </c>
      <c r="L827" s="348">
        <f t="shared" si="204"/>
        <v>0</v>
      </c>
      <c r="M827" s="195"/>
      <c r="N827" s="195"/>
      <c r="P827" s="749">
        <f>K827</f>
        <v>1</v>
      </c>
      <c r="Q827" s="195"/>
    </row>
    <row r="828" spans="1:17" ht="13">
      <c r="A828" s="342">
        <v>14</v>
      </c>
      <c r="B828" s="195"/>
      <c r="C828" s="581" t="s">
        <v>254</v>
      </c>
      <c r="D828" s="719" t="s">
        <v>1003</v>
      </c>
      <c r="E828" s="708" t="str">
        <f>'FR-16(7)(v)-1 Functional'!$E$828</f>
        <v>OM39</v>
      </c>
      <c r="F828" s="642">
        <v>1</v>
      </c>
      <c r="G828" s="354">
        <f t="shared" si="202"/>
        <v>0.51455000000000006</v>
      </c>
      <c r="H828" s="354">
        <f>ROUND(IF($F$433=0,0,H433/$F$433),5)</f>
        <v>0.31245000000000001</v>
      </c>
      <c r="I828" s="354">
        <f>ROUND(IF($F$433=0,0,I433/$F$433),5)</f>
        <v>0.13256999999999999</v>
      </c>
      <c r="J828" s="354">
        <f>ROUND(IF($F$433=0,0,J433/$F$433),5)</f>
        <v>4.0430000000000001E-2</v>
      </c>
      <c r="K828" s="354">
        <f t="shared" si="203"/>
        <v>1</v>
      </c>
      <c r="L828" s="348">
        <f t="shared" si="204"/>
        <v>0</v>
      </c>
      <c r="M828" s="195"/>
      <c r="N828" s="195"/>
      <c r="P828" s="749">
        <f>K828</f>
        <v>1</v>
      </c>
      <c r="Q828" s="195"/>
    </row>
    <row r="829" spans="1:17" ht="13">
      <c r="A829" s="342">
        <v>15</v>
      </c>
      <c r="B829" s="195"/>
      <c r="C829" s="195"/>
      <c r="D829" s="342"/>
      <c r="E829" s="723"/>
      <c r="F829" s="642"/>
      <c r="G829" s="354"/>
      <c r="H829" s="354"/>
      <c r="I829" s="354"/>
      <c r="J829" s="354"/>
      <c r="K829" s="354"/>
      <c r="L829" s="348"/>
      <c r="M829" s="195"/>
      <c r="N829" s="195"/>
      <c r="P829" s="747"/>
      <c r="Q829" s="195"/>
    </row>
    <row r="830" spans="1:17" ht="13">
      <c r="A830" s="342">
        <v>16</v>
      </c>
      <c r="B830" s="581" t="s">
        <v>97</v>
      </c>
      <c r="C830" s="195"/>
      <c r="D830" s="342"/>
      <c r="E830" s="723"/>
      <c r="F830" s="642"/>
      <c r="G830" s="354"/>
      <c r="H830" s="354"/>
      <c r="I830" s="354"/>
      <c r="J830" s="354"/>
      <c r="K830" s="354"/>
      <c r="L830" s="348"/>
      <c r="M830" s="195"/>
      <c r="N830" s="195"/>
      <c r="P830" s="747"/>
      <c r="Q830" s="195"/>
    </row>
    <row r="831" spans="1:17" ht="13">
      <c r="A831" s="342">
        <v>17</v>
      </c>
      <c r="B831" s="195"/>
      <c r="C831" s="581" t="s">
        <v>255</v>
      </c>
      <c r="D831" s="719" t="s">
        <v>1003</v>
      </c>
      <c r="E831" s="708" t="str">
        <f>'FR-16(7)(v)-1 Functional'!$E$831</f>
        <v>P489</v>
      </c>
      <c r="F831" s="1075">
        <v>0</v>
      </c>
      <c r="G831" s="1074">
        <f>F831-SUM(H831:J831)</f>
        <v>0</v>
      </c>
      <c r="H831" s="1074">
        <f>ROUND(IF($F$447=0,0,H447/$F$447),5)</f>
        <v>0</v>
      </c>
      <c r="I831" s="1074">
        <f>ROUND(IF($F$447=0,0,I447/$F$447),5)</f>
        <v>0</v>
      </c>
      <c r="J831" s="1074">
        <f>ROUND(IF($F$447=0,0,J447/$F$447),5)</f>
        <v>0</v>
      </c>
      <c r="K831" s="1074">
        <f>SUM(G831:J831)</f>
        <v>0</v>
      </c>
      <c r="L831" s="1074">
        <f>F831-K831</f>
        <v>0</v>
      </c>
      <c r="M831" s="195"/>
      <c r="N831" s="195"/>
      <c r="P831" s="749">
        <f>K831</f>
        <v>0</v>
      </c>
      <c r="Q831" s="195"/>
    </row>
    <row r="832" spans="1:17" ht="13">
      <c r="A832" s="342">
        <v>18</v>
      </c>
      <c r="B832" s="195"/>
      <c r="C832" s="581" t="s">
        <v>256</v>
      </c>
      <c r="D832" s="719" t="s">
        <v>1003</v>
      </c>
      <c r="E832" s="708" t="str">
        <f>'FR-16(7)(v)-1 Functional'!$E$832</f>
        <v>D489</v>
      </c>
      <c r="F832" s="642">
        <v>1</v>
      </c>
      <c r="G832" s="354">
        <f>F832-SUM(H832:J832)</f>
        <v>0.50488999999999995</v>
      </c>
      <c r="H832" s="354">
        <f>ROUND(IF($F$454=0,0,H454/$F$454),5)</f>
        <v>0.31713000000000002</v>
      </c>
      <c r="I832" s="354">
        <f>ROUND(IF($F$454=0,0,I454/$F$454),5)</f>
        <v>0.13488</v>
      </c>
      <c r="J832" s="354">
        <f>ROUND(IF($F$454=0,0,J454/$F$454),5)</f>
        <v>4.3099999999999999E-2</v>
      </c>
      <c r="K832" s="354">
        <f>SUM(G832:J832)</f>
        <v>1</v>
      </c>
      <c r="L832" s="348">
        <f>F832-K832</f>
        <v>0</v>
      </c>
      <c r="M832" s="195"/>
      <c r="N832" s="195"/>
      <c r="P832" s="749">
        <f>K832</f>
        <v>1</v>
      </c>
      <c r="Q832" s="195"/>
    </row>
    <row r="833" spans="1:17" ht="13">
      <c r="A833" s="342">
        <v>19</v>
      </c>
      <c r="B833" s="195"/>
      <c r="C833" s="581" t="s">
        <v>257</v>
      </c>
      <c r="D833" s="719" t="s">
        <v>1003</v>
      </c>
      <c r="E833" s="708" t="str">
        <f>'FR-16(7)(v)-1 Functional'!$E$833</f>
        <v>G489</v>
      </c>
      <c r="F833" s="642">
        <v>1</v>
      </c>
      <c r="G833" s="354">
        <f>F833-SUM(H833:J833)</f>
        <v>0.51455000000000006</v>
      </c>
      <c r="H833" s="354">
        <f>ROUND(IF($F$458=0,0,H458/$F$458),5)</f>
        <v>0.31245000000000001</v>
      </c>
      <c r="I833" s="354">
        <f>ROUND(IF($F$458=0,0,I458/$F$458),5)</f>
        <v>0.13256999999999999</v>
      </c>
      <c r="J833" s="354">
        <f>ROUND(IF($F$458=0,0,J458/$F$458),5)</f>
        <v>4.0430000000000001E-2</v>
      </c>
      <c r="K833" s="354">
        <f>SUM(G833:J833)</f>
        <v>1</v>
      </c>
      <c r="L833" s="348">
        <f>F833-K833</f>
        <v>0</v>
      </c>
      <c r="M833" s="195"/>
      <c r="N833" s="195"/>
      <c r="P833" s="749">
        <f>K833</f>
        <v>1</v>
      </c>
      <c r="Q833" s="195"/>
    </row>
    <row r="834" spans="1:17" ht="13">
      <c r="A834" s="342">
        <v>20</v>
      </c>
      <c r="B834" s="195"/>
      <c r="C834" s="581" t="s">
        <v>258</v>
      </c>
      <c r="D834" s="719" t="s">
        <v>1003</v>
      </c>
      <c r="E834" s="708" t="str">
        <f>'FR-16(7)(v)-1 Functional'!$E$834</f>
        <v>C489</v>
      </c>
      <c r="F834" s="642">
        <v>1</v>
      </c>
      <c r="G834" s="354">
        <f>F834-SUM(H834:J834)</f>
        <v>0.51455000000000006</v>
      </c>
      <c r="H834" s="354">
        <f>ROUND(IF($F$462=0,0,H462/$F$462),5)</f>
        <v>0.31242999999999999</v>
      </c>
      <c r="I834" s="354">
        <f>ROUND(IF($F$462=0,0,I462/$F$462),5)</f>
        <v>0.13256999999999999</v>
      </c>
      <c r="J834" s="354">
        <f>ROUND(IF($F$462=0,0,J462/$F$462),5)</f>
        <v>4.045E-2</v>
      </c>
      <c r="K834" s="354">
        <f>SUM(G834:J834)</f>
        <v>1</v>
      </c>
      <c r="L834" s="348">
        <f>F834-K834</f>
        <v>0</v>
      </c>
      <c r="M834" s="195"/>
      <c r="N834" s="195"/>
      <c r="P834" s="749">
        <f>K834</f>
        <v>1</v>
      </c>
      <c r="Q834" s="195"/>
    </row>
    <row r="835" spans="1:17" ht="13">
      <c r="A835" s="342">
        <v>21</v>
      </c>
      <c r="B835" s="195"/>
      <c r="C835" s="581" t="s">
        <v>259</v>
      </c>
      <c r="D835" s="719" t="s">
        <v>1003</v>
      </c>
      <c r="E835" s="708" t="str">
        <f>'FR-16(7)(v)-1 Functional'!$E$835</f>
        <v>DE49</v>
      </c>
      <c r="F835" s="642">
        <v>1</v>
      </c>
      <c r="G835" s="354">
        <f>F835-SUM(H835:J835)</f>
        <v>0.50629999999999997</v>
      </c>
      <c r="H835" s="354">
        <f>ROUND(IF($F$465=0,0,H465/$F$465),5)</f>
        <v>0.31645000000000001</v>
      </c>
      <c r="I835" s="354">
        <f>ROUND(IF($F$465=0,0,I465/$F$465),5)</f>
        <v>0.13453999999999999</v>
      </c>
      <c r="J835" s="354">
        <f>ROUND(IF($F$465=0,0,J465/$F$465),5)</f>
        <v>4.2709999999999998E-2</v>
      </c>
      <c r="K835" s="354">
        <f>SUM(G835:J835)</f>
        <v>1</v>
      </c>
      <c r="L835" s="348">
        <f>F835-K835</f>
        <v>0</v>
      </c>
      <c r="M835" s="195"/>
      <c r="N835" s="195"/>
      <c r="P835" s="749">
        <f>K835</f>
        <v>1</v>
      </c>
      <c r="Q835" s="195"/>
    </row>
    <row r="836" spans="1:17" ht="13">
      <c r="A836" s="342">
        <v>22</v>
      </c>
      <c r="B836" s="195"/>
      <c r="C836" s="195"/>
      <c r="D836" s="342"/>
      <c r="E836" s="723"/>
      <c r="F836" s="646"/>
      <c r="G836" s="351"/>
      <c r="H836" s="351"/>
      <c r="J836" s="351"/>
      <c r="K836" s="351"/>
      <c r="M836" s="195"/>
      <c r="N836" s="195"/>
      <c r="P836" s="747"/>
      <c r="Q836" s="195"/>
    </row>
    <row r="837" spans="1:17" ht="13">
      <c r="A837" s="342">
        <v>23</v>
      </c>
      <c r="B837" s="581" t="s">
        <v>62</v>
      </c>
      <c r="C837" s="195"/>
      <c r="D837" s="342"/>
      <c r="E837" s="723"/>
      <c r="F837" s="487"/>
      <c r="G837" s="351"/>
      <c r="H837" s="351"/>
      <c r="J837" s="351"/>
      <c r="K837" s="347"/>
      <c r="L837" s="345"/>
      <c r="M837" s="195"/>
      <c r="N837" s="195"/>
      <c r="P837" s="747"/>
      <c r="Q837" s="195"/>
    </row>
    <row r="838" spans="1:17" ht="13">
      <c r="A838" s="342">
        <v>24</v>
      </c>
      <c r="B838" s="195"/>
      <c r="C838" s="581" t="s">
        <v>260</v>
      </c>
      <c r="D838" s="719" t="s">
        <v>1003</v>
      </c>
      <c r="E838" s="708" t="str">
        <f>'FR-16(7)(v)-1 Functional'!$E$838</f>
        <v>L529</v>
      </c>
      <c r="F838" s="642">
        <v>1</v>
      </c>
      <c r="G838" s="354">
        <f>F838-SUM(H838:J838)</f>
        <v>0.50512999999999997</v>
      </c>
      <c r="H838" s="354">
        <f>ROUND(IF($F$481=0,0,$H$481/$F$481),5)</f>
        <v>0.31701000000000001</v>
      </c>
      <c r="I838" s="354">
        <f>ROUND(IF($F$481=0,0,$I$481/$F$481),5)</f>
        <v>0.13482</v>
      </c>
      <c r="J838" s="354">
        <f>ROUND(IF($F$481=0,0,$J$481/$F$481),5)</f>
        <v>4.3040000000000002E-2</v>
      </c>
      <c r="K838" s="354">
        <f>SUM(G838:J838)</f>
        <v>1</v>
      </c>
      <c r="L838" s="348">
        <f>F838-K838</f>
        <v>0</v>
      </c>
      <c r="M838" s="195"/>
      <c r="N838" s="195"/>
      <c r="P838" s="749">
        <f>K838</f>
        <v>1</v>
      </c>
      <c r="Q838" s="195"/>
    </row>
    <row r="839" spans="1:17" ht="13">
      <c r="A839" s="342">
        <v>25</v>
      </c>
      <c r="B839" s="195"/>
      <c r="C839" s="581" t="s">
        <v>261</v>
      </c>
      <c r="D839" s="719" t="s">
        <v>1003</v>
      </c>
      <c r="E839" s="708" t="str">
        <f>'FR-16(7)(v)-1 Functional'!$E$839</f>
        <v>L589</v>
      </c>
      <c r="F839" s="642">
        <v>1</v>
      </c>
      <c r="G839" s="354">
        <f>F839-SUM(H839:J839)</f>
        <v>0.51455000000000006</v>
      </c>
      <c r="H839" s="354">
        <f>ROUND(IF($F$488=0,0,$H$488/$F$488),5)</f>
        <v>0.31245000000000001</v>
      </c>
      <c r="I839" s="354">
        <f>ROUND(IF($F$488=0,0,$I$488/$F$488),5)</f>
        <v>0.13256999999999999</v>
      </c>
      <c r="J839" s="354">
        <f>ROUND(IF($F$488=0,0,$J$488/$F$488),5)</f>
        <v>4.0430000000000001E-2</v>
      </c>
      <c r="K839" s="354">
        <f>SUM(G839:J839)</f>
        <v>1</v>
      </c>
      <c r="L839" s="348">
        <f>F839-K839</f>
        <v>0</v>
      </c>
      <c r="M839" s="195"/>
      <c r="N839" s="195"/>
      <c r="P839" s="749">
        <f>K839</f>
        <v>1</v>
      </c>
      <c r="Q839" s="195"/>
    </row>
    <row r="840" spans="1:17" ht="13">
      <c r="A840" s="342">
        <v>26</v>
      </c>
      <c r="B840" s="195"/>
      <c r="C840" s="581" t="s">
        <v>262</v>
      </c>
      <c r="D840" s="719" t="s">
        <v>1003</v>
      </c>
      <c r="E840" s="708" t="str">
        <f>'FR-16(7)(v)-1 Functional'!$E$840</f>
        <v>L599</v>
      </c>
      <c r="F840" s="642">
        <v>1</v>
      </c>
      <c r="G840" s="354">
        <f>F840-SUM(H840:J840)</f>
        <v>0.50613999999999992</v>
      </c>
      <c r="H840" s="354">
        <f>ROUND(IF($F$500=0,0,$H$500/$F$500),5)</f>
        <v>0.31652000000000002</v>
      </c>
      <c r="I840" s="354">
        <f>ROUND(IF($F$500=0,0,$I$500/$F$500),5)</f>
        <v>0.13458000000000001</v>
      </c>
      <c r="J840" s="354">
        <f>ROUND(IF($F$500=0,0,$J$500/$F$500),5)</f>
        <v>4.2759999999999999E-2</v>
      </c>
      <c r="K840" s="354">
        <f>SUM(G840:J840)</f>
        <v>1</v>
      </c>
      <c r="L840" s="348">
        <f>F840-K840</f>
        <v>0</v>
      </c>
      <c r="M840" s="195"/>
      <c r="N840" s="195"/>
      <c r="P840" s="749">
        <f>K840</f>
        <v>1</v>
      </c>
      <c r="Q840" s="195"/>
    </row>
    <row r="841" spans="1:17" ht="13">
      <c r="A841" s="342">
        <v>27</v>
      </c>
      <c r="B841" s="195"/>
      <c r="C841" s="581" t="s">
        <v>263</v>
      </c>
      <c r="D841" s="719" t="s">
        <v>1003</v>
      </c>
      <c r="E841" s="708" t="str">
        <f>'FR-16(7)(v)-1 Functional'!$E$841</f>
        <v>OP69</v>
      </c>
      <c r="F841" s="642">
        <v>1</v>
      </c>
      <c r="G841" s="354">
        <f>F841-SUM(H841:J841)</f>
        <v>0.50970000000000004</v>
      </c>
      <c r="H841" s="354">
        <f>ROUND(IF($F$501=0,0,$H$501/$F$501),5)</f>
        <v>0.31480000000000002</v>
      </c>
      <c r="I841" s="354">
        <f>ROUND(IF($F$501=0,0,$I$501/$F$501),5)</f>
        <v>0.13372999999999999</v>
      </c>
      <c r="J841" s="354">
        <f>ROUND(IF($F$501=0,0,$J$501/$F$501),5)</f>
        <v>4.1770000000000002E-2</v>
      </c>
      <c r="K841" s="354">
        <f>SUM(G841:J841)</f>
        <v>1</v>
      </c>
      <c r="L841" s="348">
        <f>F841-K841</f>
        <v>0</v>
      </c>
      <c r="M841" s="195"/>
      <c r="N841" s="195"/>
      <c r="P841" s="749">
        <f>K841</f>
        <v>1</v>
      </c>
      <c r="Q841" s="195"/>
    </row>
    <row r="842" spans="1:17" ht="13">
      <c r="A842" s="342">
        <v>28</v>
      </c>
      <c r="B842" s="195"/>
      <c r="C842" s="195"/>
      <c r="D842" s="342"/>
      <c r="E842" s="723"/>
      <c r="F842" s="642"/>
      <c r="G842" s="354"/>
      <c r="H842" s="354"/>
      <c r="I842" s="354"/>
      <c r="J842" s="354"/>
      <c r="K842" s="354"/>
      <c r="L842" s="348"/>
      <c r="M842" s="195"/>
      <c r="N842" s="195"/>
      <c r="P842" s="747"/>
      <c r="Q842" s="195"/>
    </row>
    <row r="843" spans="1:17" ht="13">
      <c r="A843" s="342">
        <v>29</v>
      </c>
      <c r="B843" s="581" t="s">
        <v>1157</v>
      </c>
      <c r="C843" s="195"/>
      <c r="D843" s="342"/>
      <c r="E843" s="723"/>
      <c r="F843" s="642"/>
      <c r="G843" s="354"/>
      <c r="H843" s="354"/>
      <c r="I843" s="354"/>
      <c r="J843" s="354"/>
      <c r="K843" s="354"/>
      <c r="L843" s="348"/>
      <c r="M843" s="195"/>
      <c r="N843" s="195"/>
      <c r="P843" s="747"/>
      <c r="Q843" s="195"/>
    </row>
    <row r="844" spans="1:17" ht="13.5" thickBot="1">
      <c r="A844" s="342">
        <v>30</v>
      </c>
      <c r="B844" s="195"/>
      <c r="C844" s="581" t="s">
        <v>1031</v>
      </c>
      <c r="D844" s="719" t="s">
        <v>1003</v>
      </c>
      <c r="E844" s="708" t="str">
        <f>'FR-16(7)(v)-1 Functional'!$E$844</f>
        <v>CS09</v>
      </c>
      <c r="F844" s="642">
        <v>1</v>
      </c>
      <c r="G844" s="354">
        <f>F844-SUM(H844:J844)</f>
        <v>0.50739999999999996</v>
      </c>
      <c r="H844" s="354">
        <f>ROUND(IF($F$647=0,0,H647/$F$647),5)</f>
        <v>0.31591000000000002</v>
      </c>
      <c r="I844" s="354">
        <f>ROUND(IF($F$647=0,0,I647/$F$647),5)</f>
        <v>0.13428000000000001</v>
      </c>
      <c r="J844" s="354">
        <f>ROUND(IF($F$647=0,0,J647/$F$647),5)</f>
        <v>4.2410000000000003E-2</v>
      </c>
      <c r="K844" s="354">
        <f>SUM(G844:J844)</f>
        <v>1</v>
      </c>
      <c r="L844" s="348">
        <f>F844-K844</f>
        <v>0</v>
      </c>
      <c r="M844" s="195"/>
      <c r="N844" s="195"/>
      <c r="P844" s="754">
        <f>K844</f>
        <v>1</v>
      </c>
      <c r="Q844" s="195"/>
    </row>
    <row r="845" spans="1:17" ht="13">
      <c r="H845" s="351"/>
      <c r="J845" s="351"/>
      <c r="K845" s="351"/>
      <c r="N845" s="195"/>
    </row>
    <row r="846" spans="1:17" ht="13">
      <c r="A846" s="195"/>
      <c r="B846" s="195"/>
      <c r="C846" s="195"/>
      <c r="D846" s="342"/>
      <c r="F846" s="636"/>
      <c r="G846" s="636"/>
      <c r="H846" s="637"/>
      <c r="I846" s="637"/>
      <c r="J846" s="637"/>
      <c r="K846" s="637"/>
      <c r="L846" s="636"/>
      <c r="M846" s="195"/>
      <c r="N846" s="195"/>
      <c r="O846" s="195"/>
      <c r="P846" s="195"/>
      <c r="Q846" s="195"/>
    </row>
    <row r="847" spans="1:17">
      <c r="H847" s="351"/>
      <c r="J847" s="351"/>
      <c r="K847" s="351"/>
    </row>
    <row r="848" spans="1:17" ht="13">
      <c r="A848" s="342">
        <v>1</v>
      </c>
      <c r="B848" s="611" t="s">
        <v>91</v>
      </c>
      <c r="C848" s="612"/>
      <c r="D848" s="721"/>
      <c r="E848" s="714"/>
      <c r="F848" s="348"/>
      <c r="G848" s="345"/>
      <c r="H848" s="347"/>
      <c r="I848" s="347"/>
      <c r="J848" s="347"/>
      <c r="K848" s="354"/>
      <c r="L848" s="348"/>
    </row>
    <row r="849" spans="1:12" ht="13">
      <c r="A849" s="342">
        <v>2</v>
      </c>
      <c r="B849" s="613"/>
      <c r="C849" s="614" t="s">
        <v>227</v>
      </c>
      <c r="D849" s="722"/>
      <c r="E849" s="708" t="str">
        <f>'FR-16(7)(v)-1 Functional'!$E$849</f>
        <v>K597</v>
      </c>
      <c r="F849" s="471">
        <f>ROUND(0.06889*0,0)</f>
        <v>0</v>
      </c>
      <c r="G849" s="609">
        <f t="shared" ref="G849:G854" si="205">F849-SUM(H849:J849)</f>
        <v>0</v>
      </c>
      <c r="H849" s="609">
        <f>ROUND($F$849*VLOOKUP($E$849,ALLOCTABLE_DISTR_DEMAND,$H$10,FALSE),0)</f>
        <v>0</v>
      </c>
      <c r="I849" s="609">
        <f t="shared" ref="I849:I854" si="206">ROUND(F849*VLOOKUP(E849,ALLOCTABLE_DISTR_DEMAND,$I$10,FALSE),0)</f>
        <v>0</v>
      </c>
      <c r="J849" s="609">
        <f>ROUND($F$849*VLOOKUP($E$849,ALLOCTABLE_DISTR_DEMAND,$J$10,FALSE),0)</f>
        <v>0</v>
      </c>
      <c r="K849" s="347">
        <f t="shared" ref="K849:K854" si="207">SUM(G849:J849)</f>
        <v>0</v>
      </c>
      <c r="L849" s="345">
        <f t="shared" ref="L849:L854" si="208">F849-K849</f>
        <v>0</v>
      </c>
    </row>
    <row r="850" spans="1:12" ht="13">
      <c r="A850" s="342">
        <v>3</v>
      </c>
      <c r="B850" s="612"/>
      <c r="C850" s="291" t="s">
        <v>228</v>
      </c>
      <c r="D850" s="716"/>
      <c r="E850" s="708" t="str">
        <f>'FR-16(7)(v)-1 Functional'!$E$850</f>
        <v>AG39</v>
      </c>
      <c r="F850" s="488">
        <v>0</v>
      </c>
      <c r="G850" s="609">
        <f t="shared" si="205"/>
        <v>0</v>
      </c>
      <c r="H850" s="609">
        <f>ROUND($F$850*VLOOKUP($E$850,ALLOCTABLE_DISTR_DEMAND,$H$10,FALSE),0)</f>
        <v>0</v>
      </c>
      <c r="I850" s="609">
        <f t="shared" si="206"/>
        <v>0</v>
      </c>
      <c r="J850" s="609">
        <f>ROUND($F$850*VLOOKUP($E$850,ALLOCTABLE_DISTR_DEMAND,$J$10,FALSE),0)</f>
        <v>0</v>
      </c>
      <c r="K850" s="347">
        <f t="shared" si="207"/>
        <v>0</v>
      </c>
      <c r="L850" s="345">
        <f t="shared" si="208"/>
        <v>0</v>
      </c>
    </row>
    <row r="851" spans="1:12" ht="13">
      <c r="A851" s="342">
        <v>4</v>
      </c>
      <c r="B851" s="612"/>
      <c r="C851" s="291" t="s">
        <v>427</v>
      </c>
      <c r="D851" s="716"/>
      <c r="E851" s="708" t="str">
        <f>'FR-16(7)(v)-1 Functional'!$E$851</f>
        <v>AG39</v>
      </c>
      <c r="F851" s="488">
        <v>0</v>
      </c>
      <c r="G851" s="609">
        <f t="shared" si="205"/>
        <v>0</v>
      </c>
      <c r="H851" s="609">
        <f>ROUND($F$851*VLOOKUP($E$851,ALLOCTABLE_DISTR_DEMAND,$H$10,FALSE),0)</f>
        <v>0</v>
      </c>
      <c r="I851" s="609">
        <f t="shared" si="206"/>
        <v>0</v>
      </c>
      <c r="J851" s="609">
        <f>ROUND($F$851*VLOOKUP($E$851,ALLOCTABLE_DISTR_DEMAND,$J$10,FALSE),0)</f>
        <v>0</v>
      </c>
      <c r="K851" s="347">
        <f t="shared" si="207"/>
        <v>0</v>
      </c>
      <c r="L851" s="345">
        <f t="shared" si="208"/>
        <v>0</v>
      </c>
    </row>
    <row r="852" spans="1:12" ht="13">
      <c r="A852" s="342">
        <v>5</v>
      </c>
      <c r="B852" s="612"/>
      <c r="C852" s="291" t="s">
        <v>422</v>
      </c>
      <c r="D852" s="716" t="s">
        <v>343</v>
      </c>
      <c r="E852" s="708" t="str">
        <f>'FR-16(7)(v)-1 Functional'!$E$852</f>
        <v>K301</v>
      </c>
      <c r="F852" s="488">
        <v>0</v>
      </c>
      <c r="G852" s="609">
        <f t="shared" si="205"/>
        <v>0</v>
      </c>
      <c r="H852" s="609">
        <f>ROUND($F$852*VLOOKUP($E$852,ALLOCTABLE_DISTR_DEMAND,$H$10,FALSE),0)</f>
        <v>0</v>
      </c>
      <c r="I852" s="609">
        <f t="shared" si="206"/>
        <v>0</v>
      </c>
      <c r="J852" s="609">
        <f>ROUND($F$852*VLOOKUP($E$852,ALLOCTABLE_DISTR_DEMAND,$J$10,FALSE),0)</f>
        <v>0</v>
      </c>
      <c r="K852" s="347">
        <f t="shared" si="207"/>
        <v>0</v>
      </c>
      <c r="L852" s="345">
        <f t="shared" si="208"/>
        <v>0</v>
      </c>
    </row>
    <row r="853" spans="1:12" ht="13">
      <c r="A853" s="342">
        <v>6</v>
      </c>
      <c r="B853" s="612"/>
      <c r="C853" s="291" t="s">
        <v>408</v>
      </c>
      <c r="D853" s="716"/>
      <c r="E853" s="708" t="str">
        <f>'FR-16(7)(v)-1 Functional'!$E$853</f>
        <v>K415</v>
      </c>
      <c r="F853" s="488">
        <v>0</v>
      </c>
      <c r="G853" s="609">
        <f t="shared" si="205"/>
        <v>0</v>
      </c>
      <c r="H853" s="609">
        <f>ROUND($F$853*VLOOKUP($E$853,ALLOCTABLE_DISTR_DEMAND,$H$10,FALSE),0)</f>
        <v>0</v>
      </c>
      <c r="I853" s="609">
        <f t="shared" si="206"/>
        <v>0</v>
      </c>
      <c r="J853" s="609">
        <f>ROUND($F$853*VLOOKUP($E$853,ALLOCTABLE_DISTR_DEMAND,$J$10,FALSE),0)</f>
        <v>0</v>
      </c>
      <c r="K853" s="347">
        <f t="shared" si="207"/>
        <v>0</v>
      </c>
      <c r="L853" s="345">
        <f t="shared" si="208"/>
        <v>0</v>
      </c>
    </row>
    <row r="854" spans="1:12" ht="13">
      <c r="A854" s="342">
        <v>7</v>
      </c>
      <c r="B854" s="612"/>
      <c r="C854" s="291" t="s">
        <v>423</v>
      </c>
      <c r="D854" s="716" t="s">
        <v>343</v>
      </c>
      <c r="E854" s="708" t="str">
        <f>'FR-16(7)(v)-1 Functional'!$E$854</f>
        <v>NP29</v>
      </c>
      <c r="F854" s="488">
        <v>0</v>
      </c>
      <c r="G854" s="609">
        <f t="shared" si="205"/>
        <v>0</v>
      </c>
      <c r="H854" s="609">
        <f>ROUND($F$854*VLOOKUP($E$854,ALLOCTABLE_DISTR_DEMAND,$H$10,FALSE),0)</f>
        <v>0</v>
      </c>
      <c r="I854" s="609">
        <f t="shared" si="206"/>
        <v>0</v>
      </c>
      <c r="J854" s="609">
        <f>ROUND($F$854*VLOOKUP($E$854,ALLOCTABLE_DISTR_DEMAND,$J$10,FALSE),0)</f>
        <v>0</v>
      </c>
      <c r="K854" s="347">
        <f t="shared" si="207"/>
        <v>0</v>
      </c>
      <c r="L854" s="345">
        <f t="shared" si="208"/>
        <v>0</v>
      </c>
    </row>
    <row r="855" spans="1:12" ht="13">
      <c r="A855" s="342">
        <v>8</v>
      </c>
      <c r="C855" s="482" t="s">
        <v>229</v>
      </c>
      <c r="D855" s="583" t="s">
        <v>285</v>
      </c>
      <c r="E855" s="331"/>
      <c r="F855" s="346">
        <f t="shared" ref="F855:L855" si="209">SUM(F848:F854)</f>
        <v>0</v>
      </c>
      <c r="G855" s="346">
        <f t="shared" si="209"/>
        <v>0</v>
      </c>
      <c r="H855" s="346">
        <f t="shared" si="209"/>
        <v>0</v>
      </c>
      <c r="I855" s="346">
        <f t="shared" si="209"/>
        <v>0</v>
      </c>
      <c r="J855" s="346">
        <f t="shared" si="209"/>
        <v>0</v>
      </c>
      <c r="K855" s="346">
        <f t="shared" si="209"/>
        <v>0</v>
      </c>
      <c r="L855" s="346">
        <f t="shared" si="209"/>
        <v>0</v>
      </c>
    </row>
    <row r="861" spans="1:12" ht="20">
      <c r="A861" s="1184" t="s">
        <v>1193</v>
      </c>
    </row>
    <row r="862" spans="1:12" ht="13">
      <c r="F862" s="342" t="s">
        <v>229</v>
      </c>
    </row>
    <row r="863" spans="1:12" ht="13">
      <c r="A863" s="342" t="s">
        <v>907</v>
      </c>
      <c r="B863" s="195"/>
      <c r="C863" s="195"/>
      <c r="D863" s="342"/>
      <c r="E863" s="195"/>
      <c r="F863" s="342" t="str">
        <f>$F$8</f>
        <v>DISTRIBUTION</v>
      </c>
      <c r="G863" s="342" t="s">
        <v>417</v>
      </c>
      <c r="H863" s="342" t="s">
        <v>857</v>
      </c>
      <c r="I863" s="342" t="s">
        <v>858</v>
      </c>
      <c r="J863" s="342" t="s">
        <v>546</v>
      </c>
      <c r="K863" s="342" t="s">
        <v>229</v>
      </c>
      <c r="L863" s="342" t="s">
        <v>342</v>
      </c>
    </row>
    <row r="864" spans="1:12" ht="13">
      <c r="A864" s="344" t="s">
        <v>908</v>
      </c>
      <c r="B864" s="343" t="s">
        <v>99</v>
      </c>
      <c r="C864" s="343"/>
      <c r="D864" s="344" t="s">
        <v>337</v>
      </c>
      <c r="E864" s="343"/>
      <c r="F864" s="342" t="str">
        <f>$F$9</f>
        <v>DEMAND</v>
      </c>
      <c r="G864" s="344" t="s">
        <v>338</v>
      </c>
      <c r="H864" s="344" t="s">
        <v>404</v>
      </c>
      <c r="I864" s="344" t="s">
        <v>404</v>
      </c>
      <c r="J864" s="344" t="s">
        <v>547</v>
      </c>
      <c r="K864" s="344" t="s">
        <v>341</v>
      </c>
      <c r="L864" s="344" t="s">
        <v>340</v>
      </c>
    </row>
    <row r="865" spans="1:12" ht="13">
      <c r="B865" s="195"/>
      <c r="C865" s="572" t="s">
        <v>4</v>
      </c>
      <c r="D865" s="342"/>
      <c r="E865" s="195"/>
      <c r="F865" s="755"/>
      <c r="G865" s="627">
        <f>$G$10</f>
        <v>3</v>
      </c>
      <c r="H865" s="627">
        <f>$H$10</f>
        <v>4</v>
      </c>
      <c r="I865" s="627">
        <f>$I$10</f>
        <v>5</v>
      </c>
      <c r="J865" s="627">
        <f>$J$10</f>
        <v>6</v>
      </c>
    </row>
    <row r="866" spans="1:12" ht="13">
      <c r="A866" s="331">
        <v>1</v>
      </c>
      <c r="B866" s="330" t="s">
        <v>100</v>
      </c>
      <c r="D866" s="342"/>
      <c r="E866" s="195"/>
      <c r="I866" s="330"/>
    </row>
    <row r="867" spans="1:12" ht="13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L867" si="210">F647</f>
        <v>46523909</v>
      </c>
      <c r="G867" s="345">
        <f t="shared" si="210"/>
        <v>23606553</v>
      </c>
      <c r="H867" s="345">
        <f t="shared" si="210"/>
        <v>14697357</v>
      </c>
      <c r="I867" s="345">
        <f t="shared" si="210"/>
        <v>6247090</v>
      </c>
      <c r="J867" s="345">
        <f t="shared" si="210"/>
        <v>1972908</v>
      </c>
      <c r="K867" s="345">
        <f t="shared" si="210"/>
        <v>46523908</v>
      </c>
      <c r="L867" s="345">
        <f t="shared" si="210"/>
        <v>-1</v>
      </c>
    </row>
    <row r="868" spans="1:12" ht="13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119630</v>
      </c>
      <c r="G868" s="345">
        <f>$G$630</f>
        <v>61556</v>
      </c>
      <c r="H868" s="345">
        <f>$H$630</f>
        <v>37378</v>
      </c>
      <c r="I868" s="345">
        <f>$I$630</f>
        <v>15859</v>
      </c>
      <c r="J868" s="345">
        <f>$J$630</f>
        <v>4837</v>
      </c>
      <c r="K868" s="345">
        <f>$K$630</f>
        <v>119630</v>
      </c>
      <c r="L868" s="345">
        <f>$L$630</f>
        <v>0</v>
      </c>
    </row>
    <row r="869" spans="1:12" ht="13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L869" si="211">SUM(F866:F868)</f>
        <v>46643539</v>
      </c>
      <c r="G869" s="346">
        <f t="shared" si="211"/>
        <v>23668109</v>
      </c>
      <c r="H869" s="346">
        <f t="shared" si="211"/>
        <v>14734735</v>
      </c>
      <c r="I869" s="346">
        <f t="shared" si="211"/>
        <v>6262949</v>
      </c>
      <c r="J869" s="346">
        <f t="shared" si="211"/>
        <v>1977745</v>
      </c>
      <c r="K869" s="346">
        <f t="shared" si="211"/>
        <v>46643538</v>
      </c>
      <c r="L869" s="346">
        <f t="shared" si="211"/>
        <v>-1</v>
      </c>
    </row>
    <row r="870" spans="1:12" ht="13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-23675450</v>
      </c>
      <c r="G870" s="345">
        <f>-$G$501</f>
        <v>-12067376</v>
      </c>
      <c r="H870" s="345">
        <f>-$H$501</f>
        <v>-7453033</v>
      </c>
      <c r="I870" s="345">
        <f>-$I$501</f>
        <v>-3166093</v>
      </c>
      <c r="J870" s="345">
        <f>-$J$501</f>
        <v>-988948</v>
      </c>
      <c r="K870" s="506">
        <f>-$K$501</f>
        <v>-23675450</v>
      </c>
      <c r="L870" s="345">
        <f>-$L$501</f>
        <v>0</v>
      </c>
    </row>
    <row r="871" spans="1:12" ht="13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>-ROUND(F694*F867,0)</f>
        <v>0</v>
      </c>
      <c r="G871" s="345">
        <f>-ROUND(G694*G867,0)</f>
        <v>0</v>
      </c>
      <c r="H871" s="345">
        <f>-ROUND(H694*H867,0)</f>
        <v>0</v>
      </c>
      <c r="I871" s="345">
        <f>-ROUND(I694*I867,0)</f>
        <v>0</v>
      </c>
      <c r="J871" s="345">
        <f>-ROUND(J694*J867,0)</f>
        <v>0</v>
      </c>
      <c r="K871" s="504">
        <f>SUM(G871:J871)</f>
        <v>0</v>
      </c>
      <c r="L871" s="345">
        <f>-ROUND('FR-16(7)(v)-1 Functional'!K694*L867,0)</f>
        <v>0</v>
      </c>
    </row>
    <row r="872" spans="1:12" ht="13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>SUM(F869:F871)</f>
        <v>22968089</v>
      </c>
      <c r="G872" s="346">
        <f>SUM(G869:G871)</f>
        <v>11600733</v>
      </c>
      <c r="H872" s="346">
        <f>SUM(H869:H871)</f>
        <v>7281702</v>
      </c>
      <c r="I872" s="346">
        <f>SUM(I869:I871)</f>
        <v>3096856</v>
      </c>
      <c r="J872" s="346">
        <f>SUM(J869:J871)</f>
        <v>988797</v>
      </c>
      <c r="K872" s="346">
        <f>SUM(G872:J872)</f>
        <v>22968088</v>
      </c>
      <c r="L872" s="346">
        <f>SUM(L869:L871)</f>
        <v>-1</v>
      </c>
    </row>
    <row r="873" spans="1:12" ht="13">
      <c r="A873" s="331">
        <v>8</v>
      </c>
      <c r="D873" s="342"/>
      <c r="E873" s="195"/>
      <c r="I873" s="330"/>
    </row>
    <row r="874" spans="1:12" ht="13">
      <c r="A874" s="331">
        <v>9</v>
      </c>
      <c r="B874" s="330" t="s">
        <v>101</v>
      </c>
      <c r="D874" s="342"/>
      <c r="E874" s="195"/>
      <c r="I874" s="330"/>
    </row>
    <row r="875" spans="1:12" ht="13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-5248823</v>
      </c>
      <c r="G875" s="345">
        <f>-$G$516</f>
        <v>-2651495</v>
      </c>
      <c r="H875" s="345">
        <f>-$H$516</f>
        <v>-1663877</v>
      </c>
      <c r="I875" s="345">
        <f>-$I$516</f>
        <v>-707594</v>
      </c>
      <c r="J875" s="345">
        <f>-$J$516</f>
        <v>-225857</v>
      </c>
      <c r="K875" s="345">
        <f>-$K$516</f>
        <v>-5248823</v>
      </c>
      <c r="L875" s="345">
        <f>-$L$516</f>
        <v>0</v>
      </c>
    </row>
    <row r="876" spans="1:12" ht="13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-4234181</v>
      </c>
      <c r="G876" s="345">
        <f>-$G$522</f>
        <v>-2142869</v>
      </c>
      <c r="H876" s="345">
        <f>-$H$522</f>
        <v>-1340341</v>
      </c>
      <c r="I876" s="345">
        <f>-$I$522</f>
        <v>-569881</v>
      </c>
      <c r="J876" s="345">
        <f>-$J$522</f>
        <v>-181090</v>
      </c>
      <c r="K876" s="345">
        <f>-$K$522</f>
        <v>-4234181</v>
      </c>
      <c r="L876" s="345">
        <f>-$L$522</f>
        <v>0</v>
      </c>
    </row>
    <row r="877" spans="1:12" ht="13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>SUM(F874:F876)+F872</f>
        <v>13485085</v>
      </c>
      <c r="G877" s="346">
        <f>SUM(G874:G876)+G872</f>
        <v>6806369</v>
      </c>
      <c r="H877" s="346">
        <f>SUM(H874:H876)+H872</f>
        <v>4277484</v>
      </c>
      <c r="I877" s="346">
        <f>SUM(I874:I876)+I872</f>
        <v>1819381</v>
      </c>
      <c r="J877" s="346">
        <f>SUM(J874:J876)+J872</f>
        <v>581850</v>
      </c>
      <c r="K877" s="346">
        <f>SUM(G877:J877)</f>
        <v>13485084</v>
      </c>
      <c r="L877" s="346">
        <f>SUM(L874:L876)+L872</f>
        <v>-1</v>
      </c>
    </row>
    <row r="878" spans="1:12" ht="13">
      <c r="A878" s="331">
        <v>13</v>
      </c>
      <c r="D878" s="342"/>
      <c r="E878" s="195"/>
      <c r="I878" s="330"/>
    </row>
    <row r="879" spans="1:12" ht="13">
      <c r="A879" s="331">
        <v>14</v>
      </c>
      <c r="B879" s="330" t="s">
        <v>99</v>
      </c>
      <c r="D879" s="342"/>
      <c r="E879" s="195"/>
      <c r="I879" s="330"/>
    </row>
    <row r="880" spans="1:12" ht="13">
      <c r="A880" s="331">
        <v>15</v>
      </c>
      <c r="B880" s="330" t="s">
        <v>74</v>
      </c>
      <c r="D880" s="342"/>
      <c r="E880" s="195"/>
      <c r="I880" s="330"/>
    </row>
    <row r="881" spans="1:12" ht="13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L881" si="212">F877</f>
        <v>13485085</v>
      </c>
      <c r="G881" s="345">
        <f t="shared" si="212"/>
        <v>6806369</v>
      </c>
      <c r="H881" s="345">
        <f t="shared" si="212"/>
        <v>4277484</v>
      </c>
      <c r="I881" s="345">
        <f t="shared" si="212"/>
        <v>1819381</v>
      </c>
      <c r="J881" s="345">
        <f t="shared" si="212"/>
        <v>581850</v>
      </c>
      <c r="K881" s="345">
        <f t="shared" si="212"/>
        <v>13485084</v>
      </c>
      <c r="L881" s="345">
        <f t="shared" si="212"/>
        <v>-1</v>
      </c>
    </row>
    <row r="882" spans="1:12" ht="13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L882" si="213">SUM(F881:F881)</f>
        <v>13485085</v>
      </c>
      <c r="G882" s="345">
        <f t="shared" si="213"/>
        <v>6806369</v>
      </c>
      <c r="H882" s="345">
        <f t="shared" si="213"/>
        <v>4277484</v>
      </c>
      <c r="I882" s="345">
        <f t="shared" si="213"/>
        <v>1819381</v>
      </c>
      <c r="J882" s="345">
        <f t="shared" si="213"/>
        <v>581850</v>
      </c>
      <c r="K882" s="345">
        <f t="shared" si="213"/>
        <v>13485084</v>
      </c>
      <c r="L882" s="345">
        <f t="shared" si="213"/>
        <v>-1</v>
      </c>
    </row>
    <row r="883" spans="1:12" ht="13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348">
        <f>G692</f>
        <v>0.21</v>
      </c>
      <c r="H883" s="348">
        <f>H692</f>
        <v>0.21</v>
      </c>
      <c r="I883" s="348">
        <f>I692</f>
        <v>0.21</v>
      </c>
      <c r="J883" s="348">
        <f>J692</f>
        <v>0.21</v>
      </c>
      <c r="K883" s="348"/>
      <c r="L883" s="348">
        <f>'FR-16(7)(v)-1 Functional'!K692</f>
        <v>0.21</v>
      </c>
    </row>
    <row r="884" spans="1:12" ht="13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>ROUND(F883*F882,0)</f>
        <v>2831868</v>
      </c>
      <c r="G884" s="345">
        <f>ROUND(G883*G882,0)</f>
        <v>1429337</v>
      </c>
      <c r="H884" s="345">
        <f>ROUND(H883*H882,0)</f>
        <v>898272</v>
      </c>
      <c r="I884" s="345">
        <f>ROUND(I883*I882,0)</f>
        <v>382070</v>
      </c>
      <c r="J884" s="345">
        <f>ROUND(J883*J882,0)</f>
        <v>122189</v>
      </c>
      <c r="K884" s="345">
        <f>SUM(G884:J884)</f>
        <v>2831868</v>
      </c>
      <c r="L884" s="345">
        <f>ROUND(L883*L882,0)</f>
        <v>0</v>
      </c>
    </row>
    <row r="885" spans="1:12" ht="13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-63346</v>
      </c>
      <c r="G885" s="345">
        <f>$G$532</f>
        <v>-32594</v>
      </c>
      <c r="H885" s="345">
        <f>$H$532</f>
        <v>-19793</v>
      </c>
      <c r="I885" s="345">
        <f>$I$532</f>
        <v>-8398</v>
      </c>
      <c r="J885" s="345">
        <f>$J$532</f>
        <v>-2561</v>
      </c>
      <c r="K885" s="345">
        <f>$K$532</f>
        <v>-63346</v>
      </c>
      <c r="L885" s="345">
        <f>$L$532</f>
        <v>0</v>
      </c>
    </row>
    <row r="886" spans="1:12" ht="13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-37337</v>
      </c>
      <c r="G886" s="345">
        <f>-$G$536</f>
        <v>-18860</v>
      </c>
      <c r="H886" s="345">
        <f>-$H$536</f>
        <v>-11836</v>
      </c>
      <c r="I886" s="345">
        <f>-$I$536</f>
        <v>-5034</v>
      </c>
      <c r="J886" s="345">
        <f>-$J$536</f>
        <v>-1607</v>
      </c>
      <c r="K886" s="345">
        <f>-$K$536</f>
        <v>-37337</v>
      </c>
      <c r="L886" s="345">
        <f>-$L$536</f>
        <v>0</v>
      </c>
    </row>
    <row r="887" spans="1:12" ht="13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L887" si="214">SUM(F884:F886)</f>
        <v>2731185</v>
      </c>
      <c r="G887" s="346">
        <f t="shared" si="214"/>
        <v>1377883</v>
      </c>
      <c r="H887" s="346">
        <f t="shared" si="214"/>
        <v>866643</v>
      </c>
      <c r="I887" s="346">
        <f t="shared" si="214"/>
        <v>368638</v>
      </c>
      <c r="J887" s="346">
        <f t="shared" si="214"/>
        <v>118021</v>
      </c>
      <c r="K887" s="346">
        <f t="shared" si="214"/>
        <v>2731185</v>
      </c>
      <c r="L887" s="346">
        <f t="shared" si="214"/>
        <v>0</v>
      </c>
    </row>
    <row r="888" spans="1:12" ht="13">
      <c r="A888" s="331">
        <v>23</v>
      </c>
      <c r="D888" s="342"/>
      <c r="E888" s="195"/>
      <c r="I888" s="330"/>
    </row>
    <row r="889" spans="1:12" ht="13">
      <c r="A889" s="331">
        <v>24</v>
      </c>
      <c r="B889" s="330" t="s">
        <v>75</v>
      </c>
      <c r="D889" s="342"/>
      <c r="E889" s="195"/>
      <c r="I889" s="330"/>
    </row>
    <row r="890" spans="1:12" ht="13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L890" si="215">F884</f>
        <v>2831868</v>
      </c>
      <c r="G890" s="345">
        <f t="shared" si="215"/>
        <v>1429337</v>
      </c>
      <c r="H890" s="345">
        <f t="shared" si="215"/>
        <v>898272</v>
      </c>
      <c r="I890" s="345">
        <f t="shared" si="215"/>
        <v>382070</v>
      </c>
      <c r="J890" s="345">
        <f t="shared" si="215"/>
        <v>122189</v>
      </c>
      <c r="K890" s="345">
        <f t="shared" si="215"/>
        <v>2831868</v>
      </c>
      <c r="L890" s="345">
        <f t="shared" si="215"/>
        <v>0</v>
      </c>
    </row>
    <row r="891" spans="1:12" ht="13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620">
        <f>-$G$540</f>
        <v>0</v>
      </c>
      <c r="H891" s="620">
        <f>-$H$540</f>
        <v>0</v>
      </c>
      <c r="I891" s="345">
        <f>-$I$540</f>
        <v>0</v>
      </c>
      <c r="J891" s="345">
        <f>-$J$540</f>
        <v>0</v>
      </c>
      <c r="K891" s="345">
        <f>-$K$540</f>
        <v>0</v>
      </c>
      <c r="L891" s="345">
        <f>-$L$540</f>
        <v>0</v>
      </c>
    </row>
    <row r="892" spans="1:12" ht="13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L892" si="216">SUM(F889:F891)</f>
        <v>2831868</v>
      </c>
      <c r="G892" s="346">
        <f t="shared" si="216"/>
        <v>1429337</v>
      </c>
      <c r="H892" s="346">
        <f t="shared" si="216"/>
        <v>898272</v>
      </c>
      <c r="I892" s="346">
        <f t="shared" si="216"/>
        <v>382070</v>
      </c>
      <c r="J892" s="346">
        <f t="shared" si="216"/>
        <v>122189</v>
      </c>
      <c r="K892" s="346">
        <f t="shared" si="216"/>
        <v>2831868</v>
      </c>
      <c r="L892" s="346">
        <f t="shared" si="216"/>
        <v>0</v>
      </c>
    </row>
    <row r="893" spans="1:12" ht="13">
      <c r="A893" s="331">
        <v>28</v>
      </c>
      <c r="D893" s="342"/>
      <c r="E893" s="195"/>
      <c r="I893" s="330"/>
    </row>
    <row r="894" spans="1:12" ht="13">
      <c r="A894" s="331">
        <v>29</v>
      </c>
      <c r="B894" s="330" t="s">
        <v>40</v>
      </c>
      <c r="D894" s="342"/>
      <c r="E894" s="195"/>
      <c r="I894" s="330"/>
    </row>
    <row r="895" spans="1:12" ht="13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L895" si="217">F872</f>
        <v>22968089</v>
      </c>
      <c r="G895" s="345">
        <f t="shared" si="217"/>
        <v>11600733</v>
      </c>
      <c r="H895" s="345">
        <f t="shared" si="217"/>
        <v>7281702</v>
      </c>
      <c r="I895" s="345">
        <f t="shared" si="217"/>
        <v>3096856</v>
      </c>
      <c r="J895" s="345">
        <f t="shared" si="217"/>
        <v>988797</v>
      </c>
      <c r="K895" s="345">
        <f t="shared" si="217"/>
        <v>22968088</v>
      </c>
      <c r="L895" s="345">
        <f t="shared" si="217"/>
        <v>-1</v>
      </c>
    </row>
    <row r="896" spans="1:12" ht="13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L896" si="218">-F887</f>
        <v>-2731185</v>
      </c>
      <c r="G896" s="345">
        <f t="shared" si="218"/>
        <v>-1377883</v>
      </c>
      <c r="H896" s="345">
        <f t="shared" si="218"/>
        <v>-866643</v>
      </c>
      <c r="I896" s="345">
        <f t="shared" si="218"/>
        <v>-368638</v>
      </c>
      <c r="J896" s="345">
        <f t="shared" si="218"/>
        <v>-118021</v>
      </c>
      <c r="K896" s="345">
        <f t="shared" si="218"/>
        <v>-2731185</v>
      </c>
      <c r="L896" s="345">
        <f t="shared" si="218"/>
        <v>0</v>
      </c>
    </row>
    <row r="897" spans="1:14" ht="13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L897" si="219">SUM(F894:F896)</f>
        <v>20236904</v>
      </c>
      <c r="G897" s="346">
        <f t="shared" si="219"/>
        <v>10222850</v>
      </c>
      <c r="H897" s="346">
        <f t="shared" si="219"/>
        <v>6415059</v>
      </c>
      <c r="I897" s="346">
        <f t="shared" si="219"/>
        <v>2728218</v>
      </c>
      <c r="J897" s="346">
        <f t="shared" si="219"/>
        <v>870776</v>
      </c>
      <c r="K897" s="346">
        <f t="shared" si="219"/>
        <v>20236903</v>
      </c>
      <c r="L897" s="346">
        <f t="shared" si="219"/>
        <v>-1</v>
      </c>
    </row>
    <row r="898" spans="1:14" ht="13">
      <c r="A898" s="331">
        <v>33</v>
      </c>
      <c r="D898" s="342"/>
      <c r="E898" s="195"/>
      <c r="I898" s="330"/>
    </row>
    <row r="899" spans="1:14" ht="13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L899" si="220">IF(F331=0,0,ROUND(F897/F331,5))</f>
        <v>7.0889999999999995E-2</v>
      </c>
      <c r="G899" s="348">
        <f t="shared" si="220"/>
        <v>7.0889999999999995E-2</v>
      </c>
      <c r="H899" s="348">
        <f t="shared" si="220"/>
        <v>7.0889999999999995E-2</v>
      </c>
      <c r="I899" s="348">
        <f t="shared" si="220"/>
        <v>7.0889999999999995E-2</v>
      </c>
      <c r="J899" s="348">
        <f t="shared" si="220"/>
        <v>7.0889999999999995E-2</v>
      </c>
      <c r="K899" s="348">
        <f t="shared" si="220"/>
        <v>7.0889999999999995E-2</v>
      </c>
      <c r="L899" s="348">
        <f t="shared" si="220"/>
        <v>0</v>
      </c>
    </row>
    <row r="900" spans="1:14" ht="13">
      <c r="N900" s="195"/>
    </row>
  </sheetData>
  <conditionalFormatting sqref="P708:P742 P744:P762 P766:P778 P780:P844">
    <cfRule type="cellIs" dxfId="2" priority="1" operator="notEqual">
      <formula>1</formula>
    </cfRule>
  </conditionalFormatting>
  <pageMargins left="1" right="1" top="1" bottom="1" header="1" footer="0.5"/>
  <pageSetup scale="64" orientation="landscape" blackAndWhite="1" r:id="rId1"/>
  <headerFooter alignWithMargins="0"/>
  <rowBreaks count="16" manualBreakCount="16">
    <brk id="44" max="11" man="1"/>
    <brk id="101" max="11" man="1"/>
    <brk id="151" max="11" man="1"/>
    <brk id="191" max="11" man="1"/>
    <brk id="238" max="11" man="1"/>
    <brk id="283" max="11" man="1"/>
    <brk id="334" max="11" man="1"/>
    <brk id="389" max="11" man="1"/>
    <brk id="433" max="11" man="1"/>
    <brk id="465" max="11" man="1"/>
    <brk id="501" max="11" man="1"/>
    <brk id="565" max="11" man="1"/>
    <brk id="655" max="11" man="1"/>
    <brk id="694" max="11" man="1"/>
    <brk id="746" max="11" man="1"/>
    <brk id="803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302</vt:i4>
      </vt:variant>
    </vt:vector>
  </HeadingPairs>
  <TitlesOfParts>
    <vt:vector size="336" baseType="lpstr">
      <vt:lpstr>WP Data Req Summary</vt:lpstr>
      <vt:lpstr>Print &amp; Input</vt:lpstr>
      <vt:lpstr>Rev req link</vt:lpstr>
      <vt:lpstr>Customer Charge</vt:lpstr>
      <vt:lpstr>FR-16(7)(v)-1 Functional</vt:lpstr>
      <vt:lpstr>FR-16(7)(v)-2 PROD Classified</vt:lpstr>
      <vt:lpstr>FR-16(7)(v)-3 PROD Comm Alloc</vt:lpstr>
      <vt:lpstr>FR-16(7)(v)-4 DISTR Classified</vt:lpstr>
      <vt:lpstr>FR-16(7)(v)-5 DISTR Dem Alloc</vt:lpstr>
      <vt:lpstr>FR-16(7)(v)-6 DISTR Cust Alloc</vt:lpstr>
      <vt:lpstr>FR-16(7)(v)-7 STOR Classified</vt:lpstr>
      <vt:lpstr>FR-16(7)(v)-8 TOT CLASS Alloc</vt:lpstr>
      <vt:lpstr>FR-16(7)(v)-9 RES Classified</vt:lpstr>
      <vt:lpstr>FR-16(7)(v)-10 GS Classified</vt:lpstr>
      <vt:lpstr>FR-16(7)(v)-11 FTL Classified</vt:lpstr>
      <vt:lpstr>FR-16(7)(v)-12 IT Classified</vt:lpstr>
      <vt:lpstr>Alloc Factors Summary</vt:lpstr>
      <vt:lpstr>WP FR-16(7)(v)-Peak &amp; Avg</vt:lpstr>
      <vt:lpstr>WP FR-16(7)(v)-Daily Dem</vt:lpstr>
      <vt:lpstr>WP FR-16(7)(v)-Daily Gas Stats</vt:lpstr>
      <vt:lpstr>WP FR-16(7)(v)-IndustrialM&amp;R</vt:lpstr>
      <vt:lpstr>WP FR-16(7)(v)-Mains (Plastic)</vt:lpstr>
      <vt:lpstr>WP FR-16(7)(v)-Plastic Summary</vt:lpstr>
      <vt:lpstr>WP FR-16(7)(v)-Mains backup</vt:lpstr>
      <vt:lpstr>WP FR-16(7)(v)-Services</vt:lpstr>
      <vt:lpstr>WP FR-16(7)(v)-House Reg DEK</vt:lpstr>
      <vt:lpstr>WP FR-16(7)(v)-METERS 2020</vt:lpstr>
      <vt:lpstr>WP FR-16(7)(v)-CustAcctg</vt:lpstr>
      <vt:lpstr>WP FR-16(7)(v)-A&amp;G WP</vt:lpstr>
      <vt:lpstr>WP FR-16(7)(v) Pres NOI</vt:lpstr>
      <vt:lpstr>WP FR-16(7)(v)Rate Incr (40.0%)</vt:lpstr>
      <vt:lpstr>WP FR-16(7)(v)RateIncr (42.36%)</vt:lpstr>
      <vt:lpstr>WP FR-16(7)(v)Rate Incr (75%)</vt:lpstr>
      <vt:lpstr>WP FR-16(7)(v)Rate Incr (100%)</vt:lpstr>
      <vt:lpstr>alloc_factors</vt:lpstr>
      <vt:lpstr>Alloctable_Classified_Distribution</vt:lpstr>
      <vt:lpstr>AllocTable_Classified_Production</vt:lpstr>
      <vt:lpstr>AllocTable_Classified_Storage</vt:lpstr>
      <vt:lpstr>'FR-16(7)(v)-6 DISTR Cust Alloc'!ALLOCTABLE_DISTR_CUSTOMER</vt:lpstr>
      <vt:lpstr>'FR-16(7)(v)-5 DISTR Dem Alloc'!ALLOCTABLE_DISTR_DEMAND</vt:lpstr>
      <vt:lpstr>'FR-16(7)(v)-6 DISTR Cust Alloc'!ALLOCTABLE_DISTR_DEMAND</vt:lpstr>
      <vt:lpstr>AllocTable_Functional</vt:lpstr>
      <vt:lpstr>ALLOCTABLE_Prod_Commodity</vt:lpstr>
      <vt:lpstr>case_name</vt:lpstr>
      <vt:lpstr>co_name</vt:lpstr>
      <vt:lpstr>Composite_Tax_Rate</vt:lpstr>
      <vt:lpstr>coss_type</vt:lpstr>
      <vt:lpstr>custaccttable</vt:lpstr>
      <vt:lpstr>data_filing</vt:lpstr>
      <vt:lpstr>FIT</vt:lpstr>
      <vt:lpstr>Mains</vt:lpstr>
      <vt:lpstr>Pages</vt:lpstr>
      <vt:lpstr>Pages2</vt:lpstr>
      <vt:lpstr>'Alloc Factors Summary'!Print_Area</vt:lpstr>
      <vt:lpstr>'FR-16(7)(v)-1 Functional'!Print_Area</vt:lpstr>
      <vt:lpstr>'FR-16(7)(v)-10 GS Classified'!Print_Area</vt:lpstr>
      <vt:lpstr>'FR-16(7)(v)-11 FTL Classified'!Print_Area</vt:lpstr>
      <vt:lpstr>'FR-16(7)(v)-12 IT Classified'!Print_Area</vt:lpstr>
      <vt:lpstr>'FR-16(7)(v)-2 PROD Classified'!Print_Area</vt:lpstr>
      <vt:lpstr>'FR-16(7)(v)-3 PROD Comm Alloc'!Print_Area</vt:lpstr>
      <vt:lpstr>'FR-16(7)(v)-4 DISTR Classified'!Print_Area</vt:lpstr>
      <vt:lpstr>'FR-16(7)(v)-5 DISTR Dem Alloc'!Print_Area</vt:lpstr>
      <vt:lpstr>'FR-16(7)(v)-6 DISTR Cust Alloc'!Print_Area</vt:lpstr>
      <vt:lpstr>'FR-16(7)(v)-8 TOT CLASS Alloc'!Print_Area</vt:lpstr>
      <vt:lpstr>'FR-16(7)(v)-9 RES Classified'!Print_Area</vt:lpstr>
      <vt:lpstr>'WP FR-16(7)(v) Pres NOI'!Print_Area</vt:lpstr>
      <vt:lpstr>'WP FR-16(7)(v)-A&amp;G WP'!Print_Area</vt:lpstr>
      <vt:lpstr>'WP FR-16(7)(v)-CustAcctg'!Print_Area</vt:lpstr>
      <vt:lpstr>'WP FR-16(7)(v)-Daily Dem'!Print_Area</vt:lpstr>
      <vt:lpstr>'WP FR-16(7)(v)-Daily Gas Stats'!Print_Area</vt:lpstr>
      <vt:lpstr>'WP FR-16(7)(v)-House Reg DEK'!Print_Area</vt:lpstr>
      <vt:lpstr>'WP FR-16(7)(v)-IndustrialM&amp;R'!Print_Area</vt:lpstr>
      <vt:lpstr>'WP FR-16(7)(v)-Mains (Plastic)'!Print_Area</vt:lpstr>
      <vt:lpstr>'WP FR-16(7)(v)-Mains backup'!Print_Area</vt:lpstr>
      <vt:lpstr>'WP FR-16(7)(v)-METERS 2020'!Print_Area</vt:lpstr>
      <vt:lpstr>'WP FR-16(7)(v)-Peak &amp; Avg'!Print_Area</vt:lpstr>
      <vt:lpstr>'WP FR-16(7)(v)-Plastic Summary'!Print_Area</vt:lpstr>
      <vt:lpstr>'WP FR-16(7)(v)Rate Incr (100%)'!Print_Area</vt:lpstr>
      <vt:lpstr>'WP FR-16(7)(v)Rate Incr (40.0%)'!Print_Area</vt:lpstr>
      <vt:lpstr>'WP FR-16(7)(v)Rate Incr (75%)'!Print_Area</vt:lpstr>
      <vt:lpstr>'WP FR-16(7)(v)RateIncr (42.36%)'!Print_Area</vt:lpstr>
      <vt:lpstr>'WP FR-16(7)(v)-Services'!Print_Area</vt:lpstr>
      <vt:lpstr>Print_Commands</vt:lpstr>
      <vt:lpstr>RegressionConstant</vt:lpstr>
      <vt:lpstr>RegressionXcoefficient</vt:lpstr>
      <vt:lpstr>'WP FR-16(7)(v)-House Reg DEK'!RegulatorCost</vt:lpstr>
      <vt:lpstr>'WP FR-16(7)(v)-House Reg DEK'!RegulatorSize</vt:lpstr>
      <vt:lpstr>'WP FR-16(7)(v)-House Reg DEK'!RegulatorUnits</vt:lpstr>
      <vt:lpstr>RevTax</vt:lpstr>
      <vt:lpstr>RofR</vt:lpstr>
      <vt:lpstr>Sch_E3.1</vt:lpstr>
      <vt:lpstr>SCH_E3.2</vt:lpstr>
      <vt:lpstr>Sch_E3.2_Alloc_12</vt:lpstr>
      <vt:lpstr>Sch_E3.2_Alloc_12.1</vt:lpstr>
      <vt:lpstr>Sch_E3.2_Alloc_12.2</vt:lpstr>
      <vt:lpstr>Sch_E3.2_COS_Compute_10</vt:lpstr>
      <vt:lpstr>Sch_E3.2_Depreciation_Expense_7</vt:lpstr>
      <vt:lpstr>Sch_E3.2_Depreciation_Reserve_3</vt:lpstr>
      <vt:lpstr>Sch_E3.2_FIT_Return_9</vt:lpstr>
      <vt:lpstr>Sch_E3.2_FIT_Revenue_13</vt:lpstr>
      <vt:lpstr>Sch_E3.2_Gross_Plant_2</vt:lpstr>
      <vt:lpstr>Sch_E3.2_Net_Plant_4</vt:lpstr>
      <vt:lpstr>Sch_E3.2_OMEXP_6</vt:lpstr>
      <vt:lpstr>Sch_E3.2_OMEXP_6.1</vt:lpstr>
      <vt:lpstr>Sch_E3.2_RB_Additive_Adj_5.1</vt:lpstr>
      <vt:lpstr>Sch_E3.2_RB_Subtractive_Adj_5</vt:lpstr>
      <vt:lpstr>Sch_E3.2_RB_Total_5.2</vt:lpstr>
      <vt:lpstr>Sch_E3.2_RofR_11</vt:lpstr>
      <vt:lpstr>Sch_E3.2_SIT_Return_9.1</vt:lpstr>
      <vt:lpstr>Sch_E3.2_Summary_1</vt:lpstr>
      <vt:lpstr>Sch_E3.2_Taxes_Other_Than_Income_8</vt:lpstr>
      <vt:lpstr>SCH_E3.2a</vt:lpstr>
      <vt:lpstr>Sch_E3.2a_Alloc_12</vt:lpstr>
      <vt:lpstr>Sch_E3.2a_Alloc_12.1</vt:lpstr>
      <vt:lpstr>Sch_E3.2a_Alloc_12.2</vt:lpstr>
      <vt:lpstr>Sch_E3.2a_COS_Compute_10</vt:lpstr>
      <vt:lpstr>Sch_E3.2a_Depreciation_Expense_7</vt:lpstr>
      <vt:lpstr>Sch_E3.2a_Depreciation_Reserve_3</vt:lpstr>
      <vt:lpstr>Sch_E3.2a_FIT_Return_9</vt:lpstr>
      <vt:lpstr>Sch_E3.2a_FIT_Revenue_13</vt:lpstr>
      <vt:lpstr>Sch_E3.2a_Gross_Plant_2</vt:lpstr>
      <vt:lpstr>Sch_E3.2a_Net_Plant_4</vt:lpstr>
      <vt:lpstr>Sch_E3.2a_OMEXP_6</vt:lpstr>
      <vt:lpstr>Sch_E3.2a_OMEXP_6.1</vt:lpstr>
      <vt:lpstr>Sch_E3.2a_RB_Additive_Adj_5.1</vt:lpstr>
      <vt:lpstr>Sch_E3.2a_RB_Subtractive_Adj_5</vt:lpstr>
      <vt:lpstr>Sch_E3.2a_RB_Total_5.2</vt:lpstr>
      <vt:lpstr>Sch_E3.2a_RofR_11</vt:lpstr>
      <vt:lpstr>Sch_E3.2a_SIT_Return_9.1</vt:lpstr>
      <vt:lpstr>Sch_E3.2a_Summary_1</vt:lpstr>
      <vt:lpstr>Sch_E3.2a_Taxes_Other_Than_Income_8</vt:lpstr>
      <vt:lpstr>SCH_E3.2b</vt:lpstr>
      <vt:lpstr>Sch_E3.2b_Alloc_12</vt:lpstr>
      <vt:lpstr>Sch_E3.2b_Alloc_12.1</vt:lpstr>
      <vt:lpstr>Sch_E3.2b_Alloc_12.2</vt:lpstr>
      <vt:lpstr>Sch_E3.2b_COS_Compute_10</vt:lpstr>
      <vt:lpstr>Sch_E3.2b_Depreciation_Expense_7</vt:lpstr>
      <vt:lpstr>Sch_E3.2b_Depreciation_Reserve_3</vt:lpstr>
      <vt:lpstr>Sch_E3.2b_FIT_Return_9</vt:lpstr>
      <vt:lpstr>Sch_E3.2b_FIT_Revenue_13</vt:lpstr>
      <vt:lpstr>Sch_E3.2b_Gross_Plant_2</vt:lpstr>
      <vt:lpstr>Sch_E3.2b_Net_Plant_4</vt:lpstr>
      <vt:lpstr>Sch_E3.2b_OMEXP_6</vt:lpstr>
      <vt:lpstr>Sch_E3.2b_OMEXP_6.1</vt:lpstr>
      <vt:lpstr>Sch_E3.2b_RB_Additive_Adj_5.1</vt:lpstr>
      <vt:lpstr>Sch_E3.2b_RB_Subtractive_Adj_5</vt:lpstr>
      <vt:lpstr>Sch_E3.2b_RB_Total_5.2</vt:lpstr>
      <vt:lpstr>Sch_E3.2b_RofR_11</vt:lpstr>
      <vt:lpstr>Sch_E3.2b_SIT_Return_9.1</vt:lpstr>
      <vt:lpstr>Sch_E3.2b_Summary_1</vt:lpstr>
      <vt:lpstr>Sch_E3.2b_Taxes_Other_Than_Income_8</vt:lpstr>
      <vt:lpstr>SCH_E3.2c</vt:lpstr>
      <vt:lpstr>Sch_E3.2c_Alloc_12</vt:lpstr>
      <vt:lpstr>Sch_E3.2c_Alloc_12.1</vt:lpstr>
      <vt:lpstr>Sch_E3.2c_Alloc_12.2</vt:lpstr>
      <vt:lpstr>Sch_E3.2c_COS_Compute_10</vt:lpstr>
      <vt:lpstr>Sch_E3.2c_Depreciation_Expense_7</vt:lpstr>
      <vt:lpstr>Sch_E3.2c_Depreciation_Reserve_3</vt:lpstr>
      <vt:lpstr>Sch_E3.2c_FIT_Return_9</vt:lpstr>
      <vt:lpstr>Sch_E3.2c_FIT_Revenues_13</vt:lpstr>
      <vt:lpstr>Sch_E3.2c_Gross_Plant_2</vt:lpstr>
      <vt:lpstr>Sch_E3.2c_Net_Plant_4</vt:lpstr>
      <vt:lpstr>Sch_E3.2c_OMEXP_6</vt:lpstr>
      <vt:lpstr>SCH_E3.2c_OMEXP_6.1</vt:lpstr>
      <vt:lpstr>Sch_E3.2c_RB_Additive_Adj_5.1</vt:lpstr>
      <vt:lpstr>Sch_E3.2c_RB_Subtractive_Adj_5</vt:lpstr>
      <vt:lpstr>Sch_E3.2c_RB_Total_5.2</vt:lpstr>
      <vt:lpstr>Sch_E3.2c_RofR_11</vt:lpstr>
      <vt:lpstr>Sch_E3.2c_SIT_Return_9.1</vt:lpstr>
      <vt:lpstr>Sch_E3.2c_Summary_1</vt:lpstr>
      <vt:lpstr>Sch_E3.2c_Taxes_Other_Than_Income_8</vt:lpstr>
      <vt:lpstr>SCH_E3.2d</vt:lpstr>
      <vt:lpstr>Sch_E3.2d_Alloc_12</vt:lpstr>
      <vt:lpstr>Sch_E3.2d_Alloc_12.1</vt:lpstr>
      <vt:lpstr>Sch_E3.2d_Alloc_12.2</vt:lpstr>
      <vt:lpstr>Sch_E3.2d_COS_Compute_10</vt:lpstr>
      <vt:lpstr>Sch_E3.2d_Depreciation_Expense_7</vt:lpstr>
      <vt:lpstr>Sch_E3.2d_Depreciation_Reserve_3</vt:lpstr>
      <vt:lpstr>Sch_E3.2d_FIT_Return_9</vt:lpstr>
      <vt:lpstr>Sch_E3.2d_FIT_Revenue_13</vt:lpstr>
      <vt:lpstr>Sch_E3.2d_Gross_Plant_2</vt:lpstr>
      <vt:lpstr>Sch_E3.2d_Net_Plant_4</vt:lpstr>
      <vt:lpstr>Sch_E3.2d_OMEXP_6</vt:lpstr>
      <vt:lpstr>Sch_E3.2d_OMEXP_6.1</vt:lpstr>
      <vt:lpstr>Sch_E3.2d_RB_Additive_Adj_5.1</vt:lpstr>
      <vt:lpstr>Sch_E3.2d_RB_Subtractive_Adj_5</vt:lpstr>
      <vt:lpstr>Sch_E3.2d_RB_Total_5.2</vt:lpstr>
      <vt:lpstr>Sch_E3.2d_RofR_11</vt:lpstr>
      <vt:lpstr>Sch_E3.2d_SIT_Return_9.1</vt:lpstr>
      <vt:lpstr>Sch_E3.2d_Summary_1</vt:lpstr>
      <vt:lpstr>Sch_E3.2d_Taxes_Other_Than_Income_8</vt:lpstr>
      <vt:lpstr>SCH_E3.2e</vt:lpstr>
      <vt:lpstr>Sch_E3.2e_Alloc_12</vt:lpstr>
      <vt:lpstr>Sch_E3.2e_Alloc_12.1</vt:lpstr>
      <vt:lpstr>Sch_E3.2e_Alloc_12.2</vt:lpstr>
      <vt:lpstr>Sch_E3.2e_COS_Compute_10</vt:lpstr>
      <vt:lpstr>Sch_E3.2e_Depreciation_Expense_7</vt:lpstr>
      <vt:lpstr>Sch_E3.2e_Depreciation_Reserve_3</vt:lpstr>
      <vt:lpstr>Sch_E3.2e_FIT_Return_9</vt:lpstr>
      <vt:lpstr>Sch_E3.2e_FIT_Revenue_13</vt:lpstr>
      <vt:lpstr>Sch_E3.2e_Gross_Plant_2</vt:lpstr>
      <vt:lpstr>Sch_E3.2e_Net_Plant_4</vt:lpstr>
      <vt:lpstr>Sch_E3.2e_OMEXP_6</vt:lpstr>
      <vt:lpstr>Sch_E3.2e_OMEXP_6.1</vt:lpstr>
      <vt:lpstr>Sch_E3.2e_RB_Additive_Adj_5.1</vt:lpstr>
      <vt:lpstr>Sch_E3.2e_RB_Subtractive_Adj_5</vt:lpstr>
      <vt:lpstr>Sch_E3.2e_RB_Total_5.2</vt:lpstr>
      <vt:lpstr>Sch_E3.2e_RofR_11</vt:lpstr>
      <vt:lpstr>Sch_E3.2e_SIT_Return_9.1</vt:lpstr>
      <vt:lpstr>Sch_E3.2e_Summary_1</vt:lpstr>
      <vt:lpstr>Sch_E3.2e_Taxes_Other_Than_Income_8</vt:lpstr>
      <vt:lpstr>SCH_E3.2f</vt:lpstr>
      <vt:lpstr>Sch_E3.2f_COS_Compute_10</vt:lpstr>
      <vt:lpstr>Sch_E3.2f_Depreciation_Expense_7</vt:lpstr>
      <vt:lpstr>Sch_E3.2f_Depreciation_Reserve_3</vt:lpstr>
      <vt:lpstr>Sch_E3.2f_FIT_Return_9</vt:lpstr>
      <vt:lpstr>Sch_E3.2f_FIT_Revenue_13</vt:lpstr>
      <vt:lpstr>Sch_E3.2f_Gross_Plant_2</vt:lpstr>
      <vt:lpstr>Sch_E3.2f_Net_Plant_4</vt:lpstr>
      <vt:lpstr>Sch_E3.2f_OMEXP_6</vt:lpstr>
      <vt:lpstr>Sch_E3.2f_OMEXP_6.1</vt:lpstr>
      <vt:lpstr>Sch_E3.2f_RB_Additive_Adj_5.1</vt:lpstr>
      <vt:lpstr>Sch_E3.2f_RB_Subtractive_Adj_5</vt:lpstr>
      <vt:lpstr>Sch_E3.2f_RB_Total_5.2</vt:lpstr>
      <vt:lpstr>Sch_E3.2f_RofR_11</vt:lpstr>
      <vt:lpstr>Sch_E3.2f_SIT_Return_9.1</vt:lpstr>
      <vt:lpstr>Sch_E3.2f_Summary_1</vt:lpstr>
      <vt:lpstr>Sch_E3.2f_Taxes_Other_Than_Income_8</vt:lpstr>
      <vt:lpstr>SCH_E3.2g</vt:lpstr>
      <vt:lpstr>Sch_E3.2g_COS_Compute_10</vt:lpstr>
      <vt:lpstr>Sch_E3.2g_Depreciation_Expense_7</vt:lpstr>
      <vt:lpstr>Sch_E3.2g_Depreciation_Reserve_3</vt:lpstr>
      <vt:lpstr>Sch_E3.2g_FIT_Return_9</vt:lpstr>
      <vt:lpstr>Sch_E3.2g_FIT_Revenue_13</vt:lpstr>
      <vt:lpstr>Sch_E3.2g_Gross_Plant_2</vt:lpstr>
      <vt:lpstr>Sch_E3.2g_Net_Plant_4</vt:lpstr>
      <vt:lpstr>Sch_E3.2g_OMEXP_6</vt:lpstr>
      <vt:lpstr>Sch_E3.2g_OMEXP_6.1</vt:lpstr>
      <vt:lpstr>SCH_E3.2g_RB_ADDITIVE_ADJ_5.1</vt:lpstr>
      <vt:lpstr>Sch_E3.2g_RB_Subtractive_Adj_5</vt:lpstr>
      <vt:lpstr>Sch_E3.2g_RB_Total_5.2</vt:lpstr>
      <vt:lpstr>Sch_E3.2g_RofR_11</vt:lpstr>
      <vt:lpstr>Sch_E3.2g_SIT_Return_9.1</vt:lpstr>
      <vt:lpstr>Sch_E3.2g_Summary_1</vt:lpstr>
      <vt:lpstr>Sch_E3.2g_Taxes_Other_Than_Income_8</vt:lpstr>
      <vt:lpstr>SCH_E3.2h</vt:lpstr>
      <vt:lpstr>Sch_E3.2h_COS_Compute_10</vt:lpstr>
      <vt:lpstr>Sch_E3.2h_Depreciation_Expense_7</vt:lpstr>
      <vt:lpstr>Sch_E3.2h_Depreciation_Reserve_3</vt:lpstr>
      <vt:lpstr>Sch_E3.2h_FIT_Return_9</vt:lpstr>
      <vt:lpstr>Sch_E3.2h_FIT_Revenue_13</vt:lpstr>
      <vt:lpstr>Sch_E3.2h_Gross_Plant_2</vt:lpstr>
      <vt:lpstr>Sch_E3.2h_Net_Plant_4</vt:lpstr>
      <vt:lpstr>Sch_E3.2h_OMEXP_6</vt:lpstr>
      <vt:lpstr>Sch_E3.2h_OMEXP_6.1</vt:lpstr>
      <vt:lpstr>Sch_E3.2h_RB_Additive_Adj_5.1</vt:lpstr>
      <vt:lpstr>Sch_E3.2h_RB_Subtractive_Adj_5</vt:lpstr>
      <vt:lpstr>Sch_E3.2h_RB_Total_5.2</vt:lpstr>
      <vt:lpstr>Sch_E3.2h_RofR_11</vt:lpstr>
      <vt:lpstr>Sch_E3.2h_SIT_Return_9.1</vt:lpstr>
      <vt:lpstr>Sch_E3.2h_Summary_1</vt:lpstr>
      <vt:lpstr>Sch_E3.2h_Taxes_Other_Than_Income_8</vt:lpstr>
      <vt:lpstr>SCH_E3.2i</vt:lpstr>
      <vt:lpstr>Sch_E3.2i_COS_Compute_10</vt:lpstr>
      <vt:lpstr>Sch_E3.2i_Depreciation_Expense_7</vt:lpstr>
      <vt:lpstr>Sch_E3.2i_Depreciation_Reserve_3</vt:lpstr>
      <vt:lpstr>Sch_E3.2i_FIT_Return_9</vt:lpstr>
      <vt:lpstr>Sch_E3.2i_FIT_Revenue_13</vt:lpstr>
      <vt:lpstr>Sch_E3.2i_Gross_Plant_2</vt:lpstr>
      <vt:lpstr>Sch_E3.2i_Net_Plant_4</vt:lpstr>
      <vt:lpstr>Sch_E3.2i_OMEXP_6</vt:lpstr>
      <vt:lpstr>Sch_E3.2i_OMEXP_6.1</vt:lpstr>
      <vt:lpstr>Sch_E3.2i_RB_Additive_Adj_5.1</vt:lpstr>
      <vt:lpstr>Sch_E3.2i_RB_Subtractive_Adj_5</vt:lpstr>
      <vt:lpstr>Sch_E3.2i_RB_Total_5.2</vt:lpstr>
      <vt:lpstr>Sch_E3.2i_RofR_11</vt:lpstr>
      <vt:lpstr>Sch_E3.2i_SIT_Return_9.1</vt:lpstr>
      <vt:lpstr>Sch_E3.2i_Summary_1</vt:lpstr>
      <vt:lpstr>Sch_E3.2i_Taxes_Other_Than_Income_8</vt:lpstr>
      <vt:lpstr>SCH_E3.2j</vt:lpstr>
      <vt:lpstr>Sch_E3.2j_COS_Compute_10</vt:lpstr>
      <vt:lpstr>Sch_E3.2j_Depreciation_Expense_7</vt:lpstr>
      <vt:lpstr>Sch_E3.2j_Depreciation_Reserve_3</vt:lpstr>
      <vt:lpstr>Sch_E3.2j_FIT_Return_9</vt:lpstr>
      <vt:lpstr>Sch_E3.2j_FIT_Revenue_13</vt:lpstr>
      <vt:lpstr>Sch_E3.2j_Gross_Plant_2</vt:lpstr>
      <vt:lpstr>Sch_E3.2j_Net_Plant_4</vt:lpstr>
      <vt:lpstr>Sch_E3.2j_OMEXP_6</vt:lpstr>
      <vt:lpstr>Sch_E3.2j_OMEXP_6.1</vt:lpstr>
      <vt:lpstr>Sch_E3.2j_RB_Additive_Adj_5.1</vt:lpstr>
      <vt:lpstr>Sch_E3.2j_RB_Subtractive_Adj_5</vt:lpstr>
      <vt:lpstr>Sch_E3.2j_RB_Total_5.2</vt:lpstr>
      <vt:lpstr>Sch_E3.2j_RofR_11</vt:lpstr>
      <vt:lpstr>Sch_E3.2j_SIT_Return_9.1</vt:lpstr>
      <vt:lpstr>Sch_E3.2j_Summary_1</vt:lpstr>
      <vt:lpstr>Sch_E3.2j_Taxes_Other_Than_Income_8</vt:lpstr>
      <vt:lpstr>Services_Cost</vt:lpstr>
      <vt:lpstr>Services_Kind</vt:lpstr>
      <vt:lpstr>Services_Quantity</vt:lpstr>
      <vt:lpstr>Services_Size</vt:lpstr>
      <vt:lpstr>Services_Type</vt:lpstr>
      <vt:lpstr>SIT</vt:lpstr>
      <vt:lpstr>test_period</vt:lpstr>
      <vt:lpstr>time_period</vt:lpstr>
      <vt:lpstr>type</vt:lpstr>
      <vt:lpstr>Witness</vt:lpstr>
      <vt:lpstr>Witness1</vt:lpstr>
      <vt:lpstr>WorkingCap</vt:lpstr>
      <vt:lpstr>WPE_3.2a_P1</vt:lpstr>
      <vt:lpstr>WPE_3.2a_P2</vt:lpstr>
      <vt:lpstr>WPE_3.2a_P3</vt:lpstr>
      <vt:lpstr>WPE_3.2b_P1</vt:lpstr>
      <vt:lpstr>WPE_3.2c_P1</vt:lpstr>
      <vt:lpstr>WPE_3.2c_P2</vt:lpstr>
      <vt:lpstr>WPE_3.2c_P3</vt:lpstr>
      <vt:lpstr>WPE_3.2c_P4</vt:lpstr>
      <vt:lpstr>WPE_3.2c_P5</vt:lpstr>
      <vt:lpstr>WPE_3.2c_P6</vt:lpstr>
      <vt:lpstr>WPE_3.2c_P7</vt:lpstr>
      <vt:lpstr>WPE_3.2d_P1</vt:lpstr>
      <vt:lpstr>WPE_3.2e_P1</vt:lpstr>
      <vt:lpstr>WPE_3.2e_P2</vt:lpstr>
      <vt:lpstr>WPE_3.2e_P3</vt:lpstr>
      <vt:lpstr>WPE_3.2f_P1</vt:lpstr>
      <vt:lpstr>WPE_3.2f_P2</vt:lpstr>
      <vt:lpstr>WPE_3.2f_P3</vt:lpstr>
      <vt:lpstr>WPE_3.2f_P4</vt:lpstr>
      <vt:lpstr>'WP FR-16(7)(v)-House Reg DEK'!WPE_3.2g_P1</vt:lpstr>
      <vt:lpstr>'WP FR-16(7)(v)-House Reg DEK'!WPE_3.2g_P2</vt:lpstr>
      <vt:lpstr>WPE_3.2i_P1</vt:lpstr>
      <vt:lpstr>WPE_3.2j_P1</vt:lpstr>
      <vt:lpstr>WPE_3.2k_P1</vt:lpstr>
      <vt:lpstr>WPE_3.2l_P1</vt:lpstr>
      <vt:lpstr>WPE_3.2l_P2</vt:lpstr>
      <vt:lpstr>WPE_3.2l_P3</vt:lpstr>
      <vt:lpstr>WPE_3.2l_P4</vt:lpstr>
    </vt:vector>
  </TitlesOfParts>
  <Company>Cinergy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T61190</dc:creator>
  <cp:lastModifiedBy>Ziolkowski, Jim</cp:lastModifiedBy>
  <cp:lastPrinted>2021-05-12T18:34:01Z</cp:lastPrinted>
  <dcterms:created xsi:type="dcterms:W3CDTF">2000-11-09T16:52:02Z</dcterms:created>
  <dcterms:modified xsi:type="dcterms:W3CDTF">2021-08-12T15:11:51Z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